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客户表!$A$1:$AN$8186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6636" i="2" l="1"/>
  <c r="X6436" i="2"/>
  <c r="AH8186" i="2" l="1"/>
  <c r="AE8186" i="2"/>
  <c r="AD8186" i="2"/>
  <c r="X8186" i="2"/>
  <c r="W8186" i="2"/>
  <c r="AF8186" i="2" l="1"/>
  <c r="AC8186" i="2"/>
  <c r="Y8186" i="2"/>
  <c r="AB8186" i="2"/>
  <c r="AK8186" i="2" s="1"/>
  <c r="X6079" i="2"/>
  <c r="L70" i="3" l="1"/>
  <c r="K97" i="3" l="1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8030" i="2"/>
  <c r="K8027" i="2"/>
  <c r="K8023" i="2"/>
  <c r="K8021" i="2"/>
  <c r="K8017" i="2"/>
  <c r="K8016" i="2"/>
  <c r="K8015" i="2"/>
  <c r="K8014" i="2"/>
  <c r="K8013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1" i="2"/>
  <c r="K6639" i="2"/>
  <c r="K6638" i="2"/>
  <c r="K6637" i="2"/>
  <c r="K6636" i="2"/>
  <c r="K6635" i="2"/>
  <c r="K6634" i="2"/>
  <c r="K6633" i="2"/>
  <c r="K6632" i="2"/>
  <c r="K6631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6" i="2"/>
  <c r="K6605" i="2"/>
  <c r="K6604" i="2"/>
  <c r="K6603" i="2"/>
  <c r="K6602" i="2"/>
  <c r="K6601" i="2"/>
  <c r="K6600" i="2"/>
  <c r="K6599" i="2"/>
  <c r="K6597" i="2"/>
  <c r="K6596" i="2"/>
  <c r="K6595" i="2"/>
  <c r="K6593" i="2"/>
  <c r="K6592" i="2"/>
  <c r="K6591" i="2"/>
  <c r="K6590" i="2"/>
  <c r="K6589" i="2"/>
  <c r="K6588" i="2"/>
  <c r="K6586" i="2"/>
  <c r="K6585" i="2"/>
  <c r="K6584" i="2"/>
  <c r="K6583" i="2"/>
  <c r="K6582" i="2"/>
  <c r="K6581" i="2"/>
  <c r="K6580" i="2"/>
  <c r="K6579" i="2"/>
  <c r="K6578" i="2"/>
  <c r="K6577" i="2"/>
  <c r="K6576" i="2"/>
  <c r="K6574" i="2"/>
  <c r="K6573" i="2"/>
  <c r="K6572" i="2"/>
  <c r="K6571" i="2"/>
  <c r="K6558" i="2"/>
  <c r="K6557" i="2"/>
  <c r="K6554" i="2"/>
  <c r="K6552" i="2"/>
  <c r="K6550" i="2"/>
  <c r="K6549" i="2"/>
  <c r="K6548" i="2"/>
  <c r="K6547" i="2"/>
  <c r="K6545" i="2"/>
  <c r="K6540" i="2"/>
  <c r="K6537" i="2"/>
  <c r="K6533" i="2"/>
  <c r="K6532" i="2"/>
  <c r="K6531" i="2"/>
  <c r="K6530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AB8185" i="2"/>
  <c r="AK8185" i="2" s="1"/>
  <c r="AB8184" i="2"/>
  <c r="AK8184" i="2" s="1"/>
  <c r="AB8183" i="2"/>
  <c r="AK8183" i="2" s="1"/>
  <c r="AB8182" i="2"/>
  <c r="AK8182" i="2" s="1"/>
  <c r="AB8181" i="2"/>
  <c r="AK8181" i="2" s="1"/>
  <c r="AB8180" i="2"/>
  <c r="AK8180" i="2" s="1"/>
  <c r="AB8179" i="2"/>
  <c r="AK8179" i="2" s="1"/>
  <c r="AB8178" i="2"/>
  <c r="AK8178" i="2" s="1"/>
  <c r="AB8177" i="2"/>
  <c r="AK8177" i="2" s="1"/>
  <c r="AB8176" i="2"/>
  <c r="AK8176" i="2" s="1"/>
  <c r="AB8175" i="2"/>
  <c r="AK8175" i="2" s="1"/>
  <c r="AB8174" i="2"/>
  <c r="AK8174" i="2" s="1"/>
  <c r="AB8173" i="2"/>
  <c r="AK8173" i="2" s="1"/>
  <c r="AB8172" i="2"/>
  <c r="AK8172" i="2" s="1"/>
  <c r="AB8171" i="2"/>
  <c r="AK8171" i="2" s="1"/>
  <c r="AB8170" i="2"/>
  <c r="AK8170" i="2" s="1"/>
  <c r="AB8169" i="2"/>
  <c r="AK8169" i="2" s="1"/>
  <c r="AB8168" i="2"/>
  <c r="AK8168" i="2" s="1"/>
  <c r="AB8167" i="2"/>
  <c r="AK8167" i="2" s="1"/>
  <c r="AB8166" i="2"/>
  <c r="AK8166" i="2" s="1"/>
  <c r="AB8165" i="2"/>
  <c r="AK8165" i="2" s="1"/>
  <c r="AB8164" i="2"/>
  <c r="AK8164" i="2" s="1"/>
  <c r="AB8163" i="2"/>
  <c r="AK8163" i="2" s="1"/>
  <c r="AB8162" i="2"/>
  <c r="AK8162" i="2" s="1"/>
  <c r="AB8161" i="2"/>
  <c r="AK8161" i="2" s="1"/>
  <c r="AB8160" i="2"/>
  <c r="AK8160" i="2" s="1"/>
  <c r="AB8159" i="2"/>
  <c r="AK8159" i="2" s="1"/>
  <c r="AB8158" i="2"/>
  <c r="AK8158" i="2" s="1"/>
  <c r="AB8157" i="2"/>
  <c r="AK8157" i="2" s="1"/>
  <c r="AB8156" i="2"/>
  <c r="AK8156" i="2" s="1"/>
  <c r="AB8155" i="2"/>
  <c r="AK8155" i="2" s="1"/>
  <c r="AB8154" i="2"/>
  <c r="AK8154" i="2" s="1"/>
  <c r="AB8153" i="2"/>
  <c r="AK8153" i="2" s="1"/>
  <c r="AB8152" i="2"/>
  <c r="AK8152" i="2" s="1"/>
  <c r="AB8143" i="2"/>
  <c r="AK8143" i="2" s="1"/>
  <c r="AB8142" i="2"/>
  <c r="AK8142" i="2" s="1"/>
  <c r="AB8132" i="2"/>
  <c r="AK8132" i="2" s="1"/>
  <c r="AB8034" i="2"/>
  <c r="AK8034" i="2" s="1"/>
  <c r="AB8033" i="2"/>
  <c r="AK8033" i="2" s="1"/>
  <c r="AB8030" i="2"/>
  <c r="AK8030" i="2" s="1"/>
  <c r="AB8029" i="2"/>
  <c r="AK8029" i="2" s="1"/>
  <c r="AB8028" i="2"/>
  <c r="AK8028" i="2" s="1"/>
  <c r="AB8027" i="2"/>
  <c r="AK8027" i="2" s="1"/>
  <c r="AB8025" i="2"/>
  <c r="AK8025" i="2" s="1"/>
  <c r="AB8024" i="2"/>
  <c r="AK8024" i="2" s="1"/>
  <c r="AB8023" i="2"/>
  <c r="AK8023" i="2" s="1"/>
  <c r="AB8022" i="2"/>
  <c r="AK8022" i="2" s="1"/>
  <c r="AB8021" i="2"/>
  <c r="AK8021" i="2" s="1"/>
  <c r="AB8020" i="2"/>
  <c r="AK8020" i="2" s="1"/>
  <c r="AB8019" i="2"/>
  <c r="AK8019" i="2" s="1"/>
  <c r="AB8018" i="2"/>
  <c r="AK8018" i="2" s="1"/>
  <c r="AB8017" i="2"/>
  <c r="AK8017" i="2" s="1"/>
  <c r="AB8016" i="2"/>
  <c r="AK8016" i="2" s="1"/>
  <c r="AB8015" i="2"/>
  <c r="AK8015" i="2" s="1"/>
  <c r="AB8014" i="2"/>
  <c r="AK8014" i="2" s="1"/>
  <c r="AB7691" i="2"/>
  <c r="AK7691" i="2" s="1"/>
  <c r="AB7670" i="2"/>
  <c r="AK7670" i="2" s="1"/>
  <c r="AB6659" i="2"/>
  <c r="AK6659" i="2" s="1"/>
  <c r="AB6402" i="2"/>
  <c r="AK6402" i="2" s="1"/>
  <c r="AB6401" i="2"/>
  <c r="AK6401" i="2" s="1"/>
  <c r="AB6400" i="2"/>
  <c r="AK6400" i="2" s="1"/>
  <c r="AB6398" i="2"/>
  <c r="AK6398" i="2" s="1"/>
  <c r="AB6383" i="2"/>
  <c r="AK6383" i="2" s="1"/>
  <c r="AB6382" i="2"/>
  <c r="AK6382" i="2" s="1"/>
  <c r="AB6103" i="2"/>
  <c r="AK6103" i="2" s="1"/>
  <c r="AB6080" i="2"/>
  <c r="AK6080" i="2" s="1"/>
  <c r="AB5584" i="2"/>
  <c r="AK5584" i="2" s="1"/>
  <c r="AB5333" i="2"/>
  <c r="AK5333" i="2" s="1"/>
  <c r="AB5332" i="2"/>
  <c r="AK5332" i="2" s="1"/>
  <c r="AB5331" i="2"/>
  <c r="AK5331" i="2" s="1"/>
  <c r="AB5330" i="2"/>
  <c r="AK5330" i="2" s="1"/>
  <c r="AB5329" i="2"/>
  <c r="AK5329" i="2" s="1"/>
  <c r="AB5328" i="2"/>
  <c r="AK5328" i="2" s="1"/>
  <c r="AB5327" i="2"/>
  <c r="AK5327" i="2" s="1"/>
  <c r="AB5326" i="2"/>
  <c r="AK5326" i="2" s="1"/>
  <c r="AB5325" i="2"/>
  <c r="AK5325" i="2" s="1"/>
  <c r="AB5324" i="2"/>
  <c r="AK5324" i="2" s="1"/>
  <c r="AB5323" i="2"/>
  <c r="AK5323" i="2" s="1"/>
  <c r="AB5322" i="2"/>
  <c r="AK5322" i="2" s="1"/>
  <c r="AB5321" i="2"/>
  <c r="AK5321" i="2" s="1"/>
  <c r="AB5320" i="2"/>
  <c r="AK5320" i="2" s="1"/>
  <c r="AB5319" i="2"/>
  <c r="AK5319" i="2" s="1"/>
  <c r="AB5318" i="2"/>
  <c r="AK5318" i="2" s="1"/>
  <c r="AB5317" i="2"/>
  <c r="AK5317" i="2" s="1"/>
  <c r="AB5316" i="2"/>
  <c r="AK5316" i="2" s="1"/>
  <c r="AB5315" i="2"/>
  <c r="AK5315" i="2" s="1"/>
  <c r="AB5314" i="2"/>
  <c r="AK5314" i="2" s="1"/>
  <c r="AB5313" i="2"/>
  <c r="AK5313" i="2" s="1"/>
  <c r="AB5312" i="2"/>
  <c r="AK5312" i="2" s="1"/>
  <c r="AB5311" i="2"/>
  <c r="AK5311" i="2" s="1"/>
  <c r="AB5310" i="2"/>
  <c r="AK5310" i="2" s="1"/>
  <c r="AB5309" i="2"/>
  <c r="AK5309" i="2" s="1"/>
  <c r="AB5308" i="2"/>
  <c r="AK5308" i="2" s="1"/>
  <c r="AB5307" i="2"/>
  <c r="AK5307" i="2" s="1"/>
  <c r="AB5306" i="2"/>
  <c r="AK5306" i="2" s="1"/>
  <c r="AB5305" i="2"/>
  <c r="AK5305" i="2" s="1"/>
  <c r="AB5304" i="2"/>
  <c r="AK5304" i="2" s="1"/>
  <c r="AB5060" i="2"/>
  <c r="AK5060" i="2" s="1"/>
  <c r="AB4933" i="2"/>
  <c r="AK4933" i="2" s="1"/>
  <c r="AB4922" i="2"/>
  <c r="AK4922" i="2" s="1"/>
  <c r="AB4921" i="2"/>
  <c r="AK4921" i="2" s="1"/>
  <c r="AB4920" i="2"/>
  <c r="AK4920" i="2" s="1"/>
  <c r="AB4919" i="2"/>
  <c r="AK4919" i="2" s="1"/>
  <c r="AB4918" i="2"/>
  <c r="AK4918" i="2" s="1"/>
  <c r="AB4917" i="2"/>
  <c r="AK4917" i="2" s="1"/>
  <c r="AB4916" i="2"/>
  <c r="AK4916" i="2" s="1"/>
  <c r="AB4915" i="2"/>
  <c r="AK4915" i="2" s="1"/>
  <c r="AB4914" i="2"/>
  <c r="AK4914" i="2" s="1"/>
  <c r="AB4912" i="2"/>
  <c r="AK4912" i="2" s="1"/>
  <c r="AB4911" i="2"/>
  <c r="AK4911" i="2" s="1"/>
  <c r="AB4910" i="2"/>
  <c r="AK4910" i="2" s="1"/>
  <c r="AB4272" i="2"/>
  <c r="AK4272" i="2" s="1"/>
  <c r="AB4113" i="2"/>
  <c r="AK4113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AB175" i="2"/>
  <c r="AK175" i="2" s="1"/>
  <c r="AB31" i="2"/>
  <c r="AK31" i="2" s="1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 s="1"/>
  <c r="Y8185" i="2" s="1"/>
  <c r="V8184" i="2"/>
  <c r="AD8184" i="2" s="1"/>
  <c r="Y8184" i="2" s="1"/>
  <c r="V8183" i="2"/>
  <c r="AD8183" i="2" s="1"/>
  <c r="Y8183" i="2" s="1"/>
  <c r="V8182" i="2"/>
  <c r="AD8182" i="2" s="1"/>
  <c r="Y8182" i="2" s="1"/>
  <c r="V8181" i="2"/>
  <c r="AD8181" i="2" s="1"/>
  <c r="Y8181" i="2" s="1"/>
  <c r="V8180" i="2"/>
  <c r="AD8180" i="2" s="1"/>
  <c r="Y8180" i="2" s="1"/>
  <c r="V8179" i="2"/>
  <c r="AD8179" i="2" s="1"/>
  <c r="Y8179" i="2" s="1"/>
  <c r="V8178" i="2"/>
  <c r="AD8178" i="2" s="1"/>
  <c r="Y8178" i="2" s="1"/>
  <c r="V8177" i="2"/>
  <c r="AD8177" i="2" s="1"/>
  <c r="Y8177" i="2" s="1"/>
  <c r="V8176" i="2"/>
  <c r="AD8176" i="2" s="1"/>
  <c r="Y8176" i="2" s="1"/>
  <c r="V8175" i="2"/>
  <c r="AD8175" i="2" s="1"/>
  <c r="Y8175" i="2" s="1"/>
  <c r="V8174" i="2"/>
  <c r="AD8174" i="2" s="1"/>
  <c r="Y8174" i="2" s="1"/>
  <c r="V8173" i="2"/>
  <c r="AD8173" i="2" s="1"/>
  <c r="Y8173" i="2" s="1"/>
  <c r="V8172" i="2"/>
  <c r="AD8172" i="2" s="1"/>
  <c r="Y8172" i="2" s="1"/>
  <c r="V8171" i="2"/>
  <c r="AD8171" i="2" s="1"/>
  <c r="Y8171" i="2" s="1"/>
  <c r="V8170" i="2"/>
  <c r="AD8170" i="2" s="1"/>
  <c r="Y8170" i="2" s="1"/>
  <c r="V8169" i="2"/>
  <c r="AD8169" i="2" s="1"/>
  <c r="Y8169" i="2" s="1"/>
  <c r="V8168" i="2"/>
  <c r="AD8168" i="2" s="1"/>
  <c r="Y8168" i="2" s="1"/>
  <c r="V8167" i="2"/>
  <c r="AD8167" i="2" s="1"/>
  <c r="Y8167" i="2" s="1"/>
  <c r="V8166" i="2"/>
  <c r="AD8166" i="2" s="1"/>
  <c r="Y8166" i="2" s="1"/>
  <c r="V8165" i="2"/>
  <c r="AD8165" i="2" s="1"/>
  <c r="Y8165" i="2" s="1"/>
  <c r="V8164" i="2"/>
  <c r="AD8164" i="2" s="1"/>
  <c r="Y8164" i="2" s="1"/>
  <c r="V8163" i="2"/>
  <c r="AD8163" i="2" s="1"/>
  <c r="Y8163" i="2" s="1"/>
  <c r="V8162" i="2"/>
  <c r="AD8162" i="2" s="1"/>
  <c r="Y8162" i="2" s="1"/>
  <c r="V8161" i="2"/>
  <c r="AD8161" i="2" s="1"/>
  <c r="Y8161" i="2" s="1"/>
  <c r="V8160" i="2"/>
  <c r="AD8160" i="2" s="1"/>
  <c r="Y8160" i="2" s="1"/>
  <c r="V8159" i="2"/>
  <c r="AD8159" i="2" s="1"/>
  <c r="Y8159" i="2" s="1"/>
  <c r="V8158" i="2"/>
  <c r="AD8158" i="2" s="1"/>
  <c r="Y8158" i="2" s="1"/>
  <c r="V8157" i="2"/>
  <c r="AD8157" i="2" s="1"/>
  <c r="Y8157" i="2" s="1"/>
  <c r="V8156" i="2"/>
  <c r="AD8156" i="2" s="1"/>
  <c r="Y8156" i="2" s="1"/>
  <c r="V8155" i="2"/>
  <c r="AD8155" i="2" s="1"/>
  <c r="Y8155" i="2" s="1"/>
  <c r="V8154" i="2"/>
  <c r="AD8154" i="2" s="1"/>
  <c r="Y8154" i="2" s="1"/>
  <c r="V8153" i="2"/>
  <c r="AD8153" i="2" s="1"/>
  <c r="Y8153" i="2" s="1"/>
  <c r="V8152" i="2"/>
  <c r="AD8152" i="2" s="1"/>
  <c r="Y8152" i="2" s="1"/>
  <c r="AA8151" i="2"/>
  <c r="AF8150" i="2"/>
  <c r="X8150" i="2"/>
  <c r="AF8149" i="2"/>
  <c r="X8149" i="2"/>
  <c r="AF8148" i="2"/>
  <c r="X8148" i="2"/>
  <c r="AF8147" i="2"/>
  <c r="X8147" i="2"/>
  <c r="AF8146" i="2"/>
  <c r="X8146" i="2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AF8137" i="2"/>
  <c r="X8137" i="2"/>
  <c r="AF8136" i="2"/>
  <c r="X8136" i="2"/>
  <c r="AF8135" i="2"/>
  <c r="X8135" i="2"/>
  <c r="AF8134" i="2"/>
  <c r="X8134" i="2"/>
  <c r="AF8133" i="2"/>
  <c r="X8133" i="2"/>
  <c r="AF8132" i="2"/>
  <c r="AC8132" i="2"/>
  <c r="AF8131" i="2"/>
  <c r="X8131" i="2"/>
  <c r="AF8130" i="2"/>
  <c r="X8130" i="2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X8119" i="2"/>
  <c r="W8119" i="2"/>
  <c r="AH8118" i="2"/>
  <c r="AD8118" i="2"/>
  <c r="AF8118" i="2" s="1"/>
  <c r="X8118" i="2"/>
  <c r="W8118" i="2"/>
  <c r="AH8117" i="2"/>
  <c r="AD8117" i="2"/>
  <c r="X8117" i="2"/>
  <c r="W8117" i="2"/>
  <c r="AH8116" i="2"/>
  <c r="AD8116" i="2"/>
  <c r="AF8116" i="2" s="1"/>
  <c r="X8116" i="2"/>
  <c r="W8116" i="2"/>
  <c r="AH8115" i="2"/>
  <c r="AD8115" i="2"/>
  <c r="X8115" i="2"/>
  <c r="W8115" i="2"/>
  <c r="AH8114" i="2"/>
  <c r="AD8114" i="2"/>
  <c r="AF8114" i="2" s="1"/>
  <c r="X8114" i="2"/>
  <c r="W8114" i="2"/>
  <c r="AH8113" i="2"/>
  <c r="AD8113" i="2"/>
  <c r="X8113" i="2"/>
  <c r="W8113" i="2"/>
  <c r="AH8112" i="2"/>
  <c r="AD8112" i="2"/>
  <c r="AF8112" i="2" s="1"/>
  <c r="X8112" i="2"/>
  <c r="W8112" i="2"/>
  <c r="AH8111" i="2"/>
  <c r="AD8111" i="2"/>
  <c r="X8111" i="2"/>
  <c r="W8111" i="2"/>
  <c r="AH8110" i="2"/>
  <c r="AD8110" i="2"/>
  <c r="AF8110" i="2" s="1"/>
  <c r="X8110" i="2"/>
  <c r="W8110" i="2"/>
  <c r="AH8109" i="2"/>
  <c r="AD8109" i="2"/>
  <c r="X8109" i="2"/>
  <c r="W8109" i="2"/>
  <c r="AH8108" i="2"/>
  <c r="AD8108" i="2"/>
  <c r="AF8108" i="2" s="1"/>
  <c r="X8108" i="2"/>
  <c r="W8108" i="2"/>
  <c r="AH8107" i="2"/>
  <c r="AD8107" i="2"/>
  <c r="X8107" i="2"/>
  <c r="W8107" i="2"/>
  <c r="AH8106" i="2"/>
  <c r="AD8106" i="2"/>
  <c r="AF8106" i="2" s="1"/>
  <c r="X8106" i="2"/>
  <c r="W8106" i="2"/>
  <c r="AH8105" i="2"/>
  <c r="AD8105" i="2"/>
  <c r="X8105" i="2"/>
  <c r="W8105" i="2"/>
  <c r="AH8104" i="2"/>
  <c r="AD8104" i="2"/>
  <c r="AF8104" i="2" s="1"/>
  <c r="X8104" i="2"/>
  <c r="W8104" i="2"/>
  <c r="AH8103" i="2"/>
  <c r="AD8103" i="2"/>
  <c r="X8103" i="2"/>
  <c r="W8103" i="2"/>
  <c r="AH8102" i="2"/>
  <c r="AD8102" i="2"/>
  <c r="AF8102" i="2" s="1"/>
  <c r="X8102" i="2"/>
  <c r="W8102" i="2"/>
  <c r="AH8101" i="2"/>
  <c r="AD8101" i="2"/>
  <c r="X8101" i="2"/>
  <c r="W8101" i="2"/>
  <c r="AH8100" i="2"/>
  <c r="AD8100" i="2"/>
  <c r="AF8100" i="2" s="1"/>
  <c r="X8100" i="2"/>
  <c r="W8100" i="2"/>
  <c r="AH8099" i="2"/>
  <c r="AD8099" i="2"/>
  <c r="X8099" i="2"/>
  <c r="W8099" i="2"/>
  <c r="AH8098" i="2"/>
  <c r="AD8098" i="2"/>
  <c r="AF8098" i="2" s="1"/>
  <c r="X8098" i="2"/>
  <c r="W8098" i="2"/>
  <c r="AH8097" i="2"/>
  <c r="AD8097" i="2"/>
  <c r="X8097" i="2"/>
  <c r="W8097" i="2"/>
  <c r="AH8096" i="2"/>
  <c r="AD8096" i="2"/>
  <c r="AF8096" i="2"/>
  <c r="X8096" i="2"/>
  <c r="W8096" i="2"/>
  <c r="AH8095" i="2"/>
  <c r="AD8095" i="2"/>
  <c r="AF8095" i="2" s="1"/>
  <c r="X8095" i="2"/>
  <c r="W8095" i="2"/>
  <c r="AH8094" i="2"/>
  <c r="AD8094" i="2"/>
  <c r="AF8094" i="2" s="1"/>
  <c r="X8094" i="2"/>
  <c r="W8094" i="2"/>
  <c r="AH8093" i="2"/>
  <c r="AD8093" i="2"/>
  <c r="AF8093" i="2" s="1"/>
  <c r="X8093" i="2"/>
  <c r="W8093" i="2"/>
  <c r="AH8092" i="2"/>
  <c r="AD8092" i="2"/>
  <c r="AF8092" i="2" s="1"/>
  <c r="X8092" i="2"/>
  <c r="W8092" i="2"/>
  <c r="AH8091" i="2"/>
  <c r="AD8091" i="2"/>
  <c r="AF8091" i="2" s="1"/>
  <c r="X8091" i="2"/>
  <c r="W8091" i="2"/>
  <c r="AH8090" i="2"/>
  <c r="AD8090" i="2"/>
  <c r="AF8090" i="2" s="1"/>
  <c r="X8090" i="2"/>
  <c r="W8090" i="2"/>
  <c r="AH8089" i="2"/>
  <c r="AD8089" i="2"/>
  <c r="AF8089" i="2" s="1"/>
  <c r="X8089" i="2"/>
  <c r="W8089" i="2"/>
  <c r="AH8088" i="2"/>
  <c r="AD8088" i="2"/>
  <c r="AF8088" i="2" s="1"/>
  <c r="X8088" i="2"/>
  <c r="W8088" i="2"/>
  <c r="AH8087" i="2"/>
  <c r="AD8087" i="2"/>
  <c r="AF8087" i="2" s="1"/>
  <c r="X8087" i="2"/>
  <c r="W8087" i="2"/>
  <c r="AH8086" i="2"/>
  <c r="AD8086" i="2"/>
  <c r="AF8086" i="2" s="1"/>
  <c r="X8086" i="2"/>
  <c r="W8086" i="2"/>
  <c r="AH8085" i="2"/>
  <c r="AD8085" i="2"/>
  <c r="AF8085" i="2" s="1"/>
  <c r="X8085" i="2"/>
  <c r="W8085" i="2"/>
  <c r="AH8084" i="2"/>
  <c r="AD8084" i="2"/>
  <c r="AF8084" i="2" s="1"/>
  <c r="X8084" i="2"/>
  <c r="W8084" i="2"/>
  <c r="AH8083" i="2"/>
  <c r="AD8083" i="2"/>
  <c r="AF8083" i="2" s="1"/>
  <c r="X8083" i="2"/>
  <c r="W8083" i="2"/>
  <c r="AH8082" i="2"/>
  <c r="AD8082" i="2"/>
  <c r="AF8082" i="2" s="1"/>
  <c r="X8082" i="2"/>
  <c r="W8082" i="2"/>
  <c r="AH8081" i="2"/>
  <c r="AD8081" i="2"/>
  <c r="AF8081" i="2" s="1"/>
  <c r="X8081" i="2"/>
  <c r="W8081" i="2"/>
  <c r="AH8080" i="2"/>
  <c r="AD8080" i="2"/>
  <c r="AF8080" i="2" s="1"/>
  <c r="X8080" i="2"/>
  <c r="W8080" i="2"/>
  <c r="AH8079" i="2"/>
  <c r="AD8079" i="2"/>
  <c r="AF8079" i="2" s="1"/>
  <c r="X8079" i="2"/>
  <c r="W8079" i="2"/>
  <c r="AH8078" i="2"/>
  <c r="AD8078" i="2"/>
  <c r="AF8078" i="2" s="1"/>
  <c r="X8078" i="2"/>
  <c r="W8078" i="2"/>
  <c r="AH8077" i="2"/>
  <c r="AD8077" i="2"/>
  <c r="AF8077" i="2" s="1"/>
  <c r="X8077" i="2"/>
  <c r="W8077" i="2"/>
  <c r="AH8076" i="2"/>
  <c r="AD8076" i="2"/>
  <c r="AF8076" i="2" s="1"/>
  <c r="X8076" i="2"/>
  <c r="W8076" i="2"/>
  <c r="AF8075" i="2"/>
  <c r="X8075" i="2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W8068" i="2"/>
  <c r="AF8067" i="2"/>
  <c r="X8067" i="2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W8062" i="2"/>
  <c r="AF8061" i="2"/>
  <c r="X8061" i="2"/>
  <c r="AF8060" i="2"/>
  <c r="X8060" i="2"/>
  <c r="AF8059" i="2"/>
  <c r="X8059" i="2"/>
  <c r="AF8058" i="2"/>
  <c r="X8058" i="2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Y8054" i="2" s="1"/>
  <c r="W8054" i="2"/>
  <c r="AF8053" i="2"/>
  <c r="X8053" i="2"/>
  <c r="W8053" i="2"/>
  <c r="AF8052" i="2"/>
  <c r="X8052" i="2"/>
  <c r="W8052" i="2"/>
  <c r="AF8051" i="2"/>
  <c r="X8051" i="2"/>
  <c r="W8051" i="2"/>
  <c r="AF8050" i="2"/>
  <c r="X8050" i="2"/>
  <c r="W8050" i="2"/>
  <c r="AF8049" i="2"/>
  <c r="X8049" i="2"/>
  <c r="AF8048" i="2"/>
  <c r="X8048" i="2"/>
  <c r="AF8047" i="2"/>
  <c r="X8047" i="2"/>
  <c r="W8047" i="2"/>
  <c r="AF8046" i="2"/>
  <c r="X8046" i="2"/>
  <c r="W8046" i="2"/>
  <c r="AF8045" i="2"/>
  <c r="X8045" i="2"/>
  <c r="W8045" i="2"/>
  <c r="AF8044" i="2"/>
  <c r="X8044" i="2"/>
  <c r="W8044" i="2"/>
  <c r="AF8043" i="2"/>
  <c r="X8043" i="2"/>
  <c r="W8043" i="2"/>
  <c r="AF8042" i="2"/>
  <c r="X8042" i="2"/>
  <c r="AF8041" i="2"/>
  <c r="X8041" i="2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W8032" i="2"/>
  <c r="AH8031" i="2"/>
  <c r="AE8031" i="2"/>
  <c r="AF8031" i="2" s="1"/>
  <c r="X8031" i="2"/>
  <c r="W8031" i="2"/>
  <c r="AH8030" i="2"/>
  <c r="AD8030" i="2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 s="1"/>
  <c r="AE8025" i="2"/>
  <c r="AF8025" i="2" s="1"/>
  <c r="AC8025" i="2"/>
  <c r="AE8024" i="2"/>
  <c r="AF8024" i="2" s="1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 s="1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 s="1"/>
  <c r="AD8012" i="2"/>
  <c r="X8012" i="2"/>
  <c r="W8012" i="2"/>
  <c r="AD8011" i="2"/>
  <c r="X8011" i="2"/>
  <c r="W8011" i="2"/>
  <c r="AD8010" i="2"/>
  <c r="X8010" i="2"/>
  <c r="W8010" i="2"/>
  <c r="AD8009" i="2"/>
  <c r="AH8009" i="2" s="1"/>
  <c r="X8009" i="2"/>
  <c r="W8009" i="2"/>
  <c r="AD8008" i="2"/>
  <c r="AF8008" i="2" s="1"/>
  <c r="X8008" i="2"/>
  <c r="W8008" i="2"/>
  <c r="AD8007" i="2"/>
  <c r="X8007" i="2"/>
  <c r="W8007" i="2"/>
  <c r="AD8006" i="2"/>
  <c r="AF8006" i="2" s="1"/>
  <c r="X8006" i="2"/>
  <c r="W8006" i="2"/>
  <c r="AD8005" i="2"/>
  <c r="AH8005" i="2" s="1"/>
  <c r="X8005" i="2"/>
  <c r="W8005" i="2"/>
  <c r="AD8004" i="2"/>
  <c r="X8004" i="2"/>
  <c r="W8004" i="2"/>
  <c r="AD8003" i="2"/>
  <c r="X8003" i="2"/>
  <c r="W8003" i="2"/>
  <c r="AD8002" i="2"/>
  <c r="AH8002" i="2" s="1"/>
  <c r="X8002" i="2"/>
  <c r="W8002" i="2"/>
  <c r="AD8001" i="2"/>
  <c r="X8001" i="2"/>
  <c r="W8001" i="2"/>
  <c r="AD8000" i="2"/>
  <c r="AF8000" i="2" s="1"/>
  <c r="X8000" i="2"/>
  <c r="W8000" i="2"/>
  <c r="AD7999" i="2"/>
  <c r="X7999" i="2"/>
  <c r="W7999" i="2"/>
  <c r="AD7998" i="2"/>
  <c r="AH7998" i="2" s="1"/>
  <c r="X7998" i="2"/>
  <c r="W7998" i="2"/>
  <c r="AD7997" i="2"/>
  <c r="X7997" i="2"/>
  <c r="W7997" i="2"/>
  <c r="AD7996" i="2"/>
  <c r="X7996" i="2"/>
  <c r="W7996" i="2"/>
  <c r="AD7995" i="2"/>
  <c r="X7995" i="2"/>
  <c r="W7995" i="2"/>
  <c r="AD7994" i="2"/>
  <c r="X7994" i="2"/>
  <c r="W7994" i="2"/>
  <c r="AD7993" i="2"/>
  <c r="AH7993" i="2" s="1"/>
  <c r="X7993" i="2"/>
  <c r="W7993" i="2"/>
  <c r="AD7992" i="2"/>
  <c r="AF7992" i="2" s="1"/>
  <c r="X7992" i="2"/>
  <c r="W7992" i="2"/>
  <c r="AD7991" i="2"/>
  <c r="X7991" i="2"/>
  <c r="W7991" i="2"/>
  <c r="AD7990" i="2"/>
  <c r="AF7990" i="2" s="1"/>
  <c r="X7990" i="2"/>
  <c r="W7990" i="2"/>
  <c r="AD7989" i="2"/>
  <c r="AH7989" i="2" s="1"/>
  <c r="X7989" i="2"/>
  <c r="W7989" i="2"/>
  <c r="AD7988" i="2"/>
  <c r="Y7988" i="2" s="1"/>
  <c r="X7988" i="2"/>
  <c r="W7988" i="2"/>
  <c r="AH7987" i="2"/>
  <c r="AE7987" i="2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AC7977" i="2" s="1"/>
  <c r="W7977" i="2"/>
  <c r="AH7976" i="2"/>
  <c r="AE7976" i="2"/>
  <c r="AD7976" i="2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W7964" i="2"/>
  <c r="AH7963" i="2"/>
  <c r="AE7963" i="2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W7957" i="2"/>
  <c r="AH7956" i="2"/>
  <c r="AE7956" i="2"/>
  <c r="AD7956" i="2"/>
  <c r="X7956" i="2"/>
  <c r="W7956" i="2"/>
  <c r="AH7955" i="2"/>
  <c r="AE7955" i="2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C7953" i="2" s="1"/>
  <c r="AH7952" i="2"/>
  <c r="AE7952" i="2"/>
  <c r="AD7952" i="2"/>
  <c r="X7952" i="2"/>
  <c r="W7952" i="2"/>
  <c r="AH7951" i="2"/>
  <c r="AE7951" i="2"/>
  <c r="AD7951" i="2"/>
  <c r="X7951" i="2"/>
  <c r="W7951" i="2"/>
  <c r="AH7950" i="2"/>
  <c r="AE7950" i="2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D7944" i="2"/>
  <c r="X7944" i="2"/>
  <c r="W7944" i="2"/>
  <c r="AH7943" i="2"/>
  <c r="AE7943" i="2"/>
  <c r="AD7943" i="2"/>
  <c r="X7943" i="2"/>
  <c r="W7943" i="2"/>
  <c r="AH7942" i="2"/>
  <c r="AE7942" i="2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W7938" i="2"/>
  <c r="AH7937" i="2"/>
  <c r="AE7937" i="2"/>
  <c r="AD7937" i="2"/>
  <c r="X7937" i="2"/>
  <c r="W7937" i="2"/>
  <c r="AH7936" i="2"/>
  <c r="AE7936" i="2"/>
  <c r="AD7936" i="2"/>
  <c r="X7936" i="2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W7931" i="2"/>
  <c r="AH7930" i="2"/>
  <c r="AE7930" i="2"/>
  <c r="AD7930" i="2"/>
  <c r="X7930" i="2"/>
  <c r="W7930" i="2"/>
  <c r="AH7929" i="2"/>
  <c r="AE7929" i="2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W7923" i="2"/>
  <c r="AH7922" i="2"/>
  <c r="AE7922" i="2"/>
  <c r="AD7922" i="2"/>
  <c r="X7922" i="2"/>
  <c r="W7922" i="2"/>
  <c r="AH7921" i="2"/>
  <c r="AE7921" i="2"/>
  <c r="AD7921" i="2"/>
  <c r="X7921" i="2"/>
  <c r="W7921" i="2"/>
  <c r="AH7920" i="2"/>
  <c r="AE7920" i="2"/>
  <c r="AD7920" i="2"/>
  <c r="X7920" i="2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W7914" i="2"/>
  <c r="AH7913" i="2"/>
  <c r="AE7913" i="2"/>
  <c r="AD7913" i="2"/>
  <c r="X7913" i="2"/>
  <c r="W7913" i="2"/>
  <c r="AH7912" i="2"/>
  <c r="AE7912" i="2"/>
  <c r="AD7912" i="2"/>
  <c r="X7912" i="2"/>
  <c r="W7912" i="2"/>
  <c r="AH7911" i="2"/>
  <c r="AE7911" i="2"/>
  <c r="AD7911" i="2"/>
  <c r="X7911" i="2"/>
  <c r="W7911" i="2"/>
  <c r="AH7910" i="2"/>
  <c r="AE7910" i="2"/>
  <c r="AD7910" i="2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W7906" i="2"/>
  <c r="AH7905" i="2"/>
  <c r="AE7905" i="2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W7898" i="2"/>
  <c r="AH7897" i="2"/>
  <c r="AE7897" i="2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W7891" i="2"/>
  <c r="AH7890" i="2"/>
  <c r="AE7890" i="2"/>
  <c r="AD7890" i="2"/>
  <c r="X7890" i="2"/>
  <c r="W7890" i="2"/>
  <c r="AH7889" i="2"/>
  <c r="AD7889" i="2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W7886" i="2"/>
  <c r="AH7885" i="2"/>
  <c r="AE7885" i="2"/>
  <c r="AD7885" i="2"/>
  <c r="X7885" i="2"/>
  <c r="W7885" i="2"/>
  <c r="AH7884" i="2"/>
  <c r="AE7884" i="2"/>
  <c r="AD7884" i="2"/>
  <c r="X7884" i="2"/>
  <c r="W7884" i="2"/>
  <c r="AH7883" i="2"/>
  <c r="AE7883" i="2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W7877" i="2"/>
  <c r="AH7876" i="2"/>
  <c r="AE7876" i="2"/>
  <c r="AD7876" i="2"/>
  <c r="X7876" i="2"/>
  <c r="W7876" i="2"/>
  <c r="AH7875" i="2"/>
  <c r="AE7875" i="2"/>
  <c r="AD7875" i="2"/>
  <c r="X7875" i="2"/>
  <c r="W7875" i="2"/>
  <c r="AH7874" i="2"/>
  <c r="AE7874" i="2"/>
  <c r="AD7874" i="2"/>
  <c r="X7874" i="2"/>
  <c r="W7874" i="2"/>
  <c r="AH7873" i="2"/>
  <c r="AE7873" i="2"/>
  <c r="AD7873" i="2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W7870" i="2"/>
  <c r="AH7869" i="2"/>
  <c r="AE7869" i="2"/>
  <c r="AD7869" i="2"/>
  <c r="X7869" i="2"/>
  <c r="W7869" i="2"/>
  <c r="AH7868" i="2"/>
  <c r="AE7868" i="2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W7861" i="2"/>
  <c r="AH7860" i="2"/>
  <c r="AE7860" i="2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W7858" i="2"/>
  <c r="AH7857" i="2"/>
  <c r="AE7857" i="2"/>
  <c r="AD7857" i="2"/>
  <c r="X7857" i="2"/>
  <c r="AK7857" i="2" s="1"/>
  <c r="W7857" i="2"/>
  <c r="AH7856" i="2"/>
  <c r="AE7856" i="2"/>
  <c r="AD7856" i="2"/>
  <c r="X7856" i="2"/>
  <c r="AK7856" i="2" s="1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W7853" i="2"/>
  <c r="AH7852" i="2"/>
  <c r="AE7852" i="2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W7845" i="2"/>
  <c r="AH7844" i="2"/>
  <c r="AE7844" i="2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W7837" i="2"/>
  <c r="AH7836" i="2"/>
  <c r="AE7836" i="2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W7829" i="2"/>
  <c r="AH7828" i="2"/>
  <c r="AE7828" i="2"/>
  <c r="AD7828" i="2"/>
  <c r="X7828" i="2"/>
  <c r="W7828" i="2"/>
  <c r="AH7827" i="2"/>
  <c r="AE7827" i="2"/>
  <c r="AD7827" i="2"/>
  <c r="X7827" i="2"/>
  <c r="AK7827" i="2" s="1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W7813" i="2"/>
  <c r="AH7812" i="2"/>
  <c r="AE7812" i="2"/>
  <c r="AD7812" i="2"/>
  <c r="X7812" i="2"/>
  <c r="W7812" i="2"/>
  <c r="AH7811" i="2"/>
  <c r="AE7811" i="2"/>
  <c r="AD7811" i="2"/>
  <c r="X7811" i="2"/>
  <c r="W7811" i="2"/>
  <c r="AH7810" i="2"/>
  <c r="AE7810" i="2"/>
  <c r="AD7810" i="2"/>
  <c r="X7810" i="2"/>
  <c r="W7810" i="2"/>
  <c r="AH7809" i="2"/>
  <c r="AE7809" i="2"/>
  <c r="AD7809" i="2"/>
  <c r="X7809" i="2"/>
  <c r="W7809" i="2"/>
  <c r="AH7808" i="2"/>
  <c r="AE7808" i="2"/>
  <c r="AD7808" i="2"/>
  <c r="X7808" i="2"/>
  <c r="W7808" i="2"/>
  <c r="AH7807" i="2"/>
  <c r="AE7807" i="2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AK7805" i="2" s="1"/>
  <c r="W7805" i="2"/>
  <c r="AH7804" i="2"/>
  <c r="AE7804" i="2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AK7797" i="2" s="1"/>
  <c r="W7797" i="2"/>
  <c r="AH7796" i="2"/>
  <c r="AE7796" i="2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D7785" i="2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 s="1"/>
  <c r="W7775" i="2"/>
  <c r="AH7774" i="2"/>
  <c r="AE7774" i="2"/>
  <c r="AD7774" i="2"/>
  <c r="X7774" i="2"/>
  <c r="AK7774" i="2" s="1"/>
  <c r="W7774" i="2"/>
  <c r="AH7773" i="2"/>
  <c r="AE7773" i="2"/>
  <c r="AD7773" i="2"/>
  <c r="X7773" i="2"/>
  <c r="W7773" i="2"/>
  <c r="AH7772" i="2"/>
  <c r="AE7772" i="2"/>
  <c r="AD7772" i="2"/>
  <c r="X7772" i="2"/>
  <c r="W7772" i="2"/>
  <c r="AH7771" i="2"/>
  <c r="AE7771" i="2"/>
  <c r="AD7771" i="2"/>
  <c r="X7771" i="2"/>
  <c r="W7771" i="2"/>
  <c r="AH7770" i="2"/>
  <c r="AE7770" i="2"/>
  <c r="AD7770" i="2"/>
  <c r="X7770" i="2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AK7758" i="2" s="1"/>
  <c r="W7758" i="2"/>
  <c r="AH7757" i="2"/>
  <c r="AE7757" i="2"/>
  <c r="AD7757" i="2"/>
  <c r="X7757" i="2"/>
  <c r="W7757" i="2"/>
  <c r="AH7756" i="2"/>
  <c r="AE7756" i="2"/>
  <c r="AD7756" i="2"/>
  <c r="X7756" i="2"/>
  <c r="W7756" i="2"/>
  <c r="AH7755" i="2"/>
  <c r="AE7755" i="2"/>
  <c r="AD7755" i="2"/>
  <c r="X7755" i="2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D7741" i="2"/>
  <c r="X7741" i="2"/>
  <c r="W7741" i="2"/>
  <c r="AH7740" i="2"/>
  <c r="AE7740" i="2"/>
  <c r="AD7740" i="2"/>
  <c r="X7740" i="2"/>
  <c r="AK7740" i="2" s="1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W7730" i="2"/>
  <c r="AH7729" i="2"/>
  <c r="AE7729" i="2"/>
  <c r="AD7729" i="2"/>
  <c r="X7729" i="2"/>
  <c r="W7729" i="2"/>
  <c r="AH7728" i="2"/>
  <c r="AD7728" i="2"/>
  <c r="X7728" i="2"/>
  <c r="W7728" i="2"/>
  <c r="AH7727" i="2"/>
  <c r="AD7727" i="2"/>
  <c r="AF7727" i="2" s="1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W7723" i="2"/>
  <c r="AH7722" i="2"/>
  <c r="AE7722" i="2"/>
  <c r="AD7722" i="2"/>
  <c r="X7722" i="2"/>
  <c r="W7722" i="2"/>
  <c r="AH7721" i="2"/>
  <c r="AE7721" i="2"/>
  <c r="AD7721" i="2"/>
  <c r="X7721" i="2"/>
  <c r="W7721" i="2"/>
  <c r="AH7720" i="2"/>
  <c r="AE7720" i="2"/>
  <c r="AD7720" i="2"/>
  <c r="X7720" i="2"/>
  <c r="W7720" i="2"/>
  <c r="AH7719" i="2"/>
  <c r="AE7719" i="2"/>
  <c r="AD7719" i="2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W7715" i="2"/>
  <c r="AH7714" i="2"/>
  <c r="AE7714" i="2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X7711" i="2"/>
  <c r="AK7711" i="2" s="1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W7707" i="2"/>
  <c r="AH7706" i="2"/>
  <c r="AE7706" i="2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W7699" i="2"/>
  <c r="AH7698" i="2"/>
  <c r="AE7698" i="2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D7695" i="2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D7690" i="2"/>
  <c r="X7690" i="2"/>
  <c r="AK7690" i="2" s="1"/>
  <c r="W7690" i="2"/>
  <c r="AH7689" i="2"/>
  <c r="AE7689" i="2"/>
  <c r="AD7689" i="2"/>
  <c r="X7689" i="2"/>
  <c r="W7689" i="2"/>
  <c r="AH7688" i="2"/>
  <c r="AE7688" i="2"/>
  <c r="AD7688" i="2"/>
  <c r="X7688" i="2"/>
  <c r="W7688" i="2"/>
  <c r="AH7687" i="2"/>
  <c r="AE7687" i="2"/>
  <c r="AD7687" i="2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W7683" i="2"/>
  <c r="AH7682" i="2"/>
  <c r="AE7682" i="2"/>
  <c r="AD7682" i="2"/>
  <c r="X7682" i="2"/>
  <c r="AK7682" i="2" s="1"/>
  <c r="W7682" i="2"/>
  <c r="AH7681" i="2"/>
  <c r="AE7681" i="2"/>
  <c r="AD7681" i="2"/>
  <c r="X7681" i="2"/>
  <c r="W7681" i="2"/>
  <c r="AH7680" i="2"/>
  <c r="AE7680" i="2"/>
  <c r="AD7680" i="2"/>
  <c r="X7680" i="2"/>
  <c r="W7680" i="2"/>
  <c r="AH7679" i="2"/>
  <c r="AE7679" i="2"/>
  <c r="AD7679" i="2"/>
  <c r="X7679" i="2"/>
  <c r="W7679" i="2"/>
  <c r="AH7678" i="2"/>
  <c r="AE7678" i="2"/>
  <c r="AD7678" i="2"/>
  <c r="X7678" i="2"/>
  <c r="W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W7675" i="2"/>
  <c r="AH7674" i="2"/>
  <c r="AE7674" i="2"/>
  <c r="AD7674" i="2"/>
  <c r="X7674" i="2"/>
  <c r="W7674" i="2"/>
  <c r="AH7673" i="2"/>
  <c r="AE7673" i="2"/>
  <c r="AD7673" i="2"/>
  <c r="X7673" i="2"/>
  <c r="W7673" i="2"/>
  <c r="AH7672" i="2"/>
  <c r="AE7672" i="2"/>
  <c r="AD7672" i="2"/>
  <c r="X7672" i="2"/>
  <c r="W7672" i="2"/>
  <c r="AH7671" i="2"/>
  <c r="AE7671" i="2"/>
  <c r="AD7671" i="2"/>
  <c r="X7671" i="2"/>
  <c r="W7671" i="2"/>
  <c r="AH7670" i="2"/>
  <c r="AE7670" i="2"/>
  <c r="AD7670" i="2"/>
  <c r="Y7670" i="2" s="1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D7667" i="2"/>
  <c r="X7667" i="2"/>
  <c r="W7667" i="2"/>
  <c r="AH7666" i="2"/>
  <c r="AE7666" i="2"/>
  <c r="AD7666" i="2"/>
  <c r="X7666" i="2"/>
  <c r="W7666" i="2"/>
  <c r="AH7665" i="2"/>
  <c r="AE7665" i="2"/>
  <c r="AD7665" i="2"/>
  <c r="X7665" i="2"/>
  <c r="W7665" i="2"/>
  <c r="AH7664" i="2"/>
  <c r="AE7664" i="2"/>
  <c r="AD7664" i="2"/>
  <c r="X7664" i="2"/>
  <c r="W7664" i="2"/>
  <c r="AH7663" i="2"/>
  <c r="AE7663" i="2"/>
  <c r="AD7663" i="2"/>
  <c r="X7663" i="2"/>
  <c r="W7663" i="2"/>
  <c r="AH7662" i="2"/>
  <c r="AE7662" i="2"/>
  <c r="AD7662" i="2"/>
  <c r="X7662" i="2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D7659" i="2"/>
  <c r="X7659" i="2"/>
  <c r="W7659" i="2"/>
  <c r="AH7658" i="2"/>
  <c r="AE7658" i="2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AC7656" i="2" s="1"/>
  <c r="W7656" i="2"/>
  <c r="AH7655" i="2"/>
  <c r="AE7655" i="2"/>
  <c r="AD7655" i="2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W7651" i="2"/>
  <c r="AH7650" i="2"/>
  <c r="AE7650" i="2"/>
  <c r="AD7650" i="2"/>
  <c r="X7650" i="2"/>
  <c r="W7650" i="2"/>
  <c r="AH7649" i="2"/>
  <c r="AE7649" i="2"/>
  <c r="AD7649" i="2"/>
  <c r="X7649" i="2"/>
  <c r="W7649" i="2"/>
  <c r="AH7648" i="2"/>
  <c r="AE7648" i="2"/>
  <c r="AD7648" i="2"/>
  <c r="X7648" i="2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W7643" i="2"/>
  <c r="AH7642" i="2"/>
  <c r="AE7642" i="2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W7635" i="2"/>
  <c r="AH7634" i="2"/>
  <c r="AE7634" i="2"/>
  <c r="AD7634" i="2"/>
  <c r="X7634" i="2"/>
  <c r="W7634" i="2"/>
  <c r="AH7633" i="2"/>
  <c r="AE7633" i="2"/>
  <c r="AD7633" i="2"/>
  <c r="X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D7627" i="2"/>
  <c r="X7627" i="2"/>
  <c r="W7627" i="2"/>
  <c r="AH7626" i="2"/>
  <c r="AE7626" i="2"/>
  <c r="AD7626" i="2"/>
  <c r="X7626" i="2"/>
  <c r="W7626" i="2"/>
  <c r="AH7625" i="2"/>
  <c r="AE7625" i="2"/>
  <c r="AD7625" i="2"/>
  <c r="X7625" i="2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D7619" i="2"/>
  <c r="X7619" i="2"/>
  <c r="W7619" i="2"/>
  <c r="AH7618" i="2"/>
  <c r="AE7618" i="2"/>
  <c r="AD7618" i="2"/>
  <c r="X7618" i="2"/>
  <c r="W7618" i="2"/>
  <c r="AH7617" i="2"/>
  <c r="AE7617" i="2"/>
  <c r="AD7617" i="2"/>
  <c r="X7617" i="2"/>
  <c r="W7617" i="2"/>
  <c r="AH7616" i="2"/>
  <c r="AE7616" i="2"/>
  <c r="AD7616" i="2"/>
  <c r="X7616" i="2"/>
  <c r="W7616" i="2"/>
  <c r="AH7615" i="2"/>
  <c r="AE7615" i="2"/>
  <c r="AD7615" i="2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W7611" i="2"/>
  <c r="AH7610" i="2"/>
  <c r="AE7610" i="2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 s="1"/>
  <c r="AC7608" i="2"/>
  <c r="AA7608" i="2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W7605" i="2"/>
  <c r="AH7604" i="2"/>
  <c r="AE7604" i="2"/>
  <c r="AD7604" i="2"/>
  <c r="X7604" i="2"/>
  <c r="W7604" i="2"/>
  <c r="AH7603" i="2"/>
  <c r="AE7603" i="2"/>
  <c r="AD7603" i="2"/>
  <c r="X7603" i="2"/>
  <c r="W7603" i="2"/>
  <c r="AH7602" i="2"/>
  <c r="AE7602" i="2"/>
  <c r="AD7602" i="2"/>
  <c r="X7602" i="2"/>
  <c r="AK7602" i="2" s="1"/>
  <c r="W7602" i="2"/>
  <c r="AH7601" i="2"/>
  <c r="AE7601" i="2"/>
  <c r="AD7601" i="2"/>
  <c r="X7601" i="2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W7598" i="2"/>
  <c r="AH7597" i="2"/>
  <c r="AE7597" i="2"/>
  <c r="AD7597" i="2"/>
  <c r="X7597" i="2"/>
  <c r="W7597" i="2"/>
  <c r="AH7596" i="2"/>
  <c r="AE7596" i="2"/>
  <c r="AD7596" i="2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C7592" i="2" s="1"/>
  <c r="W7592" i="2"/>
  <c r="AH7591" i="2"/>
  <c r="AE7591" i="2"/>
  <c r="AD7591" i="2"/>
  <c r="X7591" i="2"/>
  <c r="W7591" i="2"/>
  <c r="AH7590" i="2"/>
  <c r="AE7590" i="2"/>
  <c r="AD7590" i="2"/>
  <c r="X7590" i="2"/>
  <c r="W7590" i="2"/>
  <c r="AH7589" i="2"/>
  <c r="AE7589" i="2"/>
  <c r="AD7589" i="2"/>
  <c r="X7589" i="2"/>
  <c r="W7589" i="2"/>
  <c r="AH7588" i="2"/>
  <c r="AE7588" i="2"/>
  <c r="AD7588" i="2"/>
  <c r="X7588" i="2"/>
  <c r="W7588" i="2"/>
  <c r="AH7587" i="2"/>
  <c r="AE7587" i="2"/>
  <c r="AD7587" i="2"/>
  <c r="X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X7580" i="2"/>
  <c r="W7580" i="2"/>
  <c r="AH7579" i="2"/>
  <c r="AE7579" i="2"/>
  <c r="AD7579" i="2"/>
  <c r="X7579" i="2"/>
  <c r="W7579" i="2"/>
  <c r="AH7578" i="2"/>
  <c r="AE7578" i="2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W7576" i="2"/>
  <c r="AH7575" i="2"/>
  <c r="AE7575" i="2"/>
  <c r="AD7575" i="2"/>
  <c r="X7575" i="2"/>
  <c r="W7575" i="2"/>
  <c r="AH7574" i="2"/>
  <c r="AE7574" i="2"/>
  <c r="AD7574" i="2"/>
  <c r="X7574" i="2"/>
  <c r="W7574" i="2"/>
  <c r="AH7573" i="2"/>
  <c r="AE7573" i="2"/>
  <c r="AD7573" i="2"/>
  <c r="X7573" i="2"/>
  <c r="W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W7570" i="2"/>
  <c r="AH7569" i="2"/>
  <c r="AE7569" i="2"/>
  <c r="AD7569" i="2"/>
  <c r="X7569" i="2"/>
  <c r="W7569" i="2"/>
  <c r="AH7568" i="2"/>
  <c r="AE7568" i="2"/>
  <c r="AD7568" i="2"/>
  <c r="X7568" i="2"/>
  <c r="AC7568" i="2" s="1"/>
  <c r="W7568" i="2"/>
  <c r="AH7567" i="2"/>
  <c r="AE7567" i="2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W7561" i="2"/>
  <c r="AH7560" i="2"/>
  <c r="AE7560" i="2"/>
  <c r="AD7560" i="2"/>
  <c r="X7560" i="2"/>
  <c r="W7560" i="2"/>
  <c r="AH7559" i="2"/>
  <c r="AE7559" i="2"/>
  <c r="AD7559" i="2"/>
  <c r="X7559" i="2"/>
  <c r="W7559" i="2"/>
  <c r="AH7558" i="2"/>
  <c r="AE7558" i="2"/>
  <c r="AD7558" i="2"/>
  <c r="X7558" i="2"/>
  <c r="W7558" i="2"/>
  <c r="AH7557" i="2"/>
  <c r="AE7557" i="2"/>
  <c r="AD7557" i="2"/>
  <c r="X7557" i="2"/>
  <c r="W7557" i="2"/>
  <c r="AH7556" i="2"/>
  <c r="AE7556" i="2"/>
  <c r="AD7556" i="2"/>
  <c r="X7556" i="2"/>
  <c r="W7556" i="2"/>
  <c r="AH7555" i="2"/>
  <c r="AE7555" i="2"/>
  <c r="AD7555" i="2"/>
  <c r="X7555" i="2"/>
  <c r="W7555" i="2"/>
  <c r="AH7554" i="2"/>
  <c r="AE7554" i="2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W7552" i="2"/>
  <c r="AH7551" i="2"/>
  <c r="AE7551" i="2"/>
  <c r="AD7551" i="2"/>
  <c r="X7551" i="2"/>
  <c r="W7551" i="2"/>
  <c r="AH7550" i="2"/>
  <c r="AE7550" i="2"/>
  <c r="AD7550" i="2"/>
  <c r="X7550" i="2"/>
  <c r="W7550" i="2"/>
  <c r="AH7549" i="2"/>
  <c r="AE7549" i="2"/>
  <c r="AD7549" i="2"/>
  <c r="X7549" i="2"/>
  <c r="W7549" i="2"/>
  <c r="AH7548" i="2"/>
  <c r="AE7548" i="2"/>
  <c r="AD7548" i="2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W7545" i="2"/>
  <c r="AH7544" i="2"/>
  <c r="AE7544" i="2"/>
  <c r="AD7544" i="2"/>
  <c r="X7544" i="2"/>
  <c r="W7544" i="2"/>
  <c r="AH7543" i="2"/>
  <c r="AE7543" i="2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W7536" i="2"/>
  <c r="AH7535" i="2"/>
  <c r="AE7535" i="2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W7532" i="2"/>
  <c r="AH7531" i="2"/>
  <c r="AE7531" i="2"/>
  <c r="AD7531" i="2"/>
  <c r="X7531" i="2"/>
  <c r="W7531" i="2"/>
  <c r="AH7530" i="2"/>
  <c r="AE7530" i="2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W7528" i="2"/>
  <c r="AH7527" i="2"/>
  <c r="AE7527" i="2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X7524" i="2"/>
  <c r="W7524" i="2"/>
  <c r="AH7523" i="2"/>
  <c r="AE7523" i="2"/>
  <c r="AD7523" i="2"/>
  <c r="X7523" i="2"/>
  <c r="AH7522" i="2"/>
  <c r="AE7522" i="2"/>
  <c r="AD7522" i="2"/>
  <c r="X7522" i="2"/>
  <c r="W7522" i="2"/>
  <c r="AH7521" i="2"/>
  <c r="AE7521" i="2"/>
  <c r="AD7521" i="2"/>
  <c r="X7521" i="2"/>
  <c r="W7521" i="2"/>
  <c r="AH7520" i="2"/>
  <c r="AE7520" i="2"/>
  <c r="AD7520" i="2"/>
  <c r="X7520" i="2"/>
  <c r="W7520" i="2"/>
  <c r="AH7519" i="2"/>
  <c r="AE7519" i="2"/>
  <c r="AD7519" i="2"/>
  <c r="X7519" i="2"/>
  <c r="W7519" i="2"/>
  <c r="AH7518" i="2"/>
  <c r="AE7518" i="2"/>
  <c r="AD7518" i="2"/>
  <c r="X7518" i="2"/>
  <c r="W7518" i="2"/>
  <c r="AH7517" i="2"/>
  <c r="AE7517" i="2"/>
  <c r="AD7517" i="2"/>
  <c r="X7517" i="2"/>
  <c r="W7517" i="2"/>
  <c r="AH7516" i="2"/>
  <c r="AE7516" i="2"/>
  <c r="AD7516" i="2"/>
  <c r="X7516" i="2"/>
  <c r="W7516" i="2"/>
  <c r="AH7515" i="2"/>
  <c r="AE7515" i="2"/>
  <c r="AD7515" i="2"/>
  <c r="X7515" i="2"/>
  <c r="W7515" i="2"/>
  <c r="AH7514" i="2"/>
  <c r="AE7514" i="2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AC7512" i="2" s="1"/>
  <c r="W7512" i="2"/>
  <c r="AH7511" i="2"/>
  <c r="AE7511" i="2"/>
  <c r="AD7511" i="2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W7507" i="2"/>
  <c r="AH7506" i="2"/>
  <c r="AE7506" i="2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X7503" i="2"/>
  <c r="W7503" i="2"/>
  <c r="AH7502" i="2"/>
  <c r="AE7502" i="2"/>
  <c r="AD7502" i="2"/>
  <c r="X7502" i="2"/>
  <c r="W7502" i="2"/>
  <c r="AH7501" i="2"/>
  <c r="AE7501" i="2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AC7499" i="2" s="1"/>
  <c r="W7499" i="2"/>
  <c r="AH7498" i="2"/>
  <c r="AE7498" i="2"/>
  <c r="AD7498" i="2"/>
  <c r="X7498" i="2"/>
  <c r="W7498" i="2"/>
  <c r="AH7497" i="2"/>
  <c r="AE7497" i="2"/>
  <c r="AD7497" i="2"/>
  <c r="X7497" i="2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W7489" i="2"/>
  <c r="AH7488" i="2"/>
  <c r="AE7488" i="2"/>
  <c r="AD7488" i="2"/>
  <c r="X7488" i="2"/>
  <c r="W7488" i="2"/>
  <c r="AH7487" i="2"/>
  <c r="AE7487" i="2"/>
  <c r="AD7487" i="2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W7483" i="2"/>
  <c r="AH7482" i="2"/>
  <c r="AE7482" i="2"/>
  <c r="AD7482" i="2"/>
  <c r="X7482" i="2"/>
  <c r="W7482" i="2"/>
  <c r="AH7481" i="2"/>
  <c r="AE7481" i="2"/>
  <c r="AD7481" i="2"/>
  <c r="X7481" i="2"/>
  <c r="W7481" i="2"/>
  <c r="AH7480" i="2"/>
  <c r="AE7480" i="2"/>
  <c r="AD7480" i="2"/>
  <c r="X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AC7475" i="2" s="1"/>
  <c r="W7475" i="2"/>
  <c r="AH7474" i="2"/>
  <c r="AE7474" i="2"/>
  <c r="AD7474" i="2"/>
  <c r="X7474" i="2"/>
  <c r="W7474" i="2"/>
  <c r="AH7473" i="2"/>
  <c r="AE7473" i="2"/>
  <c r="AD7473" i="2"/>
  <c r="X7473" i="2"/>
  <c r="W7473" i="2"/>
  <c r="AH7472" i="2"/>
  <c r="AE7472" i="2"/>
  <c r="AD7472" i="2"/>
  <c r="X7472" i="2"/>
  <c r="W7472" i="2"/>
  <c r="AH7471" i="2"/>
  <c r="AE7471" i="2"/>
  <c r="AD7471" i="2"/>
  <c r="X7471" i="2"/>
  <c r="W7471" i="2"/>
  <c r="AH7470" i="2"/>
  <c r="AE7470" i="2"/>
  <c r="AF7470" i="2" s="1"/>
  <c r="AD7470" i="2"/>
  <c r="X7470" i="2"/>
  <c r="W7470" i="2"/>
  <c r="AH7469" i="2"/>
  <c r="AE7469" i="2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AC7467" i="2" s="1"/>
  <c r="W7467" i="2"/>
  <c r="AH7466" i="2"/>
  <c r="AE7466" i="2"/>
  <c r="AD7466" i="2"/>
  <c r="X7466" i="2"/>
  <c r="W7466" i="2"/>
  <c r="AH7465" i="2"/>
  <c r="AE7465" i="2"/>
  <c r="AD7465" i="2"/>
  <c r="X7465" i="2"/>
  <c r="W7465" i="2"/>
  <c r="AH7464" i="2"/>
  <c r="AE7464" i="2"/>
  <c r="AD7464" i="2"/>
  <c r="X7464" i="2"/>
  <c r="W7464" i="2"/>
  <c r="AH7463" i="2"/>
  <c r="AE7463" i="2"/>
  <c r="AD7463" i="2"/>
  <c r="X7463" i="2"/>
  <c r="W7463" i="2"/>
  <c r="AH7462" i="2"/>
  <c r="AE7462" i="2"/>
  <c r="AF7462" i="2" s="1"/>
  <c r="AD7462" i="2"/>
  <c r="X7462" i="2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AC7459" i="2" s="1"/>
  <c r="W7459" i="2"/>
  <c r="AH7458" i="2"/>
  <c r="AE7458" i="2"/>
  <c r="AD7458" i="2"/>
  <c r="X7458" i="2"/>
  <c r="W7458" i="2"/>
  <c r="AH7457" i="2"/>
  <c r="AE7457" i="2"/>
  <c r="AD7457" i="2"/>
  <c r="X7457" i="2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F7454" i="2" s="1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F7449" i="2" s="1"/>
  <c r="AD7449" i="2"/>
  <c r="X7449" i="2"/>
  <c r="W7449" i="2"/>
  <c r="AH7448" i="2"/>
  <c r="AE7448" i="2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W7446" i="2"/>
  <c r="AH7445" i="2"/>
  <c r="AE7445" i="2"/>
  <c r="AD7445" i="2"/>
  <c r="X7445" i="2"/>
  <c r="W7445" i="2"/>
  <c r="AH7444" i="2"/>
  <c r="AE7444" i="2"/>
  <c r="AD7444" i="2"/>
  <c r="X7444" i="2"/>
  <c r="W7444" i="2"/>
  <c r="AH7443" i="2"/>
  <c r="AE7443" i="2"/>
  <c r="AD7443" i="2"/>
  <c r="X7443" i="2"/>
  <c r="W7443" i="2"/>
  <c r="AH7442" i="2"/>
  <c r="AE7442" i="2"/>
  <c r="AD7442" i="2"/>
  <c r="X7442" i="2"/>
  <c r="W7442" i="2"/>
  <c r="AH7441" i="2"/>
  <c r="AE7441" i="2"/>
  <c r="AF7441" i="2" s="1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W7439" i="2"/>
  <c r="AH7438" i="2"/>
  <c r="AE7438" i="2"/>
  <c r="AD7438" i="2"/>
  <c r="X7438" i="2"/>
  <c r="W7438" i="2"/>
  <c r="AH7437" i="2"/>
  <c r="AE7437" i="2"/>
  <c r="AD7437" i="2"/>
  <c r="X7437" i="2"/>
  <c r="W7437" i="2"/>
  <c r="AH7436" i="2"/>
  <c r="AE7436" i="2"/>
  <c r="AD7436" i="2"/>
  <c r="X7436" i="2"/>
  <c r="W7436" i="2"/>
  <c r="AH7435" i="2"/>
  <c r="AE7435" i="2"/>
  <c r="AD7435" i="2"/>
  <c r="X7435" i="2"/>
  <c r="W7435" i="2"/>
  <c r="AH7434" i="2"/>
  <c r="AE7434" i="2"/>
  <c r="AD7434" i="2"/>
  <c r="X7434" i="2"/>
  <c r="W7434" i="2"/>
  <c r="AH7433" i="2"/>
  <c r="AE7433" i="2"/>
  <c r="AF7433" i="2" s="1"/>
  <c r="AD7433" i="2"/>
  <c r="X7433" i="2"/>
  <c r="AB7433" i="2" s="1"/>
  <c r="AK7433" i="2" s="1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W7430" i="2"/>
  <c r="AH7429" i="2"/>
  <c r="AE7429" i="2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F7425" i="2" s="1"/>
  <c r="AD7425" i="2"/>
  <c r="X7425" i="2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W7422" i="2"/>
  <c r="AH7421" i="2"/>
  <c r="AE7421" i="2"/>
  <c r="AD7421" i="2"/>
  <c r="X7421" i="2"/>
  <c r="W7421" i="2"/>
  <c r="AH7420" i="2"/>
  <c r="AE7420" i="2"/>
  <c r="AD7420" i="2"/>
  <c r="X7420" i="2"/>
  <c r="W7420" i="2"/>
  <c r="AH7419" i="2"/>
  <c r="AE7419" i="2"/>
  <c r="AD7419" i="2"/>
  <c r="X7419" i="2"/>
  <c r="W7419" i="2"/>
  <c r="AH7418" i="2"/>
  <c r="AE7418" i="2"/>
  <c r="AD7418" i="2"/>
  <c r="X7418" i="2"/>
  <c r="W7418" i="2"/>
  <c r="AH7417" i="2"/>
  <c r="AE7417" i="2"/>
  <c r="AF7417" i="2" s="1"/>
  <c r="AD7417" i="2"/>
  <c r="X7417" i="2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W7414" i="2"/>
  <c r="AH7413" i="2"/>
  <c r="AE7413" i="2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X7410" i="2"/>
  <c r="W7410" i="2"/>
  <c r="AH7409" i="2"/>
  <c r="AE7409" i="2"/>
  <c r="AF7409" i="2" s="1"/>
  <c r="AD7409" i="2"/>
  <c r="X7409" i="2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W7405" i="2"/>
  <c r="AH7404" i="2"/>
  <c r="AE7404" i="2"/>
  <c r="AD7404" i="2"/>
  <c r="X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F7401" i="2" s="1"/>
  <c r="AD7401" i="2"/>
  <c r="X7401" i="2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W7398" i="2"/>
  <c r="AH7397" i="2"/>
  <c r="AE7397" i="2"/>
  <c r="AD7397" i="2"/>
  <c r="X7397" i="2"/>
  <c r="W7397" i="2"/>
  <c r="AH7396" i="2"/>
  <c r="AE7396" i="2"/>
  <c r="AD7396" i="2"/>
  <c r="X7396" i="2"/>
  <c r="W7396" i="2"/>
  <c r="AH7395" i="2"/>
  <c r="AE7395" i="2"/>
  <c r="AD7395" i="2"/>
  <c r="X7395" i="2"/>
  <c r="W7395" i="2"/>
  <c r="AH7394" i="2"/>
  <c r="AE7394" i="2"/>
  <c r="AD7394" i="2"/>
  <c r="X7394" i="2"/>
  <c r="W7394" i="2"/>
  <c r="AH7393" i="2"/>
  <c r="AE7393" i="2"/>
  <c r="AF7393" i="2" s="1"/>
  <c r="AD7393" i="2"/>
  <c r="X7393" i="2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W7390" i="2"/>
  <c r="AH7389" i="2"/>
  <c r="AE7389" i="2"/>
  <c r="AD7389" i="2"/>
  <c r="X7389" i="2"/>
  <c r="W7389" i="2"/>
  <c r="AH7388" i="2"/>
  <c r="AE7388" i="2"/>
  <c r="AD7388" i="2"/>
  <c r="X7388" i="2"/>
  <c r="W7388" i="2"/>
  <c r="AH7387" i="2"/>
  <c r="AE7387" i="2"/>
  <c r="AD7387" i="2"/>
  <c r="X7387" i="2"/>
  <c r="W7387" i="2"/>
  <c r="AH7386" i="2"/>
  <c r="AE7386" i="2"/>
  <c r="AD7386" i="2"/>
  <c r="X7386" i="2"/>
  <c r="W7386" i="2"/>
  <c r="AH7385" i="2"/>
  <c r="AE7385" i="2"/>
  <c r="AF7385" i="2" s="1"/>
  <c r="AD7385" i="2"/>
  <c r="X7385" i="2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W7382" i="2"/>
  <c r="AH7381" i="2"/>
  <c r="AE7381" i="2"/>
  <c r="AD7381" i="2"/>
  <c r="X7381" i="2"/>
  <c r="W7381" i="2"/>
  <c r="AH7380" i="2"/>
  <c r="AE7380" i="2"/>
  <c r="AD7380" i="2"/>
  <c r="X7380" i="2"/>
  <c r="AK7380" i="2" s="1"/>
  <c r="W7380" i="2"/>
  <c r="AH7379" i="2"/>
  <c r="AE7379" i="2"/>
  <c r="AD7379" i="2"/>
  <c r="X7379" i="2"/>
  <c r="W7379" i="2"/>
  <c r="AH7378" i="2"/>
  <c r="AE7378" i="2"/>
  <c r="AD7378" i="2"/>
  <c r="X7378" i="2"/>
  <c r="W7378" i="2"/>
  <c r="AH7377" i="2"/>
  <c r="AE7377" i="2"/>
  <c r="AF7377" i="2" s="1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D7370" i="2"/>
  <c r="X7370" i="2"/>
  <c r="W7370" i="2"/>
  <c r="AH7369" i="2"/>
  <c r="AE7369" i="2"/>
  <c r="AF7369" i="2" s="1"/>
  <c r="AD7369" i="2"/>
  <c r="X7369" i="2"/>
  <c r="W7369" i="2"/>
  <c r="AH7368" i="2"/>
  <c r="AE7368" i="2"/>
  <c r="AD7368" i="2"/>
  <c r="X7368" i="2"/>
  <c r="W7368" i="2"/>
  <c r="AH7367" i="2"/>
  <c r="AE7367" i="2"/>
  <c r="AD7367" i="2"/>
  <c r="X7367" i="2"/>
  <c r="W7367" i="2"/>
  <c r="AH7366" i="2"/>
  <c r="AE7366" i="2"/>
  <c r="AD7366" i="2"/>
  <c r="X7366" i="2"/>
  <c r="W7366" i="2"/>
  <c r="AH7365" i="2"/>
  <c r="AE7365" i="2"/>
  <c r="AD7365" i="2"/>
  <c r="X7365" i="2"/>
  <c r="W7365" i="2"/>
  <c r="AH7364" i="2"/>
  <c r="AE7364" i="2"/>
  <c r="AD7364" i="2"/>
  <c r="X7364" i="2"/>
  <c r="AK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F7361" i="2" s="1"/>
  <c r="AD7361" i="2"/>
  <c r="X7361" i="2"/>
  <c r="W7361" i="2"/>
  <c r="AH7360" i="2"/>
  <c r="AE7360" i="2"/>
  <c r="AD7360" i="2"/>
  <c r="X7360" i="2"/>
  <c r="W7360" i="2"/>
  <c r="AH7359" i="2"/>
  <c r="AE7359" i="2"/>
  <c r="AD7359" i="2"/>
  <c r="X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W7356" i="2"/>
  <c r="AH7355" i="2"/>
  <c r="AE7355" i="2"/>
  <c r="AD7355" i="2"/>
  <c r="X7355" i="2"/>
  <c r="W7355" i="2"/>
  <c r="AH7354" i="2"/>
  <c r="AE7354" i="2"/>
  <c r="AD7354" i="2"/>
  <c r="X7354" i="2"/>
  <c r="W7354" i="2"/>
  <c r="AH7353" i="2"/>
  <c r="AE7353" i="2"/>
  <c r="AF7353" i="2" s="1"/>
  <c r="AD7353" i="2"/>
  <c r="X7353" i="2"/>
  <c r="W7353" i="2"/>
  <c r="AH7352" i="2"/>
  <c r="AE7352" i="2"/>
  <c r="AD7352" i="2"/>
  <c r="X7352" i="2"/>
  <c r="W7352" i="2"/>
  <c r="AH7351" i="2"/>
  <c r="AE7351" i="2"/>
  <c r="AD7351" i="2"/>
  <c r="X7351" i="2"/>
  <c r="W7351" i="2"/>
  <c r="AH7350" i="2"/>
  <c r="AE7350" i="2"/>
  <c r="AD7350" i="2"/>
  <c r="X7350" i="2"/>
  <c r="W7350" i="2"/>
  <c r="AH7349" i="2"/>
  <c r="AE7349" i="2"/>
  <c r="AD7349" i="2"/>
  <c r="X7349" i="2"/>
  <c r="W7349" i="2"/>
  <c r="AH7348" i="2"/>
  <c r="AE7348" i="2"/>
  <c r="AD7348" i="2"/>
  <c r="X7348" i="2"/>
  <c r="W7348" i="2"/>
  <c r="AH7347" i="2"/>
  <c r="AE7347" i="2"/>
  <c r="AD7347" i="2"/>
  <c r="X7347" i="2"/>
  <c r="AC7347" i="2" s="1"/>
  <c r="W7347" i="2"/>
  <c r="AH7346" i="2"/>
  <c r="AE7346" i="2"/>
  <c r="AD7346" i="2"/>
  <c r="X7346" i="2"/>
  <c r="W7346" i="2"/>
  <c r="AH7345" i="2"/>
  <c r="AE7345" i="2"/>
  <c r="AF7345" i="2" s="1"/>
  <c r="AD7345" i="2"/>
  <c r="X7345" i="2"/>
  <c r="W7345" i="2"/>
  <c r="AH7344" i="2"/>
  <c r="AE7344" i="2"/>
  <c r="AD7344" i="2"/>
  <c r="X7344" i="2"/>
  <c r="W7344" i="2"/>
  <c r="AH7343" i="2"/>
  <c r="AE7343" i="2"/>
  <c r="AD7343" i="2"/>
  <c r="X7343" i="2"/>
  <c r="AK7343" i="2" s="1"/>
  <c r="W7343" i="2"/>
  <c r="AH7342" i="2"/>
  <c r="AE7342" i="2"/>
  <c r="AD7342" i="2"/>
  <c r="X7342" i="2"/>
  <c r="W7342" i="2"/>
  <c r="AH7341" i="2"/>
  <c r="AE7341" i="2"/>
  <c r="AD7341" i="2"/>
  <c r="X7341" i="2"/>
  <c r="W7341" i="2"/>
  <c r="AH7340" i="2"/>
  <c r="AE7340" i="2"/>
  <c r="AD7340" i="2"/>
  <c r="X7340" i="2"/>
  <c r="W7340" i="2"/>
  <c r="AH7339" i="2"/>
  <c r="AE7339" i="2"/>
  <c r="AD7339" i="2"/>
  <c r="X7339" i="2"/>
  <c r="Y7339" i="2" s="1"/>
  <c r="W7339" i="2"/>
  <c r="AH7338" i="2"/>
  <c r="AE7338" i="2"/>
  <c r="AD7338" i="2"/>
  <c r="X7338" i="2"/>
  <c r="W7338" i="2"/>
  <c r="AH7337" i="2"/>
  <c r="AE7337" i="2"/>
  <c r="AF7337" i="2" s="1"/>
  <c r="AD7337" i="2"/>
  <c r="X7337" i="2"/>
  <c r="AK7337" i="2" s="1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W7334" i="2"/>
  <c r="AH7333" i="2"/>
  <c r="AE7333" i="2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F7329" i="2" s="1"/>
  <c r="AD7329" i="2"/>
  <c r="X7329" i="2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W7326" i="2"/>
  <c r="AH7325" i="2"/>
  <c r="AE7325" i="2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D7321" i="2"/>
  <c r="X7321" i="2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W7318" i="2"/>
  <c r="AH7317" i="2"/>
  <c r="AE7317" i="2"/>
  <c r="AD7317" i="2"/>
  <c r="X7317" i="2"/>
  <c r="W7317" i="2"/>
  <c r="AH7316" i="2"/>
  <c r="AE7316" i="2"/>
  <c r="AD7316" i="2"/>
  <c r="X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W7310" i="2"/>
  <c r="AH7309" i="2"/>
  <c r="AE7309" i="2"/>
  <c r="AD7309" i="2"/>
  <c r="X7309" i="2"/>
  <c r="W7309" i="2"/>
  <c r="AH7308" i="2"/>
  <c r="AE7308" i="2"/>
  <c r="AD7308" i="2"/>
  <c r="X7308" i="2"/>
  <c r="W7308" i="2"/>
  <c r="AH7307" i="2"/>
  <c r="AE7307" i="2"/>
  <c r="AD7307" i="2"/>
  <c r="X7307" i="2"/>
  <c r="W7307" i="2"/>
  <c r="AH7306" i="2"/>
  <c r="AE7306" i="2"/>
  <c r="AD7306" i="2"/>
  <c r="X7306" i="2"/>
  <c r="W7306" i="2"/>
  <c r="AH7305" i="2"/>
  <c r="AE7305" i="2"/>
  <c r="AF7305" i="2" s="1"/>
  <c r="AD7305" i="2"/>
  <c r="X7305" i="2"/>
  <c r="W7305" i="2"/>
  <c r="AH7304" i="2"/>
  <c r="AE7304" i="2"/>
  <c r="AD7304" i="2"/>
  <c r="X7304" i="2"/>
  <c r="W7304" i="2"/>
  <c r="AH7303" i="2"/>
  <c r="AE7303" i="2"/>
  <c r="AD7303" i="2"/>
  <c r="X7303" i="2"/>
  <c r="W7303" i="2"/>
  <c r="AH7302" i="2"/>
  <c r="AE7302" i="2"/>
  <c r="AD7302" i="2"/>
  <c r="X7302" i="2"/>
  <c r="W7302" i="2"/>
  <c r="AH7301" i="2"/>
  <c r="AE7301" i="2"/>
  <c r="AD7301" i="2"/>
  <c r="X7301" i="2"/>
  <c r="W7301" i="2"/>
  <c r="AH7300" i="2"/>
  <c r="AE7300" i="2"/>
  <c r="AD7300" i="2"/>
  <c r="X7300" i="2"/>
  <c r="W7300" i="2"/>
  <c r="AH7299" i="2"/>
  <c r="AE7299" i="2"/>
  <c r="AD7299" i="2"/>
  <c r="X7299" i="2"/>
  <c r="W7299" i="2"/>
  <c r="AH7298" i="2"/>
  <c r="AE7298" i="2"/>
  <c r="AD7298" i="2"/>
  <c r="X7298" i="2"/>
  <c r="W7298" i="2"/>
  <c r="AH7297" i="2"/>
  <c r="AE7297" i="2"/>
  <c r="AF7297" i="2" s="1"/>
  <c r="AD7297" i="2"/>
  <c r="X7297" i="2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W7294" i="2"/>
  <c r="AH7293" i="2"/>
  <c r="AE7293" i="2"/>
  <c r="AD7293" i="2"/>
  <c r="X7293" i="2"/>
  <c r="W7293" i="2"/>
  <c r="AH7292" i="2"/>
  <c r="AE7292" i="2"/>
  <c r="AD7292" i="2"/>
  <c r="X7292" i="2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X7290" i="2"/>
  <c r="W7290" i="2"/>
  <c r="AH7289" i="2"/>
  <c r="AE7289" i="2"/>
  <c r="AD7289" i="2"/>
  <c r="X7289" i="2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W7279" i="2"/>
  <c r="AH7278" i="2"/>
  <c r="AE7278" i="2"/>
  <c r="AD7278" i="2"/>
  <c r="X7278" i="2"/>
  <c r="W7278" i="2"/>
  <c r="AH7277" i="2"/>
  <c r="AE7277" i="2"/>
  <c r="AD7277" i="2"/>
  <c r="X7277" i="2"/>
  <c r="W7277" i="2"/>
  <c r="AH7276" i="2"/>
  <c r="AE7276" i="2"/>
  <c r="AD7276" i="2"/>
  <c r="X7276" i="2"/>
  <c r="W7276" i="2"/>
  <c r="AH7275" i="2"/>
  <c r="AE7275" i="2"/>
  <c r="AD7275" i="2"/>
  <c r="X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W7271" i="2"/>
  <c r="AH7270" i="2"/>
  <c r="AE7270" i="2"/>
  <c r="AD7270" i="2"/>
  <c r="X7270" i="2"/>
  <c r="W7270" i="2"/>
  <c r="AH7269" i="2"/>
  <c r="AE7269" i="2"/>
  <c r="AD7269" i="2"/>
  <c r="X7269" i="2"/>
  <c r="W7269" i="2"/>
  <c r="AH7268" i="2"/>
  <c r="AE7268" i="2"/>
  <c r="AD7268" i="2"/>
  <c r="X7268" i="2"/>
  <c r="W7268" i="2"/>
  <c r="AH7267" i="2"/>
  <c r="AE7267" i="2"/>
  <c r="AD7267" i="2"/>
  <c r="X7267" i="2"/>
  <c r="AC7267" i="2" s="1"/>
  <c r="W7267" i="2"/>
  <c r="AH7266" i="2"/>
  <c r="AE7266" i="2"/>
  <c r="AD7266" i="2"/>
  <c r="X7266" i="2"/>
  <c r="W7266" i="2"/>
  <c r="AH7265" i="2"/>
  <c r="AE7265" i="2"/>
  <c r="AF7265" i="2" s="1"/>
  <c r="AD7265" i="2"/>
  <c r="X7265" i="2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W7262" i="2"/>
  <c r="AH7261" i="2"/>
  <c r="AE7261" i="2"/>
  <c r="AD7261" i="2"/>
  <c r="X7261" i="2"/>
  <c r="W7261" i="2"/>
  <c r="AH7260" i="2"/>
  <c r="AE7260" i="2"/>
  <c r="AD7260" i="2"/>
  <c r="X7260" i="2"/>
  <c r="W7260" i="2"/>
  <c r="AH7259" i="2"/>
  <c r="AE7259" i="2"/>
  <c r="AD7259" i="2"/>
  <c r="X7259" i="2"/>
  <c r="W7259" i="2"/>
  <c r="AH7258" i="2"/>
  <c r="AE7258" i="2"/>
  <c r="AD7258" i="2"/>
  <c r="X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Y7254" i="2" s="1"/>
  <c r="X7254" i="2"/>
  <c r="W7254" i="2"/>
  <c r="AH7253" i="2"/>
  <c r="AE7253" i="2"/>
  <c r="AD7253" i="2"/>
  <c r="X7253" i="2"/>
  <c r="W7253" i="2"/>
  <c r="AH7252" i="2"/>
  <c r="AE7252" i="2"/>
  <c r="AD7252" i="2"/>
  <c r="X7252" i="2"/>
  <c r="W7252" i="2"/>
  <c r="AH7251" i="2"/>
  <c r="AE7251" i="2"/>
  <c r="AD7251" i="2"/>
  <c r="X7251" i="2"/>
  <c r="AC7251" i="2" s="1"/>
  <c r="W7251" i="2"/>
  <c r="AH7250" i="2"/>
  <c r="AE7250" i="2"/>
  <c r="AD7250" i="2"/>
  <c r="X7250" i="2"/>
  <c r="W7250" i="2"/>
  <c r="AH7249" i="2"/>
  <c r="AE7249" i="2"/>
  <c r="AF7249" i="2" s="1"/>
  <c r="AD7249" i="2"/>
  <c r="X7249" i="2"/>
  <c r="W7249" i="2"/>
  <c r="AH7248" i="2"/>
  <c r="AE7248" i="2"/>
  <c r="AD7248" i="2"/>
  <c r="X7248" i="2"/>
  <c r="W7248" i="2"/>
  <c r="AH7247" i="2"/>
  <c r="AE7247" i="2"/>
  <c r="AD7247" i="2"/>
  <c r="X7247" i="2"/>
  <c r="W7247" i="2"/>
  <c r="AH7246" i="2"/>
  <c r="AE7246" i="2"/>
  <c r="AD7246" i="2"/>
  <c r="Y7246" i="2" s="1"/>
  <c r="X7246" i="2"/>
  <c r="W7246" i="2"/>
  <c r="AH7245" i="2"/>
  <c r="AE7245" i="2"/>
  <c r="AD7245" i="2"/>
  <c r="X7245" i="2"/>
  <c r="W7245" i="2"/>
  <c r="AH7244" i="2"/>
  <c r="AE7244" i="2"/>
  <c r="AD7244" i="2"/>
  <c r="X7244" i="2"/>
  <c r="W7244" i="2"/>
  <c r="AH7243" i="2"/>
  <c r="AE7243" i="2"/>
  <c r="AD7243" i="2"/>
  <c r="X7243" i="2"/>
  <c r="W7243" i="2"/>
  <c r="AH7242" i="2"/>
  <c r="AE7242" i="2"/>
  <c r="AD7242" i="2"/>
  <c r="X7242" i="2"/>
  <c r="W7242" i="2"/>
  <c r="AH7241" i="2"/>
  <c r="AE7241" i="2"/>
  <c r="AF7241" i="2" s="1"/>
  <c r="AD7241" i="2"/>
  <c r="X7241" i="2"/>
  <c r="W7241" i="2"/>
  <c r="AH7240" i="2"/>
  <c r="AE7240" i="2"/>
  <c r="AD7240" i="2"/>
  <c r="X7240" i="2"/>
  <c r="W7240" i="2"/>
  <c r="AH7239" i="2"/>
  <c r="AE7239" i="2"/>
  <c r="AD7239" i="2"/>
  <c r="X7239" i="2"/>
  <c r="W7239" i="2"/>
  <c r="AH7238" i="2"/>
  <c r="AE7238" i="2"/>
  <c r="AD7238" i="2"/>
  <c r="Y7238" i="2" s="1"/>
  <c r="X7238" i="2"/>
  <c r="W7238" i="2"/>
  <c r="AH7237" i="2"/>
  <c r="AE7237" i="2"/>
  <c r="AD7237" i="2"/>
  <c r="X7237" i="2"/>
  <c r="W7237" i="2"/>
  <c r="AH7236" i="2"/>
  <c r="AE7236" i="2"/>
  <c r="AD7236" i="2"/>
  <c r="X7236" i="2"/>
  <c r="W7236" i="2"/>
  <c r="AH7235" i="2"/>
  <c r="AE7235" i="2"/>
  <c r="AD7235" i="2"/>
  <c r="X7235" i="2"/>
  <c r="AC7235" i="2" s="1"/>
  <c r="W7235" i="2"/>
  <c r="AH7234" i="2"/>
  <c r="AE7234" i="2"/>
  <c r="AD7234" i="2"/>
  <c r="X7234" i="2"/>
  <c r="W7234" i="2"/>
  <c r="AH7233" i="2"/>
  <c r="AE7233" i="2"/>
  <c r="AF7233" i="2" s="1"/>
  <c r="AD7233" i="2"/>
  <c r="X7233" i="2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W7230" i="2"/>
  <c r="AH7229" i="2"/>
  <c r="AE7229" i="2"/>
  <c r="AD7229" i="2"/>
  <c r="X7229" i="2"/>
  <c r="W7229" i="2"/>
  <c r="AH7228" i="2"/>
  <c r="AE7228" i="2"/>
  <c r="AD7228" i="2"/>
  <c r="X7228" i="2"/>
  <c r="W7228" i="2"/>
  <c r="AH7227" i="2"/>
  <c r="AE7227" i="2"/>
  <c r="AD7227" i="2"/>
  <c r="X7227" i="2"/>
  <c r="W7227" i="2"/>
  <c r="AH7226" i="2"/>
  <c r="AE7226" i="2"/>
  <c r="AD7226" i="2"/>
  <c r="X7226" i="2"/>
  <c r="W7226" i="2"/>
  <c r="AH7225" i="2"/>
  <c r="AE7225" i="2"/>
  <c r="AF7225" i="2" s="1"/>
  <c r="AD7225" i="2"/>
  <c r="X7225" i="2"/>
  <c r="W7225" i="2"/>
  <c r="AH7224" i="2"/>
  <c r="AE7224" i="2"/>
  <c r="AD7224" i="2"/>
  <c r="X7224" i="2"/>
  <c r="W7224" i="2"/>
  <c r="AH7223" i="2"/>
  <c r="AE7223" i="2"/>
  <c r="AD7223" i="2"/>
  <c r="X7223" i="2"/>
  <c r="W7223" i="2"/>
  <c r="AH7222" i="2"/>
  <c r="AE7222" i="2"/>
  <c r="AD7222" i="2"/>
  <c r="X7222" i="2"/>
  <c r="W7222" i="2"/>
  <c r="AH7221" i="2"/>
  <c r="AE7221" i="2"/>
  <c r="AD7221" i="2"/>
  <c r="X7221" i="2"/>
  <c r="W7221" i="2"/>
  <c r="AH7220" i="2"/>
  <c r="AE7220" i="2"/>
  <c r="AD7220" i="2"/>
  <c r="X7220" i="2"/>
  <c r="W7220" i="2"/>
  <c r="AH7219" i="2"/>
  <c r="AE7219" i="2"/>
  <c r="AD7219" i="2"/>
  <c r="X7219" i="2"/>
  <c r="AC7219" i="2" s="1"/>
  <c r="W7219" i="2"/>
  <c r="AH7218" i="2"/>
  <c r="AE7218" i="2"/>
  <c r="AD7218" i="2"/>
  <c r="X7218" i="2"/>
  <c r="W7218" i="2"/>
  <c r="AH7217" i="2"/>
  <c r="AE7217" i="2"/>
  <c r="AF7217" i="2" s="1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D7214" i="2"/>
  <c r="Y7214" i="2" s="1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Y7211" i="2" s="1"/>
  <c r="W7211" i="2"/>
  <c r="AH7210" i="2"/>
  <c r="AE7210" i="2"/>
  <c r="AD7210" i="2"/>
  <c r="X7210" i="2"/>
  <c r="W7210" i="2"/>
  <c r="AH7209" i="2"/>
  <c r="AE7209" i="2"/>
  <c r="AF7209" i="2" s="1"/>
  <c r="AD7209" i="2"/>
  <c r="X7209" i="2"/>
  <c r="W7209" i="2"/>
  <c r="AH7208" i="2"/>
  <c r="AE7208" i="2"/>
  <c r="AD7208" i="2"/>
  <c r="X7208" i="2"/>
  <c r="W7208" i="2"/>
  <c r="AH7207" i="2"/>
  <c r="AE7207" i="2"/>
  <c r="AD7207" i="2"/>
  <c r="X7207" i="2"/>
  <c r="W7207" i="2"/>
  <c r="AH7206" i="2"/>
  <c r="AE7206" i="2"/>
  <c r="AD7206" i="2"/>
  <c r="X7206" i="2"/>
  <c r="W7206" i="2"/>
  <c r="AH7205" i="2"/>
  <c r="AE7205" i="2"/>
  <c r="AD7205" i="2"/>
  <c r="X7205" i="2"/>
  <c r="AC7205" i="2" s="1"/>
  <c r="W7205" i="2"/>
  <c r="AH7204" i="2"/>
  <c r="AE7204" i="2"/>
  <c r="AD7204" i="2"/>
  <c r="X7204" i="2"/>
  <c r="W7204" i="2"/>
  <c r="AH7203" i="2"/>
  <c r="AE7203" i="2"/>
  <c r="AD7203" i="2"/>
  <c r="X7203" i="2"/>
  <c r="AB7203" i="2" s="1"/>
  <c r="AK7203" i="2" s="1"/>
  <c r="W7203" i="2"/>
  <c r="AH7202" i="2"/>
  <c r="AE7202" i="2"/>
  <c r="AD7202" i="2"/>
  <c r="X7202" i="2"/>
  <c r="W7202" i="2"/>
  <c r="AH7201" i="2"/>
  <c r="AE7201" i="2"/>
  <c r="AF7201" i="2" s="1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AB7199" i="2" s="1"/>
  <c r="AK7199" i="2" s="1"/>
  <c r="W7199" i="2"/>
  <c r="AH7198" i="2"/>
  <c r="AE7198" i="2"/>
  <c r="AD7198" i="2"/>
  <c r="X7198" i="2"/>
  <c r="W7198" i="2"/>
  <c r="AH7197" i="2"/>
  <c r="AE7197" i="2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X7194" i="2"/>
  <c r="W7194" i="2"/>
  <c r="AH7193" i="2"/>
  <c r="AE7193" i="2"/>
  <c r="AF7193" i="2" s="1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W7190" i="2"/>
  <c r="AH7189" i="2"/>
  <c r="AE7189" i="2"/>
  <c r="AD7189" i="2"/>
  <c r="X7189" i="2"/>
  <c r="W7189" i="2"/>
  <c r="AH7188" i="2"/>
  <c r="AE7188" i="2"/>
  <c r="AD7188" i="2"/>
  <c r="X7188" i="2"/>
  <c r="W7188" i="2"/>
  <c r="AH7187" i="2"/>
  <c r="AE7187" i="2"/>
  <c r="AD7187" i="2"/>
  <c r="X7187" i="2"/>
  <c r="W7187" i="2"/>
  <c r="AH7186" i="2"/>
  <c r="AE7186" i="2"/>
  <c r="AD7186" i="2"/>
  <c r="X7186" i="2"/>
  <c r="W7186" i="2"/>
  <c r="AH7185" i="2"/>
  <c r="AE7185" i="2"/>
  <c r="AF7185" i="2" s="1"/>
  <c r="AD7185" i="2"/>
  <c r="X7185" i="2"/>
  <c r="W7185" i="2"/>
  <c r="AH7184" i="2"/>
  <c r="AE7184" i="2"/>
  <c r="AD7184" i="2"/>
  <c r="X7184" i="2"/>
  <c r="W7184" i="2"/>
  <c r="AH7183" i="2"/>
  <c r="AE7183" i="2"/>
  <c r="AD7183" i="2"/>
  <c r="X7183" i="2"/>
  <c r="W7183" i="2"/>
  <c r="AH7182" i="2"/>
  <c r="AE7182" i="2"/>
  <c r="AD7182" i="2"/>
  <c r="Y7182" i="2" s="1"/>
  <c r="X7182" i="2"/>
  <c r="W7182" i="2"/>
  <c r="AH7181" i="2"/>
  <c r="AE7181" i="2"/>
  <c r="AD7181" i="2"/>
  <c r="X7181" i="2"/>
  <c r="W7181" i="2"/>
  <c r="AH7180" i="2"/>
  <c r="AE7180" i="2"/>
  <c r="AD7180" i="2"/>
  <c r="X7180" i="2"/>
  <c r="W7180" i="2"/>
  <c r="AH7179" i="2"/>
  <c r="AE7179" i="2"/>
  <c r="AD7179" i="2"/>
  <c r="X7179" i="2"/>
  <c r="W7179" i="2"/>
  <c r="AH7178" i="2"/>
  <c r="AE7178" i="2"/>
  <c r="AD7178" i="2"/>
  <c r="X7178" i="2"/>
  <c r="W7178" i="2"/>
  <c r="AH7177" i="2"/>
  <c r="AE7177" i="2"/>
  <c r="AF7177" i="2" s="1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D7174" i="2"/>
  <c r="Y7174" i="2" s="1"/>
  <c r="X7174" i="2"/>
  <c r="W7174" i="2"/>
  <c r="AH7173" i="2"/>
  <c r="AE7173" i="2"/>
  <c r="AD7173" i="2"/>
  <c r="X7173" i="2"/>
  <c r="W7173" i="2"/>
  <c r="AH7172" i="2"/>
  <c r="AE7172" i="2"/>
  <c r="AD7172" i="2"/>
  <c r="X7172" i="2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F7169" i="2" s="1"/>
  <c r="AD7169" i="2"/>
  <c r="X7169" i="2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W7166" i="2"/>
  <c r="AH7165" i="2"/>
  <c r="AE7165" i="2"/>
  <c r="AD7165" i="2"/>
  <c r="X7165" i="2"/>
  <c r="W7165" i="2"/>
  <c r="AH7164" i="2"/>
  <c r="AE7164" i="2"/>
  <c r="AD7164" i="2"/>
  <c r="X7164" i="2"/>
  <c r="W7164" i="2"/>
  <c r="AH7163" i="2"/>
  <c r="AE7163" i="2"/>
  <c r="AD7163" i="2"/>
  <c r="X7163" i="2"/>
  <c r="W7163" i="2"/>
  <c r="AH7162" i="2"/>
  <c r="AE7162" i="2"/>
  <c r="AD7162" i="2"/>
  <c r="X7162" i="2"/>
  <c r="W7162" i="2"/>
  <c r="AH7161" i="2"/>
  <c r="AE7161" i="2"/>
  <c r="AF7161" i="2" s="1"/>
  <c r="AD7161" i="2"/>
  <c r="X7161" i="2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W7158" i="2"/>
  <c r="AH7157" i="2"/>
  <c r="AE7157" i="2"/>
  <c r="AD7157" i="2"/>
  <c r="X7157" i="2"/>
  <c r="W7157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F7153" i="2" s="1"/>
  <c r="AD7153" i="2"/>
  <c r="X7153" i="2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W7148" i="2"/>
  <c r="AH7147" i="2"/>
  <c r="AE7147" i="2"/>
  <c r="AD7147" i="2"/>
  <c r="X7147" i="2"/>
  <c r="AB7147" i="2" s="1"/>
  <c r="AK7147" i="2" s="1"/>
  <c r="W7147" i="2"/>
  <c r="AH7146" i="2"/>
  <c r="AE7146" i="2"/>
  <c r="AD7146" i="2"/>
  <c r="X7146" i="2"/>
  <c r="W7146" i="2"/>
  <c r="AH7145" i="2"/>
  <c r="AE7145" i="2"/>
  <c r="AF7145" i="2" s="1"/>
  <c r="AD7145" i="2"/>
  <c r="X7145" i="2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W7142" i="2"/>
  <c r="AH7141" i="2"/>
  <c r="AE7141" i="2"/>
  <c r="AD7141" i="2"/>
  <c r="X7141" i="2"/>
  <c r="AC7141" i="2" s="1"/>
  <c r="W7141" i="2"/>
  <c r="AH7140" i="2"/>
  <c r="AE7140" i="2"/>
  <c r="AD7140" i="2"/>
  <c r="X7140" i="2"/>
  <c r="W7140" i="2"/>
  <c r="AH7139" i="2"/>
  <c r="AE7139" i="2"/>
  <c r="AD7139" i="2"/>
  <c r="X7139" i="2"/>
  <c r="AB7139" i="2" s="1"/>
  <c r="AK7139" i="2" s="1"/>
  <c r="W7139" i="2"/>
  <c r="AH7138" i="2"/>
  <c r="AE7138" i="2"/>
  <c r="AD7138" i="2"/>
  <c r="X7138" i="2"/>
  <c r="W7138" i="2"/>
  <c r="AH7137" i="2"/>
  <c r="AE7137" i="2"/>
  <c r="AF7137" i="2" s="1"/>
  <c r="AD7137" i="2"/>
  <c r="X7137" i="2"/>
  <c r="W7137" i="2"/>
  <c r="AH7136" i="2"/>
  <c r="AE7136" i="2"/>
  <c r="AD7136" i="2"/>
  <c r="AF7136" i="2" s="1"/>
  <c r="X7136" i="2"/>
  <c r="W7136" i="2"/>
  <c r="AH7135" i="2"/>
  <c r="AE7135" i="2"/>
  <c r="AD7135" i="2"/>
  <c r="X7135" i="2"/>
  <c r="W7135" i="2"/>
  <c r="AH7134" i="2"/>
  <c r="AE7134" i="2"/>
  <c r="AD7134" i="2"/>
  <c r="Y7134" i="2" s="1"/>
  <c r="X7134" i="2"/>
  <c r="W7134" i="2"/>
  <c r="AH7133" i="2"/>
  <c r="AE7133" i="2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W7131" i="2"/>
  <c r="AH7130" i="2"/>
  <c r="AE7130" i="2"/>
  <c r="AD7130" i="2"/>
  <c r="X7130" i="2"/>
  <c r="W7130" i="2"/>
  <c r="AH7129" i="2"/>
  <c r="AE7129" i="2"/>
  <c r="AF7129" i="2" s="1"/>
  <c r="AD7129" i="2"/>
  <c r="X7129" i="2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W7126" i="2"/>
  <c r="AH7125" i="2"/>
  <c r="AE7125" i="2"/>
  <c r="AD7125" i="2"/>
  <c r="X7125" i="2"/>
  <c r="AC7125" i="2" s="1"/>
  <c r="W7125" i="2"/>
  <c r="AH7124" i="2"/>
  <c r="AE7124" i="2"/>
  <c r="AD7124" i="2"/>
  <c r="X7124" i="2"/>
  <c r="W7124" i="2"/>
  <c r="AH7123" i="2"/>
  <c r="AE7123" i="2"/>
  <c r="AD7123" i="2"/>
  <c r="X7123" i="2"/>
  <c r="W7123" i="2"/>
  <c r="AH7122" i="2"/>
  <c r="AE7122" i="2"/>
  <c r="AD7122" i="2"/>
  <c r="X7122" i="2"/>
  <c r="AK7122" i="2" s="1"/>
  <c r="W7122" i="2"/>
  <c r="AH7121" i="2"/>
  <c r="AE7121" i="2"/>
  <c r="AF7121" i="2" s="1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W7118" i="2"/>
  <c r="AH7117" i="2"/>
  <c r="AE7117" i="2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F7108" i="2" s="1"/>
  <c r="AD7108" i="2"/>
  <c r="X7108" i="2"/>
  <c r="W7108" i="2"/>
  <c r="AH7107" i="2"/>
  <c r="AE7107" i="2"/>
  <c r="AD7107" i="2"/>
  <c r="AF7107" i="2" s="1"/>
  <c r="X7107" i="2"/>
  <c r="W7107" i="2"/>
  <c r="AH7106" i="2"/>
  <c r="AE7106" i="2"/>
  <c r="AD7106" i="2"/>
  <c r="X7106" i="2"/>
  <c r="AC7106" i="2" s="1"/>
  <c r="W7106" i="2"/>
  <c r="AH7105" i="2"/>
  <c r="AE7105" i="2"/>
  <c r="AD7105" i="2"/>
  <c r="X7105" i="2"/>
  <c r="AK7105" i="2" s="1"/>
  <c r="W7105" i="2"/>
  <c r="AH7104" i="2"/>
  <c r="AE7104" i="2"/>
  <c r="AD7104" i="2"/>
  <c r="X7104" i="2"/>
  <c r="AC7104" i="2" s="1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D7101" i="2"/>
  <c r="X7101" i="2"/>
  <c r="W7101" i="2"/>
  <c r="AH7100" i="2"/>
  <c r="AE7100" i="2"/>
  <c r="AF7100" i="2" s="1"/>
  <c r="AD7100" i="2"/>
  <c r="X7100" i="2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F7095" i="2" s="1"/>
  <c r="AD7095" i="2"/>
  <c r="X7095" i="2"/>
  <c r="W7095" i="2"/>
  <c r="AH7094" i="2"/>
  <c r="AE7094" i="2"/>
  <c r="AD7094" i="2"/>
  <c r="X7094" i="2"/>
  <c r="AC7094" i="2" s="1"/>
  <c r="W7094" i="2"/>
  <c r="AH7093" i="2"/>
  <c r="AE7093" i="2"/>
  <c r="AD7093" i="2"/>
  <c r="X7093" i="2"/>
  <c r="AH7092" i="2"/>
  <c r="AE7092" i="2"/>
  <c r="AD7092" i="2"/>
  <c r="X7092" i="2"/>
  <c r="W7092" i="2"/>
  <c r="AH7091" i="2"/>
  <c r="AE7091" i="2"/>
  <c r="AD7091" i="2"/>
  <c r="X7091" i="2"/>
  <c r="W7091" i="2"/>
  <c r="AH7090" i="2"/>
  <c r="AE7090" i="2"/>
  <c r="AF7090" i="2" s="1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AB7084" i="2" s="1"/>
  <c r="AK7084" i="2" s="1"/>
  <c r="W7084" i="2"/>
  <c r="AH7083" i="2"/>
  <c r="AE7083" i="2"/>
  <c r="AD7083" i="2"/>
  <c r="X7083" i="2"/>
  <c r="W7083" i="2"/>
  <c r="AH7082" i="2"/>
  <c r="AE7082" i="2"/>
  <c r="AF7082" i="2" s="1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K7077" i="2" s="1"/>
  <c r="W7077" i="2"/>
  <c r="AH7076" i="2"/>
  <c r="AE7076" i="2"/>
  <c r="AD7076" i="2"/>
  <c r="X7076" i="2"/>
  <c r="W7076" i="2"/>
  <c r="AH7075" i="2"/>
  <c r="AE7075" i="2"/>
  <c r="AD7075" i="2"/>
  <c r="X7075" i="2"/>
  <c r="W7075" i="2"/>
  <c r="AH7074" i="2"/>
  <c r="AE7074" i="2"/>
  <c r="AF7074" i="2" s="1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F7066" i="2" s="1"/>
  <c r="AD7066" i="2"/>
  <c r="X7066" i="2"/>
  <c r="W7066" i="2"/>
  <c r="AH7065" i="2"/>
  <c r="AE7065" i="2"/>
  <c r="AD7065" i="2"/>
  <c r="X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F7058" i="2" s="1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K7056" i="2" s="1"/>
  <c r="W7056" i="2"/>
  <c r="AH7055" i="2"/>
  <c r="AE7055" i="2"/>
  <c r="AD7055" i="2"/>
  <c r="X7055" i="2"/>
  <c r="W7055" i="2"/>
  <c r="AH7054" i="2"/>
  <c r="AE7054" i="2"/>
  <c r="AD7054" i="2"/>
  <c r="X7054" i="2"/>
  <c r="Y7054" i="2" s="1"/>
  <c r="W7054" i="2"/>
  <c r="AH7053" i="2"/>
  <c r="AE7053" i="2"/>
  <c r="AD7053" i="2"/>
  <c r="X7053" i="2"/>
  <c r="W7053" i="2"/>
  <c r="AH7052" i="2"/>
  <c r="AE7052" i="2"/>
  <c r="AF7052" i="2" s="1"/>
  <c r="AD7052" i="2"/>
  <c r="X7052" i="2"/>
  <c r="W7052" i="2"/>
  <c r="AH7051" i="2"/>
  <c r="AE7051" i="2"/>
  <c r="AD7051" i="2"/>
  <c r="X7051" i="2"/>
  <c r="W7051" i="2"/>
  <c r="AH7050" i="2"/>
  <c r="AE7050" i="2"/>
  <c r="AF7050" i="2" s="1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W7045" i="2"/>
  <c r="AH7044" i="2"/>
  <c r="AE7044" i="2"/>
  <c r="AF7044" i="2" s="1"/>
  <c r="AD7044" i="2"/>
  <c r="X7044" i="2"/>
  <c r="Y7044" i="2" s="1"/>
  <c r="W7044" i="2"/>
  <c r="AH7043" i="2"/>
  <c r="AE7043" i="2"/>
  <c r="AD7043" i="2"/>
  <c r="X7043" i="2"/>
  <c r="W7043" i="2"/>
  <c r="AH7042" i="2"/>
  <c r="AE7042" i="2"/>
  <c r="AF7042" i="2" s="1"/>
  <c r="AD7042" i="2"/>
  <c r="X7042" i="2"/>
  <c r="W7042" i="2"/>
  <c r="AH7041" i="2"/>
  <c r="AE7041" i="2"/>
  <c r="AD7041" i="2"/>
  <c r="AF7041" i="2" s="1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AB7038" i="2" s="1"/>
  <c r="AK7038" i="2" s="1"/>
  <c r="W7038" i="2"/>
  <c r="AH7037" i="2"/>
  <c r="AE7037" i="2"/>
  <c r="AD7037" i="2"/>
  <c r="X7037" i="2"/>
  <c r="W7037" i="2"/>
  <c r="AH7036" i="2"/>
  <c r="AE7036" i="2"/>
  <c r="AD7036" i="2"/>
  <c r="X7036" i="2"/>
  <c r="AC7036" i="2" s="1"/>
  <c r="W7036" i="2"/>
  <c r="AH7035" i="2"/>
  <c r="AE7035" i="2"/>
  <c r="AD7035" i="2"/>
  <c r="X7035" i="2"/>
  <c r="W7035" i="2"/>
  <c r="AH7034" i="2"/>
  <c r="AE7034" i="2"/>
  <c r="AD7034" i="2"/>
  <c r="X7034" i="2"/>
  <c r="W7034" i="2"/>
  <c r="AH7033" i="2"/>
  <c r="AE7033" i="2"/>
  <c r="AD7033" i="2"/>
  <c r="X7033" i="2"/>
  <c r="W7033" i="2"/>
  <c r="AH7032" i="2"/>
  <c r="AE7032" i="2"/>
  <c r="AD7032" i="2"/>
  <c r="X7032" i="2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F7028" i="2" s="1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025" i="2"/>
  <c r="AE7025" i="2"/>
  <c r="AD7025" i="2"/>
  <c r="AF7025" i="2" s="1"/>
  <c r="X7025" i="2"/>
  <c r="W7025" i="2"/>
  <c r="AH7024" i="2"/>
  <c r="AE7024" i="2"/>
  <c r="AD7024" i="2"/>
  <c r="X7024" i="2"/>
  <c r="W7024" i="2"/>
  <c r="AH7023" i="2"/>
  <c r="AE7023" i="2"/>
  <c r="AD7023" i="2"/>
  <c r="X7023" i="2"/>
  <c r="W7023" i="2"/>
  <c r="AH7022" i="2"/>
  <c r="AE7022" i="2"/>
  <c r="AD7022" i="2"/>
  <c r="X7022" i="2"/>
  <c r="W7022" i="2"/>
  <c r="AH7021" i="2"/>
  <c r="AE7021" i="2"/>
  <c r="AD7021" i="2"/>
  <c r="X7021" i="2"/>
  <c r="W7021" i="2"/>
  <c r="AH7020" i="2"/>
  <c r="AE7020" i="2"/>
  <c r="AD7020" i="2"/>
  <c r="X7020" i="2"/>
  <c r="W7020" i="2"/>
  <c r="AH7019" i="2"/>
  <c r="AE7019" i="2"/>
  <c r="AD7019" i="2"/>
  <c r="X7019" i="2"/>
  <c r="W7019" i="2"/>
  <c r="AH7018" i="2"/>
  <c r="AE7018" i="2"/>
  <c r="AD7018" i="2"/>
  <c r="X7018" i="2"/>
  <c r="W7018" i="2"/>
  <c r="AH7017" i="2"/>
  <c r="AE7017" i="2"/>
  <c r="AD7017" i="2"/>
  <c r="X7017" i="2"/>
  <c r="AK7017" i="2" s="1"/>
  <c r="W7017" i="2"/>
  <c r="AH7016" i="2"/>
  <c r="AE7016" i="2"/>
  <c r="AD7016" i="2"/>
  <c r="X7016" i="2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F7010" i="2" s="1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Y7007" i="2" s="1"/>
  <c r="X7007" i="2"/>
  <c r="W7007" i="2"/>
  <c r="AH7006" i="2"/>
  <c r="AE7006" i="2"/>
  <c r="AD7006" i="2"/>
  <c r="X7006" i="2"/>
  <c r="W7006" i="2"/>
  <c r="AH7005" i="2"/>
  <c r="AE7005" i="2"/>
  <c r="AD7005" i="2"/>
  <c r="X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F7002" i="2" s="1"/>
  <c r="AD7002" i="2"/>
  <c r="X7002" i="2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X6998" i="2"/>
  <c r="AK6998" i="2" s="1"/>
  <c r="W6998" i="2"/>
  <c r="AH6997" i="2"/>
  <c r="AE6997" i="2"/>
  <c r="AF6997" i="2" s="1"/>
  <c r="AD6997" i="2"/>
  <c r="X6997" i="2"/>
  <c r="W6997" i="2"/>
  <c r="AH6996" i="2"/>
  <c r="AE6996" i="2"/>
  <c r="AD6996" i="2"/>
  <c r="Y6996" i="2" s="1"/>
  <c r="X6996" i="2"/>
  <c r="W6996" i="2"/>
  <c r="AH6995" i="2"/>
  <c r="AE6995" i="2"/>
  <c r="AD6995" i="2"/>
  <c r="X6995" i="2"/>
  <c r="AC6995" i="2" s="1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F6989" i="2" s="1"/>
  <c r="AD6989" i="2"/>
  <c r="X6989" i="2"/>
  <c r="W6989" i="2"/>
  <c r="AH6988" i="2"/>
  <c r="AE6988" i="2"/>
  <c r="AD6988" i="2"/>
  <c r="Y6988" i="2" s="1"/>
  <c r="X6988" i="2"/>
  <c r="W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B6985" i="2" s="1"/>
  <c r="AK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F6981" i="2" s="1"/>
  <c r="AD6981" i="2"/>
  <c r="X6981" i="2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W6976" i="2"/>
  <c r="AH6975" i="2"/>
  <c r="AE6975" i="2"/>
  <c r="AD6975" i="2"/>
  <c r="X6975" i="2"/>
  <c r="Y6975" i="2" s="1"/>
  <c r="W6975" i="2"/>
  <c r="AH6974" i="2"/>
  <c r="AE6974" i="2"/>
  <c r="AD6974" i="2"/>
  <c r="X6974" i="2"/>
  <c r="W6974" i="2"/>
  <c r="AH6973" i="2"/>
  <c r="AE6973" i="2"/>
  <c r="AF6973" i="2" s="1"/>
  <c r="AD6973" i="2"/>
  <c r="X6973" i="2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F6965" i="2" s="1"/>
  <c r="AD6965" i="2"/>
  <c r="X6965" i="2"/>
  <c r="W6965" i="2"/>
  <c r="AH6964" i="2"/>
  <c r="AE6964" i="2"/>
  <c r="AD6964" i="2"/>
  <c r="X6964" i="2"/>
  <c r="AK6964" i="2" s="1"/>
  <c r="W6964" i="2"/>
  <c r="AH6963" i="2"/>
  <c r="AE6963" i="2"/>
  <c r="AD6963" i="2"/>
  <c r="X6963" i="2"/>
  <c r="AK6963" i="2" s="1"/>
  <c r="W6963" i="2"/>
  <c r="AH6962" i="2"/>
  <c r="AE6962" i="2"/>
  <c r="AD6962" i="2"/>
  <c r="X6962" i="2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F6957" i="2" s="1"/>
  <c r="AD6957" i="2"/>
  <c r="X6957" i="2"/>
  <c r="W6957" i="2"/>
  <c r="AH6956" i="2"/>
  <c r="AE6956" i="2"/>
  <c r="AD6956" i="2"/>
  <c r="Y6956" i="2" s="1"/>
  <c r="X6956" i="2"/>
  <c r="W6956" i="2"/>
  <c r="AH6955" i="2"/>
  <c r="AE6955" i="2"/>
  <c r="AD6955" i="2"/>
  <c r="X6955" i="2"/>
  <c r="AC6955" i="2" s="1"/>
  <c r="W6955" i="2"/>
  <c r="AH6954" i="2"/>
  <c r="AE6954" i="2"/>
  <c r="AD6954" i="2"/>
  <c r="X6954" i="2"/>
  <c r="W6954" i="2"/>
  <c r="AH6953" i="2"/>
  <c r="AE6953" i="2"/>
  <c r="AD6953" i="2"/>
  <c r="X6953" i="2"/>
  <c r="AC6953" i="2" s="1"/>
  <c r="W6953" i="2"/>
  <c r="AH6952" i="2"/>
  <c r="AE6952" i="2"/>
  <c r="AD6952" i="2"/>
  <c r="X6952" i="2"/>
  <c r="W6952" i="2"/>
  <c r="AH6951" i="2"/>
  <c r="AE6951" i="2"/>
  <c r="AF6951" i="2" s="1"/>
  <c r="AD6951" i="2"/>
  <c r="X6951" i="2"/>
  <c r="W6951" i="2"/>
  <c r="AH6950" i="2"/>
  <c r="AE6950" i="2"/>
  <c r="AD6950" i="2"/>
  <c r="X6950" i="2"/>
  <c r="W6950" i="2"/>
  <c r="AH6949" i="2"/>
  <c r="AE6949" i="2"/>
  <c r="AF6949" i="2" s="1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AC6943" i="2" s="1"/>
  <c r="W6943" i="2"/>
  <c r="AH6942" i="2"/>
  <c r="AE6942" i="2"/>
  <c r="AD6942" i="2"/>
  <c r="X6942" i="2"/>
  <c r="AK6942" i="2" s="1"/>
  <c r="W6942" i="2"/>
  <c r="AH6941" i="2"/>
  <c r="AE6941" i="2"/>
  <c r="AF6941" i="2" s="1"/>
  <c r="AD6941" i="2"/>
  <c r="X6941" i="2"/>
  <c r="AK6941" i="2" s="1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W6938" i="2"/>
  <c r="AH6937" i="2"/>
  <c r="AE6937" i="2"/>
  <c r="AD6937" i="2"/>
  <c r="X6937" i="2"/>
  <c r="W6937" i="2"/>
  <c r="AH6936" i="2"/>
  <c r="AE6936" i="2"/>
  <c r="AD6936" i="2"/>
  <c r="X6936" i="2"/>
  <c r="W6936" i="2"/>
  <c r="AH6935" i="2"/>
  <c r="AE6935" i="2"/>
  <c r="AD6935" i="2"/>
  <c r="X6935" i="2"/>
  <c r="W6935" i="2"/>
  <c r="AH6934" i="2"/>
  <c r="AE6934" i="2"/>
  <c r="AD6934" i="2"/>
  <c r="X6934" i="2"/>
  <c r="W6934" i="2"/>
  <c r="AH6933" i="2"/>
  <c r="AE6933" i="2"/>
  <c r="AF6933" i="2" s="1"/>
  <c r="AD6933" i="2"/>
  <c r="X6933" i="2"/>
  <c r="W6933" i="2"/>
  <c r="AH6932" i="2"/>
  <c r="AE6932" i="2"/>
  <c r="AD6932" i="2"/>
  <c r="AF6932" i="2" s="1"/>
  <c r="X6932" i="2"/>
  <c r="W6932" i="2"/>
  <c r="AH6931" i="2"/>
  <c r="AE6931" i="2"/>
  <c r="AD6931" i="2"/>
  <c r="X6931" i="2"/>
  <c r="W6931" i="2"/>
  <c r="AH6930" i="2"/>
  <c r="AE6930" i="2"/>
  <c r="AD6930" i="2"/>
  <c r="X6930" i="2"/>
  <c r="W6930" i="2"/>
  <c r="AH6929" i="2"/>
  <c r="AE6929" i="2"/>
  <c r="AD6929" i="2"/>
  <c r="X6929" i="2"/>
  <c r="AC6929" i="2" s="1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F6925" i="2" s="1"/>
  <c r="AD6925" i="2"/>
  <c r="X6925" i="2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W6922" i="2"/>
  <c r="AH6921" i="2"/>
  <c r="AE6921" i="2"/>
  <c r="AD6921" i="2"/>
  <c r="X6921" i="2"/>
  <c r="Y6921" i="2" s="1"/>
  <c r="W6921" i="2"/>
  <c r="AH6920" i="2"/>
  <c r="AE6920" i="2"/>
  <c r="AD6920" i="2"/>
  <c r="X6920" i="2"/>
  <c r="W6920" i="2"/>
  <c r="AH6919" i="2"/>
  <c r="AE6919" i="2"/>
  <c r="AD6919" i="2"/>
  <c r="X6919" i="2"/>
  <c r="Y6919" i="2" s="1"/>
  <c r="AH6918" i="2"/>
  <c r="AE6918" i="2"/>
  <c r="AD6918" i="2"/>
  <c r="X6918" i="2"/>
  <c r="W6918" i="2"/>
  <c r="AH6917" i="2"/>
  <c r="AE6917" i="2"/>
  <c r="AD6917" i="2"/>
  <c r="X6917" i="2"/>
  <c r="W6917" i="2"/>
  <c r="AH6916" i="2"/>
  <c r="AE6916" i="2"/>
  <c r="AD6916" i="2"/>
  <c r="X6916" i="2"/>
  <c r="Y6916" i="2" s="1"/>
  <c r="W6916" i="2"/>
  <c r="AH6915" i="2"/>
  <c r="AE6915" i="2"/>
  <c r="AD6915" i="2"/>
  <c r="X6915" i="2"/>
  <c r="W6915" i="2"/>
  <c r="AH6914" i="2"/>
  <c r="AE6914" i="2"/>
  <c r="AF6914" i="2" s="1"/>
  <c r="AD6914" i="2"/>
  <c r="X6914" i="2"/>
  <c r="W6914" i="2"/>
  <c r="AH6913" i="2"/>
  <c r="AE6913" i="2"/>
  <c r="AD6913" i="2"/>
  <c r="X6913" i="2"/>
  <c r="AC6913" i="2" s="1"/>
  <c r="W6913" i="2"/>
  <c r="AH6912" i="2"/>
  <c r="AE6912" i="2"/>
  <c r="AF6912" i="2" s="1"/>
  <c r="AD6912" i="2"/>
  <c r="X6912" i="2"/>
  <c r="W6912" i="2"/>
  <c r="AH6911" i="2"/>
  <c r="AE6911" i="2"/>
  <c r="AD6911" i="2"/>
  <c r="AF6911" i="2" s="1"/>
  <c r="X6911" i="2"/>
  <c r="W6911" i="2"/>
  <c r="AH6910" i="2"/>
  <c r="AE6910" i="2"/>
  <c r="AD6910" i="2"/>
  <c r="X6910" i="2"/>
  <c r="AC6910" i="2" s="1"/>
  <c r="W6910" i="2"/>
  <c r="AH6909" i="2"/>
  <c r="AE6909" i="2"/>
  <c r="AD6909" i="2"/>
  <c r="X6909" i="2"/>
  <c r="W6909" i="2"/>
  <c r="AH6908" i="2"/>
  <c r="AE6908" i="2"/>
  <c r="AD6908" i="2"/>
  <c r="X6908" i="2"/>
  <c r="AC6908" i="2" s="1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AC6905" i="2" s="1"/>
  <c r="W6905" i="2"/>
  <c r="AH6904" i="2"/>
  <c r="AE6904" i="2"/>
  <c r="AF6904" i="2" s="1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F6898" i="2" s="1"/>
  <c r="AD6898" i="2"/>
  <c r="X6898" i="2"/>
  <c r="W6898" i="2"/>
  <c r="AH6897" i="2"/>
  <c r="AE6897" i="2"/>
  <c r="AD6897" i="2"/>
  <c r="X6897" i="2"/>
  <c r="W6897" i="2"/>
  <c r="AH6896" i="2"/>
  <c r="AE6896" i="2"/>
  <c r="AF6896" i="2" s="1"/>
  <c r="AD6896" i="2"/>
  <c r="X6896" i="2"/>
  <c r="W6896" i="2"/>
  <c r="AH6895" i="2"/>
  <c r="AE6895" i="2"/>
  <c r="AD6895" i="2"/>
  <c r="Y6895" i="2" s="1"/>
  <c r="X6895" i="2"/>
  <c r="W6895" i="2"/>
  <c r="AH6894" i="2"/>
  <c r="AE6894" i="2"/>
  <c r="AD6894" i="2"/>
  <c r="X6894" i="2"/>
  <c r="AH6893" i="2"/>
  <c r="AE6893" i="2"/>
  <c r="AD6893" i="2"/>
  <c r="X6893" i="2"/>
  <c r="W6893" i="2"/>
  <c r="AH6892" i="2"/>
  <c r="AE6892" i="2"/>
  <c r="AD6892" i="2"/>
  <c r="X6892" i="2"/>
  <c r="W6892" i="2"/>
  <c r="AH6891" i="2"/>
  <c r="AE6891" i="2"/>
  <c r="AF6891" i="2" s="1"/>
  <c r="AD6891" i="2"/>
  <c r="X6891" i="2"/>
  <c r="W6891" i="2"/>
  <c r="AH6890" i="2"/>
  <c r="AE6890" i="2"/>
  <c r="AD6890" i="2"/>
  <c r="X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AB6887" i="2" s="1"/>
  <c r="AK6887" i="2" s="1"/>
  <c r="W6887" i="2"/>
  <c r="AH6886" i="2"/>
  <c r="AE6886" i="2"/>
  <c r="AD6886" i="2"/>
  <c r="X6886" i="2"/>
  <c r="W6886" i="2"/>
  <c r="AH6885" i="2"/>
  <c r="AE6885" i="2"/>
  <c r="AF6885" i="2" s="1"/>
  <c r="AD6885" i="2"/>
  <c r="X6885" i="2"/>
  <c r="W6885" i="2"/>
  <c r="AH6884" i="2"/>
  <c r="AE6884" i="2"/>
  <c r="AD6884" i="2"/>
  <c r="X6884" i="2"/>
  <c r="W6884" i="2"/>
  <c r="AH6883" i="2"/>
  <c r="AE6883" i="2"/>
  <c r="AF6883" i="2" s="1"/>
  <c r="AD6883" i="2"/>
  <c r="X6883" i="2"/>
  <c r="W6883" i="2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F6879" i="2" s="1"/>
  <c r="X6879" i="2"/>
  <c r="W6879" i="2"/>
  <c r="AH6878" i="2"/>
  <c r="AE6878" i="2"/>
  <c r="AF6878" i="2" s="1"/>
  <c r="X6878" i="2"/>
  <c r="W6878" i="2"/>
  <c r="AH6877" i="2"/>
  <c r="AE6877" i="2"/>
  <c r="AF6877" i="2" s="1"/>
  <c r="X6877" i="2"/>
  <c r="W6877" i="2"/>
  <c r="AH6876" i="2"/>
  <c r="AE6876" i="2"/>
  <c r="AF6876" i="2" s="1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AC6873" i="2" s="1"/>
  <c r="W6873" i="2"/>
  <c r="AH6872" i="2"/>
  <c r="AE6872" i="2"/>
  <c r="AF6872" i="2" s="1"/>
  <c r="X6872" i="2"/>
  <c r="W6872" i="2"/>
  <c r="AH6871" i="2"/>
  <c r="AE6871" i="2"/>
  <c r="AF6871" i="2" s="1"/>
  <c r="X6871" i="2"/>
  <c r="W6871" i="2"/>
  <c r="AH6870" i="2"/>
  <c r="AE6870" i="2"/>
  <c r="AF6870" i="2" s="1"/>
  <c r="X6870" i="2"/>
  <c r="AC6870" i="2" s="1"/>
  <c r="W6870" i="2"/>
  <c r="AH6869" i="2"/>
  <c r="AE6869" i="2"/>
  <c r="AF6869" i="2" s="1"/>
  <c r="X6869" i="2"/>
  <c r="W6869" i="2"/>
  <c r="AH6868" i="2"/>
  <c r="AE6868" i="2"/>
  <c r="AF6868" i="2" s="1"/>
  <c r="X6868" i="2"/>
  <c r="W6868" i="2"/>
  <c r="AH6867" i="2"/>
  <c r="AE6867" i="2"/>
  <c r="AF6867" i="2" s="1"/>
  <c r="X6867" i="2"/>
  <c r="AC6867" i="2" s="1"/>
  <c r="W6867" i="2"/>
  <c r="AH6866" i="2"/>
  <c r="AE6866" i="2"/>
  <c r="AF6866" i="2" s="1"/>
  <c r="X6866" i="2"/>
  <c r="W6866" i="2"/>
  <c r="AH6865" i="2"/>
  <c r="AE6865" i="2"/>
  <c r="AF6865" i="2" s="1"/>
  <c r="X6865" i="2"/>
  <c r="W6865" i="2"/>
  <c r="AH6864" i="2"/>
  <c r="AE6864" i="2"/>
  <c r="AF6864" i="2" s="1"/>
  <c r="X6864" i="2"/>
  <c r="W6864" i="2"/>
  <c r="AH6863" i="2"/>
  <c r="AE6863" i="2"/>
  <c r="AF6863" i="2" s="1"/>
  <c r="X6863" i="2"/>
  <c r="W6863" i="2"/>
  <c r="AH6862" i="2"/>
  <c r="AE6862" i="2"/>
  <c r="AF6862" i="2" s="1"/>
  <c r="X6862" i="2"/>
  <c r="W6862" i="2"/>
  <c r="AH6861" i="2"/>
  <c r="AE6861" i="2"/>
  <c r="AF6861" i="2" s="1"/>
  <c r="X6861" i="2"/>
  <c r="W6861" i="2"/>
  <c r="AH6860" i="2"/>
  <c r="AE6860" i="2"/>
  <c r="AF6860" i="2" s="1"/>
  <c r="X6860" i="2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F6856" i="2" s="1"/>
  <c r="AD6856" i="2"/>
  <c r="X6856" i="2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AC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W6851" i="2"/>
  <c r="AH6850" i="2"/>
  <c r="AE6850" i="2"/>
  <c r="AD6850" i="2"/>
  <c r="X6850" i="2"/>
  <c r="W6850" i="2"/>
  <c r="AH6849" i="2"/>
  <c r="AE6849" i="2"/>
  <c r="AD6849" i="2"/>
  <c r="X6849" i="2"/>
  <c r="W6849" i="2"/>
  <c r="AH6848" i="2"/>
  <c r="AE6848" i="2"/>
  <c r="AF6848" i="2" s="1"/>
  <c r="AD6848" i="2"/>
  <c r="X6848" i="2"/>
  <c r="W6848" i="2"/>
  <c r="AH6847" i="2"/>
  <c r="AE6847" i="2"/>
  <c r="AD6847" i="2"/>
  <c r="AF6847" i="2" s="1"/>
  <c r="X6847" i="2"/>
  <c r="W6847" i="2"/>
  <c r="AH6846" i="2"/>
  <c r="AE6846" i="2"/>
  <c r="AD6846" i="2"/>
  <c r="X6846" i="2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F6842" i="2" s="1"/>
  <c r="AD6842" i="2"/>
  <c r="X6842" i="2"/>
  <c r="AB6842" i="2" s="1"/>
  <c r="AK6842" i="2" s="1"/>
  <c r="W6842" i="2"/>
  <c r="AH6841" i="2"/>
  <c r="AE6841" i="2"/>
  <c r="AD6841" i="2"/>
  <c r="X6841" i="2"/>
  <c r="AC6841" i="2" s="1"/>
  <c r="W6841" i="2"/>
  <c r="AH6840" i="2"/>
  <c r="AE6840" i="2"/>
  <c r="AF6840" i="2" s="1"/>
  <c r="AD6840" i="2"/>
  <c r="X6840" i="2"/>
  <c r="W6840" i="2"/>
  <c r="AH6839" i="2"/>
  <c r="AE6839" i="2"/>
  <c r="AD6839" i="2"/>
  <c r="AF6839" i="2" s="1"/>
  <c r="X6839" i="2"/>
  <c r="W6839" i="2"/>
  <c r="AH6838" i="2"/>
  <c r="AE6838" i="2"/>
  <c r="AD6838" i="2"/>
  <c r="X6838" i="2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F6834" i="2" s="1"/>
  <c r="AD6834" i="2"/>
  <c r="X6834" i="2"/>
  <c r="W6834" i="2"/>
  <c r="AH6833" i="2"/>
  <c r="AE6833" i="2"/>
  <c r="AD6833" i="2"/>
  <c r="X6833" i="2"/>
  <c r="W6833" i="2"/>
  <c r="AH6832" i="2"/>
  <c r="AE6832" i="2"/>
  <c r="AF6832" i="2" s="1"/>
  <c r="AD6832" i="2"/>
  <c r="X6832" i="2"/>
  <c r="W6832" i="2"/>
  <c r="AH6831" i="2"/>
  <c r="AE6831" i="2"/>
  <c r="AD6831" i="2"/>
  <c r="AF6831" i="2" s="1"/>
  <c r="X6831" i="2"/>
  <c r="W6831" i="2"/>
  <c r="AH6830" i="2"/>
  <c r="AE6830" i="2"/>
  <c r="AD6830" i="2"/>
  <c r="X6830" i="2"/>
  <c r="W6830" i="2"/>
  <c r="AH6829" i="2"/>
  <c r="AE6829" i="2"/>
  <c r="AD6829" i="2"/>
  <c r="X6829" i="2"/>
  <c r="AC6829" i="2" s="1"/>
  <c r="W6829" i="2"/>
  <c r="AH6828" i="2"/>
  <c r="AE6828" i="2"/>
  <c r="AD6828" i="2"/>
  <c r="X6828" i="2"/>
  <c r="AC6828" i="2" s="1"/>
  <c r="W6828" i="2"/>
  <c r="AH6827" i="2"/>
  <c r="AE6827" i="2"/>
  <c r="AD6827" i="2"/>
  <c r="X6827" i="2"/>
  <c r="W6827" i="2"/>
  <c r="AH6826" i="2"/>
  <c r="AE6826" i="2"/>
  <c r="AF6826" i="2" s="1"/>
  <c r="AD6826" i="2"/>
  <c r="X6826" i="2"/>
  <c r="AC6826" i="2" s="1"/>
  <c r="W6826" i="2"/>
  <c r="AH6825" i="2"/>
  <c r="AE6825" i="2"/>
  <c r="AD6825" i="2"/>
  <c r="X6825" i="2"/>
  <c r="AC6825" i="2" s="1"/>
  <c r="W6825" i="2"/>
  <c r="AH6824" i="2"/>
  <c r="AE6824" i="2"/>
  <c r="AF6824" i="2" s="1"/>
  <c r="AD6824" i="2"/>
  <c r="X6824" i="2"/>
  <c r="W6824" i="2"/>
  <c r="AH6823" i="2"/>
  <c r="AE6823" i="2"/>
  <c r="AD6823" i="2"/>
  <c r="AF6823" i="2" s="1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AB6820" i="2" s="1"/>
  <c r="AK6820" i="2" s="1"/>
  <c r="W6820" i="2"/>
  <c r="AH6819" i="2"/>
  <c r="AE6819" i="2"/>
  <c r="AD6819" i="2"/>
  <c r="X6819" i="2"/>
  <c r="W6819" i="2"/>
  <c r="AH6818" i="2"/>
  <c r="AE6818" i="2"/>
  <c r="AF6818" i="2" s="1"/>
  <c r="AD6818" i="2"/>
  <c r="X6818" i="2"/>
  <c r="W6818" i="2"/>
  <c r="AH6817" i="2"/>
  <c r="AE6817" i="2"/>
  <c r="AD6817" i="2"/>
  <c r="X6817" i="2"/>
  <c r="W6817" i="2"/>
  <c r="AH6816" i="2"/>
  <c r="AE6816" i="2"/>
  <c r="AF6816" i="2" s="1"/>
  <c r="AD6816" i="2"/>
  <c r="X6816" i="2"/>
  <c r="W6816" i="2"/>
  <c r="AH6815" i="2"/>
  <c r="AE6815" i="2"/>
  <c r="AD6815" i="2"/>
  <c r="Y6815" i="2" s="1"/>
  <c r="X6815" i="2"/>
  <c r="W6815" i="2"/>
  <c r="AH6814" i="2"/>
  <c r="AE6814" i="2"/>
  <c r="AD6814" i="2"/>
  <c r="X6814" i="2"/>
  <c r="W6814" i="2"/>
  <c r="AH6813" i="2"/>
  <c r="AE6813" i="2"/>
  <c r="AD6813" i="2"/>
  <c r="X6813" i="2"/>
  <c r="W6813" i="2"/>
  <c r="AH6812" i="2"/>
  <c r="AE6812" i="2"/>
  <c r="AD6812" i="2"/>
  <c r="X6812" i="2"/>
  <c r="W6812" i="2"/>
  <c r="AH6811" i="2"/>
  <c r="AE6811" i="2"/>
  <c r="AD6811" i="2"/>
  <c r="X6811" i="2"/>
  <c r="W6811" i="2"/>
  <c r="AH6810" i="2"/>
  <c r="AE6810" i="2"/>
  <c r="AF6810" i="2" s="1"/>
  <c r="AD6810" i="2"/>
  <c r="X6810" i="2"/>
  <c r="W6810" i="2"/>
  <c r="AH6809" i="2"/>
  <c r="AE6809" i="2"/>
  <c r="AD6809" i="2"/>
  <c r="X6809" i="2"/>
  <c r="W6809" i="2"/>
  <c r="AH6808" i="2"/>
  <c r="AE6808" i="2"/>
  <c r="AF6808" i="2" s="1"/>
  <c r="AD6808" i="2"/>
  <c r="X6808" i="2"/>
  <c r="W6808" i="2"/>
  <c r="AH6807" i="2"/>
  <c r="AE6807" i="2"/>
  <c r="AD6807" i="2"/>
  <c r="AF6807" i="2" s="1"/>
  <c r="X6807" i="2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AC6804" i="2" s="1"/>
  <c r="W6804" i="2"/>
  <c r="AH6803" i="2"/>
  <c r="AE6803" i="2"/>
  <c r="AD6803" i="2"/>
  <c r="X6803" i="2"/>
  <c r="W6803" i="2"/>
  <c r="AH6802" i="2"/>
  <c r="AE6802" i="2"/>
  <c r="AF6802" i="2" s="1"/>
  <c r="AD6802" i="2"/>
  <c r="X6802" i="2"/>
  <c r="Y6802" i="2" s="1"/>
  <c r="W6802" i="2"/>
  <c r="AH6801" i="2"/>
  <c r="AE6801" i="2"/>
  <c r="AD6801" i="2"/>
  <c r="X6801" i="2"/>
  <c r="AC6801" i="2" s="1"/>
  <c r="W6801" i="2"/>
  <c r="AH6800" i="2"/>
  <c r="AE6800" i="2"/>
  <c r="AF6800" i="2" s="1"/>
  <c r="AD6800" i="2"/>
  <c r="X6800" i="2"/>
  <c r="W6800" i="2"/>
  <c r="AH6799" i="2"/>
  <c r="AE6799" i="2"/>
  <c r="AD6799" i="2"/>
  <c r="Y6799" i="2" s="1"/>
  <c r="X6799" i="2"/>
  <c r="W6799" i="2"/>
  <c r="AH6798" i="2"/>
  <c r="AE6798" i="2"/>
  <c r="AD6798" i="2"/>
  <c r="X6798" i="2"/>
  <c r="W6798" i="2"/>
  <c r="AH6797" i="2"/>
  <c r="AE6797" i="2"/>
  <c r="AD6797" i="2"/>
  <c r="X6797" i="2"/>
  <c r="W6797" i="2"/>
  <c r="AH6796" i="2"/>
  <c r="AE6796" i="2"/>
  <c r="AD6796" i="2"/>
  <c r="X6796" i="2"/>
  <c r="Y6796" i="2" s="1"/>
  <c r="W6796" i="2"/>
  <c r="AH6795" i="2"/>
  <c r="AE6795" i="2"/>
  <c r="AD6795" i="2"/>
  <c r="X6795" i="2"/>
  <c r="W6795" i="2"/>
  <c r="AH6794" i="2"/>
  <c r="AE6794" i="2"/>
  <c r="AD6794" i="2"/>
  <c r="X6794" i="2"/>
  <c r="Y6794" i="2" s="1"/>
  <c r="W6794" i="2"/>
  <c r="AH6793" i="2"/>
  <c r="AE6793" i="2"/>
  <c r="AD6793" i="2"/>
  <c r="X6793" i="2"/>
  <c r="AC6793" i="2" s="1"/>
  <c r="W6793" i="2"/>
  <c r="AH6792" i="2"/>
  <c r="AE6792" i="2"/>
  <c r="AF6792" i="2" s="1"/>
  <c r="AD6792" i="2"/>
  <c r="X6792" i="2"/>
  <c r="W6792" i="2"/>
  <c r="AH6791" i="2"/>
  <c r="AE6791" i="2"/>
  <c r="AD6791" i="2"/>
  <c r="AF6791" i="2" s="1"/>
  <c r="X6791" i="2"/>
  <c r="W6791" i="2"/>
  <c r="AH6790" i="2"/>
  <c r="AE6790" i="2"/>
  <c r="AD6790" i="2"/>
  <c r="X6790" i="2"/>
  <c r="W6790" i="2"/>
  <c r="AH6789" i="2"/>
  <c r="AE6789" i="2"/>
  <c r="AD6789" i="2"/>
  <c r="Y6789" i="2" s="1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X6785" i="2"/>
  <c r="AC6785" i="2" s="1"/>
  <c r="W6785" i="2"/>
  <c r="AH6784" i="2"/>
  <c r="AE6784" i="2"/>
  <c r="AF6784" i="2" s="1"/>
  <c r="AD6784" i="2"/>
  <c r="X6784" i="2"/>
  <c r="W6784" i="2"/>
  <c r="AH6783" i="2"/>
  <c r="AE6783" i="2"/>
  <c r="AD6783" i="2"/>
  <c r="AF6783" i="2" s="1"/>
  <c r="X6783" i="2"/>
  <c r="W6783" i="2"/>
  <c r="AH6782" i="2"/>
  <c r="AE6782" i="2"/>
  <c r="AD6782" i="2"/>
  <c r="X6782" i="2"/>
  <c r="W6782" i="2"/>
  <c r="AH6781" i="2"/>
  <c r="AE6781" i="2"/>
  <c r="AD6781" i="2"/>
  <c r="X6781" i="2"/>
  <c r="W6781" i="2"/>
  <c r="AH6780" i="2"/>
  <c r="AE6780" i="2"/>
  <c r="AD6780" i="2"/>
  <c r="X6780" i="2"/>
  <c r="AC6780" i="2" s="1"/>
  <c r="W6780" i="2"/>
  <c r="AH6779" i="2"/>
  <c r="AE6779" i="2"/>
  <c r="AD6779" i="2"/>
  <c r="X6779" i="2"/>
  <c r="W6779" i="2"/>
  <c r="AH6778" i="2"/>
  <c r="AE6778" i="2"/>
  <c r="AF6778" i="2" s="1"/>
  <c r="AD6778" i="2"/>
  <c r="X6778" i="2"/>
  <c r="Y6778" i="2" s="1"/>
  <c r="W6778" i="2"/>
  <c r="AH6777" i="2"/>
  <c r="AE6777" i="2"/>
  <c r="AD6777" i="2"/>
  <c r="X6777" i="2"/>
  <c r="W6777" i="2"/>
  <c r="AH6776" i="2"/>
  <c r="AE6776" i="2"/>
  <c r="AF6776" i="2" s="1"/>
  <c r="AD6776" i="2"/>
  <c r="X6776" i="2"/>
  <c r="W6776" i="2"/>
  <c r="AH6775" i="2"/>
  <c r="AE6775" i="2"/>
  <c r="AD6775" i="2"/>
  <c r="AF6775" i="2" s="1"/>
  <c r="X6775" i="2"/>
  <c r="W6775" i="2"/>
  <c r="AH6774" i="2"/>
  <c r="AE6774" i="2"/>
  <c r="AD6774" i="2"/>
  <c r="X6774" i="2"/>
  <c r="W6774" i="2"/>
  <c r="AH6773" i="2"/>
  <c r="AE6773" i="2"/>
  <c r="AD6773" i="2"/>
  <c r="X6773" i="2"/>
  <c r="W6773" i="2"/>
  <c r="AH6772" i="2"/>
  <c r="AE6772" i="2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Y6770" i="2" s="1"/>
  <c r="W6770" i="2"/>
  <c r="AH6769" i="2"/>
  <c r="AE6769" i="2"/>
  <c r="AD6769" i="2"/>
  <c r="X6769" i="2"/>
  <c r="W6769" i="2"/>
  <c r="AH6768" i="2"/>
  <c r="AE6768" i="2"/>
  <c r="AF6768" i="2" s="1"/>
  <c r="AD6768" i="2"/>
  <c r="X6768" i="2"/>
  <c r="W6768" i="2"/>
  <c r="AH6767" i="2"/>
  <c r="AE6767" i="2"/>
  <c r="AD6767" i="2"/>
  <c r="X6767" i="2"/>
  <c r="W6767" i="2"/>
  <c r="AH6766" i="2"/>
  <c r="AE6766" i="2"/>
  <c r="AD6766" i="2"/>
  <c r="X6766" i="2"/>
  <c r="W6766" i="2"/>
  <c r="AH6765" i="2"/>
  <c r="AE6765" i="2"/>
  <c r="AD6765" i="2"/>
  <c r="X6765" i="2"/>
  <c r="W6765" i="2"/>
  <c r="AH6764" i="2"/>
  <c r="AE6764" i="2"/>
  <c r="AD6764" i="2"/>
  <c r="X6764" i="2"/>
  <c r="AB6764" i="2" s="1"/>
  <c r="AK6764" i="2" s="1"/>
  <c r="W6764" i="2"/>
  <c r="AH6763" i="2"/>
  <c r="AE6763" i="2"/>
  <c r="AD6763" i="2"/>
  <c r="X6763" i="2"/>
  <c r="W6763" i="2"/>
  <c r="AH6762" i="2"/>
  <c r="AE6762" i="2"/>
  <c r="AF6762" i="2" s="1"/>
  <c r="AD6762" i="2"/>
  <c r="X6762" i="2"/>
  <c r="AB6762" i="2" s="1"/>
  <c r="AK6762" i="2" s="1"/>
  <c r="W6762" i="2"/>
  <c r="AH6761" i="2"/>
  <c r="AE6761" i="2"/>
  <c r="AD6761" i="2"/>
  <c r="X6761" i="2"/>
  <c r="W6761" i="2"/>
  <c r="AH6760" i="2"/>
  <c r="AE6760" i="2"/>
  <c r="AF6760" i="2" s="1"/>
  <c r="AD6760" i="2"/>
  <c r="X6760" i="2"/>
  <c r="W6760" i="2"/>
  <c r="AH6759" i="2"/>
  <c r="AE6759" i="2"/>
  <c r="AD6759" i="2"/>
  <c r="AF6759" i="2" s="1"/>
  <c r="X6759" i="2"/>
  <c r="AA6759" i="2" s="1"/>
  <c r="W6759" i="2"/>
  <c r="AH6758" i="2"/>
  <c r="AE6758" i="2"/>
  <c r="AD6758" i="2"/>
  <c r="X6758" i="2"/>
  <c r="W6758" i="2"/>
  <c r="AH6757" i="2"/>
  <c r="AE6757" i="2"/>
  <c r="AD6757" i="2"/>
  <c r="X6757" i="2"/>
  <c r="W6757" i="2"/>
  <c r="AH6756" i="2"/>
  <c r="AE6756" i="2"/>
  <c r="AD6756" i="2"/>
  <c r="X6756" i="2"/>
  <c r="W6756" i="2"/>
  <c r="AH6755" i="2"/>
  <c r="AE6755" i="2"/>
  <c r="AD6755" i="2"/>
  <c r="X6755" i="2"/>
  <c r="W6755" i="2"/>
  <c r="AH6754" i="2"/>
  <c r="AE6754" i="2"/>
  <c r="AF6754" i="2" s="1"/>
  <c r="AD6754" i="2"/>
  <c r="X6754" i="2"/>
  <c r="AC6754" i="2" s="1"/>
  <c r="W6754" i="2"/>
  <c r="AH6753" i="2"/>
  <c r="AE6753" i="2"/>
  <c r="AD6753" i="2"/>
  <c r="X6753" i="2"/>
  <c r="W6753" i="2"/>
  <c r="AH6752" i="2"/>
  <c r="AE6752" i="2"/>
  <c r="AF6752" i="2" s="1"/>
  <c r="AD6752" i="2"/>
  <c r="X6752" i="2"/>
  <c r="W6752" i="2"/>
  <c r="AH6751" i="2"/>
  <c r="AE6751" i="2"/>
  <c r="AD6751" i="2"/>
  <c r="Y6751" i="2" s="1"/>
  <c r="X6751" i="2"/>
  <c r="W6751" i="2"/>
  <c r="AH6750" i="2"/>
  <c r="AE6750" i="2"/>
  <c r="AD6750" i="2"/>
  <c r="X6750" i="2"/>
  <c r="W6750" i="2"/>
  <c r="AH6749" i="2"/>
  <c r="AE6749" i="2"/>
  <c r="AD6749" i="2"/>
  <c r="X6749" i="2"/>
  <c r="W6749" i="2"/>
  <c r="AH6748" i="2"/>
  <c r="AE6748" i="2"/>
  <c r="AD6748" i="2"/>
  <c r="X6748" i="2"/>
  <c r="AC6748" i="2" s="1"/>
  <c r="W6748" i="2"/>
  <c r="AH6747" i="2"/>
  <c r="AE6747" i="2"/>
  <c r="AD6747" i="2"/>
  <c r="X6747" i="2"/>
  <c r="W6747" i="2"/>
  <c r="AH6746" i="2"/>
  <c r="AE6746" i="2"/>
  <c r="AF6746" i="2" s="1"/>
  <c r="AD6746" i="2"/>
  <c r="X6746" i="2"/>
  <c r="Y6746" i="2" s="1"/>
  <c r="W6746" i="2"/>
  <c r="AH6745" i="2"/>
  <c r="AE6745" i="2"/>
  <c r="AD6745" i="2"/>
  <c r="X6745" i="2"/>
  <c r="W6745" i="2"/>
  <c r="AH6744" i="2"/>
  <c r="AE6744" i="2"/>
  <c r="AF6744" i="2" s="1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A6742" i="2" s="1"/>
  <c r="W6742" i="2"/>
  <c r="AH6741" i="2"/>
  <c r="AE6741" i="2"/>
  <c r="AD6741" i="2"/>
  <c r="X6741" i="2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F6738" i="2" s="1"/>
  <c r="AD6738" i="2"/>
  <c r="X6738" i="2"/>
  <c r="Y6738" i="2" s="1"/>
  <c r="W6738" i="2"/>
  <c r="AH6737" i="2"/>
  <c r="AE6737" i="2"/>
  <c r="AD6737" i="2"/>
  <c r="X6737" i="2"/>
  <c r="W6737" i="2"/>
  <c r="AH6736" i="2"/>
  <c r="AE6736" i="2"/>
  <c r="AF6736" i="2" s="1"/>
  <c r="AD6736" i="2"/>
  <c r="X6736" i="2"/>
  <c r="W6736" i="2"/>
  <c r="AH6735" i="2"/>
  <c r="AE6735" i="2"/>
  <c r="AD6735" i="2"/>
  <c r="AF6735" i="2" s="1"/>
  <c r="X6735" i="2"/>
  <c r="AC6735" i="2" s="1"/>
  <c r="W6735" i="2"/>
  <c r="AH6734" i="2"/>
  <c r="AE6734" i="2"/>
  <c r="AD6734" i="2"/>
  <c r="X6734" i="2"/>
  <c r="W6734" i="2"/>
  <c r="AH6733" i="2"/>
  <c r="AD6733" i="2"/>
  <c r="AF6733" i="2" s="1"/>
  <c r="X6733" i="2"/>
  <c r="AC6733" i="2" s="1"/>
  <c r="W6733" i="2"/>
  <c r="AH6732" i="2"/>
  <c r="AD6732" i="2"/>
  <c r="AF6732" i="2" s="1"/>
  <c r="X6732" i="2"/>
  <c r="W6732" i="2"/>
  <c r="AH6731" i="2"/>
  <c r="AD6731" i="2"/>
  <c r="AF6731" i="2" s="1"/>
  <c r="X6731" i="2"/>
  <c r="AB6731" i="2" s="1"/>
  <c r="AK6731" i="2" s="1"/>
  <c r="W6731" i="2"/>
  <c r="AH6730" i="2"/>
  <c r="AD6730" i="2"/>
  <c r="AF6730" i="2" s="1"/>
  <c r="X6730" i="2"/>
  <c r="W6730" i="2"/>
  <c r="AH6729" i="2"/>
  <c r="AD6729" i="2"/>
  <c r="AF6729" i="2" s="1"/>
  <c r="X6729" i="2"/>
  <c r="AB6729" i="2" s="1"/>
  <c r="AK6729" i="2" s="1"/>
  <c r="W6729" i="2"/>
  <c r="AH6728" i="2"/>
  <c r="AD6728" i="2"/>
  <c r="AF6728" i="2" s="1"/>
  <c r="X6728" i="2"/>
  <c r="W6728" i="2"/>
  <c r="AH6727" i="2"/>
  <c r="AD6727" i="2"/>
  <c r="AF6727" i="2" s="1"/>
  <c r="X6727" i="2"/>
  <c r="W6727" i="2"/>
  <c r="AH6726" i="2"/>
  <c r="AD6726" i="2"/>
  <c r="AF6726" i="2" s="1"/>
  <c r="X6726" i="2"/>
  <c r="W6726" i="2"/>
  <c r="AH6725" i="2"/>
  <c r="AD6725" i="2"/>
  <c r="AF6725" i="2" s="1"/>
  <c r="X6725" i="2"/>
  <c r="AC6725" i="2" s="1"/>
  <c r="W6725" i="2"/>
  <c r="AH6724" i="2"/>
  <c r="AD6724" i="2"/>
  <c r="AF6724" i="2" s="1"/>
  <c r="X6724" i="2"/>
  <c r="W6724" i="2"/>
  <c r="AH6723" i="2"/>
  <c r="AD6723" i="2"/>
  <c r="AF6723" i="2" s="1"/>
  <c r="X6723" i="2"/>
  <c r="AC6723" i="2" s="1"/>
  <c r="W6723" i="2"/>
  <c r="AH6722" i="2"/>
  <c r="AD6722" i="2"/>
  <c r="AF6722" i="2" s="1"/>
  <c r="X6722" i="2"/>
  <c r="W6722" i="2"/>
  <c r="AH6721" i="2"/>
  <c r="AD6721" i="2"/>
  <c r="AF6721" i="2" s="1"/>
  <c r="X6721" i="2"/>
  <c r="W6721" i="2"/>
  <c r="AH6720" i="2"/>
  <c r="AD6720" i="2"/>
  <c r="AF6720" i="2" s="1"/>
  <c r="X6720" i="2"/>
  <c r="W6720" i="2"/>
  <c r="AH6719" i="2"/>
  <c r="AD6719" i="2"/>
  <c r="AF6719" i="2" s="1"/>
  <c r="X6719" i="2"/>
  <c r="AB6719" i="2" s="1"/>
  <c r="AK6719" i="2" s="1"/>
  <c r="W6719" i="2"/>
  <c r="AH6718" i="2"/>
  <c r="AD6718" i="2"/>
  <c r="AF6718" i="2" s="1"/>
  <c r="X6718" i="2"/>
  <c r="W6718" i="2"/>
  <c r="AH6717" i="2"/>
  <c r="AD6717" i="2"/>
  <c r="AF6717" i="2" s="1"/>
  <c r="X6717" i="2"/>
  <c r="AC6717" i="2" s="1"/>
  <c r="W6717" i="2"/>
  <c r="AH6716" i="2"/>
  <c r="AD6716" i="2"/>
  <c r="AF6716" i="2" s="1"/>
  <c r="X6716" i="2"/>
  <c r="W6716" i="2"/>
  <c r="AH6715" i="2"/>
  <c r="AD6715" i="2"/>
  <c r="AF6715" i="2" s="1"/>
  <c r="X6715" i="2"/>
  <c r="W6715" i="2"/>
  <c r="AH6714" i="2"/>
  <c r="AD6714" i="2"/>
  <c r="AF6714" i="2" s="1"/>
  <c r="X6714" i="2"/>
  <c r="W6714" i="2"/>
  <c r="AH6713" i="2"/>
  <c r="AD6713" i="2"/>
  <c r="AF6713" i="2" s="1"/>
  <c r="X6713" i="2"/>
  <c r="W6713" i="2"/>
  <c r="AH6712" i="2"/>
  <c r="AD6712" i="2"/>
  <c r="AF6712" i="2" s="1"/>
  <c r="X6712" i="2"/>
  <c r="W6712" i="2"/>
  <c r="AH6711" i="2"/>
  <c r="AD6711" i="2"/>
  <c r="AF6711" i="2" s="1"/>
  <c r="X6711" i="2"/>
  <c r="Y6711" i="2" s="1"/>
  <c r="W6711" i="2"/>
  <c r="AH6710" i="2"/>
  <c r="AD6710" i="2"/>
  <c r="AF6710" i="2" s="1"/>
  <c r="X6710" i="2"/>
  <c r="W6710" i="2"/>
  <c r="AH6709" i="2"/>
  <c r="AD6709" i="2"/>
  <c r="AF6709" i="2" s="1"/>
  <c r="X6709" i="2"/>
  <c r="AC6709" i="2" s="1"/>
  <c r="W6709" i="2"/>
  <c r="AH6708" i="2"/>
  <c r="AD6708" i="2"/>
  <c r="AF6708" i="2" s="1"/>
  <c r="X6708" i="2"/>
  <c r="W6708" i="2"/>
  <c r="AH6707" i="2"/>
  <c r="AD6707" i="2"/>
  <c r="AF6707" i="2" s="1"/>
  <c r="X6707" i="2"/>
  <c r="AC6707" i="2" s="1"/>
  <c r="W6707" i="2"/>
  <c r="AH6706" i="2"/>
  <c r="AD6706" i="2"/>
  <c r="AF6706" i="2" s="1"/>
  <c r="X6706" i="2"/>
  <c r="W6706" i="2"/>
  <c r="AH6705" i="2"/>
  <c r="AD6705" i="2"/>
  <c r="AF6705" i="2" s="1"/>
  <c r="X6705" i="2"/>
  <c r="W6705" i="2"/>
  <c r="AH6704" i="2"/>
  <c r="AD6704" i="2"/>
  <c r="AF6704" i="2"/>
  <c r="X6704" i="2"/>
  <c r="W6704" i="2"/>
  <c r="AH6703" i="2"/>
  <c r="AD6703" i="2"/>
  <c r="X6703" i="2"/>
  <c r="W6703" i="2"/>
  <c r="AH6702" i="2"/>
  <c r="AD6702" i="2"/>
  <c r="AF6702" i="2" s="1"/>
  <c r="X6702" i="2"/>
  <c r="AC6702" i="2" s="1"/>
  <c r="W6702" i="2"/>
  <c r="AH6701" i="2"/>
  <c r="AD6701" i="2"/>
  <c r="X6701" i="2"/>
  <c r="W6701" i="2"/>
  <c r="AH6700" i="2"/>
  <c r="AD6700" i="2"/>
  <c r="AF6700" i="2" s="1"/>
  <c r="X6700" i="2"/>
  <c r="W6700" i="2"/>
  <c r="AH6699" i="2"/>
  <c r="AD6699" i="2"/>
  <c r="X6699" i="2"/>
  <c r="W6699" i="2"/>
  <c r="AH6698" i="2"/>
  <c r="AD6698" i="2"/>
  <c r="AF6698" i="2" s="1"/>
  <c r="X6698" i="2"/>
  <c r="W6698" i="2"/>
  <c r="AH6697" i="2"/>
  <c r="AD6697" i="2"/>
  <c r="X6697" i="2"/>
  <c r="W6697" i="2"/>
  <c r="AH6696" i="2"/>
  <c r="AD6696" i="2"/>
  <c r="AF6696" i="2" s="1"/>
  <c r="X6696" i="2"/>
  <c r="W6696" i="2"/>
  <c r="AH6695" i="2"/>
  <c r="AD6695" i="2"/>
  <c r="X6695" i="2"/>
  <c r="W6695" i="2"/>
  <c r="AH6694" i="2"/>
  <c r="AD6694" i="2"/>
  <c r="AF6694" i="2" s="1"/>
  <c r="X6694" i="2"/>
  <c r="W6694" i="2"/>
  <c r="AH6693" i="2"/>
  <c r="AD6693" i="2"/>
  <c r="X6693" i="2"/>
  <c r="W6693" i="2"/>
  <c r="AH6692" i="2"/>
  <c r="AD6692" i="2"/>
  <c r="AF6692" i="2" s="1"/>
  <c r="X6692" i="2"/>
  <c r="W6692" i="2"/>
  <c r="AH6691" i="2"/>
  <c r="AD6691" i="2"/>
  <c r="X6691" i="2"/>
  <c r="W6691" i="2"/>
  <c r="AH6690" i="2"/>
  <c r="AD6690" i="2"/>
  <c r="AF6690" i="2" s="1"/>
  <c r="X6690" i="2"/>
  <c r="W6690" i="2"/>
  <c r="AH6689" i="2"/>
  <c r="AD6689" i="2"/>
  <c r="X6689" i="2"/>
  <c r="AC6689" i="2" s="1"/>
  <c r="W6689" i="2"/>
  <c r="AH6688" i="2"/>
  <c r="AD6688" i="2"/>
  <c r="AF6688" i="2" s="1"/>
  <c r="X6688" i="2"/>
  <c r="W6688" i="2"/>
  <c r="AH6687" i="2"/>
  <c r="AD6687" i="2"/>
  <c r="X6687" i="2"/>
  <c r="W6687" i="2"/>
  <c r="AH6686" i="2"/>
  <c r="AD6686" i="2"/>
  <c r="AF6686" i="2" s="1"/>
  <c r="X6686" i="2"/>
  <c r="W6686" i="2"/>
  <c r="AH6685" i="2"/>
  <c r="AD6685" i="2"/>
  <c r="X6685" i="2"/>
  <c r="W6685" i="2"/>
  <c r="AH6684" i="2"/>
  <c r="AD6684" i="2"/>
  <c r="AF6684" i="2" s="1"/>
  <c r="X6684" i="2"/>
  <c r="W6684" i="2"/>
  <c r="AH6683" i="2"/>
  <c r="AD6683" i="2"/>
  <c r="X6683" i="2"/>
  <c r="W6683" i="2"/>
  <c r="AH6682" i="2"/>
  <c r="AD6682" i="2"/>
  <c r="AF6682" i="2" s="1"/>
  <c r="X6682" i="2"/>
  <c r="W6682" i="2"/>
  <c r="AH6681" i="2"/>
  <c r="AD6681" i="2"/>
  <c r="X6681" i="2"/>
  <c r="W6681" i="2"/>
  <c r="AH6680" i="2"/>
  <c r="AD6680" i="2"/>
  <c r="AF6680" i="2" s="1"/>
  <c r="X6680" i="2"/>
  <c r="W6680" i="2"/>
  <c r="AH6679" i="2"/>
  <c r="AD6679" i="2"/>
  <c r="X6679" i="2"/>
  <c r="W6679" i="2"/>
  <c r="AH6678" i="2"/>
  <c r="AD6678" i="2"/>
  <c r="AF6678" i="2" s="1"/>
  <c r="X6678" i="2"/>
  <c r="AB6678" i="2" s="1"/>
  <c r="AK6678" i="2" s="1"/>
  <c r="W6678" i="2"/>
  <c r="V6677" i="2"/>
  <c r="AH6677" i="2"/>
  <c r="AH6676" i="2"/>
  <c r="AD6676" i="2"/>
  <c r="AF6676" i="2" s="1"/>
  <c r="X6676" i="2"/>
  <c r="W6676" i="2"/>
  <c r="AH6675" i="2"/>
  <c r="AD6675" i="2"/>
  <c r="X6675" i="2"/>
  <c r="W6675" i="2"/>
  <c r="AH6674" i="2"/>
  <c r="AD6674" i="2"/>
  <c r="AF6674" i="2" s="1"/>
  <c r="X6674" i="2"/>
  <c r="W6674" i="2"/>
  <c r="AH6673" i="2"/>
  <c r="AD6673" i="2"/>
  <c r="AF6673" i="2" s="1"/>
  <c r="X6673" i="2"/>
  <c r="AC6673" i="2" s="1"/>
  <c r="W6673" i="2"/>
  <c r="AH6672" i="2"/>
  <c r="AD6672" i="2"/>
  <c r="AF6672" i="2" s="1"/>
  <c r="X6672" i="2"/>
  <c r="W6672" i="2"/>
  <c r="AH6671" i="2"/>
  <c r="AD6671" i="2"/>
  <c r="X6671" i="2"/>
  <c r="W6671" i="2"/>
  <c r="AH6670" i="2"/>
  <c r="AD6670" i="2"/>
  <c r="AF6670" i="2" s="1"/>
  <c r="X6670" i="2"/>
  <c r="W6670" i="2"/>
  <c r="AH6669" i="2"/>
  <c r="AD6669" i="2"/>
  <c r="AF6669" i="2" s="1"/>
  <c r="X6669" i="2"/>
  <c r="AC6669" i="2" s="1"/>
  <c r="W6669" i="2"/>
  <c r="AH6668" i="2"/>
  <c r="AD6668" i="2"/>
  <c r="AF6668" i="2" s="1"/>
  <c r="X6668" i="2"/>
  <c r="W6668" i="2"/>
  <c r="AH6667" i="2"/>
  <c r="AD6667" i="2"/>
  <c r="AF6667" i="2" s="1"/>
  <c r="X6667" i="2"/>
  <c r="W6667" i="2"/>
  <c r="AH6666" i="2"/>
  <c r="AD6666" i="2"/>
  <c r="AF6666" i="2" s="1"/>
  <c r="X6666" i="2"/>
  <c r="W6666" i="2"/>
  <c r="AH6665" i="2"/>
  <c r="AD6665" i="2"/>
  <c r="AF6665" i="2" s="1"/>
  <c r="X6665" i="2"/>
  <c r="AC6665" i="2" s="1"/>
  <c r="W6665" i="2"/>
  <c r="AH6664" i="2"/>
  <c r="AD6664" i="2"/>
  <c r="AF6664" i="2" s="1"/>
  <c r="X6664" i="2"/>
  <c r="W6664" i="2"/>
  <c r="AH6663" i="2"/>
  <c r="AD6663" i="2"/>
  <c r="AF6663" i="2" s="1"/>
  <c r="X6663" i="2"/>
  <c r="W6663" i="2"/>
  <c r="AH6662" i="2"/>
  <c r="AD6662" i="2"/>
  <c r="AF6662" i="2" s="1"/>
  <c r="X6662" i="2"/>
  <c r="W6662" i="2"/>
  <c r="AH6661" i="2"/>
  <c r="AD6661" i="2"/>
  <c r="X6661" i="2"/>
  <c r="AC6661" i="2" s="1"/>
  <c r="W6661" i="2"/>
  <c r="AH6660" i="2"/>
  <c r="AD6660" i="2"/>
  <c r="AF6660" i="2" s="1"/>
  <c r="X6660" i="2"/>
  <c r="W6660" i="2"/>
  <c r="AH6659" i="2"/>
  <c r="AD6659" i="2"/>
  <c r="AC6659" i="2"/>
  <c r="W6659" i="2"/>
  <c r="AH6658" i="2"/>
  <c r="AD6658" i="2"/>
  <c r="AF6658" i="2" s="1"/>
  <c r="X6658" i="2"/>
  <c r="W6658" i="2"/>
  <c r="AH6657" i="2"/>
  <c r="AD6657" i="2"/>
  <c r="AF6657" i="2" s="1"/>
  <c r="X6657" i="2"/>
  <c r="AC6657" i="2" s="1"/>
  <c r="W6657" i="2"/>
  <c r="AH6656" i="2"/>
  <c r="AD6656" i="2"/>
  <c r="AF6656" i="2" s="1"/>
  <c r="X6656" i="2"/>
  <c r="W6656" i="2"/>
  <c r="AH6655" i="2"/>
  <c r="AD6655" i="2"/>
  <c r="AF6655" i="2" s="1"/>
  <c r="X6655" i="2"/>
  <c r="AH6654" i="2"/>
  <c r="AD6654" i="2"/>
  <c r="AF6654" i="2" s="1"/>
  <c r="X6654" i="2"/>
  <c r="W6654" i="2"/>
  <c r="AH6653" i="2"/>
  <c r="AD6653" i="2"/>
  <c r="AF6653" i="2" s="1"/>
  <c r="X6653" i="2"/>
  <c r="AB6653" i="2" s="1"/>
  <c r="AK6653" i="2" s="1"/>
  <c r="W6653" i="2"/>
  <c r="AH6652" i="2"/>
  <c r="AD6652" i="2"/>
  <c r="AF6652" i="2" s="1"/>
  <c r="X6652" i="2"/>
  <c r="AC6652" i="2" s="1"/>
  <c r="W6652" i="2"/>
  <c r="AH6651" i="2"/>
  <c r="AD6651" i="2"/>
  <c r="AF6651" i="2" s="1"/>
  <c r="X6651" i="2"/>
  <c r="AC6651" i="2" s="1"/>
  <c r="W6651" i="2"/>
  <c r="AH6650" i="2"/>
  <c r="AD6650" i="2"/>
  <c r="AF6650" i="2" s="1"/>
  <c r="X6650" i="2"/>
  <c r="W6650" i="2"/>
  <c r="AH6649" i="2"/>
  <c r="AD6649" i="2"/>
  <c r="AF6649" i="2" s="1"/>
  <c r="X6649" i="2"/>
  <c r="Y6649" i="2" s="1"/>
  <c r="W6649" i="2"/>
  <c r="AH6648" i="2"/>
  <c r="AD6648" i="2"/>
  <c r="AF6648" i="2" s="1"/>
  <c r="X6648" i="2"/>
  <c r="AH6647" i="2"/>
  <c r="AD6647" i="2"/>
  <c r="AF6647" i="2" s="1"/>
  <c r="X6647" i="2"/>
  <c r="AB6647" i="2" s="1"/>
  <c r="AK6647" i="2" s="1"/>
  <c r="W6647" i="2"/>
  <c r="AH6646" i="2"/>
  <c r="AD6646" i="2"/>
  <c r="X6646" i="2"/>
  <c r="AC6646" i="2" s="1"/>
  <c r="W6646" i="2"/>
  <c r="AH6645" i="2"/>
  <c r="AD6645" i="2"/>
  <c r="AF6645" i="2" s="1"/>
  <c r="X6645" i="2"/>
  <c r="AH6644" i="2"/>
  <c r="AD6644" i="2"/>
  <c r="AF6644" i="2" s="1"/>
  <c r="X6644" i="2"/>
  <c r="W6644" i="2"/>
  <c r="AH6643" i="2"/>
  <c r="AD6643" i="2"/>
  <c r="AF6643" i="2" s="1"/>
  <c r="X6643" i="2"/>
  <c r="AC6643" i="2" s="1"/>
  <c r="W6643" i="2"/>
  <c r="AH6642" i="2"/>
  <c r="AD6642" i="2"/>
  <c r="AF6642" i="2" s="1"/>
  <c r="X6642" i="2"/>
  <c r="Y6642" i="2" s="1"/>
  <c r="W6642" i="2"/>
  <c r="AH6641" i="2"/>
  <c r="AD6641" i="2"/>
  <c r="AF6641" i="2" s="1"/>
  <c r="X6641" i="2"/>
  <c r="W6641" i="2"/>
  <c r="AH6640" i="2"/>
  <c r="AD6640" i="2"/>
  <c r="AF6640" i="2" s="1"/>
  <c r="X6640" i="2"/>
  <c r="W6640" i="2"/>
  <c r="AH6639" i="2"/>
  <c r="AD6639" i="2"/>
  <c r="AF6639" i="2" s="1"/>
  <c r="X6639" i="2"/>
  <c r="W6639" i="2"/>
  <c r="AH6638" i="2"/>
  <c r="AD6638" i="2"/>
  <c r="AF6638" i="2" s="1"/>
  <c r="X6638" i="2"/>
  <c r="AB6638" i="2" s="1"/>
  <c r="AK6638" i="2" s="1"/>
  <c r="W6638" i="2"/>
  <c r="AH6637" i="2"/>
  <c r="AD6637" i="2"/>
  <c r="AF6637" i="2" s="1"/>
  <c r="X6637" i="2"/>
  <c r="W6637" i="2"/>
  <c r="AH6636" i="2"/>
  <c r="AD6636" i="2"/>
  <c r="AF6636" i="2" s="1"/>
  <c r="Y6636" i="2"/>
  <c r="W6636" i="2"/>
  <c r="AH6635" i="2"/>
  <c r="AD6635" i="2"/>
  <c r="AF6635" i="2" s="1"/>
  <c r="X6635" i="2"/>
  <c r="AC6635" i="2" s="1"/>
  <c r="W6635" i="2"/>
  <c r="AH6634" i="2"/>
  <c r="AD6634" i="2"/>
  <c r="AF6634" i="2" s="1"/>
  <c r="X6634" i="2"/>
  <c r="Y6634" i="2" s="1"/>
  <c r="AH6633" i="2"/>
  <c r="AD6633" i="2"/>
  <c r="AF6633" i="2" s="1"/>
  <c r="X6633" i="2"/>
  <c r="AC6633" i="2" s="1"/>
  <c r="W6633" i="2"/>
  <c r="AH6632" i="2"/>
  <c r="AD6632" i="2"/>
  <c r="X6632" i="2"/>
  <c r="W6632" i="2"/>
  <c r="AH6631" i="2"/>
  <c r="AD6631" i="2"/>
  <c r="AF6631" i="2" s="1"/>
  <c r="X6631" i="2"/>
  <c r="AC6631" i="2" s="1"/>
  <c r="W6631" i="2"/>
  <c r="AH6630" i="2"/>
  <c r="AD6630" i="2"/>
  <c r="AF6630" i="2" s="1"/>
  <c r="X6630" i="2"/>
  <c r="W6630" i="2"/>
  <c r="AH6629" i="2"/>
  <c r="AD6629" i="2"/>
  <c r="AF6629" i="2" s="1"/>
  <c r="X6629" i="2"/>
  <c r="W6629" i="2"/>
  <c r="AH6628" i="2"/>
  <c r="AD6628" i="2"/>
  <c r="AF6628" i="2" s="1"/>
  <c r="X6628" i="2"/>
  <c r="W6628" i="2"/>
  <c r="AH6627" i="2"/>
  <c r="AD6627" i="2"/>
  <c r="AF6627" i="2" s="1"/>
  <c r="X6627" i="2"/>
  <c r="AC6627" i="2" s="1"/>
  <c r="W6627" i="2"/>
  <c r="AH6626" i="2"/>
  <c r="AD6626" i="2"/>
  <c r="AF6626" i="2" s="1"/>
  <c r="X6626" i="2"/>
  <c r="W6626" i="2"/>
  <c r="AH6625" i="2"/>
  <c r="AD6625" i="2"/>
  <c r="AF6625" i="2" s="1"/>
  <c r="X6625" i="2"/>
  <c r="AC6625" i="2" s="1"/>
  <c r="W6625" i="2"/>
  <c r="AH6624" i="2"/>
  <c r="AD6624" i="2"/>
  <c r="AF6624" i="2" s="1"/>
  <c r="X6624" i="2"/>
  <c r="W6624" i="2"/>
  <c r="AH6623" i="2"/>
  <c r="AD6623" i="2"/>
  <c r="AF6623" i="2" s="1"/>
  <c r="X6623" i="2"/>
  <c r="AC6623" i="2" s="1"/>
  <c r="W6623" i="2"/>
  <c r="AH6622" i="2"/>
  <c r="AD6622" i="2"/>
  <c r="AF6622" i="2" s="1"/>
  <c r="X6622" i="2"/>
  <c r="W6622" i="2"/>
  <c r="AH6621" i="2"/>
  <c r="AD6621" i="2"/>
  <c r="AF6621" i="2" s="1"/>
  <c r="X6621" i="2"/>
  <c r="W6621" i="2"/>
  <c r="AH6620" i="2"/>
  <c r="AD6620" i="2"/>
  <c r="X6620" i="2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W6616" i="2"/>
  <c r="AH6615" i="2"/>
  <c r="AD6615" i="2"/>
  <c r="AF6615" i="2" s="1"/>
  <c r="X6615" i="2"/>
  <c r="W6615" i="2"/>
  <c r="V6614" i="2"/>
  <c r="AD6614" i="2"/>
  <c r="AF6614" i="2" s="1"/>
  <c r="AH6613" i="2"/>
  <c r="AD6613" i="2"/>
  <c r="X6613" i="2"/>
  <c r="W6613" i="2"/>
  <c r="AH6612" i="2"/>
  <c r="AD6612" i="2"/>
  <c r="AF6612" i="2" s="1"/>
  <c r="X6612" i="2"/>
  <c r="W6612" i="2"/>
  <c r="AH6611" i="2"/>
  <c r="AD6611" i="2"/>
  <c r="AF6611" i="2" s="1"/>
  <c r="X6611" i="2"/>
  <c r="AC6611" i="2" s="1"/>
  <c r="W6611" i="2"/>
  <c r="AH6610" i="2"/>
  <c r="AD6610" i="2"/>
  <c r="AF6610" i="2" s="1"/>
  <c r="X6610" i="2"/>
  <c r="W6610" i="2"/>
  <c r="AH6609" i="2"/>
  <c r="AD6609" i="2"/>
  <c r="AF6609" i="2" s="1"/>
  <c r="X6609" i="2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C6607" i="2" s="1"/>
  <c r="W6607" i="2"/>
  <c r="AH6606" i="2"/>
  <c r="AD6606" i="2"/>
  <c r="AF6606" i="2" s="1"/>
  <c r="X6606" i="2"/>
  <c r="W6606" i="2"/>
  <c r="AH6605" i="2"/>
  <c r="AD6605" i="2"/>
  <c r="X6605" i="2"/>
  <c r="W6605" i="2"/>
  <c r="AH6604" i="2"/>
  <c r="AD6604" i="2"/>
  <c r="AF6604" i="2" s="1"/>
  <c r="X6604" i="2"/>
  <c r="AC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X6601" i="2"/>
  <c r="W6601" i="2"/>
  <c r="AH6600" i="2"/>
  <c r="AD6600" i="2"/>
  <c r="AF6600" i="2" s="1"/>
  <c r="X6600" i="2"/>
  <c r="W6600" i="2"/>
  <c r="AH6599" i="2"/>
  <c r="AD6599" i="2"/>
  <c r="X6599" i="2"/>
  <c r="W6599" i="2"/>
  <c r="AH6598" i="2"/>
  <c r="AD6598" i="2"/>
  <c r="AF6598" i="2" s="1"/>
  <c r="X6598" i="2"/>
  <c r="W6598" i="2"/>
  <c r="AH6597" i="2"/>
  <c r="AD6597" i="2"/>
  <c r="X6597" i="2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C6595" i="2" s="1"/>
  <c r="W6595" i="2"/>
  <c r="AH6594" i="2"/>
  <c r="AD6594" i="2"/>
  <c r="AF6594" i="2" s="1"/>
  <c r="X6594" i="2"/>
  <c r="W6594" i="2"/>
  <c r="AH6593" i="2"/>
  <c r="AD6593" i="2"/>
  <c r="AF6593" i="2" s="1"/>
  <c r="X6593" i="2"/>
  <c r="W6593" i="2"/>
  <c r="AH6592" i="2"/>
  <c r="AD6592" i="2"/>
  <c r="AF6592" i="2" s="1"/>
  <c r="X6592" i="2"/>
  <c r="AC6592" i="2" s="1"/>
  <c r="W6592" i="2"/>
  <c r="AH6591" i="2"/>
  <c r="AD6591" i="2"/>
  <c r="X6591" i="2"/>
  <c r="AC6591" i="2" s="1"/>
  <c r="W6591" i="2"/>
  <c r="AH6590" i="2"/>
  <c r="AD6590" i="2"/>
  <c r="AF6590" i="2" s="1"/>
  <c r="X6590" i="2"/>
  <c r="W6590" i="2"/>
  <c r="AH6589" i="2"/>
  <c r="AD6589" i="2"/>
  <c r="X6589" i="2"/>
  <c r="W6589" i="2"/>
  <c r="AH6588" i="2"/>
  <c r="AD6588" i="2"/>
  <c r="AF6588" i="2" s="1"/>
  <c r="X6588" i="2"/>
  <c r="W6588" i="2"/>
  <c r="AH6587" i="2"/>
  <c r="AD6587" i="2"/>
  <c r="AF6587" i="2" s="1"/>
  <c r="X6587" i="2"/>
  <c r="AC6587" i="2" s="1"/>
  <c r="W6587" i="2"/>
  <c r="AH6586" i="2"/>
  <c r="AD6586" i="2"/>
  <c r="AF6586" i="2" s="1"/>
  <c r="X6586" i="2"/>
  <c r="W6586" i="2"/>
  <c r="AH6585" i="2"/>
  <c r="AD6585" i="2"/>
  <c r="X6585" i="2"/>
  <c r="W6585" i="2"/>
  <c r="AH6584" i="2"/>
  <c r="AD6584" i="2"/>
  <c r="AF6584" i="2" s="1"/>
  <c r="X6584" i="2"/>
  <c r="AC6584" i="2" s="1"/>
  <c r="W6584" i="2"/>
  <c r="AH6583" i="2"/>
  <c r="AD6583" i="2"/>
  <c r="X6583" i="2"/>
  <c r="AC6583" i="2" s="1"/>
  <c r="AH6582" i="2"/>
  <c r="AD6582" i="2"/>
  <c r="AF6582" i="2" s="1"/>
  <c r="X6582" i="2"/>
  <c r="W6582" i="2"/>
  <c r="AH6581" i="2"/>
  <c r="AD6581" i="2"/>
  <c r="AF6581" i="2" s="1"/>
  <c r="X6581" i="2"/>
  <c r="W6581" i="2"/>
  <c r="AH6580" i="2"/>
  <c r="AD6580" i="2"/>
  <c r="AF6580" i="2" s="1"/>
  <c r="X6580" i="2"/>
  <c r="W6580" i="2"/>
  <c r="AH6579" i="2"/>
  <c r="AD6579" i="2"/>
  <c r="AF6579" i="2" s="1"/>
  <c r="X6579" i="2"/>
  <c r="W6579" i="2"/>
  <c r="AH6578" i="2"/>
  <c r="AD6578" i="2"/>
  <c r="AF6578" i="2" s="1"/>
  <c r="X6578" i="2"/>
  <c r="W6578" i="2"/>
  <c r="AH6577" i="2"/>
  <c r="AD6577" i="2"/>
  <c r="AF6577" i="2" s="1"/>
  <c r="X6577" i="2"/>
  <c r="Y6577" i="2" s="1"/>
  <c r="W6577" i="2"/>
  <c r="AH6576" i="2"/>
  <c r="AD6576" i="2"/>
  <c r="AF6576" i="2" s="1"/>
  <c r="X6576" i="2"/>
  <c r="W6576" i="2"/>
  <c r="AH6575" i="2"/>
  <c r="AD6575" i="2"/>
  <c r="AF6575" i="2" s="1"/>
  <c r="X6575" i="2"/>
  <c r="W6575" i="2"/>
  <c r="AH6574" i="2"/>
  <c r="AD6574" i="2"/>
  <c r="AF6574" i="2" s="1"/>
  <c r="X6574" i="2"/>
  <c r="W6574" i="2"/>
  <c r="AH6573" i="2"/>
  <c r="AD6573" i="2"/>
  <c r="AF6573" i="2" s="1"/>
  <c r="X6573" i="2"/>
  <c r="Y6573" i="2" s="1"/>
  <c r="W6573" i="2"/>
  <c r="AH6572" i="2"/>
  <c r="AD6572" i="2"/>
  <c r="AF6572" i="2" s="1"/>
  <c r="X6572" i="2"/>
  <c r="W6572" i="2"/>
  <c r="AH6571" i="2"/>
  <c r="AD6571" i="2"/>
  <c r="AF6571" i="2" s="1"/>
  <c r="X6571" i="2"/>
  <c r="AC6571" i="2" s="1"/>
  <c r="W6571" i="2"/>
  <c r="AH6570" i="2"/>
  <c r="AD6570" i="2"/>
  <c r="AF6570" i="2" s="1"/>
  <c r="X6570" i="2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K6568" i="2" s="1"/>
  <c r="W6568" i="2"/>
  <c r="AH6567" i="2"/>
  <c r="AD6567" i="2"/>
  <c r="AF6567" i="2" s="1"/>
  <c r="X6567" i="2"/>
  <c r="Y6567" i="2" s="1"/>
  <c r="W6567" i="2"/>
  <c r="AH6566" i="2"/>
  <c r="AD6566" i="2"/>
  <c r="AF6566" i="2" s="1"/>
  <c r="X6566" i="2"/>
  <c r="W6566" i="2"/>
  <c r="AH6565" i="2"/>
  <c r="AD6565" i="2"/>
  <c r="AF6565" i="2" s="1"/>
  <c r="X6565" i="2"/>
  <c r="AB6565" i="2" s="1"/>
  <c r="AK6565" i="2" s="1"/>
  <c r="W6565" i="2"/>
  <c r="AH6564" i="2"/>
  <c r="AD6564" i="2"/>
  <c r="AF6564" i="2" s="1"/>
  <c r="X6564" i="2"/>
  <c r="W6564" i="2"/>
  <c r="AH6563" i="2"/>
  <c r="AD6563" i="2"/>
  <c r="AF6563" i="2" s="1"/>
  <c r="X6563" i="2"/>
  <c r="W6563" i="2"/>
  <c r="AH6562" i="2"/>
  <c r="AD6562" i="2"/>
  <c r="AF6562" i="2" s="1"/>
  <c r="X6562" i="2"/>
  <c r="W6562" i="2"/>
  <c r="AH6561" i="2"/>
  <c r="AD6561" i="2"/>
  <c r="AF6561" i="2" s="1"/>
  <c r="X6561" i="2"/>
  <c r="W6561" i="2"/>
  <c r="AH6560" i="2"/>
  <c r="AD6560" i="2"/>
  <c r="AF6560" i="2" s="1"/>
  <c r="X6560" i="2"/>
  <c r="W6560" i="2"/>
  <c r="AH6559" i="2"/>
  <c r="AD6559" i="2"/>
  <c r="AF6559" i="2" s="1"/>
  <c r="X6559" i="2"/>
  <c r="Y6559" i="2" s="1"/>
  <c r="W6559" i="2"/>
  <c r="AH6558" i="2"/>
  <c r="AD6558" i="2"/>
  <c r="AF6558" i="2" s="1"/>
  <c r="X6558" i="2"/>
  <c r="W6558" i="2"/>
  <c r="AH6557" i="2"/>
  <c r="AD6557" i="2"/>
  <c r="AF6557" i="2" s="1"/>
  <c r="X6557" i="2"/>
  <c r="W6557" i="2"/>
  <c r="AH6556" i="2"/>
  <c r="AD6556" i="2"/>
  <c r="AF6556" i="2" s="1"/>
  <c r="X6556" i="2"/>
  <c r="AK6556" i="2" s="1"/>
  <c r="W6556" i="2"/>
  <c r="AH6555" i="2"/>
  <c r="AD6555" i="2"/>
  <c r="AF6555" i="2" s="1"/>
  <c r="X6555" i="2"/>
  <c r="W6555" i="2"/>
  <c r="AH6554" i="2"/>
  <c r="AD6554" i="2"/>
  <c r="AF6554" i="2" s="1"/>
  <c r="X6554" i="2"/>
  <c r="W6554" i="2"/>
  <c r="AH6553" i="2"/>
  <c r="AD6553" i="2"/>
  <c r="AF6553" i="2" s="1"/>
  <c r="X6553" i="2"/>
  <c r="W6553" i="2"/>
  <c r="AH6552" i="2"/>
  <c r="AD6552" i="2"/>
  <c r="AF6552" i="2" s="1"/>
  <c r="X6552" i="2"/>
  <c r="W6552" i="2"/>
  <c r="AH6551" i="2"/>
  <c r="AD6551" i="2"/>
  <c r="AF6551" i="2" s="1"/>
  <c r="X6551" i="2"/>
  <c r="W6551" i="2"/>
  <c r="AH6550" i="2"/>
  <c r="AD6550" i="2"/>
  <c r="AF6550" i="2"/>
  <c r="X6550" i="2"/>
  <c r="Y6550" i="2" s="1"/>
  <c r="W6550" i="2"/>
  <c r="AH6549" i="2"/>
  <c r="AD6549" i="2"/>
  <c r="AF6549" i="2" s="1"/>
  <c r="X6549" i="2"/>
  <c r="W6549" i="2"/>
  <c r="AH6548" i="2"/>
  <c r="AD6548" i="2"/>
  <c r="AF6548" i="2" s="1"/>
  <c r="X6548" i="2"/>
  <c r="W6548" i="2"/>
  <c r="AH6547" i="2"/>
  <c r="AD6547" i="2"/>
  <c r="AF6547" i="2" s="1"/>
  <c r="X6547" i="2"/>
  <c r="W6547" i="2"/>
  <c r="AH6546" i="2"/>
  <c r="AD6546" i="2"/>
  <c r="AF6546" i="2" s="1"/>
  <c r="X6546" i="2"/>
  <c r="W6546" i="2"/>
  <c r="AH6545" i="2"/>
  <c r="AD6545" i="2"/>
  <c r="X6545" i="2"/>
  <c r="W6545" i="2"/>
  <c r="AH6544" i="2"/>
  <c r="AD6544" i="2"/>
  <c r="AF6544" i="2" s="1"/>
  <c r="X6544" i="2"/>
  <c r="W6544" i="2"/>
  <c r="AH6543" i="2"/>
  <c r="AD6543" i="2"/>
  <c r="AF6543" i="2" s="1"/>
  <c r="X6543" i="2"/>
  <c r="W6543" i="2"/>
  <c r="AH6542" i="2"/>
  <c r="AD6542" i="2"/>
  <c r="AF6542" i="2" s="1"/>
  <c r="X6542" i="2"/>
  <c r="AB6542" i="2" s="1"/>
  <c r="AK6542" i="2" s="1"/>
  <c r="W6542" i="2"/>
  <c r="AH6541" i="2"/>
  <c r="AD6541" i="2"/>
  <c r="AF6541" i="2" s="1"/>
  <c r="X6541" i="2"/>
  <c r="W6541" i="2"/>
  <c r="AH6540" i="2"/>
  <c r="AD6540" i="2"/>
  <c r="AF6540" i="2" s="1"/>
  <c r="X6540" i="2"/>
  <c r="AB6540" i="2" s="1"/>
  <c r="AK6540" i="2" s="1"/>
  <c r="W6540" i="2"/>
  <c r="AH6539" i="2"/>
  <c r="AD6539" i="2"/>
  <c r="X6539" i="2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W6537" i="2"/>
  <c r="AH6536" i="2"/>
  <c r="AD6536" i="2"/>
  <c r="AF6536" i="2" s="1"/>
  <c r="X6536" i="2"/>
  <c r="W6536" i="2"/>
  <c r="AH6535" i="2"/>
  <c r="AD6535" i="2"/>
  <c r="AF6535" i="2" s="1"/>
  <c r="X6535" i="2"/>
  <c r="W6535" i="2"/>
  <c r="AH6534" i="2"/>
  <c r="AD6534" i="2"/>
  <c r="AF6534" i="2" s="1"/>
  <c r="X6534" i="2"/>
  <c r="AC6534" i="2" s="1"/>
  <c r="W6534" i="2"/>
  <c r="AH6533" i="2"/>
  <c r="AD6533" i="2"/>
  <c r="AF6533" i="2" s="1"/>
  <c r="X6533" i="2"/>
  <c r="W6533" i="2"/>
  <c r="AH6532" i="2"/>
  <c r="AD6532" i="2"/>
  <c r="AF6532" i="2" s="1"/>
  <c r="X6532" i="2"/>
  <c r="W6532" i="2"/>
  <c r="AH6531" i="2"/>
  <c r="AD6531" i="2"/>
  <c r="X6531" i="2"/>
  <c r="W6531" i="2"/>
  <c r="AH6530" i="2"/>
  <c r="AD6530" i="2"/>
  <c r="AF6530" i="2" s="1"/>
  <c r="X6530" i="2"/>
  <c r="W6530" i="2"/>
  <c r="AH6529" i="2"/>
  <c r="AD6529" i="2"/>
  <c r="AF6529" i="2" s="1"/>
  <c r="X6529" i="2"/>
  <c r="W6529" i="2"/>
  <c r="AH6528" i="2"/>
  <c r="AD6528" i="2"/>
  <c r="AF6528" i="2" s="1"/>
  <c r="X6528" i="2"/>
  <c r="W6528" i="2"/>
  <c r="AH6527" i="2"/>
  <c r="AD6527" i="2"/>
  <c r="X6527" i="2"/>
  <c r="W6527" i="2"/>
  <c r="AH6526" i="2"/>
  <c r="AD6526" i="2"/>
  <c r="AF6526" i="2" s="1"/>
  <c r="X6526" i="2"/>
  <c r="W6526" i="2"/>
  <c r="AH6525" i="2"/>
  <c r="AD6525" i="2"/>
  <c r="AF6525" i="2" s="1"/>
  <c r="X6525" i="2"/>
  <c r="W6525" i="2"/>
  <c r="AH6524" i="2"/>
  <c r="AD6524" i="2"/>
  <c r="AF6524" i="2" s="1"/>
  <c r="X6524" i="2"/>
  <c r="AB6524" i="2" s="1"/>
  <c r="AK6524" i="2" s="1"/>
  <c r="W6524" i="2"/>
  <c r="AH6523" i="2"/>
  <c r="AD6523" i="2"/>
  <c r="AF6523" i="2" s="1"/>
  <c r="X6523" i="2"/>
  <c r="W6523" i="2"/>
  <c r="AH6522" i="2"/>
  <c r="AD6522" i="2"/>
  <c r="AF6522" i="2" s="1"/>
  <c r="X6522" i="2"/>
  <c r="AB6522" i="2" s="1"/>
  <c r="AK6522" i="2" s="1"/>
  <c r="W6522" i="2"/>
  <c r="AH6521" i="2"/>
  <c r="AD6521" i="2"/>
  <c r="AF6521" i="2" s="1"/>
  <c r="X6521" i="2"/>
  <c r="AC6521" i="2" s="1"/>
  <c r="W6521" i="2"/>
  <c r="AH6520" i="2"/>
  <c r="AD6520" i="2"/>
  <c r="AF6520" i="2" s="1"/>
  <c r="X6520" i="2"/>
  <c r="W6520" i="2"/>
  <c r="AH6519" i="2"/>
  <c r="AD6519" i="2"/>
  <c r="AF6519" i="2" s="1"/>
  <c r="X6519" i="2"/>
  <c r="W6519" i="2"/>
  <c r="AH6518" i="2"/>
  <c r="AD6518" i="2"/>
  <c r="AF6518" i="2" s="1"/>
  <c r="X6518" i="2"/>
  <c r="W6518" i="2"/>
  <c r="AH6517" i="2"/>
  <c r="AD6517" i="2"/>
  <c r="AF6517" i="2" s="1"/>
  <c r="X6517" i="2"/>
  <c r="W6517" i="2"/>
  <c r="AH6516" i="2"/>
  <c r="AD6516" i="2"/>
  <c r="AF6516" i="2" s="1"/>
  <c r="X6516" i="2"/>
  <c r="W6516" i="2"/>
  <c r="AH6515" i="2"/>
  <c r="AD6515" i="2"/>
  <c r="AF6515" i="2" s="1"/>
  <c r="X6515" i="2"/>
  <c r="W6515" i="2"/>
  <c r="AH6514" i="2"/>
  <c r="AD6514" i="2"/>
  <c r="AF6514" i="2" s="1"/>
  <c r="X6514" i="2"/>
  <c r="W6514" i="2"/>
  <c r="AH6513" i="2"/>
  <c r="AD6513" i="2"/>
  <c r="X6513" i="2"/>
  <c r="W6513" i="2"/>
  <c r="AH6512" i="2"/>
  <c r="AD6512" i="2"/>
  <c r="AF6512" i="2" s="1"/>
  <c r="X6512" i="2"/>
  <c r="W6512" i="2"/>
  <c r="AH6511" i="2"/>
  <c r="AD6511" i="2"/>
  <c r="AF6511" i="2" s="1"/>
  <c r="X6511" i="2"/>
  <c r="AH6510" i="2"/>
  <c r="AD6510" i="2"/>
  <c r="AF6510" i="2" s="1"/>
  <c r="X6510" i="2"/>
  <c r="W6510" i="2"/>
  <c r="AH6509" i="2"/>
  <c r="AD6509" i="2"/>
  <c r="AF6509" i="2" s="1"/>
  <c r="X6509" i="2"/>
  <c r="W6509" i="2"/>
  <c r="AH6508" i="2"/>
  <c r="AD6508" i="2"/>
  <c r="AF6508" i="2" s="1"/>
  <c r="X6508" i="2"/>
  <c r="AC6508" i="2" s="1"/>
  <c r="W6508" i="2"/>
  <c r="AH6507" i="2"/>
  <c r="AD6507" i="2"/>
  <c r="AF6507" i="2" s="1"/>
  <c r="X6507" i="2"/>
  <c r="R123" i="3" s="1"/>
  <c r="T123" i="3" s="1"/>
  <c r="U123" i="3" s="1"/>
  <c r="V123" i="3" s="1"/>
  <c r="W6507" i="2"/>
  <c r="AH6506" i="2"/>
  <c r="AD6506" i="2"/>
  <c r="AF6506" i="2" s="1"/>
  <c r="X6506" i="2"/>
  <c r="W6506" i="2"/>
  <c r="AH6505" i="2"/>
  <c r="AD6505" i="2"/>
  <c r="AF6505" i="2" s="1"/>
  <c r="X6505" i="2"/>
  <c r="AC6505" i="2" s="1"/>
  <c r="W6505" i="2"/>
  <c r="AH6504" i="2"/>
  <c r="AD6504" i="2"/>
  <c r="AF6504" i="2" s="1"/>
  <c r="X6504" i="2"/>
  <c r="AC6504" i="2" s="1"/>
  <c r="W6504" i="2"/>
  <c r="AH6503" i="2"/>
  <c r="AD6503" i="2"/>
  <c r="AF6503" i="2" s="1"/>
  <c r="X6503" i="2"/>
  <c r="W6503" i="2"/>
  <c r="AH6502" i="2"/>
  <c r="AD6502" i="2"/>
  <c r="AF6502" i="2" s="1"/>
  <c r="X6502" i="2"/>
  <c r="W6502" i="2"/>
  <c r="AH6501" i="2"/>
  <c r="AD6501" i="2"/>
  <c r="AF6501" i="2" s="1"/>
  <c r="X6501" i="2"/>
  <c r="Y6501" i="2" s="1"/>
  <c r="W6501" i="2"/>
  <c r="AH6500" i="2"/>
  <c r="AD6500" i="2"/>
  <c r="AF6500" i="2" s="1"/>
  <c r="X6500" i="2"/>
  <c r="AC6500" i="2" s="1"/>
  <c r="W6500" i="2"/>
  <c r="AH6499" i="2"/>
  <c r="AD6499" i="2"/>
  <c r="AF6499" i="2" s="1"/>
  <c r="X6499" i="2"/>
  <c r="W6499" i="2"/>
  <c r="AH6498" i="2"/>
  <c r="AD6498" i="2"/>
  <c r="AF6498" i="2" s="1"/>
  <c r="X6498" i="2"/>
  <c r="W6498" i="2"/>
  <c r="AH6497" i="2"/>
  <c r="AD6497" i="2"/>
  <c r="AF6497" i="2" s="1"/>
  <c r="X6497" i="2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W6495" i="2"/>
  <c r="AH6494" i="2"/>
  <c r="AD6494" i="2"/>
  <c r="AF6494" i="2" s="1"/>
  <c r="X6494" i="2"/>
  <c r="W6494" i="2"/>
  <c r="AH6493" i="2"/>
  <c r="AD6493" i="2"/>
  <c r="AF6493" i="2" s="1"/>
  <c r="X6493" i="2"/>
  <c r="W6493" i="2"/>
  <c r="AH6492" i="2"/>
  <c r="AD6492" i="2"/>
  <c r="AF6492" i="2" s="1"/>
  <c r="X6492" i="2"/>
  <c r="AC6492" i="2" s="1"/>
  <c r="W6492" i="2"/>
  <c r="AH6491" i="2"/>
  <c r="AD6491" i="2"/>
  <c r="AF6491" i="2" s="1"/>
  <c r="X6491" i="2"/>
  <c r="W6491" i="2"/>
  <c r="AH6490" i="2"/>
  <c r="AD6490" i="2"/>
  <c r="AF6490" i="2" s="1"/>
  <c r="X6490" i="2"/>
  <c r="W6490" i="2"/>
  <c r="AH6489" i="2"/>
  <c r="AD6489" i="2"/>
  <c r="AF6489" i="2" s="1"/>
  <c r="X6489" i="2"/>
  <c r="AH6488" i="2"/>
  <c r="AD6488" i="2"/>
  <c r="AF6488" i="2" s="1"/>
  <c r="X6488" i="2"/>
  <c r="W6488" i="2"/>
  <c r="AH6487" i="2"/>
  <c r="AD6487" i="2"/>
  <c r="AF6487" i="2" s="1"/>
  <c r="X6487" i="2"/>
  <c r="W6487" i="2"/>
  <c r="AH6486" i="2"/>
  <c r="AD6486" i="2"/>
  <c r="AF6486" i="2" s="1"/>
  <c r="X6486" i="2"/>
  <c r="AC6486" i="2" s="1"/>
  <c r="W6486" i="2"/>
  <c r="AH6485" i="2"/>
  <c r="AD6485" i="2"/>
  <c r="AF6485" i="2" s="1"/>
  <c r="X6485" i="2"/>
  <c r="W6485" i="2"/>
  <c r="AH6484" i="2"/>
  <c r="AD6484" i="2"/>
  <c r="AF6484" i="2" s="1"/>
  <c r="X6484" i="2"/>
  <c r="AC6484" i="2" s="1"/>
  <c r="W6484" i="2"/>
  <c r="AH6483" i="2"/>
  <c r="AD6483" i="2"/>
  <c r="AF6483" i="2" s="1"/>
  <c r="X6483" i="2"/>
  <c r="W6483" i="2"/>
  <c r="AH6482" i="2"/>
  <c r="AD6482" i="2"/>
  <c r="AF6482" i="2" s="1"/>
  <c r="X6482" i="2"/>
  <c r="W6482" i="2"/>
  <c r="AH6481" i="2"/>
  <c r="AD6481" i="2"/>
  <c r="X6481" i="2"/>
  <c r="W6481" i="2"/>
  <c r="AH6480" i="2"/>
  <c r="AD6480" i="2"/>
  <c r="AF6480" i="2" s="1"/>
  <c r="X6480" i="2"/>
  <c r="W6480" i="2"/>
  <c r="AH6479" i="2"/>
  <c r="AD6479" i="2"/>
  <c r="AF6479" i="2" s="1"/>
  <c r="X6479" i="2"/>
  <c r="W6479" i="2"/>
  <c r="AH6478" i="2"/>
  <c r="AD6478" i="2"/>
  <c r="AF6478" i="2" s="1"/>
  <c r="X6478" i="2"/>
  <c r="AC6478" i="2" s="1"/>
  <c r="AH6477" i="2"/>
  <c r="AD6477" i="2"/>
  <c r="AF6477" i="2" s="1"/>
  <c r="X6477" i="2"/>
  <c r="AC6477" i="2" s="1"/>
  <c r="W6477" i="2"/>
  <c r="AH6476" i="2"/>
  <c r="AD6476" i="2"/>
  <c r="AF6476" i="2" s="1"/>
  <c r="X6476" i="2"/>
  <c r="W6476" i="2"/>
  <c r="AH6475" i="2"/>
  <c r="AD6475" i="2"/>
  <c r="AF6475" i="2" s="1"/>
  <c r="X6475" i="2"/>
  <c r="W6475" i="2"/>
  <c r="AH6474" i="2"/>
  <c r="AD6474" i="2"/>
  <c r="AF6474" i="2" s="1"/>
  <c r="X6474" i="2"/>
  <c r="W6474" i="2"/>
  <c r="AH6473" i="2"/>
  <c r="AD6473" i="2"/>
  <c r="AF6473" i="2" s="1"/>
  <c r="X6473" i="2"/>
  <c r="AB6473" i="2" s="1"/>
  <c r="AK6473" i="2" s="1"/>
  <c r="W6473" i="2"/>
  <c r="AH6472" i="2"/>
  <c r="AD6472" i="2"/>
  <c r="AF6472" i="2" s="1"/>
  <c r="X6472" i="2"/>
  <c r="W6472" i="2"/>
  <c r="AH6471" i="2"/>
  <c r="AD6471" i="2"/>
  <c r="AF6471" i="2" s="1"/>
  <c r="X6471" i="2"/>
  <c r="AB6471" i="2" s="1"/>
  <c r="AK6471" i="2" s="1"/>
  <c r="W6471" i="2"/>
  <c r="AH6470" i="2"/>
  <c r="AD6470" i="2"/>
  <c r="AF6470" i="2" s="1"/>
  <c r="X6470" i="2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W6468" i="2"/>
  <c r="AH6467" i="2"/>
  <c r="AD6467" i="2"/>
  <c r="AF6467" i="2" s="1"/>
  <c r="X6467" i="2"/>
  <c r="W6467" i="2"/>
  <c r="AH6466" i="2"/>
  <c r="AD6466" i="2"/>
  <c r="AF6466" i="2" s="1"/>
  <c r="X6466" i="2"/>
  <c r="W6466" i="2"/>
  <c r="AH6465" i="2"/>
  <c r="AD6465" i="2"/>
  <c r="AF6465" i="2" s="1"/>
  <c r="X6465" i="2"/>
  <c r="W6465" i="2"/>
  <c r="AH6464" i="2"/>
  <c r="AD6464" i="2"/>
  <c r="AF6464" i="2" s="1"/>
  <c r="X6464" i="2"/>
  <c r="W6464" i="2"/>
  <c r="AH6463" i="2"/>
  <c r="AD6463" i="2"/>
  <c r="AF6463" i="2" s="1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AF6461" i="2" s="1"/>
  <c r="X6461" i="2"/>
  <c r="AC6461" i="2" s="1"/>
  <c r="W6461" i="2"/>
  <c r="AH6460" i="2"/>
  <c r="AD6460" i="2"/>
  <c r="AF6460" i="2" s="1"/>
  <c r="X6460" i="2"/>
  <c r="W6460" i="2"/>
  <c r="AH6459" i="2"/>
  <c r="AD6459" i="2"/>
  <c r="AF6459" i="2" s="1"/>
  <c r="X6459" i="2"/>
  <c r="W6459" i="2"/>
  <c r="AH6458" i="2"/>
  <c r="AD6458" i="2"/>
  <c r="AF6458" i="2" s="1"/>
  <c r="X6458" i="2"/>
  <c r="W6458" i="2"/>
  <c r="AH6457" i="2"/>
  <c r="AD6457" i="2"/>
  <c r="AF6457" i="2" s="1"/>
  <c r="X6457" i="2"/>
  <c r="W6457" i="2"/>
  <c r="AH6456" i="2"/>
  <c r="AD6456" i="2"/>
  <c r="AF6456" i="2" s="1"/>
  <c r="X6456" i="2"/>
  <c r="W6456" i="2"/>
  <c r="AH6455" i="2"/>
  <c r="AD6455" i="2"/>
  <c r="AF6455" i="2" s="1"/>
  <c r="X6455" i="2"/>
  <c r="AB6455" i="2" s="1"/>
  <c r="AK6455" i="2" s="1"/>
  <c r="AH6454" i="2"/>
  <c r="AD6454" i="2"/>
  <c r="AF6454" i="2" s="1"/>
  <c r="X6454" i="2"/>
  <c r="W6454" i="2"/>
  <c r="AH6453" i="2"/>
  <c r="AD6453" i="2"/>
  <c r="AF6453" i="2" s="1"/>
  <c r="X6453" i="2"/>
  <c r="AC6453" i="2" s="1"/>
  <c r="W6453" i="2"/>
  <c r="AH6452" i="2"/>
  <c r="AD6452" i="2"/>
  <c r="X6452" i="2"/>
  <c r="W6452" i="2"/>
  <c r="AH6451" i="2"/>
  <c r="AD6451" i="2"/>
  <c r="AF6451" i="2" s="1"/>
  <c r="X6451" i="2"/>
  <c r="W6451" i="2"/>
  <c r="AH6450" i="2"/>
  <c r="AD6450" i="2"/>
  <c r="AF6450" i="2" s="1"/>
  <c r="X6450" i="2"/>
  <c r="W6450" i="2"/>
  <c r="AH6449" i="2"/>
  <c r="AD6449" i="2"/>
  <c r="AF6449" i="2" s="1"/>
  <c r="X6449" i="2"/>
  <c r="W6449" i="2"/>
  <c r="AH6448" i="2"/>
  <c r="AD6448" i="2"/>
  <c r="AF6448" i="2" s="1"/>
  <c r="X6448" i="2"/>
  <c r="W6448" i="2"/>
  <c r="AH6447" i="2"/>
  <c r="AD6447" i="2"/>
  <c r="AF6447" i="2" s="1"/>
  <c r="X6447" i="2"/>
  <c r="W6447" i="2"/>
  <c r="AH6446" i="2"/>
  <c r="AD6446" i="2"/>
  <c r="X6446" i="2"/>
  <c r="W6446" i="2"/>
  <c r="AH6445" i="2"/>
  <c r="AD6445" i="2"/>
  <c r="AF6445" i="2" s="1"/>
  <c r="X6445" i="2"/>
  <c r="W6445" i="2"/>
  <c r="AH6444" i="2"/>
  <c r="AD6444" i="2"/>
  <c r="AF6444" i="2" s="1"/>
  <c r="X6444" i="2"/>
  <c r="W6444" i="2"/>
  <c r="AH6443" i="2"/>
  <c r="AD6443" i="2"/>
  <c r="AF6443" i="2" s="1"/>
  <c r="X6443" i="2"/>
  <c r="AB6443" i="2" s="1"/>
  <c r="AK6443" i="2" s="1"/>
  <c r="W6443" i="2"/>
  <c r="AH6442" i="2"/>
  <c r="AD6442" i="2"/>
  <c r="X6442" i="2"/>
  <c r="W6442" i="2"/>
  <c r="AH6441" i="2"/>
  <c r="AD6441" i="2"/>
  <c r="AF6441" i="2" s="1"/>
  <c r="X6441" i="2"/>
  <c r="AB6441" i="2" s="1"/>
  <c r="AK6441" i="2" s="1"/>
  <c r="W6441" i="2"/>
  <c r="AH6440" i="2"/>
  <c r="AD6440" i="2"/>
  <c r="AF6440" i="2" s="1"/>
  <c r="X6440" i="2"/>
  <c r="W6440" i="2"/>
  <c r="AH6439" i="2"/>
  <c r="AD6439" i="2"/>
  <c r="AF6439" i="2" s="1"/>
  <c r="X6439" i="2"/>
  <c r="W6439" i="2"/>
  <c r="AH6438" i="2"/>
  <c r="AD6438" i="2"/>
  <c r="AF6438" i="2" s="1"/>
  <c r="X6438" i="2"/>
  <c r="W6438" i="2"/>
  <c r="AH6437" i="2"/>
  <c r="AD6437" i="2"/>
  <c r="AF6437" i="2" s="1"/>
  <c r="X6437" i="2"/>
  <c r="AC6437" i="2" s="1"/>
  <c r="W6437" i="2"/>
  <c r="AH6436" i="2"/>
  <c r="AD6436" i="2"/>
  <c r="AF6436" i="2" s="1"/>
  <c r="W6436" i="2"/>
  <c r="AH6435" i="2"/>
  <c r="AD6435" i="2"/>
  <c r="AF6435" i="2" s="1"/>
  <c r="X6435" i="2"/>
  <c r="W6435" i="2"/>
  <c r="AH6434" i="2"/>
  <c r="AD6434" i="2"/>
  <c r="AF6434" i="2" s="1"/>
  <c r="X6434" i="2"/>
  <c r="W6434" i="2"/>
  <c r="AH6433" i="2"/>
  <c r="AD6433" i="2"/>
  <c r="AF6433" i="2" s="1"/>
  <c r="X6433" i="2"/>
  <c r="W6433" i="2"/>
  <c r="AH6432" i="2"/>
  <c r="AD6432" i="2"/>
  <c r="X6432" i="2"/>
  <c r="W6432" i="2"/>
  <c r="AH6431" i="2"/>
  <c r="AD6431" i="2"/>
  <c r="AF6431" i="2" s="1"/>
  <c r="X6431" i="2"/>
  <c r="AC6431" i="2" s="1"/>
  <c r="W6431" i="2"/>
  <c r="AH6430" i="2"/>
  <c r="AD6430" i="2"/>
  <c r="X6430" i="2"/>
  <c r="W6430" i="2"/>
  <c r="AH6429" i="2"/>
  <c r="AD6429" i="2"/>
  <c r="AF6429" i="2" s="1"/>
  <c r="X6429" i="2"/>
  <c r="AC6429" i="2" s="1"/>
  <c r="W6429" i="2"/>
  <c r="AH6428" i="2"/>
  <c r="AD6428" i="2"/>
  <c r="AF6428" i="2" s="1"/>
  <c r="X6428" i="2"/>
  <c r="W6428" i="2"/>
  <c r="AH6427" i="2"/>
  <c r="AD6427" i="2"/>
  <c r="AF6427" i="2" s="1"/>
  <c r="X6427" i="2"/>
  <c r="AB6427" i="2" s="1"/>
  <c r="AK6427" i="2" s="1"/>
  <c r="W6427" i="2"/>
  <c r="AH6426" i="2"/>
  <c r="AD6426" i="2"/>
  <c r="AF6426" i="2" s="1"/>
  <c r="X6426" i="2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W6424" i="2"/>
  <c r="AH6423" i="2"/>
  <c r="AD6423" i="2"/>
  <c r="AF6423" i="2" s="1"/>
  <c r="X6423" i="2"/>
  <c r="W6423" i="2"/>
  <c r="AH6422" i="2"/>
  <c r="AD6422" i="2"/>
  <c r="AF6422" i="2" s="1"/>
  <c r="X6422" i="2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AF6418" i="2" s="1"/>
  <c r="X6418" i="2"/>
  <c r="AH6417" i="2"/>
  <c r="AD6417" i="2"/>
  <c r="AF6417" i="2" s="1"/>
  <c r="X6417" i="2"/>
  <c r="W6417" i="2"/>
  <c r="AH6416" i="2"/>
  <c r="AD6416" i="2"/>
  <c r="AF6416" i="2" s="1"/>
  <c r="X6416" i="2"/>
  <c r="W6416" i="2"/>
  <c r="AH6415" i="2"/>
  <c r="AD6415" i="2"/>
  <c r="AF6415" i="2" s="1"/>
  <c r="X6415" i="2"/>
  <c r="AH6414" i="2"/>
  <c r="AD6414" i="2"/>
  <c r="AF6414" i="2" s="1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C6412" i="2" s="1"/>
  <c r="W6412" i="2"/>
  <c r="AH6411" i="2"/>
  <c r="AD6411" i="2"/>
  <c r="AF6411" i="2" s="1"/>
  <c r="X6411" i="2"/>
  <c r="W6411" i="2"/>
  <c r="AH6410" i="2"/>
  <c r="AD6410" i="2"/>
  <c r="AF6410" i="2" s="1"/>
  <c r="X6410" i="2"/>
  <c r="AC6410" i="2" s="1"/>
  <c r="W6410" i="2"/>
  <c r="AH6409" i="2"/>
  <c r="AD6409" i="2"/>
  <c r="AF6409" i="2" s="1"/>
  <c r="X6409" i="2"/>
  <c r="W6409" i="2"/>
  <c r="AH6408" i="2"/>
  <c r="AD6408" i="2"/>
  <c r="AF6408" i="2" s="1"/>
  <c r="X6408" i="2"/>
  <c r="W6408" i="2"/>
  <c r="AH6407" i="2"/>
  <c r="AD6407" i="2"/>
  <c r="AF6407" i="2" s="1"/>
  <c r="X6407" i="2"/>
  <c r="W6407" i="2"/>
  <c r="AH6406" i="2"/>
  <c r="AD6406" i="2"/>
  <c r="X6406" i="2"/>
  <c r="W6406" i="2"/>
  <c r="AH6405" i="2"/>
  <c r="AD6405" i="2"/>
  <c r="AF6405" i="2" s="1"/>
  <c r="X6405" i="2"/>
  <c r="W6405" i="2"/>
  <c r="AH6404" i="2"/>
  <c r="AD6404" i="2"/>
  <c r="X6404" i="2"/>
  <c r="AC6404" i="2" s="1"/>
  <c r="W6404" i="2"/>
  <c r="AH6403" i="2"/>
  <c r="AD6403" i="2"/>
  <c r="AF6403" i="2" s="1"/>
  <c r="X6403" i="2"/>
  <c r="W6403" i="2"/>
  <c r="AH6402" i="2"/>
  <c r="AD6402" i="2"/>
  <c r="AF6402" i="2" s="1"/>
  <c r="AC6402" i="2"/>
  <c r="W6402" i="2"/>
  <c r="AH6401" i="2"/>
  <c r="AD6401" i="2"/>
  <c r="Y6401" i="2" s="1"/>
  <c r="AC6401" i="2"/>
  <c r="W6401" i="2"/>
  <c r="AH6400" i="2"/>
  <c r="AD6400" i="2"/>
  <c r="AC6400" i="2"/>
  <c r="W6400" i="2"/>
  <c r="AH6399" i="2"/>
  <c r="AD6399" i="2"/>
  <c r="AF6399" i="2" s="1"/>
  <c r="X6399" i="2"/>
  <c r="W6399" i="2"/>
  <c r="AH6398" i="2"/>
  <c r="AD6398" i="2"/>
  <c r="Y6398" i="2" s="1"/>
  <c r="AC6398" i="2"/>
  <c r="W6398" i="2"/>
  <c r="AH6397" i="2"/>
  <c r="AD6397" i="2"/>
  <c r="AF6397" i="2" s="1"/>
  <c r="X6397" i="2"/>
  <c r="W6397" i="2"/>
  <c r="AH6396" i="2"/>
  <c r="AD6396" i="2"/>
  <c r="X6396" i="2"/>
  <c r="AC6396" i="2" s="1"/>
  <c r="W6396" i="2"/>
  <c r="AH6395" i="2"/>
  <c r="AD6395" i="2"/>
  <c r="AF6395" i="2" s="1"/>
  <c r="X6395" i="2"/>
  <c r="W6395" i="2"/>
  <c r="AH6394" i="2"/>
  <c r="AD6394" i="2"/>
  <c r="AF6394" i="2" s="1"/>
  <c r="X6394" i="2"/>
  <c r="AC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6391" i="2"/>
  <c r="AD6391" i="2"/>
  <c r="AF6391" i="2" s="1"/>
  <c r="X6391" i="2"/>
  <c r="W6391" i="2"/>
  <c r="AH6390" i="2"/>
  <c r="AD6390" i="2"/>
  <c r="AF6390" i="2" s="1"/>
  <c r="X6390" i="2"/>
  <c r="W6390" i="2"/>
  <c r="AH6389" i="2"/>
  <c r="AD6389" i="2"/>
  <c r="AF6389" i="2" s="1"/>
  <c r="X6389" i="2"/>
  <c r="W6389" i="2"/>
  <c r="AH6388" i="2"/>
  <c r="AD6388" i="2"/>
  <c r="AF6388" i="2" s="1"/>
  <c r="X6388" i="2"/>
  <c r="AC6388" i="2" s="1"/>
  <c r="W6388" i="2"/>
  <c r="AH6387" i="2"/>
  <c r="AD6387" i="2"/>
  <c r="AF6387" i="2" s="1"/>
  <c r="X6387" i="2"/>
  <c r="W6387" i="2"/>
  <c r="AH6386" i="2"/>
  <c r="AD6386" i="2"/>
  <c r="AF6386" i="2" s="1"/>
  <c r="X6386" i="2"/>
  <c r="W6386" i="2"/>
  <c r="AH6385" i="2"/>
  <c r="AD6385" i="2"/>
  <c r="AF6385" i="2" s="1"/>
  <c r="X6385" i="2"/>
  <c r="W6385" i="2"/>
  <c r="AH6384" i="2"/>
  <c r="AD6384" i="2"/>
  <c r="AF6384" i="2" s="1"/>
  <c r="X6384" i="2"/>
  <c r="W6384" i="2"/>
  <c r="AH6383" i="2"/>
  <c r="AD6383" i="2"/>
  <c r="Y6383" i="2" s="1"/>
  <c r="AC6383" i="2"/>
  <c r="W6383" i="2"/>
  <c r="AH6382" i="2"/>
  <c r="AE6382" i="2"/>
  <c r="AF6382" i="2" s="1"/>
  <c r="AC6382" i="2"/>
  <c r="W6382" i="2"/>
  <c r="AH6381" i="2"/>
  <c r="AE6381" i="2"/>
  <c r="AF6381" i="2" s="1"/>
  <c r="X6381" i="2"/>
  <c r="W6381" i="2"/>
  <c r="AH6380" i="2"/>
  <c r="AE6380" i="2"/>
  <c r="AF6380" i="2" s="1"/>
  <c r="X6380" i="2"/>
  <c r="W6380" i="2"/>
  <c r="AH6379" i="2"/>
  <c r="AE6379" i="2"/>
  <c r="AF6379" i="2" s="1"/>
  <c r="X6379" i="2"/>
  <c r="W6379" i="2"/>
  <c r="AH6378" i="2"/>
  <c r="AE6378" i="2"/>
  <c r="AF6378" i="2" s="1"/>
  <c r="X6378" i="2"/>
  <c r="W6378" i="2"/>
  <c r="AH6377" i="2"/>
  <c r="AE6377" i="2"/>
  <c r="AF6377" i="2" s="1"/>
  <c r="X6377" i="2"/>
  <c r="W6377" i="2"/>
  <c r="AH6376" i="2"/>
  <c r="AE6376" i="2"/>
  <c r="AF6376" i="2" s="1"/>
  <c r="X6376" i="2"/>
  <c r="W6376" i="2"/>
  <c r="AH6375" i="2"/>
  <c r="AE6375" i="2"/>
  <c r="AF6375" i="2" s="1"/>
  <c r="X6375" i="2"/>
  <c r="W6375" i="2"/>
  <c r="AH6374" i="2"/>
  <c r="AE6374" i="2"/>
  <c r="AF6374" i="2" s="1"/>
  <c r="X6374" i="2"/>
  <c r="W6374" i="2"/>
  <c r="AH6373" i="2"/>
  <c r="AE6373" i="2"/>
  <c r="AF6373" i="2" s="1"/>
  <c r="X6373" i="2"/>
  <c r="W6373" i="2"/>
  <c r="AH6372" i="2"/>
  <c r="AE6372" i="2"/>
  <c r="AF6372" i="2" s="1"/>
  <c r="X6372" i="2"/>
  <c r="W6372" i="2"/>
  <c r="AH6371" i="2"/>
  <c r="AE6371" i="2"/>
  <c r="AF6371" i="2" s="1"/>
  <c r="X6371" i="2"/>
  <c r="W6371" i="2"/>
  <c r="AH6370" i="2"/>
  <c r="AE6370" i="2"/>
  <c r="AF6370" i="2" s="1"/>
  <c r="X6370" i="2"/>
  <c r="W6370" i="2"/>
  <c r="AH6369" i="2"/>
  <c r="AE6369" i="2"/>
  <c r="AF6369" i="2" s="1"/>
  <c r="X6369" i="2"/>
  <c r="W6369" i="2"/>
  <c r="AH6368" i="2"/>
  <c r="AE6368" i="2"/>
  <c r="AF6368" i="2" s="1"/>
  <c r="X6368" i="2"/>
  <c r="W6368" i="2"/>
  <c r="AH6367" i="2"/>
  <c r="AE6367" i="2"/>
  <c r="AF6367" i="2" s="1"/>
  <c r="X6367" i="2"/>
  <c r="W6367" i="2"/>
  <c r="AH6366" i="2"/>
  <c r="AE6366" i="2"/>
  <c r="AF6366" i="2" s="1"/>
  <c r="X6366" i="2"/>
  <c r="AH6365" i="2"/>
  <c r="AE6365" i="2"/>
  <c r="AF6365" i="2" s="1"/>
  <c r="X6365" i="2"/>
  <c r="W6365" i="2"/>
  <c r="AH6364" i="2"/>
  <c r="AE6364" i="2"/>
  <c r="AF6364" i="2" s="1"/>
  <c r="X6364" i="2"/>
  <c r="AB6364" i="2" s="1"/>
  <c r="AK6364" i="2" s="1"/>
  <c r="W6364" i="2"/>
  <c r="AH6363" i="2"/>
  <c r="AE6363" i="2"/>
  <c r="AF6363" i="2" s="1"/>
  <c r="X6363" i="2"/>
  <c r="AC6363" i="2" s="1"/>
  <c r="W6363" i="2"/>
  <c r="AH6362" i="2"/>
  <c r="AE6362" i="2"/>
  <c r="AF6362" i="2" s="1"/>
  <c r="X6362" i="2"/>
  <c r="Y6362" i="2" s="1"/>
  <c r="W6362" i="2"/>
  <c r="AH6361" i="2"/>
  <c r="AE6361" i="2"/>
  <c r="AF6361" i="2" s="1"/>
  <c r="X6361" i="2"/>
  <c r="W6361" i="2"/>
  <c r="AH6360" i="2"/>
  <c r="AE6360" i="2"/>
  <c r="AF6360" i="2" s="1"/>
  <c r="X6360" i="2"/>
  <c r="AC6360" i="2" s="1"/>
  <c r="W6360" i="2"/>
  <c r="AH6359" i="2"/>
  <c r="AE6359" i="2"/>
  <c r="AF6359" i="2" s="1"/>
  <c r="X6359" i="2"/>
  <c r="AC6359" i="2" s="1"/>
  <c r="W6359" i="2"/>
  <c r="AH6358" i="2"/>
  <c r="AE6358" i="2"/>
  <c r="AF6358" i="2" s="1"/>
  <c r="X6358" i="2"/>
  <c r="AB6358" i="2" s="1"/>
  <c r="AK6358" i="2" s="1"/>
  <c r="W6358" i="2"/>
  <c r="AH6357" i="2"/>
  <c r="AE6357" i="2"/>
  <c r="AF6357" i="2" s="1"/>
  <c r="X6357" i="2"/>
  <c r="W6357" i="2"/>
  <c r="AH6356" i="2"/>
  <c r="AE6356" i="2"/>
  <c r="AF6356" i="2" s="1"/>
  <c r="X6356" i="2"/>
  <c r="W6356" i="2"/>
  <c r="AH6355" i="2"/>
  <c r="AE6355" i="2"/>
  <c r="AF6355" i="2" s="1"/>
  <c r="X6355" i="2"/>
  <c r="W6355" i="2"/>
  <c r="AH6354" i="2"/>
  <c r="AE6354" i="2"/>
  <c r="AF6354" i="2" s="1"/>
  <c r="X6354" i="2"/>
  <c r="AB6354" i="2" s="1"/>
  <c r="AK6354" i="2" s="1"/>
  <c r="W6354" i="2"/>
  <c r="AH6353" i="2"/>
  <c r="AE6353" i="2"/>
  <c r="AF6353" i="2" s="1"/>
  <c r="X6353" i="2"/>
  <c r="W6353" i="2"/>
  <c r="AH6352" i="2"/>
  <c r="AE6352" i="2"/>
  <c r="AF6352" i="2" s="1"/>
  <c r="X6352" i="2"/>
  <c r="AC6352" i="2" s="1"/>
  <c r="W6352" i="2"/>
  <c r="AH6351" i="2"/>
  <c r="AE6351" i="2"/>
  <c r="AF6351" i="2" s="1"/>
  <c r="X6351" i="2"/>
  <c r="W6351" i="2"/>
  <c r="AH6350" i="2"/>
  <c r="AE6350" i="2"/>
  <c r="AF6350" i="2" s="1"/>
  <c r="X6350" i="2"/>
  <c r="AC6350" i="2" s="1"/>
  <c r="W6350" i="2"/>
  <c r="AH6349" i="2"/>
  <c r="AE6349" i="2"/>
  <c r="AF6349" i="2" s="1"/>
  <c r="X6349" i="2"/>
  <c r="W6349" i="2"/>
  <c r="AH6348" i="2"/>
  <c r="AE6348" i="2"/>
  <c r="AF6348" i="2" s="1"/>
  <c r="X6348" i="2"/>
  <c r="AB6348" i="2" s="1"/>
  <c r="AK6348" i="2" s="1"/>
  <c r="W6348" i="2"/>
  <c r="AH6347" i="2"/>
  <c r="AE6347" i="2"/>
  <c r="AF6347" i="2" s="1"/>
  <c r="X6347" i="2"/>
  <c r="W6347" i="2"/>
  <c r="AH6346" i="2"/>
  <c r="AE6346" i="2"/>
  <c r="AF6346" i="2" s="1"/>
  <c r="X6346" i="2"/>
  <c r="AC6346" i="2" s="1"/>
  <c r="W6346" i="2"/>
  <c r="AH6345" i="2"/>
  <c r="AE6345" i="2"/>
  <c r="AF6345" i="2" s="1"/>
  <c r="X6345" i="2"/>
  <c r="W6345" i="2"/>
  <c r="AH6344" i="2"/>
  <c r="AE6344" i="2"/>
  <c r="AF6344" i="2" s="1"/>
  <c r="X6344" i="2"/>
  <c r="AB6344" i="2" s="1"/>
  <c r="AK6344" i="2" s="1"/>
  <c r="W6344" i="2"/>
  <c r="AH6343" i="2"/>
  <c r="AE6343" i="2"/>
  <c r="AF6343" i="2" s="1"/>
  <c r="X6343" i="2"/>
  <c r="W6343" i="2"/>
  <c r="AH6342" i="2"/>
  <c r="AE6342" i="2"/>
  <c r="AF6342" i="2" s="1"/>
  <c r="X6342" i="2"/>
  <c r="AB6342" i="2" s="1"/>
  <c r="AK6342" i="2" s="1"/>
  <c r="W6342" i="2"/>
  <c r="AH6341" i="2"/>
  <c r="AE6341" i="2"/>
  <c r="AF6341" i="2" s="1"/>
  <c r="X6341" i="2"/>
  <c r="W6341" i="2"/>
  <c r="AH6340" i="2"/>
  <c r="AE6340" i="2"/>
  <c r="AF6340" i="2" s="1"/>
  <c r="X6340" i="2"/>
  <c r="AB6340" i="2" s="1"/>
  <c r="AK6340" i="2" s="1"/>
  <c r="W6340" i="2"/>
  <c r="AH6339" i="2"/>
  <c r="AE6339" i="2"/>
  <c r="AF6339" i="2" s="1"/>
  <c r="X6339" i="2"/>
  <c r="W6339" i="2"/>
  <c r="AH6338" i="2"/>
  <c r="AE6338" i="2"/>
  <c r="AF6338" i="2" s="1"/>
  <c r="X6338" i="2"/>
  <c r="Y6338" i="2" s="1"/>
  <c r="W6338" i="2"/>
  <c r="AH6337" i="2"/>
  <c r="AE6337" i="2"/>
  <c r="AF6337" i="2" s="1"/>
  <c r="X6337" i="2"/>
  <c r="AC6337" i="2" s="1"/>
  <c r="W6337" i="2"/>
  <c r="AH6336" i="2"/>
  <c r="AE6336" i="2"/>
  <c r="AF6336" i="2" s="1"/>
  <c r="X6336" i="2"/>
  <c r="AC6336" i="2" s="1"/>
  <c r="W6336" i="2"/>
  <c r="AH6335" i="2"/>
  <c r="AE6335" i="2"/>
  <c r="AF6335" i="2" s="1"/>
  <c r="X6335" i="2"/>
  <c r="W6335" i="2"/>
  <c r="AH6334" i="2"/>
  <c r="AE6334" i="2"/>
  <c r="AF6334" i="2" s="1"/>
  <c r="X6334" i="2"/>
  <c r="AB6334" i="2" s="1"/>
  <c r="AK6334" i="2" s="1"/>
  <c r="W6334" i="2"/>
  <c r="AH6333" i="2"/>
  <c r="AE6333" i="2"/>
  <c r="AF6333" i="2" s="1"/>
  <c r="X6333" i="2"/>
  <c r="W6333" i="2"/>
  <c r="AH6332" i="2"/>
  <c r="AE6332" i="2"/>
  <c r="AF6332" i="2" s="1"/>
  <c r="X6332" i="2"/>
  <c r="W6332" i="2"/>
  <c r="AH6331" i="2"/>
  <c r="AE6331" i="2"/>
  <c r="AF6331" i="2" s="1"/>
  <c r="X6331" i="2"/>
  <c r="W6331" i="2"/>
  <c r="AH6330" i="2"/>
  <c r="AE6330" i="2"/>
  <c r="AF6330" i="2" s="1"/>
  <c r="X6330" i="2"/>
  <c r="AC6330" i="2" s="1"/>
  <c r="W6330" i="2"/>
  <c r="AH6329" i="2"/>
  <c r="AE6329" i="2"/>
  <c r="AF6329" i="2" s="1"/>
  <c r="X6329" i="2"/>
  <c r="W6329" i="2"/>
  <c r="AH6328" i="2"/>
  <c r="AE6328" i="2"/>
  <c r="AF6328" i="2" s="1"/>
  <c r="X6328" i="2"/>
  <c r="Y6328" i="2" s="1"/>
  <c r="W6328" i="2"/>
  <c r="AH6327" i="2"/>
  <c r="AE6327" i="2"/>
  <c r="AF6327" i="2" s="1"/>
  <c r="X6327" i="2"/>
  <c r="W6327" i="2"/>
  <c r="AH6326" i="2"/>
  <c r="AE6326" i="2"/>
  <c r="AF6326" i="2" s="1"/>
  <c r="X6326" i="2"/>
  <c r="AC6326" i="2" s="1"/>
  <c r="W6326" i="2"/>
  <c r="AH6325" i="2"/>
  <c r="AE6325" i="2"/>
  <c r="AF6325" i="2" s="1"/>
  <c r="X6325" i="2"/>
  <c r="W6325" i="2"/>
  <c r="AH6324" i="2"/>
  <c r="AE6324" i="2"/>
  <c r="AF6324" i="2" s="1"/>
  <c r="X6324" i="2"/>
  <c r="AC6324" i="2" s="1"/>
  <c r="W6324" i="2"/>
  <c r="AH6323" i="2"/>
  <c r="AE6323" i="2"/>
  <c r="AF6323" i="2" s="1"/>
  <c r="X6323" i="2"/>
  <c r="W6323" i="2"/>
  <c r="AH6322" i="2"/>
  <c r="AE6322" i="2"/>
  <c r="AF6322" i="2" s="1"/>
  <c r="X6322" i="2"/>
  <c r="AC6322" i="2" s="1"/>
  <c r="W6322" i="2"/>
  <c r="AH6321" i="2"/>
  <c r="AE6321" i="2"/>
  <c r="AF6321" i="2" s="1"/>
  <c r="X6321" i="2"/>
  <c r="W6321" i="2"/>
  <c r="AH6320" i="2"/>
  <c r="AE6320" i="2"/>
  <c r="AF6320" i="2" s="1"/>
  <c r="X6320" i="2"/>
  <c r="AB6320" i="2" s="1"/>
  <c r="AK6320" i="2" s="1"/>
  <c r="W6320" i="2"/>
  <c r="AH6319" i="2"/>
  <c r="AE6319" i="2"/>
  <c r="AF6319" i="2" s="1"/>
  <c r="X6319" i="2"/>
  <c r="W6319" i="2"/>
  <c r="AH6318" i="2"/>
  <c r="AE6318" i="2"/>
  <c r="AF6318" i="2" s="1"/>
  <c r="X6318" i="2"/>
  <c r="AB6318" i="2" s="1"/>
  <c r="AK6318" i="2" s="1"/>
  <c r="W6318" i="2"/>
  <c r="AH6317" i="2"/>
  <c r="AE6317" i="2"/>
  <c r="AF6317" i="2" s="1"/>
  <c r="X6317" i="2"/>
  <c r="AC6317" i="2" s="1"/>
  <c r="W6317" i="2"/>
  <c r="AH6316" i="2"/>
  <c r="AE6316" i="2"/>
  <c r="AF6316" i="2" s="1"/>
  <c r="X6316" i="2"/>
  <c r="AC6316" i="2" s="1"/>
  <c r="W6316" i="2"/>
  <c r="AH6315" i="2"/>
  <c r="AE6315" i="2"/>
  <c r="AF6315" i="2" s="1"/>
  <c r="X6315" i="2"/>
  <c r="W6315" i="2"/>
  <c r="AH6314" i="2"/>
  <c r="AE6314" i="2"/>
  <c r="AF6314" i="2" s="1"/>
  <c r="X6314" i="2"/>
  <c r="Y6314" i="2" s="1"/>
  <c r="W6314" i="2"/>
  <c r="AH6313" i="2"/>
  <c r="AE6313" i="2"/>
  <c r="AF6313" i="2" s="1"/>
  <c r="X6313" i="2"/>
  <c r="W6313" i="2"/>
  <c r="AH6312" i="2"/>
  <c r="AE6312" i="2"/>
  <c r="AF6312" i="2" s="1"/>
  <c r="X6312" i="2"/>
  <c r="Y6312" i="2" s="1"/>
  <c r="W6312" i="2"/>
  <c r="AH6311" i="2"/>
  <c r="AE6311" i="2"/>
  <c r="AF6311" i="2" s="1"/>
  <c r="X6311" i="2"/>
  <c r="AB6311" i="2" s="1"/>
  <c r="AK6311" i="2" s="1"/>
  <c r="W6311" i="2"/>
  <c r="AH6310" i="2"/>
  <c r="AE6310" i="2"/>
  <c r="AF6310" i="2" s="1"/>
  <c r="X6310" i="2"/>
  <c r="AC6310" i="2" s="1"/>
  <c r="W6310" i="2"/>
  <c r="AH6309" i="2"/>
  <c r="AE6309" i="2"/>
  <c r="AF6309" i="2" s="1"/>
  <c r="X6309" i="2"/>
  <c r="W6309" i="2"/>
  <c r="AH6308" i="2"/>
  <c r="AE6308" i="2"/>
  <c r="AF6308" i="2" s="1"/>
  <c r="X6308" i="2"/>
  <c r="AC6308" i="2" s="1"/>
  <c r="W6308" i="2"/>
  <c r="AH6307" i="2"/>
  <c r="AE6307" i="2"/>
  <c r="AF6307" i="2" s="1"/>
  <c r="X6307" i="2"/>
  <c r="W6307" i="2"/>
  <c r="AH6306" i="2"/>
  <c r="AE6306" i="2"/>
  <c r="AF6306" i="2" s="1"/>
  <c r="X6306" i="2"/>
  <c r="AC6306" i="2" s="1"/>
  <c r="W6306" i="2"/>
  <c r="AH6305" i="2"/>
  <c r="AE6305" i="2"/>
  <c r="AF6305" i="2" s="1"/>
  <c r="X6305" i="2"/>
  <c r="Y6305" i="2" s="1"/>
  <c r="W6305" i="2"/>
  <c r="AH6304" i="2"/>
  <c r="AE6304" i="2"/>
  <c r="AF6304" i="2" s="1"/>
  <c r="X6304" i="2"/>
  <c r="AB6304" i="2" s="1"/>
  <c r="AK6304" i="2" s="1"/>
  <c r="W6304" i="2"/>
  <c r="AH6303" i="2"/>
  <c r="AE6303" i="2"/>
  <c r="AF6303" i="2" s="1"/>
  <c r="X6303" i="2"/>
  <c r="W6303" i="2"/>
  <c r="AH6302" i="2"/>
  <c r="AE6302" i="2"/>
  <c r="AF6302" i="2" s="1"/>
  <c r="X6302" i="2"/>
  <c r="AB6302" i="2" s="1"/>
  <c r="AK6302" i="2" s="1"/>
  <c r="W6302" i="2"/>
  <c r="AH6301" i="2"/>
  <c r="AE6301" i="2"/>
  <c r="AF6301" i="2" s="1"/>
  <c r="X6301" i="2"/>
  <c r="AB6301" i="2" s="1"/>
  <c r="W6301" i="2"/>
  <c r="AH6300" i="2"/>
  <c r="AE6300" i="2"/>
  <c r="AF6300" i="2" s="1"/>
  <c r="X6300" i="2"/>
  <c r="AC6300" i="2" s="1"/>
  <c r="W6300" i="2"/>
  <c r="AH6299" i="2"/>
  <c r="AE6299" i="2"/>
  <c r="AF6299" i="2" s="1"/>
  <c r="X6299" i="2"/>
  <c r="W6299" i="2"/>
  <c r="AH6298" i="2"/>
  <c r="AE6298" i="2"/>
  <c r="AF6298" i="2" s="1"/>
  <c r="X6298" i="2"/>
  <c r="Y6298" i="2" s="1"/>
  <c r="W6298" i="2"/>
  <c r="AH6297" i="2"/>
  <c r="AE6297" i="2"/>
  <c r="AF6297" i="2" s="1"/>
  <c r="X6297" i="2"/>
  <c r="W6297" i="2"/>
  <c r="AH6296" i="2"/>
  <c r="AE6296" i="2"/>
  <c r="AF6296" i="2" s="1"/>
  <c r="X6296" i="2"/>
  <c r="Y6296" i="2" s="1"/>
  <c r="W6296" i="2"/>
  <c r="AH6295" i="2"/>
  <c r="AE6295" i="2"/>
  <c r="AF6295" i="2" s="1"/>
  <c r="X6295" i="2"/>
  <c r="Y6295" i="2" s="1"/>
  <c r="W6295" i="2"/>
  <c r="AH6294" i="2"/>
  <c r="AE6294" i="2"/>
  <c r="AF6294" i="2" s="1"/>
  <c r="X6294" i="2"/>
  <c r="AC6294" i="2" s="1"/>
  <c r="W6294" i="2"/>
  <c r="AH6293" i="2"/>
  <c r="AE6293" i="2"/>
  <c r="AF6293" i="2" s="1"/>
  <c r="X6293" i="2"/>
  <c r="W6293" i="2"/>
  <c r="AH6292" i="2"/>
  <c r="AE6292" i="2"/>
  <c r="AF6292" i="2" s="1"/>
  <c r="X6292" i="2"/>
  <c r="AC6292" i="2" s="1"/>
  <c r="W6292" i="2"/>
  <c r="AH6291" i="2"/>
  <c r="AE6291" i="2"/>
  <c r="AF6291" i="2" s="1"/>
  <c r="X6291" i="2"/>
  <c r="AC6291" i="2" s="1"/>
  <c r="W6291" i="2"/>
  <c r="AH6290" i="2"/>
  <c r="AE6290" i="2"/>
  <c r="AF6290" i="2" s="1"/>
  <c r="X6290" i="2"/>
  <c r="AC6290" i="2" s="1"/>
  <c r="W6290" i="2"/>
  <c r="AH6289" i="2"/>
  <c r="AE6289" i="2"/>
  <c r="AF6289" i="2" s="1"/>
  <c r="X6289" i="2"/>
  <c r="W6289" i="2"/>
  <c r="AH6288" i="2"/>
  <c r="AE6288" i="2"/>
  <c r="AF6288" i="2" s="1"/>
  <c r="X6288" i="2"/>
  <c r="AB6288" i="2" s="1"/>
  <c r="AK6288" i="2" s="1"/>
  <c r="W6288" i="2"/>
  <c r="AH6287" i="2"/>
  <c r="AE6287" i="2"/>
  <c r="AF6287" i="2" s="1"/>
  <c r="X6287" i="2"/>
  <c r="W6287" i="2"/>
  <c r="AH6286" i="2"/>
  <c r="AE6286" i="2"/>
  <c r="AF6286" i="2" s="1"/>
  <c r="X6286" i="2"/>
  <c r="AB6286" i="2" s="1"/>
  <c r="AK6286" i="2" s="1"/>
  <c r="W6286" i="2"/>
  <c r="AH6285" i="2"/>
  <c r="AE6285" i="2"/>
  <c r="AF6285" i="2" s="1"/>
  <c r="X6285" i="2"/>
  <c r="AB6285" i="2" s="1"/>
  <c r="AK6285" i="2" s="1"/>
  <c r="W6285" i="2"/>
  <c r="AH6284" i="2"/>
  <c r="AE6284" i="2"/>
  <c r="AF6284" i="2" s="1"/>
  <c r="X6284" i="2"/>
  <c r="AC6284" i="2" s="1"/>
  <c r="W6284" i="2"/>
  <c r="AH6283" i="2"/>
  <c r="AE6283" i="2"/>
  <c r="AF6283" i="2" s="1"/>
  <c r="X6283" i="2"/>
  <c r="W6283" i="2"/>
  <c r="AH6282" i="2"/>
  <c r="AE6282" i="2"/>
  <c r="AF6282" i="2" s="1"/>
  <c r="X6282" i="2"/>
  <c r="Y6282" i="2" s="1"/>
  <c r="W6282" i="2"/>
  <c r="AH6281" i="2"/>
  <c r="AE6281" i="2"/>
  <c r="AF6281" i="2" s="1"/>
  <c r="X6281" i="2"/>
  <c r="W6281" i="2"/>
  <c r="AH6280" i="2"/>
  <c r="AE6280" i="2"/>
  <c r="AF6280" i="2" s="1"/>
  <c r="X6280" i="2"/>
  <c r="Y6280" i="2" s="1"/>
  <c r="W6280" i="2"/>
  <c r="AH6279" i="2"/>
  <c r="AE6279" i="2"/>
  <c r="AF6279" i="2" s="1"/>
  <c r="X6279" i="2"/>
  <c r="Y6279" i="2" s="1"/>
  <c r="W6279" i="2"/>
  <c r="AH6278" i="2"/>
  <c r="AE6278" i="2"/>
  <c r="AF6278" i="2" s="1"/>
  <c r="X6278" i="2"/>
  <c r="AC6278" i="2" s="1"/>
  <c r="W6278" i="2"/>
  <c r="AH6277" i="2"/>
  <c r="AE6277" i="2"/>
  <c r="AF6277" i="2" s="1"/>
  <c r="X6277" i="2"/>
  <c r="W6277" i="2"/>
  <c r="AH6276" i="2"/>
  <c r="AE6276" i="2"/>
  <c r="AF6276" i="2" s="1"/>
  <c r="X6276" i="2"/>
  <c r="AC6276" i="2" s="1"/>
  <c r="W6276" i="2"/>
  <c r="AH6275" i="2"/>
  <c r="AE6275" i="2"/>
  <c r="AF6275" i="2" s="1"/>
  <c r="X6275" i="2"/>
  <c r="AC6275" i="2" s="1"/>
  <c r="W6275" i="2"/>
  <c r="AH6274" i="2"/>
  <c r="AE6274" i="2"/>
  <c r="AF6274" i="2" s="1"/>
  <c r="X6274" i="2"/>
  <c r="AC6274" i="2" s="1"/>
  <c r="W6274" i="2"/>
  <c r="AH6273" i="2"/>
  <c r="AE6273" i="2"/>
  <c r="AF6273" i="2" s="1"/>
  <c r="X6273" i="2"/>
  <c r="W6273" i="2"/>
  <c r="AH6272" i="2"/>
  <c r="AE6272" i="2"/>
  <c r="AF6272" i="2" s="1"/>
  <c r="X6272" i="2"/>
  <c r="AB6272" i="2" s="1"/>
  <c r="AK6272" i="2" s="1"/>
  <c r="W6272" i="2"/>
  <c r="AH6271" i="2"/>
  <c r="AE6271" i="2"/>
  <c r="AF6271" i="2" s="1"/>
  <c r="X6271" i="2"/>
  <c r="W6271" i="2"/>
  <c r="AH6270" i="2"/>
  <c r="AE6270" i="2"/>
  <c r="AF6270" i="2" s="1"/>
  <c r="X6270" i="2"/>
  <c r="AB6270" i="2" s="1"/>
  <c r="AK6270" i="2" s="1"/>
  <c r="W6270" i="2"/>
  <c r="AH6269" i="2"/>
  <c r="AE6269" i="2"/>
  <c r="AF6269" i="2" s="1"/>
  <c r="X6269" i="2"/>
  <c r="Y6269" i="2" s="1"/>
  <c r="W6269" i="2"/>
  <c r="AH6268" i="2"/>
  <c r="AE6268" i="2"/>
  <c r="AF6268" i="2" s="1"/>
  <c r="X6268" i="2"/>
  <c r="AC6268" i="2" s="1"/>
  <c r="W6268" i="2"/>
  <c r="AH6267" i="2"/>
  <c r="AE6267" i="2"/>
  <c r="AF6267" i="2" s="1"/>
  <c r="X6267" i="2"/>
  <c r="W6267" i="2"/>
  <c r="AH6266" i="2"/>
  <c r="AE6266" i="2"/>
  <c r="AF6266" i="2" s="1"/>
  <c r="X6266" i="2"/>
  <c r="Y6266" i="2" s="1"/>
  <c r="W6266" i="2"/>
  <c r="AH6265" i="2"/>
  <c r="AE6265" i="2"/>
  <c r="AF6265" i="2" s="1"/>
  <c r="X6265" i="2"/>
  <c r="AC6265" i="2" s="1"/>
  <c r="W6265" i="2"/>
  <c r="AH6264" i="2"/>
  <c r="AE6264" i="2"/>
  <c r="AF6264" i="2" s="1"/>
  <c r="X6264" i="2"/>
  <c r="Y6264" i="2" s="1"/>
  <c r="W6264" i="2"/>
  <c r="AH6263" i="2"/>
  <c r="AE6263" i="2"/>
  <c r="AF6263" i="2" s="1"/>
  <c r="X6263" i="2"/>
  <c r="W6263" i="2"/>
  <c r="AH6262" i="2"/>
  <c r="AE6262" i="2"/>
  <c r="AF6262" i="2" s="1"/>
  <c r="X6262" i="2"/>
  <c r="AC6262" i="2" s="1"/>
  <c r="W6262" i="2"/>
  <c r="AH6261" i="2"/>
  <c r="AE6261" i="2"/>
  <c r="AF6261" i="2" s="1"/>
  <c r="X6261" i="2"/>
  <c r="W6261" i="2"/>
  <c r="AH6260" i="2"/>
  <c r="AE6260" i="2"/>
  <c r="AF6260" i="2" s="1"/>
  <c r="X6260" i="2"/>
  <c r="AC6260" i="2" s="1"/>
  <c r="W6260" i="2"/>
  <c r="AH6259" i="2"/>
  <c r="AE6259" i="2"/>
  <c r="AF6259" i="2" s="1"/>
  <c r="X6259" i="2"/>
  <c r="AB6259" i="2" s="1"/>
  <c r="AK6259" i="2" s="1"/>
  <c r="W6259" i="2"/>
  <c r="AH6258" i="2"/>
  <c r="AE6258" i="2"/>
  <c r="AF6258" i="2" s="1"/>
  <c r="X6258" i="2"/>
  <c r="AC6258" i="2" s="1"/>
  <c r="W6258" i="2"/>
  <c r="AH6257" i="2"/>
  <c r="AE6257" i="2"/>
  <c r="AF6257" i="2" s="1"/>
  <c r="X6257" i="2"/>
  <c r="W6257" i="2"/>
  <c r="AH6256" i="2"/>
  <c r="AE6256" i="2"/>
  <c r="AF6256" i="2" s="1"/>
  <c r="X6256" i="2"/>
  <c r="AB6256" i="2" s="1"/>
  <c r="AK6256" i="2" s="1"/>
  <c r="W6256" i="2"/>
  <c r="AH6255" i="2"/>
  <c r="AE6255" i="2"/>
  <c r="AF6255" i="2" s="1"/>
  <c r="X6255" i="2"/>
  <c r="W6255" i="2"/>
  <c r="AH6254" i="2"/>
  <c r="AE6254" i="2"/>
  <c r="AF6254" i="2" s="1"/>
  <c r="X6254" i="2"/>
  <c r="AB6254" i="2" s="1"/>
  <c r="AK6254" i="2" s="1"/>
  <c r="W6254" i="2"/>
  <c r="AH6253" i="2"/>
  <c r="AE6253" i="2"/>
  <c r="AF6253" i="2" s="1"/>
  <c r="X6253" i="2"/>
  <c r="Y6253" i="2" s="1"/>
  <c r="W6253" i="2"/>
  <c r="AH6252" i="2"/>
  <c r="AE6252" i="2"/>
  <c r="AF6252" i="2" s="1"/>
  <c r="X6252" i="2"/>
  <c r="AC6252" i="2" s="1"/>
  <c r="W6252" i="2"/>
  <c r="AH6251" i="2"/>
  <c r="AE6251" i="2"/>
  <c r="AF6251" i="2" s="1"/>
  <c r="X6251" i="2"/>
  <c r="W6251" i="2"/>
  <c r="AH6250" i="2"/>
  <c r="AE6250" i="2"/>
  <c r="AF6250" i="2" s="1"/>
  <c r="X6250" i="2"/>
  <c r="Y6250" i="2" s="1"/>
  <c r="W6250" i="2"/>
  <c r="AH6249" i="2"/>
  <c r="AE6249" i="2"/>
  <c r="AF6249" i="2" s="1"/>
  <c r="X6249" i="2"/>
  <c r="AB6249" i="2" s="1"/>
  <c r="W6249" i="2"/>
  <c r="AH6248" i="2"/>
  <c r="AE6248" i="2"/>
  <c r="AF6248" i="2" s="1"/>
  <c r="X6248" i="2"/>
  <c r="Y6248" i="2" s="1"/>
  <c r="W6248" i="2"/>
  <c r="AH6247" i="2"/>
  <c r="AE6247" i="2"/>
  <c r="AF6247" i="2" s="1"/>
  <c r="X6247" i="2"/>
  <c r="W6247" i="2"/>
  <c r="AH6246" i="2"/>
  <c r="AE6246" i="2"/>
  <c r="AF6246" i="2" s="1"/>
  <c r="X6246" i="2"/>
  <c r="AC6246" i="2" s="1"/>
  <c r="W6246" i="2"/>
  <c r="AH6245" i="2"/>
  <c r="AE6245" i="2"/>
  <c r="AF6245" i="2" s="1"/>
  <c r="X6245" i="2"/>
  <c r="W6245" i="2"/>
  <c r="AH6244" i="2"/>
  <c r="AE6244" i="2"/>
  <c r="AF6244" i="2" s="1"/>
  <c r="X6244" i="2"/>
  <c r="AC6244" i="2" s="1"/>
  <c r="W6244" i="2"/>
  <c r="AH6243" i="2"/>
  <c r="AE6243" i="2"/>
  <c r="AF6243" i="2" s="1"/>
  <c r="X6243" i="2"/>
  <c r="Y6243" i="2" s="1"/>
  <c r="W6243" i="2"/>
  <c r="AH6242" i="2"/>
  <c r="AE6242" i="2"/>
  <c r="AF6242" i="2" s="1"/>
  <c r="X6242" i="2"/>
  <c r="AC6242" i="2" s="1"/>
  <c r="W6242" i="2"/>
  <c r="AH6241" i="2"/>
  <c r="AE6241" i="2"/>
  <c r="AF6241" i="2" s="1"/>
  <c r="X6241" i="2"/>
  <c r="W6241" i="2"/>
  <c r="AH6240" i="2"/>
  <c r="AE6240" i="2"/>
  <c r="AF6240" i="2" s="1"/>
  <c r="X6240" i="2"/>
  <c r="AB6240" i="2" s="1"/>
  <c r="AK6240" i="2" s="1"/>
  <c r="W6240" i="2"/>
  <c r="AH6239" i="2"/>
  <c r="AE6239" i="2"/>
  <c r="AF6239" i="2" s="1"/>
  <c r="X6239" i="2"/>
  <c r="AC6239" i="2" s="1"/>
  <c r="W6239" i="2"/>
  <c r="AH6238" i="2"/>
  <c r="AE6238" i="2"/>
  <c r="AF6238" i="2" s="1"/>
  <c r="X6238" i="2"/>
  <c r="AB6238" i="2" s="1"/>
  <c r="AK6238" i="2" s="1"/>
  <c r="W6238" i="2"/>
  <c r="AH6237" i="2"/>
  <c r="AE6237" i="2"/>
  <c r="AF6237" i="2" s="1"/>
  <c r="X6237" i="2"/>
  <c r="W6237" i="2"/>
  <c r="AH6236" i="2"/>
  <c r="AE6236" i="2"/>
  <c r="AF6236" i="2" s="1"/>
  <c r="X6236" i="2"/>
  <c r="AC6236" i="2" s="1"/>
  <c r="W6236" i="2"/>
  <c r="AH6235" i="2"/>
  <c r="AE6235" i="2"/>
  <c r="AF6235" i="2" s="1"/>
  <c r="X6235" i="2"/>
  <c r="W6235" i="2"/>
  <c r="AH6234" i="2"/>
  <c r="AE6234" i="2"/>
  <c r="AF6234" i="2" s="1"/>
  <c r="X6234" i="2"/>
  <c r="Y6234" i="2" s="1"/>
  <c r="W6234" i="2"/>
  <c r="AH6233" i="2"/>
  <c r="AE6233" i="2"/>
  <c r="AF6233" i="2" s="1"/>
  <c r="X6233" i="2"/>
  <c r="AB6233" i="2" s="1"/>
  <c r="AK6233" i="2" s="1"/>
  <c r="W6233" i="2"/>
  <c r="AH6232" i="2"/>
  <c r="AE6232" i="2"/>
  <c r="AF6232" i="2" s="1"/>
  <c r="X6232" i="2"/>
  <c r="Y6232" i="2" s="1"/>
  <c r="W6232" i="2"/>
  <c r="AH6231" i="2"/>
  <c r="AE6231" i="2"/>
  <c r="AF6231" i="2" s="1"/>
  <c r="X6231" i="2"/>
  <c r="W6231" i="2"/>
  <c r="AH6230" i="2"/>
  <c r="AE6230" i="2"/>
  <c r="AF6230" i="2" s="1"/>
  <c r="X6230" i="2"/>
  <c r="AC6230" i="2" s="1"/>
  <c r="W6230" i="2"/>
  <c r="AH6229" i="2"/>
  <c r="AE6229" i="2"/>
  <c r="AF6229" i="2" s="1"/>
  <c r="X6229" i="2"/>
  <c r="W6229" i="2"/>
  <c r="AH6228" i="2"/>
  <c r="AE6228" i="2"/>
  <c r="AF6228" i="2" s="1"/>
  <c r="X6228" i="2"/>
  <c r="AC6228" i="2" s="1"/>
  <c r="W6228" i="2"/>
  <c r="AH6227" i="2"/>
  <c r="AE6227" i="2"/>
  <c r="AF6227" i="2" s="1"/>
  <c r="X6227" i="2"/>
  <c r="W6227" i="2"/>
  <c r="AH6226" i="2"/>
  <c r="AE6226" i="2"/>
  <c r="AF6226" i="2" s="1"/>
  <c r="X6226" i="2"/>
  <c r="AC6226" i="2" s="1"/>
  <c r="W6226" i="2"/>
  <c r="AH6225" i="2"/>
  <c r="AE6225" i="2"/>
  <c r="AF6225" i="2" s="1"/>
  <c r="X6225" i="2"/>
  <c r="W6225" i="2"/>
  <c r="AH6224" i="2"/>
  <c r="AE6224" i="2"/>
  <c r="AF6224" i="2" s="1"/>
  <c r="X6224" i="2"/>
  <c r="AC6224" i="2" s="1"/>
  <c r="W6224" i="2"/>
  <c r="AH6223" i="2"/>
  <c r="AE6223" i="2"/>
  <c r="AF6223" i="2" s="1"/>
  <c r="X6223" i="2"/>
  <c r="W6223" i="2"/>
  <c r="AH6222" i="2"/>
  <c r="AE6222" i="2"/>
  <c r="AF6222" i="2" s="1"/>
  <c r="X6222" i="2"/>
  <c r="AC6222" i="2" s="1"/>
  <c r="W6222" i="2"/>
  <c r="AH6221" i="2"/>
  <c r="AE6221" i="2"/>
  <c r="AF6221" i="2" s="1"/>
  <c r="X6221" i="2"/>
  <c r="W6221" i="2"/>
  <c r="AH6220" i="2"/>
  <c r="AE6220" i="2"/>
  <c r="AF6220" i="2" s="1"/>
  <c r="X6220" i="2"/>
  <c r="AB6220" i="2" s="1"/>
  <c r="AK6220" i="2" s="1"/>
  <c r="W6220" i="2"/>
  <c r="AH6219" i="2"/>
  <c r="AE6219" i="2"/>
  <c r="AF6219" i="2" s="1"/>
  <c r="X6219" i="2"/>
  <c r="AH6218" i="2"/>
  <c r="AE6218" i="2"/>
  <c r="AF6218" i="2" s="1"/>
  <c r="X6218" i="2"/>
  <c r="AB6218" i="2" s="1"/>
  <c r="AK6218" i="2" s="1"/>
  <c r="W6218" i="2"/>
  <c r="AH6217" i="2"/>
  <c r="AE6217" i="2"/>
  <c r="AF6217" i="2" s="1"/>
  <c r="X6217" i="2"/>
  <c r="AC6217" i="2" s="1"/>
  <c r="W6217" i="2"/>
  <c r="AH6216" i="2"/>
  <c r="AE6216" i="2"/>
  <c r="AF6216" i="2" s="1"/>
  <c r="X6216" i="2"/>
  <c r="AB6216" i="2" s="1"/>
  <c r="AK6216" i="2" s="1"/>
  <c r="W6216" i="2"/>
  <c r="AH6215" i="2"/>
  <c r="AE6215" i="2"/>
  <c r="AF6215" i="2" s="1"/>
  <c r="X6215" i="2"/>
  <c r="AB6215" i="2" s="1"/>
  <c r="AK6215" i="2" s="1"/>
  <c r="W6215" i="2"/>
  <c r="AH6214" i="2"/>
  <c r="AE6214" i="2"/>
  <c r="AF6214" i="2" s="1"/>
  <c r="X6214" i="2"/>
  <c r="W6214" i="2"/>
  <c r="AH6213" i="2"/>
  <c r="AE6213" i="2"/>
  <c r="AF6213" i="2" s="1"/>
  <c r="X6213" i="2"/>
  <c r="AC6213" i="2" s="1"/>
  <c r="W6213" i="2"/>
  <c r="AH6212" i="2"/>
  <c r="AE6212" i="2"/>
  <c r="AF6212" i="2" s="1"/>
  <c r="X6212" i="2"/>
  <c r="AC6212" i="2" s="1"/>
  <c r="W6212" i="2"/>
  <c r="AH6211" i="2"/>
  <c r="AE6211" i="2"/>
  <c r="AF6211" i="2" s="1"/>
  <c r="X6211" i="2"/>
  <c r="W6211" i="2"/>
  <c r="AH6210" i="2"/>
  <c r="AE6210" i="2"/>
  <c r="AF6210" i="2" s="1"/>
  <c r="X6210" i="2"/>
  <c r="AC6210" i="2" s="1"/>
  <c r="W6210" i="2"/>
  <c r="AH6209" i="2"/>
  <c r="AE6209" i="2"/>
  <c r="AF6209" i="2" s="1"/>
  <c r="X6209" i="2"/>
  <c r="W6209" i="2"/>
  <c r="AH6208" i="2"/>
  <c r="AE6208" i="2"/>
  <c r="AF6208" i="2" s="1"/>
  <c r="X6208" i="2"/>
  <c r="AC6208" i="2" s="1"/>
  <c r="W6208" i="2"/>
  <c r="AH6207" i="2"/>
  <c r="AE6207" i="2"/>
  <c r="AF6207" i="2" s="1"/>
  <c r="X6207" i="2"/>
  <c r="W6207" i="2"/>
  <c r="AH6206" i="2"/>
  <c r="AE6206" i="2"/>
  <c r="AF6206" i="2" s="1"/>
  <c r="X6206" i="2"/>
  <c r="W6206" i="2"/>
  <c r="AH6205" i="2"/>
  <c r="AE6205" i="2"/>
  <c r="AF6205" i="2" s="1"/>
  <c r="X6205" i="2"/>
  <c r="W6205" i="2"/>
  <c r="AH6204" i="2"/>
  <c r="AE6204" i="2"/>
  <c r="AF6204" i="2" s="1"/>
  <c r="X6204" i="2"/>
  <c r="AC6204" i="2" s="1"/>
  <c r="W6204" i="2"/>
  <c r="AH6203" i="2"/>
  <c r="AE6203" i="2"/>
  <c r="AF6203" i="2" s="1"/>
  <c r="X6203" i="2"/>
  <c r="AC6203" i="2" s="1"/>
  <c r="W6203" i="2"/>
  <c r="AH6202" i="2"/>
  <c r="AE6202" i="2"/>
  <c r="AF6202" i="2" s="1"/>
  <c r="X6202" i="2"/>
  <c r="Y6202" i="2" s="1"/>
  <c r="W6202" i="2"/>
  <c r="AH6201" i="2"/>
  <c r="AE6201" i="2"/>
  <c r="AF6201" i="2" s="1"/>
  <c r="X6201" i="2"/>
  <c r="W6201" i="2"/>
  <c r="AH6200" i="2"/>
  <c r="AE6200" i="2"/>
  <c r="AF6200" i="2" s="1"/>
  <c r="X6200" i="2"/>
  <c r="W6200" i="2"/>
  <c r="AH6199" i="2"/>
  <c r="AE6199" i="2"/>
  <c r="AF6199" i="2" s="1"/>
  <c r="X6199" i="2"/>
  <c r="W6199" i="2"/>
  <c r="AH6198" i="2"/>
  <c r="AE6198" i="2"/>
  <c r="AF6198" i="2" s="1"/>
  <c r="X6198" i="2"/>
  <c r="W6198" i="2"/>
  <c r="AH6197" i="2"/>
  <c r="AE6197" i="2"/>
  <c r="AF6197" i="2" s="1"/>
  <c r="X6197" i="2"/>
  <c r="AB6197" i="2" s="1"/>
  <c r="AK6197" i="2" s="1"/>
  <c r="W6197" i="2"/>
  <c r="AH6196" i="2"/>
  <c r="AE6196" i="2"/>
  <c r="AF6196" i="2" s="1"/>
  <c r="X6196" i="2"/>
  <c r="W6196" i="2"/>
  <c r="AH6195" i="2"/>
  <c r="AE6195" i="2"/>
  <c r="AF6195" i="2" s="1"/>
  <c r="X6195" i="2"/>
  <c r="W6195" i="2"/>
  <c r="AH6194" i="2"/>
  <c r="AE6194" i="2"/>
  <c r="AF6194" i="2" s="1"/>
  <c r="X6194" i="2"/>
  <c r="W6194" i="2"/>
  <c r="AH6193" i="2"/>
  <c r="AE6193" i="2"/>
  <c r="AF6193" i="2" s="1"/>
  <c r="X6193" i="2"/>
  <c r="W6193" i="2"/>
  <c r="AH6192" i="2"/>
  <c r="AE6192" i="2"/>
  <c r="AF6192" i="2" s="1"/>
  <c r="X6192" i="2"/>
  <c r="W6192" i="2"/>
  <c r="AH6191" i="2"/>
  <c r="AE6191" i="2"/>
  <c r="AF6191" i="2" s="1"/>
  <c r="X6191" i="2"/>
  <c r="W6191" i="2"/>
  <c r="AH6190" i="2"/>
  <c r="AE6190" i="2"/>
  <c r="AF6190" i="2" s="1"/>
  <c r="X6190" i="2"/>
  <c r="AB6190" i="2" s="1"/>
  <c r="AK6190" i="2" s="1"/>
  <c r="W6190" i="2"/>
  <c r="AH6189" i="2"/>
  <c r="AE6189" i="2"/>
  <c r="AF6189" i="2" s="1"/>
  <c r="X6189" i="2"/>
  <c r="W6189" i="2"/>
  <c r="AH6188" i="2"/>
  <c r="AE6188" i="2"/>
  <c r="AF6188" i="2" s="1"/>
  <c r="X6188" i="2"/>
  <c r="AC6188" i="2" s="1"/>
  <c r="W6188" i="2"/>
  <c r="AH6187" i="2"/>
  <c r="AE6187" i="2"/>
  <c r="AF6187" i="2" s="1"/>
  <c r="X6187" i="2"/>
  <c r="AC6187" i="2" s="1"/>
  <c r="W6187" i="2"/>
  <c r="AH6186" i="2"/>
  <c r="AE6186" i="2"/>
  <c r="AF6186" i="2" s="1"/>
  <c r="X6186" i="2"/>
  <c r="AC6186" i="2" s="1"/>
  <c r="W6186" i="2"/>
  <c r="AH6185" i="2"/>
  <c r="AE6185" i="2"/>
  <c r="AF6185" i="2" s="1"/>
  <c r="X6185" i="2"/>
  <c r="W6185" i="2"/>
  <c r="AH6184" i="2"/>
  <c r="AE6184" i="2"/>
  <c r="AF6184" i="2" s="1"/>
  <c r="X6184" i="2"/>
  <c r="AC6184" i="2" s="1"/>
  <c r="W6184" i="2"/>
  <c r="AH6183" i="2"/>
  <c r="AE6183" i="2"/>
  <c r="AF6183" i="2" s="1"/>
  <c r="X6183" i="2"/>
  <c r="W6183" i="2"/>
  <c r="AH6182" i="2"/>
  <c r="AE6182" i="2"/>
  <c r="AF6182" i="2" s="1"/>
  <c r="X6182" i="2"/>
  <c r="AB6182" i="2" s="1"/>
  <c r="AK6182" i="2" s="1"/>
  <c r="W6182" i="2"/>
  <c r="AH6181" i="2"/>
  <c r="AE6181" i="2"/>
  <c r="AF6181" i="2" s="1"/>
  <c r="X6181" i="2"/>
  <c r="W6181" i="2"/>
  <c r="AH6180" i="2"/>
  <c r="AE6180" i="2"/>
  <c r="AF6180" i="2" s="1"/>
  <c r="X6180" i="2"/>
  <c r="W6180" i="2"/>
  <c r="AH6179" i="2"/>
  <c r="AE6179" i="2"/>
  <c r="AF6179" i="2" s="1"/>
  <c r="X6179" i="2"/>
  <c r="W6179" i="2"/>
  <c r="AH6178" i="2"/>
  <c r="AE6178" i="2"/>
  <c r="AF6178" i="2" s="1"/>
  <c r="X6178" i="2"/>
  <c r="AC6178" i="2" s="1"/>
  <c r="W6178" i="2"/>
  <c r="AH6177" i="2"/>
  <c r="AE6177" i="2"/>
  <c r="AF6177" i="2" s="1"/>
  <c r="X6177" i="2"/>
  <c r="W6177" i="2"/>
  <c r="AH6176" i="2"/>
  <c r="AE6176" i="2"/>
  <c r="AF6176" i="2" s="1"/>
  <c r="X6176" i="2"/>
  <c r="AC6176" i="2" s="1"/>
  <c r="U6176" i="2"/>
  <c r="W6176" i="2"/>
  <c r="AH6175" i="2"/>
  <c r="AE6175" i="2"/>
  <c r="AF6175" i="2" s="1"/>
  <c r="X6175" i="2"/>
  <c r="W6175" i="2"/>
  <c r="AH6174" i="2"/>
  <c r="AE6174" i="2"/>
  <c r="AF6174" i="2" s="1"/>
  <c r="X6174" i="2"/>
  <c r="AB6174" i="2" s="1"/>
  <c r="AK6174" i="2" s="1"/>
  <c r="W6174" i="2"/>
  <c r="AH6173" i="2"/>
  <c r="AE6173" i="2"/>
  <c r="AF6173" i="2" s="1"/>
  <c r="X6173" i="2"/>
  <c r="W6173" i="2"/>
  <c r="AH6172" i="2"/>
  <c r="AE6172" i="2"/>
  <c r="AF6172" i="2" s="1"/>
  <c r="X6172" i="2"/>
  <c r="AB6172" i="2" s="1"/>
  <c r="AK6172" i="2" s="1"/>
  <c r="U6172" i="2"/>
  <c r="W6172" i="2"/>
  <c r="AH6171" i="2"/>
  <c r="AE6171" i="2"/>
  <c r="AF6171" i="2" s="1"/>
  <c r="X6171" i="2"/>
  <c r="U6171" i="2"/>
  <c r="W6171" i="2"/>
  <c r="AH6170" i="2"/>
  <c r="AE6170" i="2"/>
  <c r="AF6170" i="2" s="1"/>
  <c r="X6170" i="2"/>
  <c r="AC6170" i="2" s="1"/>
  <c r="U6170" i="2"/>
  <c r="W6170" i="2"/>
  <c r="AH6169" i="2"/>
  <c r="AE6169" i="2"/>
  <c r="AF6169" i="2" s="1"/>
  <c r="X6169" i="2"/>
  <c r="AC6169" i="2" s="1"/>
  <c r="W6169" i="2"/>
  <c r="AH6168" i="2"/>
  <c r="AE6168" i="2"/>
  <c r="AF6168" i="2" s="1"/>
  <c r="X6168" i="2"/>
  <c r="Y6168" i="2" s="1"/>
  <c r="U6168" i="2"/>
  <c r="W6168" i="2"/>
  <c r="AH6167" i="2"/>
  <c r="AE6167" i="2"/>
  <c r="AF6167" i="2" s="1"/>
  <c r="X6167" i="2"/>
  <c r="W6167" i="2"/>
  <c r="AH6166" i="2"/>
  <c r="AE6166" i="2"/>
  <c r="AF6166" i="2" s="1"/>
  <c r="X6166" i="2"/>
  <c r="W6166" i="2"/>
  <c r="AH6165" i="2"/>
  <c r="AE6165" i="2"/>
  <c r="AF6165" i="2" s="1"/>
  <c r="X6165" i="2"/>
  <c r="W6165" i="2"/>
  <c r="AH6164" i="2"/>
  <c r="AE6164" i="2"/>
  <c r="AF6164" i="2" s="1"/>
  <c r="X6164" i="2"/>
  <c r="W6164" i="2"/>
  <c r="AH6163" i="2"/>
  <c r="AE6163" i="2"/>
  <c r="AF6163" i="2" s="1"/>
  <c r="X6163" i="2"/>
  <c r="AB6163" i="2" s="1"/>
  <c r="AK6163" i="2" s="1"/>
  <c r="W6163" i="2"/>
  <c r="AH6162" i="2"/>
  <c r="AE6162" i="2"/>
  <c r="AF6162" i="2" s="1"/>
  <c r="X6162" i="2"/>
  <c r="W6162" i="2"/>
  <c r="AH6161" i="2"/>
  <c r="AE6161" i="2"/>
  <c r="AF6161" i="2" s="1"/>
  <c r="X6161" i="2"/>
  <c r="AC6161" i="2" s="1"/>
  <c r="W6161" i="2"/>
  <c r="AH6160" i="2"/>
  <c r="AE6160" i="2"/>
  <c r="AF6160" i="2" s="1"/>
  <c r="X6160" i="2"/>
  <c r="W6160" i="2"/>
  <c r="AH6159" i="2"/>
  <c r="AE6159" i="2"/>
  <c r="AF6159" i="2" s="1"/>
  <c r="X6159" i="2"/>
  <c r="AB6159" i="2" s="1"/>
  <c r="AK6159" i="2" s="1"/>
  <c r="W6159" i="2"/>
  <c r="AH6158" i="2"/>
  <c r="AE6158" i="2"/>
  <c r="AF6158" i="2" s="1"/>
  <c r="X6158" i="2"/>
  <c r="W6158" i="2"/>
  <c r="AH6157" i="2"/>
  <c r="AE6157" i="2"/>
  <c r="AF6157" i="2" s="1"/>
  <c r="X6157" i="2"/>
  <c r="AC6157" i="2" s="1"/>
  <c r="W6157" i="2"/>
  <c r="AH6156" i="2"/>
  <c r="AE6156" i="2"/>
  <c r="AF6156" i="2" s="1"/>
  <c r="X6156" i="2"/>
  <c r="W6156" i="2"/>
  <c r="AH6155" i="2"/>
  <c r="AE6155" i="2"/>
  <c r="AF6155" i="2" s="1"/>
  <c r="X6155" i="2"/>
  <c r="AB6155" i="2" s="1"/>
  <c r="AK6155" i="2" s="1"/>
  <c r="W6155" i="2"/>
  <c r="AH6154" i="2"/>
  <c r="AE6154" i="2"/>
  <c r="AF6154" i="2" s="1"/>
  <c r="X6154" i="2"/>
  <c r="W6154" i="2"/>
  <c r="AH6153" i="2"/>
  <c r="AE6153" i="2"/>
  <c r="AF6153" i="2" s="1"/>
  <c r="X6153" i="2"/>
  <c r="AB6153" i="2" s="1"/>
  <c r="AK6153" i="2" s="1"/>
  <c r="W6153" i="2"/>
  <c r="AH6152" i="2"/>
  <c r="AE6152" i="2"/>
  <c r="AF6152" i="2" s="1"/>
  <c r="X6152" i="2"/>
  <c r="W6152" i="2"/>
  <c r="AH6151" i="2"/>
  <c r="AE6151" i="2"/>
  <c r="AF6151" i="2" s="1"/>
  <c r="X6151" i="2"/>
  <c r="AC6151" i="2" s="1"/>
  <c r="W6151" i="2"/>
  <c r="AH6150" i="2"/>
  <c r="AE6150" i="2"/>
  <c r="AF6150" i="2" s="1"/>
  <c r="X6150" i="2"/>
  <c r="W6150" i="2"/>
  <c r="AH6149" i="2"/>
  <c r="AE6149" i="2"/>
  <c r="AF6149" i="2" s="1"/>
  <c r="X6149" i="2"/>
  <c r="W6149" i="2"/>
  <c r="AH6148" i="2"/>
  <c r="AE6148" i="2"/>
  <c r="AF6148" i="2" s="1"/>
  <c r="X6148" i="2"/>
  <c r="W6148" i="2"/>
  <c r="AH6147" i="2"/>
  <c r="AE6147" i="2"/>
  <c r="AF6147" i="2" s="1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AC6145" i="2" s="1"/>
  <c r="W6145" i="2"/>
  <c r="AH6144" i="2"/>
  <c r="AE6144" i="2"/>
  <c r="AF6144" i="2" s="1"/>
  <c r="X6144" i="2"/>
  <c r="W6144" i="2"/>
  <c r="AH6143" i="2"/>
  <c r="AE6143" i="2"/>
  <c r="AF6143" i="2" s="1"/>
  <c r="X6143" i="2"/>
  <c r="AC6143" i="2" s="1"/>
  <c r="W6143" i="2"/>
  <c r="AH6142" i="2"/>
  <c r="AE6142" i="2"/>
  <c r="AF6142" i="2" s="1"/>
  <c r="X6142" i="2"/>
  <c r="W6142" i="2"/>
  <c r="AH6141" i="2"/>
  <c r="AE6141" i="2"/>
  <c r="AF6141" i="2" s="1"/>
  <c r="X6141" i="2"/>
  <c r="AC6141" i="2" s="1"/>
  <c r="W6141" i="2"/>
  <c r="AH6140" i="2"/>
  <c r="AE6140" i="2"/>
  <c r="AF6140" i="2" s="1"/>
  <c r="X6140" i="2"/>
  <c r="W6140" i="2"/>
  <c r="AH6139" i="2"/>
  <c r="AE6139" i="2"/>
  <c r="AF6139" i="2" s="1"/>
  <c r="X6139" i="2"/>
  <c r="AB6139" i="2" s="1"/>
  <c r="AK6139" i="2" s="1"/>
  <c r="W6139" i="2"/>
  <c r="AH6138" i="2"/>
  <c r="AE6138" i="2"/>
  <c r="AF6138" i="2" s="1"/>
  <c r="X6138" i="2"/>
  <c r="W6138" i="2"/>
  <c r="AH6137" i="2"/>
  <c r="AE6137" i="2"/>
  <c r="AF6137" i="2" s="1"/>
  <c r="X6137" i="2"/>
  <c r="AC6137" i="2" s="1"/>
  <c r="W6137" i="2"/>
  <c r="AH6136" i="2"/>
  <c r="AE6136" i="2"/>
  <c r="AF6136" i="2" s="1"/>
  <c r="X6136" i="2"/>
  <c r="W6136" i="2"/>
  <c r="AH6135" i="2"/>
  <c r="AE6135" i="2"/>
  <c r="AF6135" i="2" s="1"/>
  <c r="X6135" i="2"/>
  <c r="W6135" i="2"/>
  <c r="AH6134" i="2"/>
  <c r="AE6134" i="2"/>
  <c r="AF6134" i="2" s="1"/>
  <c r="X6134" i="2"/>
  <c r="W6134" i="2"/>
  <c r="AH6133" i="2"/>
  <c r="AE6133" i="2"/>
  <c r="AF6133" i="2" s="1"/>
  <c r="X6133" i="2"/>
  <c r="W6133" i="2"/>
  <c r="AH6132" i="2"/>
  <c r="AE6132" i="2"/>
  <c r="AF6132" i="2" s="1"/>
  <c r="X6132" i="2"/>
  <c r="W6132" i="2"/>
  <c r="AH6131" i="2"/>
  <c r="AE6131" i="2"/>
  <c r="AF6131" i="2" s="1"/>
  <c r="X6131" i="2"/>
  <c r="W6131" i="2"/>
  <c r="AH6130" i="2"/>
  <c r="AE6130" i="2"/>
  <c r="AF6130" i="2" s="1"/>
  <c r="X6130" i="2"/>
  <c r="W6130" i="2"/>
  <c r="AH6129" i="2"/>
  <c r="AE6129" i="2"/>
  <c r="AF6129" i="2" s="1"/>
  <c r="X6129" i="2"/>
  <c r="AC6129" i="2" s="1"/>
  <c r="W6129" i="2"/>
  <c r="AH6128" i="2"/>
  <c r="AE6128" i="2"/>
  <c r="AF6128" i="2" s="1"/>
  <c r="X6128" i="2"/>
  <c r="W6128" i="2"/>
  <c r="AH6127" i="2"/>
  <c r="AE6127" i="2"/>
  <c r="AF6127" i="2" s="1"/>
  <c r="X6127" i="2"/>
  <c r="AC6127" i="2" s="1"/>
  <c r="W6127" i="2"/>
  <c r="AH6126" i="2"/>
  <c r="AE6126" i="2"/>
  <c r="AF6126" i="2" s="1"/>
  <c r="X6126" i="2"/>
  <c r="W6126" i="2"/>
  <c r="AH6125" i="2"/>
  <c r="AE6125" i="2"/>
  <c r="AF6125" i="2" s="1"/>
  <c r="X6125" i="2"/>
  <c r="AC6125" i="2" s="1"/>
  <c r="W6125" i="2"/>
  <c r="AH6124" i="2"/>
  <c r="AE6124" i="2"/>
  <c r="AF6124" i="2" s="1"/>
  <c r="X6124" i="2"/>
  <c r="W6124" i="2"/>
  <c r="AH6123" i="2"/>
  <c r="AE6123" i="2"/>
  <c r="AF6123" i="2" s="1"/>
  <c r="X6123" i="2"/>
  <c r="AB6123" i="2" s="1"/>
  <c r="AK6123" i="2" s="1"/>
  <c r="W6123" i="2"/>
  <c r="AH6122" i="2"/>
  <c r="AE6122" i="2"/>
  <c r="AF6122" i="2" s="1"/>
  <c r="X6122" i="2"/>
  <c r="W6122" i="2"/>
  <c r="AH6121" i="2"/>
  <c r="AE6121" i="2"/>
  <c r="AF6121" i="2" s="1"/>
  <c r="X6121" i="2"/>
  <c r="AC6121" i="2" s="1"/>
  <c r="W6121" i="2"/>
  <c r="AH6120" i="2"/>
  <c r="AE6120" i="2"/>
  <c r="AF6120" i="2" s="1"/>
  <c r="X6120" i="2"/>
  <c r="W6120" i="2"/>
  <c r="AH6119" i="2"/>
  <c r="AE6119" i="2"/>
  <c r="AF6119" i="2" s="1"/>
  <c r="X6119" i="2"/>
  <c r="W6119" i="2"/>
  <c r="AH6118" i="2"/>
  <c r="AE6118" i="2"/>
  <c r="AF6118" i="2" s="1"/>
  <c r="X6118" i="2"/>
  <c r="W6118" i="2"/>
  <c r="AH6117" i="2"/>
  <c r="AE6117" i="2"/>
  <c r="AF6117" i="2" s="1"/>
  <c r="X6117" i="2"/>
  <c r="W6117" i="2"/>
  <c r="AH6116" i="2"/>
  <c r="AE6116" i="2"/>
  <c r="AF6116" i="2" s="1"/>
  <c r="X6116" i="2"/>
  <c r="W6116" i="2"/>
  <c r="AH6115" i="2"/>
  <c r="AE6115" i="2"/>
  <c r="AF6115" i="2" s="1"/>
  <c r="X6115" i="2"/>
  <c r="W6115" i="2"/>
  <c r="AH6114" i="2"/>
  <c r="AE6114" i="2"/>
  <c r="AF6114" i="2" s="1"/>
  <c r="X6114" i="2"/>
  <c r="W6114" i="2"/>
  <c r="AH6113" i="2"/>
  <c r="AE6113" i="2"/>
  <c r="AF6113" i="2" s="1"/>
  <c r="X6113" i="2"/>
  <c r="AC6113" i="2" s="1"/>
  <c r="W6113" i="2"/>
  <c r="AH6112" i="2"/>
  <c r="AE6112" i="2"/>
  <c r="AF6112" i="2" s="1"/>
  <c r="X6112" i="2"/>
  <c r="W6112" i="2"/>
  <c r="AH6111" i="2"/>
  <c r="AE6111" i="2"/>
  <c r="AF6111" i="2" s="1"/>
  <c r="X6111" i="2"/>
  <c r="AC6111" i="2" s="1"/>
  <c r="W6111" i="2"/>
  <c r="AH6110" i="2"/>
  <c r="AE6110" i="2"/>
  <c r="AF6110" i="2" s="1"/>
  <c r="X6110" i="2"/>
  <c r="W6110" i="2"/>
  <c r="AH6109" i="2"/>
  <c r="AE6109" i="2"/>
  <c r="AF6109" i="2" s="1"/>
  <c r="X6109" i="2"/>
  <c r="AB6109" i="2" s="1"/>
  <c r="AK6109" i="2" s="1"/>
  <c r="W6109" i="2"/>
  <c r="AH6108" i="2"/>
  <c r="AE6108" i="2"/>
  <c r="AF6108" i="2" s="1"/>
  <c r="X6108" i="2"/>
  <c r="W6108" i="2"/>
  <c r="AH6107" i="2"/>
  <c r="AE6107" i="2"/>
  <c r="AF6107" i="2" s="1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 s="1"/>
  <c r="X6101" i="2"/>
  <c r="W6101" i="2"/>
  <c r="AH6100" i="2"/>
  <c r="AE6100" i="2"/>
  <c r="AF6100" i="2" s="1"/>
  <c r="X6100" i="2"/>
  <c r="W6100" i="2"/>
  <c r="AH6099" i="2"/>
  <c r="AE6099" i="2"/>
  <c r="AF6099" i="2" s="1"/>
  <c r="X6099" i="2"/>
  <c r="AC6099" i="2" s="1"/>
  <c r="W6099" i="2"/>
  <c r="AH6098" i="2"/>
  <c r="AE6098" i="2"/>
  <c r="AF6098" i="2" s="1"/>
  <c r="X6098" i="2"/>
  <c r="W6098" i="2"/>
  <c r="AH6097" i="2"/>
  <c r="AE6097" i="2"/>
  <c r="AF6097" i="2" s="1"/>
  <c r="X6097" i="2"/>
  <c r="Y6097" i="2" s="1"/>
  <c r="W6097" i="2"/>
  <c r="AH6096" i="2"/>
  <c r="AE6096" i="2"/>
  <c r="AF6096" i="2" s="1"/>
  <c r="X6096" i="2"/>
  <c r="W6096" i="2"/>
  <c r="AH6095" i="2"/>
  <c r="AE6095" i="2"/>
  <c r="AF6095" i="2" s="1"/>
  <c r="X6095" i="2"/>
  <c r="AC6095" i="2" s="1"/>
  <c r="W6095" i="2"/>
  <c r="AH6094" i="2"/>
  <c r="AE6094" i="2"/>
  <c r="AF6094" i="2" s="1"/>
  <c r="X6094" i="2"/>
  <c r="AC6094" i="2" s="1"/>
  <c r="W6094" i="2"/>
  <c r="AH6093" i="2"/>
  <c r="AE6093" i="2"/>
  <c r="AF6093" i="2" s="1"/>
  <c r="X6093" i="2"/>
  <c r="AC6093" i="2" s="1"/>
  <c r="W6093" i="2"/>
  <c r="AH6092" i="2"/>
  <c r="AE6092" i="2"/>
  <c r="AF6092" i="2" s="1"/>
  <c r="X6092" i="2"/>
  <c r="W6092" i="2"/>
  <c r="AH6091" i="2"/>
  <c r="AE6091" i="2"/>
  <c r="AF6091" i="2" s="1"/>
  <c r="X6091" i="2"/>
  <c r="AC6091" i="2" s="1"/>
  <c r="W6091" i="2"/>
  <c r="AH6090" i="2"/>
  <c r="AE6090" i="2"/>
  <c r="AF6090" i="2" s="1"/>
  <c r="X6090" i="2"/>
  <c r="W6090" i="2"/>
  <c r="AH6089" i="2"/>
  <c r="AE6089" i="2"/>
  <c r="AF6089" i="2" s="1"/>
  <c r="X6089" i="2"/>
  <c r="AC6089" i="2" s="1"/>
  <c r="W6089" i="2"/>
  <c r="AH6088" i="2"/>
  <c r="AE6088" i="2"/>
  <c r="AF6088" i="2" s="1"/>
  <c r="X6088" i="2"/>
  <c r="W6088" i="2"/>
  <c r="AH6087" i="2"/>
  <c r="AE6087" i="2"/>
  <c r="AF6087" i="2" s="1"/>
  <c r="X6087" i="2"/>
  <c r="AB6087" i="2" s="1"/>
  <c r="AK6087" i="2" s="1"/>
  <c r="W6087" i="2"/>
  <c r="AH6086" i="2"/>
  <c r="AE6086" i="2"/>
  <c r="AF6086" i="2" s="1"/>
  <c r="X6086" i="2"/>
  <c r="W6086" i="2"/>
  <c r="AH6085" i="2"/>
  <c r="AE6085" i="2"/>
  <c r="AF6085" i="2" s="1"/>
  <c r="X6085" i="2"/>
  <c r="W6085" i="2"/>
  <c r="AH6084" i="2"/>
  <c r="AE6084" i="2"/>
  <c r="AF6084" i="2" s="1"/>
  <c r="X6084" i="2"/>
  <c r="W6084" i="2"/>
  <c r="AH6083" i="2"/>
  <c r="AE6083" i="2"/>
  <c r="AF6083" i="2" s="1"/>
  <c r="X6083" i="2"/>
  <c r="AB6083" i="2" s="1"/>
  <c r="AK6083" i="2" s="1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W6079" i="2"/>
  <c r="AH6078" i="2"/>
  <c r="AE6078" i="2"/>
  <c r="AF6078" i="2" s="1"/>
  <c r="X6078" i="2"/>
  <c r="W6078" i="2"/>
  <c r="AH6077" i="2"/>
  <c r="AE6077" i="2"/>
  <c r="AF6077" i="2" s="1"/>
  <c r="X6077" i="2"/>
  <c r="AC6077" i="2" s="1"/>
  <c r="W6077" i="2"/>
  <c r="AH6076" i="2"/>
  <c r="AE6076" i="2"/>
  <c r="AF6076" i="2" s="1"/>
  <c r="X6076" i="2"/>
  <c r="W6076" i="2"/>
  <c r="AH6075" i="2"/>
  <c r="AE6075" i="2"/>
  <c r="AF6075" i="2" s="1"/>
  <c r="X6075" i="2"/>
  <c r="AC6075" i="2" s="1"/>
  <c r="W6075" i="2"/>
  <c r="AH6074" i="2"/>
  <c r="AE6074" i="2"/>
  <c r="AF6074" i="2" s="1"/>
  <c r="AD6074" i="2"/>
  <c r="X6074" i="2"/>
  <c r="AC6074" i="2" s="1"/>
  <c r="W6074" i="2"/>
  <c r="AH6073" i="2"/>
  <c r="AE6073" i="2"/>
  <c r="AD6073" i="2"/>
  <c r="X6073" i="2"/>
  <c r="AC6073" i="2" s="1"/>
  <c r="W6073" i="2"/>
  <c r="AH6072" i="2"/>
  <c r="AE6072" i="2"/>
  <c r="AD6072" i="2"/>
  <c r="X6072" i="2"/>
  <c r="AC6072" i="2" s="1"/>
  <c r="W6072" i="2"/>
  <c r="AH6071" i="2"/>
  <c r="AE6071" i="2"/>
  <c r="AD6071" i="2"/>
  <c r="Y6071" i="2" s="1"/>
  <c r="X6071" i="2"/>
  <c r="W6071" i="2"/>
  <c r="AH6070" i="2"/>
  <c r="AE6070" i="2"/>
  <c r="AD6070" i="2"/>
  <c r="AF6070" i="2" s="1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AC6067" i="2" s="1"/>
  <c r="W6067" i="2"/>
  <c r="AH6066" i="2"/>
  <c r="AE6066" i="2"/>
  <c r="AF6066" i="2" s="1"/>
  <c r="AD6066" i="2"/>
  <c r="X6066" i="2"/>
  <c r="AC6066" i="2" s="1"/>
  <c r="W6066" i="2"/>
  <c r="AH6065" i="2"/>
  <c r="AE6065" i="2"/>
  <c r="AD6065" i="2"/>
  <c r="X6065" i="2"/>
  <c r="AC6065" i="2" s="1"/>
  <c r="W6065" i="2"/>
  <c r="AH6064" i="2"/>
  <c r="AE6064" i="2"/>
  <c r="AD6064" i="2"/>
  <c r="X6064" i="2"/>
  <c r="AH6063" i="2"/>
  <c r="AE6063" i="2"/>
  <c r="AD6063" i="2"/>
  <c r="X6063" i="2"/>
  <c r="W6063" i="2"/>
  <c r="AH6062" i="2"/>
  <c r="AE6062" i="2"/>
  <c r="AD6062" i="2"/>
  <c r="X6062" i="2"/>
  <c r="AC6062" i="2" s="1"/>
  <c r="W6062" i="2"/>
  <c r="AH6061" i="2"/>
  <c r="AE6061" i="2"/>
  <c r="AF6061" i="2" s="1"/>
  <c r="AD6061" i="2"/>
  <c r="X6061" i="2"/>
  <c r="AC6061" i="2" s="1"/>
  <c r="W6061" i="2"/>
  <c r="AH6060" i="2"/>
  <c r="AE6060" i="2"/>
  <c r="AF6060" i="2" s="1"/>
  <c r="AD6060" i="2"/>
  <c r="X6060" i="2"/>
  <c r="AC6060" i="2" s="1"/>
  <c r="W6060" i="2"/>
  <c r="AH6059" i="2"/>
  <c r="AE6059" i="2"/>
  <c r="AD6059" i="2"/>
  <c r="X6059" i="2"/>
  <c r="W6059" i="2"/>
  <c r="AH6058" i="2"/>
  <c r="AE6058" i="2"/>
  <c r="AD6058" i="2"/>
  <c r="Y6058" i="2" s="1"/>
  <c r="X6058" i="2"/>
  <c r="W6058" i="2"/>
  <c r="AH6057" i="2"/>
  <c r="AE6057" i="2"/>
  <c r="AD6057" i="2"/>
  <c r="AF6057" i="2" s="1"/>
  <c r="X6057" i="2"/>
  <c r="AC6057" i="2" s="1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AC6054" i="2" s="1"/>
  <c r="W6054" i="2"/>
  <c r="AH6053" i="2"/>
  <c r="AE6053" i="2"/>
  <c r="AF6053" i="2" s="1"/>
  <c r="AD6053" i="2"/>
  <c r="X6053" i="2"/>
  <c r="AA6053" i="2" s="1"/>
  <c r="AB6053" i="2" s="1"/>
  <c r="AK6053" i="2" s="1"/>
  <c r="W6053" i="2"/>
  <c r="AH6052" i="2"/>
  <c r="AE6052" i="2"/>
  <c r="AD6052" i="2"/>
  <c r="X6052" i="2"/>
  <c r="AC6052" i="2" s="1"/>
  <c r="W6052" i="2"/>
  <c r="AH6051" i="2"/>
  <c r="AE6051" i="2"/>
  <c r="AD6051" i="2"/>
  <c r="X6051" i="2"/>
  <c r="W6051" i="2"/>
  <c r="AH6050" i="2"/>
  <c r="AE6050" i="2"/>
  <c r="AD6050" i="2"/>
  <c r="Y6050" i="2" s="1"/>
  <c r="X6050" i="2"/>
  <c r="W6050" i="2"/>
  <c r="AH6049" i="2"/>
  <c r="AE6049" i="2"/>
  <c r="AD6049" i="2"/>
  <c r="AF6049" i="2" s="1"/>
  <c r="X6049" i="2"/>
  <c r="AH6048" i="2"/>
  <c r="AE6048" i="2"/>
  <c r="AF6048" i="2" s="1"/>
  <c r="AD6048" i="2"/>
  <c r="X6048" i="2"/>
  <c r="W6048" i="2"/>
  <c r="AH6047" i="2"/>
  <c r="AE6047" i="2"/>
  <c r="AD6047" i="2"/>
  <c r="X6047" i="2"/>
  <c r="AC6047" i="2" s="1"/>
  <c r="W6047" i="2"/>
  <c r="AH6046" i="2"/>
  <c r="AE6046" i="2"/>
  <c r="AD6046" i="2"/>
  <c r="X6046" i="2"/>
  <c r="AC6046" i="2" s="1"/>
  <c r="W6046" i="2"/>
  <c r="AH6045" i="2"/>
  <c r="AE6045" i="2"/>
  <c r="AD6045" i="2"/>
  <c r="Y6045" i="2" s="1"/>
  <c r="X6045" i="2"/>
  <c r="AC6045" i="2" s="1"/>
  <c r="W6045" i="2"/>
  <c r="AH6044" i="2"/>
  <c r="AE6044" i="2"/>
  <c r="AD6044" i="2"/>
  <c r="AF6044" i="2" s="1"/>
  <c r="X6044" i="2"/>
  <c r="AB6044" i="2" s="1"/>
  <c r="AK6044" i="2" s="1"/>
  <c r="W6044" i="2"/>
  <c r="AH6043" i="2"/>
  <c r="AE6043" i="2"/>
  <c r="AD6043" i="2"/>
  <c r="X6043" i="2"/>
  <c r="AC6043" i="2" s="1"/>
  <c r="W6043" i="2"/>
  <c r="AH6042" i="2"/>
  <c r="AE6042" i="2"/>
  <c r="AD6042" i="2"/>
  <c r="X6042" i="2"/>
  <c r="W6042" i="2"/>
  <c r="AH6041" i="2"/>
  <c r="AE6041" i="2"/>
  <c r="AD6041" i="2"/>
  <c r="X6041" i="2"/>
  <c r="AC6041" i="2" s="1"/>
  <c r="W6041" i="2"/>
  <c r="AH6040" i="2"/>
  <c r="AE6040" i="2"/>
  <c r="AF6040" i="2" s="1"/>
  <c r="AD6040" i="2"/>
  <c r="X6040" i="2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Y6037" i="2" s="1"/>
  <c r="X6037" i="2"/>
  <c r="W6037" i="2"/>
  <c r="AH6036" i="2"/>
  <c r="AE6036" i="2"/>
  <c r="AD6036" i="2"/>
  <c r="AF6036" i="2" s="1"/>
  <c r="X6036" i="2"/>
  <c r="AC6036" i="2" s="1"/>
  <c r="W6036" i="2"/>
  <c r="AH6035" i="2"/>
  <c r="AE6035" i="2"/>
  <c r="AD6035" i="2"/>
  <c r="X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F6032" i="2" s="1"/>
  <c r="AD6032" i="2"/>
  <c r="X6032" i="2"/>
  <c r="AC6032" i="2" s="1"/>
  <c r="W6032" i="2"/>
  <c r="AH6031" i="2"/>
  <c r="AE6031" i="2"/>
  <c r="AD6031" i="2"/>
  <c r="X6031" i="2"/>
  <c r="AB6031" i="2" s="1"/>
  <c r="AK6031" i="2" s="1"/>
  <c r="W6031" i="2"/>
  <c r="AH6030" i="2"/>
  <c r="AE6030" i="2"/>
  <c r="AD6030" i="2"/>
  <c r="X6030" i="2"/>
  <c r="W6030" i="2"/>
  <c r="AH6029" i="2"/>
  <c r="AE6029" i="2"/>
  <c r="AD6029" i="2"/>
  <c r="Y6029" i="2" s="1"/>
  <c r="X6029" i="2"/>
  <c r="W6029" i="2"/>
  <c r="AH6028" i="2"/>
  <c r="AE6028" i="2"/>
  <c r="AD6028" i="2"/>
  <c r="AF6028" i="2" s="1"/>
  <c r="X6028" i="2"/>
  <c r="AC6028" i="2" s="1"/>
  <c r="W6028" i="2"/>
  <c r="AH6027" i="2"/>
  <c r="AE6027" i="2"/>
  <c r="AD6027" i="2"/>
  <c r="X6027" i="2"/>
  <c r="W6027" i="2"/>
  <c r="AH6026" i="2"/>
  <c r="AE6026" i="2"/>
  <c r="AD6026" i="2"/>
  <c r="X6026" i="2"/>
  <c r="W6026" i="2"/>
  <c r="AH6025" i="2"/>
  <c r="AE6025" i="2"/>
  <c r="AD6025" i="2"/>
  <c r="X6025" i="2"/>
  <c r="AC6025" i="2" s="1"/>
  <c r="W6025" i="2"/>
  <c r="AH6024" i="2"/>
  <c r="AE6024" i="2"/>
  <c r="AF6024" i="2" s="1"/>
  <c r="AD6024" i="2"/>
  <c r="X6024" i="2"/>
  <c r="AC6024" i="2" s="1"/>
  <c r="W6024" i="2"/>
  <c r="AH6023" i="2"/>
  <c r="AE6023" i="2"/>
  <c r="AD6023" i="2"/>
  <c r="X6023" i="2"/>
  <c r="AB6023" i="2" s="1"/>
  <c r="AK6023" i="2" s="1"/>
  <c r="W6023" i="2"/>
  <c r="AH6022" i="2"/>
  <c r="AE6022" i="2"/>
  <c r="AD6022" i="2"/>
  <c r="X6022" i="2"/>
  <c r="W6022" i="2"/>
  <c r="AH6021" i="2"/>
  <c r="AE6021" i="2"/>
  <c r="AD6021" i="2"/>
  <c r="Y6021" i="2" s="1"/>
  <c r="X6021" i="2"/>
  <c r="W6021" i="2"/>
  <c r="AH6020" i="2"/>
  <c r="AE6020" i="2"/>
  <c r="AD6020" i="2"/>
  <c r="AF6020" i="2" s="1"/>
  <c r="X6020" i="2"/>
  <c r="AC6020" i="2" s="1"/>
  <c r="W6020" i="2"/>
  <c r="AH6019" i="2"/>
  <c r="AE6019" i="2"/>
  <c r="AD6019" i="2"/>
  <c r="X6019" i="2"/>
  <c r="W6019" i="2"/>
  <c r="AH6018" i="2"/>
  <c r="AE6018" i="2"/>
  <c r="AF6018" i="2" s="1"/>
  <c r="AD6018" i="2"/>
  <c r="X6018" i="2"/>
  <c r="W6018" i="2"/>
  <c r="AH6017" i="2"/>
  <c r="AE6017" i="2"/>
  <c r="AD6017" i="2"/>
  <c r="X6017" i="2"/>
  <c r="AK6017" i="2" s="1"/>
  <c r="W6017" i="2"/>
  <c r="AH6016" i="2"/>
  <c r="AE6016" i="2"/>
  <c r="AF6016" i="2" s="1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W6014" i="2"/>
  <c r="AH6013" i="2"/>
  <c r="AE6013" i="2"/>
  <c r="AD6013" i="2"/>
  <c r="Y6013" i="2" s="1"/>
  <c r="X6013" i="2"/>
  <c r="W6013" i="2"/>
  <c r="AH6012" i="2"/>
  <c r="AE6012" i="2"/>
  <c r="AD6012" i="2"/>
  <c r="AF6012" i="2" s="1"/>
  <c r="X6012" i="2"/>
  <c r="AC6012" i="2" s="1"/>
  <c r="W6012" i="2"/>
  <c r="AH6011" i="2"/>
  <c r="AE6011" i="2"/>
  <c r="AD6011" i="2"/>
  <c r="X6011" i="2"/>
  <c r="W6011" i="2"/>
  <c r="AH6010" i="2"/>
  <c r="AE6010" i="2"/>
  <c r="AD6010" i="2"/>
  <c r="X6010" i="2"/>
  <c r="W6010" i="2"/>
  <c r="AH6009" i="2"/>
  <c r="AE6009" i="2"/>
  <c r="AD6009" i="2"/>
  <c r="X6009" i="2"/>
  <c r="AC6009" i="2" s="1"/>
  <c r="W6009" i="2"/>
  <c r="AH6008" i="2"/>
  <c r="AE6008" i="2"/>
  <c r="AF6008" i="2" s="1"/>
  <c r="AD6008" i="2"/>
  <c r="X6008" i="2"/>
  <c r="W6008" i="2"/>
  <c r="AH6007" i="2"/>
  <c r="AE6007" i="2"/>
  <c r="AD6007" i="2"/>
  <c r="Y6007" i="2" s="1"/>
  <c r="X6007" i="2"/>
  <c r="AC6007" i="2" s="1"/>
  <c r="W6007" i="2"/>
  <c r="AH6006" i="2"/>
  <c r="AE6006" i="2"/>
  <c r="AD6006" i="2"/>
  <c r="X6006" i="2"/>
  <c r="W6006" i="2"/>
  <c r="AH6005" i="2"/>
  <c r="AE6005" i="2"/>
  <c r="AD6005" i="2"/>
  <c r="Y6005" i="2" s="1"/>
  <c r="X6005" i="2"/>
  <c r="W6005" i="2"/>
  <c r="AH6004" i="2"/>
  <c r="AE6004" i="2"/>
  <c r="AD6004" i="2"/>
  <c r="AF6004" i="2" s="1"/>
  <c r="X6004" i="2"/>
  <c r="W6004" i="2"/>
  <c r="AH6003" i="2"/>
  <c r="AE6003" i="2"/>
  <c r="AD6003" i="2"/>
  <c r="X6003" i="2"/>
  <c r="W6003" i="2"/>
  <c r="AH6002" i="2"/>
  <c r="AE6002" i="2"/>
  <c r="AD6002" i="2"/>
  <c r="X6002" i="2"/>
  <c r="W6002" i="2"/>
  <c r="AH6001" i="2"/>
  <c r="AE6001" i="2"/>
  <c r="AD6001" i="2"/>
  <c r="X6001" i="2"/>
  <c r="AC6001" i="2" s="1"/>
  <c r="W6001" i="2"/>
  <c r="AH6000" i="2"/>
  <c r="AE6000" i="2"/>
  <c r="AF6000" i="2" s="1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Y5997" i="2" s="1"/>
  <c r="X5997" i="2"/>
  <c r="W5997" i="2"/>
  <c r="AH5996" i="2"/>
  <c r="AE5996" i="2"/>
  <c r="AD5996" i="2"/>
  <c r="AF5996" i="2" s="1"/>
  <c r="X5996" i="2"/>
  <c r="W5996" i="2"/>
  <c r="AH5995" i="2"/>
  <c r="AE5995" i="2"/>
  <c r="AD5995" i="2"/>
  <c r="X5995" i="2"/>
  <c r="W5995" i="2"/>
  <c r="AH5994" i="2"/>
  <c r="AE5994" i="2"/>
  <c r="AD5994" i="2"/>
  <c r="X5994" i="2"/>
  <c r="W5994" i="2"/>
  <c r="AH5993" i="2"/>
  <c r="AE5993" i="2"/>
  <c r="AD5993" i="2"/>
  <c r="X5993" i="2"/>
  <c r="AC5993" i="2" s="1"/>
  <c r="W5993" i="2"/>
  <c r="AH5992" i="2"/>
  <c r="AE5992" i="2"/>
  <c r="AF5992" i="2" s="1"/>
  <c r="AD5992" i="2"/>
  <c r="X5992" i="2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Y5989" i="2" s="1"/>
  <c r="X5989" i="2"/>
  <c r="W5989" i="2"/>
  <c r="AH5988" i="2"/>
  <c r="AE5988" i="2"/>
  <c r="AD5988" i="2"/>
  <c r="AF5988" i="2" s="1"/>
  <c r="X5988" i="2"/>
  <c r="AC5988" i="2" s="1"/>
  <c r="W5988" i="2"/>
  <c r="AH5987" i="2"/>
  <c r="AE5987" i="2"/>
  <c r="AD5987" i="2"/>
  <c r="X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Y5984" i="2" s="1"/>
  <c r="X5984" i="2"/>
  <c r="W5984" i="2"/>
  <c r="AH5983" i="2"/>
  <c r="AE5983" i="2"/>
  <c r="AD5983" i="2"/>
  <c r="AF5983" i="2" s="1"/>
  <c r="X5983" i="2"/>
  <c r="AB5983" i="2" s="1"/>
  <c r="AK5983" i="2" s="1"/>
  <c r="W5983" i="2"/>
  <c r="AH5982" i="2"/>
  <c r="AE5982" i="2"/>
  <c r="AD5982" i="2"/>
  <c r="X5982" i="2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F5979" i="2" s="1"/>
  <c r="AD5979" i="2"/>
  <c r="X5979" i="2"/>
  <c r="W5979" i="2"/>
  <c r="AH5978" i="2"/>
  <c r="AE5978" i="2"/>
  <c r="AD5978" i="2"/>
  <c r="X5978" i="2"/>
  <c r="AC5978" i="2" s="1"/>
  <c r="W5978" i="2"/>
  <c r="AH5977" i="2"/>
  <c r="AE5977" i="2"/>
  <c r="AD5977" i="2"/>
  <c r="X5977" i="2"/>
  <c r="AC5977" i="2" s="1"/>
  <c r="W5977" i="2"/>
  <c r="AH5976" i="2"/>
  <c r="AE5976" i="2"/>
  <c r="AD5976" i="2"/>
  <c r="Y5976" i="2" s="1"/>
  <c r="X5976" i="2"/>
  <c r="W5976" i="2"/>
  <c r="AH5975" i="2"/>
  <c r="AE5975" i="2"/>
  <c r="AD5975" i="2"/>
  <c r="AF5975" i="2" s="1"/>
  <c r="X5975" i="2"/>
  <c r="AB5975" i="2" s="1"/>
  <c r="AK5975" i="2" s="1"/>
  <c r="W5975" i="2"/>
  <c r="AH5974" i="2"/>
  <c r="AE5974" i="2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AC5972" i="2" s="1"/>
  <c r="W5972" i="2"/>
  <c r="AH5971" i="2"/>
  <c r="AE5971" i="2"/>
  <c r="AF5971" i="2" s="1"/>
  <c r="AD5971" i="2"/>
  <c r="X5971" i="2"/>
  <c r="W5971" i="2"/>
  <c r="AH5970" i="2"/>
  <c r="AE5970" i="2"/>
  <c r="AD5970" i="2"/>
  <c r="X5970" i="2"/>
  <c r="AC5970" i="2" s="1"/>
  <c r="W5970" i="2"/>
  <c r="AH5969" i="2"/>
  <c r="AE5969" i="2"/>
  <c r="AD5969" i="2"/>
  <c r="X5969" i="2"/>
  <c r="AK5969" i="2" s="1"/>
  <c r="W5969" i="2"/>
  <c r="AH5968" i="2"/>
  <c r="AE5968" i="2"/>
  <c r="AD5968" i="2"/>
  <c r="Y5968" i="2" s="1"/>
  <c r="X5968" i="2"/>
  <c r="AK5968" i="2" s="1"/>
  <c r="W5968" i="2"/>
  <c r="AH5967" i="2"/>
  <c r="AE5967" i="2"/>
  <c r="AD5967" i="2"/>
  <c r="AF5967" i="2" s="1"/>
  <c r="X5967" i="2"/>
  <c r="AB5967" i="2" s="1"/>
  <c r="AK5967" i="2" s="1"/>
  <c r="W5967" i="2"/>
  <c r="AH5966" i="2"/>
  <c r="AE5966" i="2"/>
  <c r="AD5966" i="2"/>
  <c r="X5966" i="2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F5963" i="2" s="1"/>
  <c r="AD5963" i="2"/>
  <c r="X5963" i="2"/>
  <c r="W5963" i="2"/>
  <c r="AH5962" i="2"/>
  <c r="AE5962" i="2"/>
  <c r="AD5962" i="2"/>
  <c r="X5962" i="2"/>
  <c r="AC5962" i="2" s="1"/>
  <c r="W5962" i="2"/>
  <c r="AH5961" i="2"/>
  <c r="AE5961" i="2"/>
  <c r="AD5961" i="2"/>
  <c r="X5961" i="2"/>
  <c r="AC5961" i="2" s="1"/>
  <c r="W5961" i="2"/>
  <c r="AH5960" i="2"/>
  <c r="AE5960" i="2"/>
  <c r="AD5960" i="2"/>
  <c r="Y5960" i="2" s="1"/>
  <c r="X5960" i="2"/>
  <c r="W5960" i="2"/>
  <c r="AH5959" i="2"/>
  <c r="AE5959" i="2"/>
  <c r="AD5959" i="2"/>
  <c r="AF5959" i="2" s="1"/>
  <c r="X5959" i="2"/>
  <c r="AC5959" i="2" s="1"/>
  <c r="W5959" i="2"/>
  <c r="AH5958" i="2"/>
  <c r="AE5958" i="2"/>
  <c r="AD5958" i="2"/>
  <c r="X5958" i="2"/>
  <c r="W5958" i="2"/>
  <c r="AH5957" i="2"/>
  <c r="AE5957" i="2"/>
  <c r="AD5957" i="2"/>
  <c r="X5957" i="2"/>
  <c r="W5957" i="2"/>
  <c r="AH5956" i="2"/>
  <c r="AE5956" i="2"/>
  <c r="AD5956" i="2"/>
  <c r="X5956" i="2"/>
  <c r="AB5956" i="2" s="1"/>
  <c r="AK5956" i="2" s="1"/>
  <c r="W5956" i="2"/>
  <c r="AH5955" i="2"/>
  <c r="AE5955" i="2"/>
  <c r="AF5955" i="2" s="1"/>
  <c r="AD5955" i="2"/>
  <c r="X5955" i="2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Y5952" i="2" s="1"/>
  <c r="X5952" i="2"/>
  <c r="AC5952" i="2" s="1"/>
  <c r="W5952" i="2"/>
  <c r="AH5951" i="2"/>
  <c r="AE5951" i="2"/>
  <c r="AD5951" i="2"/>
  <c r="AF5951" i="2" s="1"/>
  <c r="X5951" i="2"/>
  <c r="AC5951" i="2" s="1"/>
  <c r="W5951" i="2"/>
  <c r="AH5950" i="2"/>
  <c r="AE5950" i="2"/>
  <c r="AD5950" i="2"/>
  <c r="X5950" i="2"/>
  <c r="W5950" i="2"/>
  <c r="AH5949" i="2"/>
  <c r="AE5949" i="2"/>
  <c r="AD5949" i="2"/>
  <c r="X5949" i="2"/>
  <c r="W5949" i="2"/>
  <c r="AH5948" i="2"/>
  <c r="AE5948" i="2"/>
  <c r="AD5948" i="2"/>
  <c r="X5948" i="2"/>
  <c r="W5948" i="2"/>
  <c r="AH5947" i="2"/>
  <c r="AE5947" i="2"/>
  <c r="AF5947" i="2" s="1"/>
  <c r="AD5947" i="2"/>
  <c r="X5947" i="2"/>
  <c r="W5947" i="2"/>
  <c r="AH5946" i="2"/>
  <c r="AE5946" i="2"/>
  <c r="AD5946" i="2"/>
  <c r="X5946" i="2"/>
  <c r="AC5946" i="2" s="1"/>
  <c r="W5946" i="2"/>
  <c r="AH5945" i="2"/>
  <c r="AE5945" i="2"/>
  <c r="AD5945" i="2"/>
  <c r="X5945" i="2"/>
  <c r="W5945" i="2"/>
  <c r="AH5944" i="2"/>
  <c r="AE5944" i="2"/>
  <c r="AD5944" i="2"/>
  <c r="Y5944" i="2" s="1"/>
  <c r="X5944" i="2"/>
  <c r="W5944" i="2"/>
  <c r="AH5943" i="2"/>
  <c r="AE5943" i="2"/>
  <c r="AD5943" i="2"/>
  <c r="X5943" i="2"/>
  <c r="AB5943" i="2" s="1"/>
  <c r="AK5943" i="2" s="1"/>
  <c r="W5943" i="2"/>
  <c r="AH5942" i="2"/>
  <c r="AE5942" i="2"/>
  <c r="AD5942" i="2"/>
  <c r="X5942" i="2"/>
  <c r="W5942" i="2"/>
  <c r="AH5941" i="2"/>
  <c r="AE5941" i="2"/>
  <c r="AD5941" i="2"/>
  <c r="X5941" i="2"/>
  <c r="W5941" i="2"/>
  <c r="AH5940" i="2"/>
  <c r="AE5940" i="2"/>
  <c r="AD5940" i="2"/>
  <c r="X5940" i="2"/>
  <c r="AB5940" i="2" s="1"/>
  <c r="AK5940" i="2" s="1"/>
  <c r="W5940" i="2"/>
  <c r="AH5939" i="2"/>
  <c r="AE5939" i="2"/>
  <c r="AF5939" i="2" s="1"/>
  <c r="AD5939" i="2"/>
  <c r="X5939" i="2"/>
  <c r="W5939" i="2"/>
  <c r="AH5938" i="2"/>
  <c r="AE5938" i="2"/>
  <c r="AD5938" i="2"/>
  <c r="X5938" i="2"/>
  <c r="W5938" i="2"/>
  <c r="AH5937" i="2"/>
  <c r="AE5937" i="2"/>
  <c r="AD5937" i="2"/>
  <c r="X5937" i="2"/>
  <c r="W5937" i="2"/>
  <c r="AH5936" i="2"/>
  <c r="AE5936" i="2"/>
  <c r="AD5936" i="2"/>
  <c r="Y5936" i="2" s="1"/>
  <c r="X5936" i="2"/>
  <c r="W5936" i="2"/>
  <c r="AH5935" i="2"/>
  <c r="AE5935" i="2"/>
  <c r="AD5935" i="2"/>
  <c r="AF5935" i="2" s="1"/>
  <c r="X5935" i="2"/>
  <c r="AB5935" i="2" s="1"/>
  <c r="AK5935" i="2" s="1"/>
  <c r="W5935" i="2"/>
  <c r="AH5934" i="2"/>
  <c r="AE5934" i="2"/>
  <c r="AD5934" i="2"/>
  <c r="X5934" i="2"/>
  <c r="W5934" i="2"/>
  <c r="AH5933" i="2"/>
  <c r="AE5933" i="2"/>
  <c r="AD5933" i="2"/>
  <c r="X5933" i="2"/>
  <c r="W5933" i="2"/>
  <c r="AH5932" i="2"/>
  <c r="AE5932" i="2"/>
  <c r="AD5932" i="2"/>
  <c r="X5932" i="2"/>
  <c r="W5932" i="2"/>
  <c r="AH5931" i="2"/>
  <c r="AE5931" i="2"/>
  <c r="AF5931" i="2" s="1"/>
  <c r="AD5931" i="2"/>
  <c r="X5931" i="2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W5929" i="2"/>
  <c r="AH5928" i="2"/>
  <c r="AE5928" i="2"/>
  <c r="AD5928" i="2"/>
  <c r="Y5928" i="2" s="1"/>
  <c r="X5928" i="2"/>
  <c r="W5928" i="2"/>
  <c r="AH5927" i="2"/>
  <c r="AE5927" i="2"/>
  <c r="AD5927" i="2"/>
  <c r="AF5927" i="2" s="1"/>
  <c r="X5927" i="2"/>
  <c r="AC5927" i="2" s="1"/>
  <c r="W5927" i="2"/>
  <c r="AH5926" i="2"/>
  <c r="AE5926" i="2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W5924" i="2"/>
  <c r="AH5923" i="2"/>
  <c r="AE5923" i="2"/>
  <c r="AF5923" i="2" s="1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W5921" i="2"/>
  <c r="AH5920" i="2"/>
  <c r="AE5920" i="2"/>
  <c r="AD5920" i="2"/>
  <c r="Y5920" i="2" s="1"/>
  <c r="X5920" i="2"/>
  <c r="W5920" i="2"/>
  <c r="AH5919" i="2"/>
  <c r="AE5919" i="2"/>
  <c r="AD5919" i="2"/>
  <c r="AF5919" i="2" s="1"/>
  <c r="X5919" i="2"/>
  <c r="AC5919" i="2" s="1"/>
  <c r="W5919" i="2"/>
  <c r="AH5918" i="2"/>
  <c r="AE5918" i="2"/>
  <c r="AD5918" i="2"/>
  <c r="X5918" i="2"/>
  <c r="W5918" i="2"/>
  <c r="AH5917" i="2"/>
  <c r="AE5917" i="2"/>
  <c r="AD5917" i="2"/>
  <c r="X5917" i="2"/>
  <c r="W5917" i="2"/>
  <c r="AH5916" i="2"/>
  <c r="AE5916" i="2"/>
  <c r="AD5916" i="2"/>
  <c r="X5916" i="2"/>
  <c r="AC5916" i="2" s="1"/>
  <c r="W5916" i="2"/>
  <c r="AH5915" i="2"/>
  <c r="AE5915" i="2"/>
  <c r="AF5915" i="2" s="1"/>
  <c r="AD5915" i="2"/>
  <c r="X5915" i="2"/>
  <c r="W5915" i="2"/>
  <c r="AH5914" i="2"/>
  <c r="AE5914" i="2"/>
  <c r="AD5914" i="2"/>
  <c r="X5914" i="2"/>
  <c r="AB5914" i="2" s="1"/>
  <c r="AK5914" i="2" s="1"/>
  <c r="W5914" i="2"/>
  <c r="AH5913" i="2"/>
  <c r="AE5913" i="2"/>
  <c r="AD5913" i="2"/>
  <c r="X5913" i="2"/>
  <c r="W5913" i="2"/>
  <c r="AH5912" i="2"/>
  <c r="AE5912" i="2"/>
  <c r="AD5912" i="2"/>
  <c r="Y5912" i="2" s="1"/>
  <c r="X5912" i="2"/>
  <c r="W5912" i="2"/>
  <c r="AH5911" i="2"/>
  <c r="AE5911" i="2"/>
  <c r="AD5911" i="2"/>
  <c r="AF5911" i="2" s="1"/>
  <c r="X5911" i="2"/>
  <c r="AB5911" i="2" s="1"/>
  <c r="AK5911" i="2" s="1"/>
  <c r="W5911" i="2"/>
  <c r="AH5910" i="2"/>
  <c r="AE5910" i="2"/>
  <c r="AD5910" i="2"/>
  <c r="X5910" i="2"/>
  <c r="AK5910" i="2" s="1"/>
  <c r="W5910" i="2"/>
  <c r="AH5909" i="2"/>
  <c r="AE5909" i="2"/>
  <c r="AD5909" i="2"/>
  <c r="X5909" i="2"/>
  <c r="W5909" i="2"/>
  <c r="AH5908" i="2"/>
  <c r="AE5908" i="2"/>
  <c r="AD5908" i="2"/>
  <c r="X5908" i="2"/>
  <c r="AC5908" i="2" s="1"/>
  <c r="W5908" i="2"/>
  <c r="AH5907" i="2"/>
  <c r="AE5907" i="2"/>
  <c r="AF5907" i="2" s="1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W5905" i="2"/>
  <c r="AH5904" i="2"/>
  <c r="AE5904" i="2"/>
  <c r="AD5904" i="2"/>
  <c r="Y5904" i="2" s="1"/>
  <c r="X5904" i="2"/>
  <c r="W5904" i="2"/>
  <c r="AH5903" i="2"/>
  <c r="AE5903" i="2"/>
  <c r="AD5903" i="2"/>
  <c r="AF5903" i="2" s="1"/>
  <c r="X5903" i="2"/>
  <c r="AB5903" i="2" s="1"/>
  <c r="AK5903" i="2" s="1"/>
  <c r="W5903" i="2"/>
  <c r="AH5902" i="2"/>
  <c r="AE5902" i="2"/>
  <c r="AD5902" i="2"/>
  <c r="X5902" i="2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F5899" i="2" s="1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W5897" i="2"/>
  <c r="AH5896" i="2"/>
  <c r="AE5896" i="2"/>
  <c r="AD5896" i="2"/>
  <c r="Y5896" i="2" s="1"/>
  <c r="X5896" i="2"/>
  <c r="W5896" i="2"/>
  <c r="AH5895" i="2"/>
  <c r="AE5895" i="2"/>
  <c r="AD5895" i="2"/>
  <c r="AF5895" i="2" s="1"/>
  <c r="X5895" i="2"/>
  <c r="AC5895" i="2" s="1"/>
  <c r="W5895" i="2"/>
  <c r="AH5894" i="2"/>
  <c r="AE5894" i="2"/>
  <c r="AD5894" i="2"/>
  <c r="X5894" i="2"/>
  <c r="W5894" i="2"/>
  <c r="AH5893" i="2"/>
  <c r="AE5893" i="2"/>
  <c r="AD5893" i="2"/>
  <c r="X5893" i="2"/>
  <c r="W5893" i="2"/>
  <c r="AH5892" i="2"/>
  <c r="AE5892" i="2"/>
  <c r="AD5892" i="2"/>
  <c r="X5892" i="2"/>
  <c r="AK5892" i="2" s="1"/>
  <c r="W5892" i="2"/>
  <c r="AH5891" i="2"/>
  <c r="AE5891" i="2"/>
  <c r="AF5891" i="2" s="1"/>
  <c r="AD5891" i="2"/>
  <c r="X5891" i="2"/>
  <c r="AK5891" i="2" s="1"/>
  <c r="W5891" i="2"/>
  <c r="AH5890" i="2"/>
  <c r="AE5890" i="2"/>
  <c r="AD5890" i="2"/>
  <c r="X5890" i="2"/>
  <c r="AK5890" i="2" s="1"/>
  <c r="W5890" i="2"/>
  <c r="AH5889" i="2"/>
  <c r="AE5889" i="2"/>
  <c r="AD5889" i="2"/>
  <c r="X5889" i="2"/>
  <c r="W5889" i="2"/>
  <c r="AH5888" i="2"/>
  <c r="AE5888" i="2"/>
  <c r="AD5888" i="2"/>
  <c r="Y5888" i="2" s="1"/>
  <c r="X5888" i="2"/>
  <c r="W5888" i="2"/>
  <c r="AH5887" i="2"/>
  <c r="AE5887" i="2"/>
  <c r="AD5887" i="2"/>
  <c r="AF5887" i="2" s="1"/>
  <c r="X5887" i="2"/>
  <c r="AC5887" i="2" s="1"/>
  <c r="W5887" i="2"/>
  <c r="AH5886" i="2"/>
  <c r="AE5886" i="2"/>
  <c r="AD5886" i="2"/>
  <c r="X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F5883" i="2" s="1"/>
  <c r="AD5883" i="2"/>
  <c r="X5883" i="2"/>
  <c r="W5883" i="2"/>
  <c r="AH5882" i="2"/>
  <c r="AE5882" i="2"/>
  <c r="AD5882" i="2"/>
  <c r="X5882" i="2"/>
  <c r="W5882" i="2"/>
  <c r="AH5881" i="2"/>
  <c r="AE5881" i="2"/>
  <c r="AD5881" i="2"/>
  <c r="X5881" i="2"/>
  <c r="W5881" i="2"/>
  <c r="AH5880" i="2"/>
  <c r="AE5880" i="2"/>
  <c r="AD5880" i="2"/>
  <c r="Y5880" i="2" s="1"/>
  <c r="X5880" i="2"/>
  <c r="W5880" i="2"/>
  <c r="AH5879" i="2"/>
  <c r="AE5879" i="2"/>
  <c r="AD5879" i="2"/>
  <c r="AF5879" i="2" s="1"/>
  <c r="X5879" i="2"/>
  <c r="AC5879" i="2" s="1"/>
  <c r="W5879" i="2"/>
  <c r="AH5878" i="2"/>
  <c r="AE5878" i="2"/>
  <c r="AD5878" i="2"/>
  <c r="X5878" i="2"/>
  <c r="AH5877" i="2"/>
  <c r="AE5877" i="2"/>
  <c r="AD5877" i="2"/>
  <c r="X5877" i="2"/>
  <c r="AC5877" i="2" s="1"/>
  <c r="W5877" i="2"/>
  <c r="AH5876" i="2"/>
  <c r="AE5876" i="2"/>
  <c r="AD5876" i="2"/>
  <c r="X5876" i="2"/>
  <c r="W5876" i="2"/>
  <c r="AH5875" i="2"/>
  <c r="AE5875" i="2"/>
  <c r="AD5875" i="2"/>
  <c r="Y5875" i="2" s="1"/>
  <c r="X5875" i="2"/>
  <c r="W5875" i="2"/>
  <c r="AH5874" i="2"/>
  <c r="AE5874" i="2"/>
  <c r="AD5874" i="2"/>
  <c r="AF5874" i="2" s="1"/>
  <c r="X5874" i="2"/>
  <c r="AC5874" i="2" s="1"/>
  <c r="W5874" i="2"/>
  <c r="AH5873" i="2"/>
  <c r="AE5873" i="2"/>
  <c r="AD5873" i="2"/>
  <c r="X5873" i="2"/>
  <c r="W5873" i="2"/>
  <c r="AH5872" i="2"/>
  <c r="AE5872" i="2"/>
  <c r="AD5872" i="2"/>
  <c r="X5872" i="2"/>
  <c r="W5872" i="2"/>
  <c r="AH5871" i="2"/>
  <c r="AE5871" i="2"/>
  <c r="AD5871" i="2"/>
  <c r="X5871" i="2"/>
  <c r="Y5871" i="2" s="1"/>
  <c r="W5871" i="2"/>
  <c r="AH5870" i="2"/>
  <c r="AE5870" i="2"/>
  <c r="AF5870" i="2" s="1"/>
  <c r="AD5870" i="2"/>
  <c r="X5870" i="2"/>
  <c r="AC5870" i="2" s="1"/>
  <c r="W5870" i="2"/>
  <c r="AH5869" i="2"/>
  <c r="AE5869" i="2"/>
  <c r="AD5869" i="2"/>
  <c r="X5869" i="2"/>
  <c r="AC5869" i="2" s="1"/>
  <c r="W5869" i="2"/>
  <c r="AH5868" i="2"/>
  <c r="AE5868" i="2"/>
  <c r="AD5868" i="2"/>
  <c r="X5868" i="2"/>
  <c r="W5868" i="2"/>
  <c r="AH5867" i="2"/>
  <c r="AE5867" i="2"/>
  <c r="AD5867" i="2"/>
  <c r="Y5867" i="2" s="1"/>
  <c r="X5867" i="2"/>
  <c r="W5867" i="2"/>
  <c r="AH5866" i="2"/>
  <c r="AE5866" i="2"/>
  <c r="AD5866" i="2"/>
  <c r="AF5866" i="2" s="1"/>
  <c r="X5866" i="2"/>
  <c r="AC5866" i="2" s="1"/>
  <c r="W5866" i="2"/>
  <c r="AH5865" i="2"/>
  <c r="AE5865" i="2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AC5863" i="2" s="1"/>
  <c r="W5863" i="2"/>
  <c r="AH5862" i="2"/>
  <c r="AE5862" i="2"/>
  <c r="AF5862" i="2" s="1"/>
  <c r="AD5862" i="2"/>
  <c r="X5862" i="2"/>
  <c r="W5862" i="2"/>
  <c r="AH5861" i="2"/>
  <c r="AE5861" i="2"/>
  <c r="AD5861" i="2"/>
  <c r="X5861" i="2"/>
  <c r="AC5861" i="2" s="1"/>
  <c r="W5861" i="2"/>
  <c r="AH5860" i="2"/>
  <c r="AE5860" i="2"/>
  <c r="AD5860" i="2"/>
  <c r="X5860" i="2"/>
  <c r="W5860" i="2"/>
  <c r="AH5859" i="2"/>
  <c r="AE5859" i="2"/>
  <c r="AD5859" i="2"/>
  <c r="Y5859" i="2" s="1"/>
  <c r="X5859" i="2"/>
  <c r="W5859" i="2"/>
  <c r="AH5858" i="2"/>
  <c r="AE5858" i="2"/>
  <c r="AD5858" i="2"/>
  <c r="AF5858" i="2" s="1"/>
  <c r="X5858" i="2"/>
  <c r="AC5858" i="2" s="1"/>
  <c r="W5858" i="2"/>
  <c r="AH5857" i="2"/>
  <c r="AE5857" i="2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AC5855" i="2" s="1"/>
  <c r="W5855" i="2"/>
  <c r="AH5854" i="2"/>
  <c r="AE5854" i="2"/>
  <c r="AF5854" i="2" s="1"/>
  <c r="AD5854" i="2"/>
  <c r="X5854" i="2"/>
  <c r="W5854" i="2"/>
  <c r="AH5853" i="2"/>
  <c r="AE5853" i="2"/>
  <c r="AD5853" i="2"/>
  <c r="X5853" i="2"/>
  <c r="AC5853" i="2" s="1"/>
  <c r="W5853" i="2"/>
  <c r="AH5852" i="2"/>
  <c r="AE5852" i="2"/>
  <c r="AD5852" i="2"/>
  <c r="X5852" i="2"/>
  <c r="AC5852" i="2" s="1"/>
  <c r="W5852" i="2"/>
  <c r="AH5851" i="2"/>
  <c r="AE5851" i="2"/>
  <c r="AD5851" i="2"/>
  <c r="Y5851" i="2" s="1"/>
  <c r="X5851" i="2"/>
  <c r="W5851" i="2"/>
  <c r="AH5850" i="2"/>
  <c r="AE5850" i="2"/>
  <c r="AD5850" i="2"/>
  <c r="AF5850" i="2" s="1"/>
  <c r="X5850" i="2"/>
  <c r="AC5850" i="2" s="1"/>
  <c r="W5850" i="2"/>
  <c r="AH5849" i="2"/>
  <c r="AE5849" i="2"/>
  <c r="AD5849" i="2"/>
  <c r="X5849" i="2"/>
  <c r="W5849" i="2"/>
  <c r="AH5848" i="2"/>
  <c r="AE5848" i="2"/>
  <c r="AD5848" i="2"/>
  <c r="X5848" i="2"/>
  <c r="W5848" i="2"/>
  <c r="AH5847" i="2"/>
  <c r="AE5847" i="2"/>
  <c r="AD5847" i="2"/>
  <c r="X5847" i="2"/>
  <c r="AC5847" i="2" s="1"/>
  <c r="W5847" i="2"/>
  <c r="AH5846" i="2"/>
  <c r="AE5846" i="2"/>
  <c r="AF5846" i="2" s="1"/>
  <c r="AD5846" i="2"/>
  <c r="X5846" i="2"/>
  <c r="W5846" i="2"/>
  <c r="AH5845" i="2"/>
  <c r="AE5845" i="2"/>
  <c r="AD5845" i="2"/>
  <c r="X5845" i="2"/>
  <c r="AC5845" i="2" s="1"/>
  <c r="W5845" i="2"/>
  <c r="AH5844" i="2"/>
  <c r="AE5844" i="2"/>
  <c r="AD5844" i="2"/>
  <c r="X5844" i="2"/>
  <c r="AC5844" i="2" s="1"/>
  <c r="W5844" i="2"/>
  <c r="AH5843" i="2"/>
  <c r="AE5843" i="2"/>
  <c r="AD5843" i="2"/>
  <c r="Y5843" i="2" s="1"/>
  <c r="X5843" i="2"/>
  <c r="W5843" i="2"/>
  <c r="AH5842" i="2"/>
  <c r="AE5842" i="2"/>
  <c r="AD5842" i="2"/>
  <c r="AF5842" i="2" s="1"/>
  <c r="X5842" i="2"/>
  <c r="AC5842" i="2" s="1"/>
  <c r="W5842" i="2"/>
  <c r="AH5841" i="2"/>
  <c r="AE5841" i="2"/>
  <c r="AD5841" i="2"/>
  <c r="X5841" i="2"/>
  <c r="W5841" i="2"/>
  <c r="AH5840" i="2"/>
  <c r="AE5840" i="2"/>
  <c r="AD5840" i="2"/>
  <c r="X5840" i="2"/>
  <c r="W5840" i="2"/>
  <c r="AH5839" i="2"/>
  <c r="AE5839" i="2"/>
  <c r="AD5839" i="2"/>
  <c r="X5839" i="2"/>
  <c r="AC5839" i="2" s="1"/>
  <c r="W5839" i="2"/>
  <c r="AH5838" i="2"/>
  <c r="AE5838" i="2"/>
  <c r="AF5838" i="2" s="1"/>
  <c r="AD5838" i="2"/>
  <c r="X5838" i="2"/>
  <c r="W5838" i="2"/>
  <c r="AH5837" i="2"/>
  <c r="AE5837" i="2"/>
  <c r="AD5837" i="2"/>
  <c r="X5837" i="2"/>
  <c r="AB5837" i="2" s="1"/>
  <c r="AK5837" i="2" s="1"/>
  <c r="W5837" i="2"/>
  <c r="AH5836" i="2"/>
  <c r="AE5836" i="2"/>
  <c r="AD5836" i="2"/>
  <c r="X5836" i="2"/>
  <c r="W5836" i="2"/>
  <c r="AH5835" i="2"/>
  <c r="AE5835" i="2"/>
  <c r="AD5835" i="2"/>
  <c r="Y5835" i="2" s="1"/>
  <c r="X5835" i="2"/>
  <c r="W5835" i="2"/>
  <c r="AH5834" i="2"/>
  <c r="AE5834" i="2"/>
  <c r="AD5834" i="2"/>
  <c r="AF5834" i="2" s="1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W5832" i="2"/>
  <c r="AH5831" i="2"/>
  <c r="AE5831" i="2"/>
  <c r="AD5831" i="2"/>
  <c r="X5831" i="2"/>
  <c r="AB5831" i="2" s="1"/>
  <c r="AK5831" i="2" s="1"/>
  <c r="W5831" i="2"/>
  <c r="AH5830" i="2"/>
  <c r="AE5830" i="2"/>
  <c r="AF5830" i="2" s="1"/>
  <c r="AD5830" i="2"/>
  <c r="X5830" i="2"/>
  <c r="W5830" i="2"/>
  <c r="AH5829" i="2"/>
  <c r="AE5829" i="2"/>
  <c r="AD5829" i="2"/>
  <c r="X5829" i="2"/>
  <c r="AC5829" i="2" s="1"/>
  <c r="W5829" i="2"/>
  <c r="AH5828" i="2"/>
  <c r="AE5828" i="2"/>
  <c r="AD5828" i="2"/>
  <c r="X5828" i="2"/>
  <c r="W5828" i="2"/>
  <c r="AH5827" i="2"/>
  <c r="AE5827" i="2"/>
  <c r="AD5827" i="2"/>
  <c r="Y5827" i="2" s="1"/>
  <c r="X5827" i="2"/>
  <c r="W5827" i="2"/>
  <c r="AH5826" i="2"/>
  <c r="AE5826" i="2"/>
  <c r="AD5826" i="2"/>
  <c r="AF5826" i="2" s="1"/>
  <c r="X5826" i="2"/>
  <c r="AC5826" i="2" s="1"/>
  <c r="W5826" i="2"/>
  <c r="AH5825" i="2"/>
  <c r="AE5825" i="2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AC5823" i="2" s="1"/>
  <c r="W5823" i="2"/>
  <c r="AH5822" i="2"/>
  <c r="AE5822" i="2"/>
  <c r="AF5822" i="2" s="1"/>
  <c r="AD5822" i="2"/>
  <c r="X5822" i="2"/>
  <c r="W5822" i="2"/>
  <c r="AH5821" i="2"/>
  <c r="AE5821" i="2"/>
  <c r="AD5821" i="2"/>
  <c r="X5821" i="2"/>
  <c r="AC5821" i="2" s="1"/>
  <c r="W5821" i="2"/>
  <c r="AH5820" i="2"/>
  <c r="AE5820" i="2"/>
  <c r="AD5820" i="2"/>
  <c r="X5820" i="2"/>
  <c r="AC5820" i="2" s="1"/>
  <c r="W5820" i="2"/>
  <c r="AH5819" i="2"/>
  <c r="AE5819" i="2"/>
  <c r="AD5819" i="2"/>
  <c r="Y5819" i="2" s="1"/>
  <c r="X5819" i="2"/>
  <c r="W5819" i="2"/>
  <c r="AH5818" i="2"/>
  <c r="AE5818" i="2"/>
  <c r="AD5818" i="2"/>
  <c r="AF5818" i="2" s="1"/>
  <c r="X5818" i="2"/>
  <c r="AC5818" i="2" s="1"/>
  <c r="W5818" i="2"/>
  <c r="AH5817" i="2"/>
  <c r="AE5817" i="2"/>
  <c r="AD5817" i="2"/>
  <c r="X5817" i="2"/>
  <c r="W5817" i="2"/>
  <c r="AH5816" i="2"/>
  <c r="AE5816" i="2"/>
  <c r="AD5816" i="2"/>
  <c r="X5816" i="2"/>
  <c r="W5816" i="2"/>
  <c r="AH5815" i="2"/>
  <c r="AE5815" i="2"/>
  <c r="AD5815" i="2"/>
  <c r="X5815" i="2"/>
  <c r="AC5815" i="2" s="1"/>
  <c r="W5815" i="2"/>
  <c r="AH5814" i="2"/>
  <c r="AE5814" i="2"/>
  <c r="AF5814" i="2" s="1"/>
  <c r="AD5814" i="2"/>
  <c r="X5814" i="2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Y5811" i="2" s="1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W5809" i="2"/>
  <c r="AH5808" i="2"/>
  <c r="AE5808" i="2"/>
  <c r="AD5808" i="2"/>
  <c r="X5808" i="2"/>
  <c r="W5808" i="2"/>
  <c r="AH5807" i="2"/>
  <c r="AE5807" i="2"/>
  <c r="AD5807" i="2"/>
  <c r="X5807" i="2"/>
  <c r="AC5807" i="2" s="1"/>
  <c r="W5807" i="2"/>
  <c r="AH5806" i="2"/>
  <c r="AE5806" i="2"/>
  <c r="AF5806" i="2" s="1"/>
  <c r="AD5806" i="2"/>
  <c r="X5806" i="2"/>
  <c r="W5806" i="2"/>
  <c r="AH5805" i="2"/>
  <c r="AE5805" i="2"/>
  <c r="AD5805" i="2"/>
  <c r="X5805" i="2"/>
  <c r="AC5805" i="2" s="1"/>
  <c r="W5805" i="2"/>
  <c r="AH5804" i="2"/>
  <c r="AE5804" i="2"/>
  <c r="AD5804" i="2"/>
  <c r="X5804" i="2"/>
  <c r="W5804" i="2"/>
  <c r="AH5803" i="2"/>
  <c r="AE5803" i="2"/>
  <c r="AD5803" i="2"/>
  <c r="Y5803" i="2" s="1"/>
  <c r="X5803" i="2"/>
  <c r="AC5803" i="2" s="1"/>
  <c r="W5803" i="2"/>
  <c r="AH5802" i="2"/>
  <c r="AE5802" i="2"/>
  <c r="AD5802" i="2"/>
  <c r="AF5802" i="2" s="1"/>
  <c r="X5802" i="2"/>
  <c r="AC5802" i="2" s="1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D5799" i="2"/>
  <c r="AF5799" i="2" s="1"/>
  <c r="X5799" i="2"/>
  <c r="W5799" i="2"/>
  <c r="AH5798" i="2"/>
  <c r="AE5798" i="2"/>
  <c r="AD5798" i="2"/>
  <c r="Y5798" i="2" s="1"/>
  <c r="X5798" i="2"/>
  <c r="AC5798" i="2" s="1"/>
  <c r="W5798" i="2"/>
  <c r="AH5797" i="2"/>
  <c r="AE5797" i="2"/>
  <c r="AD5797" i="2"/>
  <c r="AF5797" i="2" s="1"/>
  <c r="X5797" i="2"/>
  <c r="AC5797" i="2" s="1"/>
  <c r="W5797" i="2"/>
  <c r="AH5796" i="2"/>
  <c r="AE5796" i="2"/>
  <c r="AD5796" i="2"/>
  <c r="X5796" i="2"/>
  <c r="W5796" i="2"/>
  <c r="AH5795" i="2"/>
  <c r="AE5795" i="2"/>
  <c r="AD5795" i="2"/>
  <c r="X5795" i="2"/>
  <c r="W5795" i="2"/>
  <c r="AH5794" i="2"/>
  <c r="AE5794" i="2"/>
  <c r="AD5794" i="2"/>
  <c r="X5794" i="2"/>
  <c r="AC5794" i="2" s="1"/>
  <c r="W5794" i="2"/>
  <c r="AH5793" i="2"/>
  <c r="AD5793" i="2"/>
  <c r="X5793" i="2"/>
  <c r="W5793" i="2"/>
  <c r="AH5792" i="2"/>
  <c r="AD5792" i="2"/>
  <c r="AF5792" i="2" s="1"/>
  <c r="X5792" i="2"/>
  <c r="AB5792" i="2" s="1"/>
  <c r="AK5792" i="2" s="1"/>
  <c r="W5792" i="2"/>
  <c r="AH5791" i="2"/>
  <c r="AD5791" i="2"/>
  <c r="X5791" i="2"/>
  <c r="W5791" i="2"/>
  <c r="AH5790" i="2"/>
  <c r="AE5790" i="2"/>
  <c r="AD5790" i="2"/>
  <c r="AF5790" i="2" s="1"/>
  <c r="X5790" i="2"/>
  <c r="AC5790" i="2" s="1"/>
  <c r="W5790" i="2"/>
  <c r="AH5789" i="2"/>
  <c r="AE5789" i="2"/>
  <c r="AD5789" i="2"/>
  <c r="X5789" i="2"/>
  <c r="W5789" i="2"/>
  <c r="AH5788" i="2"/>
  <c r="AE5788" i="2"/>
  <c r="AD5788" i="2"/>
  <c r="X5788" i="2"/>
  <c r="W5788" i="2"/>
  <c r="AH5787" i="2"/>
  <c r="AE5787" i="2"/>
  <c r="AD5787" i="2"/>
  <c r="X5787" i="2"/>
  <c r="AC5787" i="2" s="1"/>
  <c r="W5787" i="2"/>
  <c r="AH5786" i="2"/>
  <c r="AE5786" i="2"/>
  <c r="AF5786" i="2" s="1"/>
  <c r="AD5786" i="2"/>
  <c r="X5786" i="2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Y5783" i="2" s="1"/>
  <c r="X5783" i="2"/>
  <c r="AC5783" i="2" s="1"/>
  <c r="W5783" i="2"/>
  <c r="AH5782" i="2"/>
  <c r="AE5782" i="2"/>
  <c r="AD5782" i="2"/>
  <c r="AF5782" i="2" s="1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W5780" i="2"/>
  <c r="AH5779" i="2"/>
  <c r="AE5779" i="2"/>
  <c r="AD5779" i="2"/>
  <c r="X5779" i="2"/>
  <c r="AC5779" i="2" s="1"/>
  <c r="W5779" i="2"/>
  <c r="AH5778" i="2"/>
  <c r="AE5778" i="2"/>
  <c r="AF5778" i="2" s="1"/>
  <c r="AD5778" i="2"/>
  <c r="X5778" i="2"/>
  <c r="W5778" i="2"/>
  <c r="AH5777" i="2"/>
  <c r="AE5777" i="2"/>
  <c r="AD5777" i="2"/>
  <c r="X5777" i="2"/>
  <c r="AC5777" i="2" s="1"/>
  <c r="W5777" i="2"/>
  <c r="AH5776" i="2"/>
  <c r="AE5776" i="2"/>
  <c r="AD5776" i="2"/>
  <c r="X5776" i="2"/>
  <c r="AC5776" i="2" s="1"/>
  <c r="W5776" i="2"/>
  <c r="AH5775" i="2"/>
  <c r="AE5775" i="2"/>
  <c r="AD5775" i="2"/>
  <c r="Y5775" i="2" s="1"/>
  <c r="X5775" i="2"/>
  <c r="W5775" i="2"/>
  <c r="AH5774" i="2"/>
  <c r="AE5774" i="2"/>
  <c r="AD5774" i="2"/>
  <c r="AF5774" i="2" s="1"/>
  <c r="X5774" i="2"/>
  <c r="W5774" i="2"/>
  <c r="AH5773" i="2"/>
  <c r="AE5773" i="2"/>
  <c r="AD5773" i="2"/>
  <c r="X5773" i="2"/>
  <c r="AH5772" i="2"/>
  <c r="AE5772" i="2"/>
  <c r="AD5772" i="2"/>
  <c r="X5772" i="2"/>
  <c r="AK5772" i="2" s="1"/>
  <c r="AH5771" i="2"/>
  <c r="AE5771" i="2"/>
  <c r="AF5771" i="2" s="1"/>
  <c r="AD5771" i="2"/>
  <c r="X5771" i="2"/>
  <c r="AC5771" i="2" s="1"/>
  <c r="AH5770" i="2"/>
  <c r="AE5770" i="2"/>
  <c r="AD5770" i="2"/>
  <c r="X5770" i="2"/>
  <c r="AC5770" i="2" s="1"/>
  <c r="W5770" i="2"/>
  <c r="AH5769" i="2"/>
  <c r="AE5769" i="2"/>
  <c r="AD5769" i="2"/>
  <c r="X5769" i="2"/>
  <c r="W5769" i="2"/>
  <c r="AH5768" i="2"/>
  <c r="AE5768" i="2"/>
  <c r="AD5768" i="2"/>
  <c r="Y5768" i="2" s="1"/>
  <c r="X5768" i="2"/>
  <c r="W5768" i="2"/>
  <c r="AH5767" i="2"/>
  <c r="AE5767" i="2"/>
  <c r="AD5767" i="2"/>
  <c r="AF5767" i="2" s="1"/>
  <c r="X5767" i="2"/>
  <c r="W5767" i="2"/>
  <c r="AH5766" i="2"/>
  <c r="AE5766" i="2"/>
  <c r="AD5766" i="2"/>
  <c r="X5766" i="2"/>
  <c r="AC5766" i="2" s="1"/>
  <c r="W5766" i="2"/>
  <c r="AH5765" i="2"/>
  <c r="AE5765" i="2"/>
  <c r="AD5765" i="2"/>
  <c r="X5765" i="2"/>
  <c r="W5765" i="2"/>
  <c r="AH5764" i="2"/>
  <c r="AE5764" i="2"/>
  <c r="AD5764" i="2"/>
  <c r="X5764" i="2"/>
  <c r="Y5764" i="2" s="1"/>
  <c r="W5764" i="2"/>
  <c r="AH5763" i="2"/>
  <c r="AE5763" i="2"/>
  <c r="AF5763" i="2" s="1"/>
  <c r="AD5763" i="2"/>
  <c r="X5763" i="2"/>
  <c r="W5763" i="2"/>
  <c r="AH5762" i="2"/>
  <c r="AE5762" i="2"/>
  <c r="AD5762" i="2"/>
  <c r="X5762" i="2"/>
  <c r="AB5762" i="2" s="1"/>
  <c r="AK5762" i="2" s="1"/>
  <c r="W5762" i="2"/>
  <c r="AH5761" i="2"/>
  <c r="AE5761" i="2"/>
  <c r="AD5761" i="2"/>
  <c r="X5761" i="2"/>
  <c r="W5761" i="2"/>
  <c r="AH5760" i="2"/>
  <c r="AE5760" i="2"/>
  <c r="AD5760" i="2"/>
  <c r="Y5760" i="2" s="1"/>
  <c r="X5760" i="2"/>
  <c r="W5760" i="2"/>
  <c r="AH5759" i="2"/>
  <c r="AE5759" i="2"/>
  <c r="AD5759" i="2"/>
  <c r="AF5759" i="2" s="1"/>
  <c r="X5759" i="2"/>
  <c r="AC5759" i="2" s="1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B5756" i="2" s="1"/>
  <c r="AK5756" i="2" s="1"/>
  <c r="W5756" i="2"/>
  <c r="AH5755" i="2"/>
  <c r="AE5755" i="2"/>
  <c r="AF5755" i="2" s="1"/>
  <c r="AD5755" i="2"/>
  <c r="X5755" i="2"/>
  <c r="W5755" i="2"/>
  <c r="AH5754" i="2"/>
  <c r="AE5754" i="2"/>
  <c r="AD5754" i="2"/>
  <c r="X5754" i="2"/>
  <c r="AC5754" i="2" s="1"/>
  <c r="W5754" i="2"/>
  <c r="AH5753" i="2"/>
  <c r="AE5753" i="2"/>
  <c r="AD5753" i="2"/>
  <c r="X5753" i="2"/>
  <c r="W5753" i="2"/>
  <c r="AH5752" i="2"/>
  <c r="AE5752" i="2"/>
  <c r="AD5752" i="2"/>
  <c r="Y5752" i="2" s="1"/>
  <c r="X5752" i="2"/>
  <c r="W5752" i="2"/>
  <c r="AH5751" i="2"/>
  <c r="AE5751" i="2"/>
  <c r="AD5751" i="2"/>
  <c r="AF5751" i="2" s="1"/>
  <c r="X5751" i="2"/>
  <c r="AB5751" i="2" s="1"/>
  <c r="AK5751" i="2" s="1"/>
  <c r="W5751" i="2"/>
  <c r="AH5750" i="2"/>
  <c r="AE5750" i="2"/>
  <c r="AD5750" i="2"/>
  <c r="X5750" i="2"/>
  <c r="AC5750" i="2" s="1"/>
  <c r="W5750" i="2"/>
  <c r="AH5749" i="2"/>
  <c r="AE5749" i="2"/>
  <c r="AD5749" i="2"/>
  <c r="X5749" i="2"/>
  <c r="W5749" i="2"/>
  <c r="AH5748" i="2"/>
  <c r="AE5748" i="2"/>
  <c r="AD5748" i="2"/>
  <c r="X5748" i="2"/>
  <c r="Y5748" i="2" s="1"/>
  <c r="W5748" i="2"/>
  <c r="AH5747" i="2"/>
  <c r="AE5747" i="2"/>
  <c r="AD5747" i="2"/>
  <c r="X5747" i="2"/>
  <c r="W5747" i="2"/>
  <c r="AH5746" i="2"/>
  <c r="AE5746" i="2"/>
  <c r="AD5746" i="2"/>
  <c r="X5746" i="2"/>
  <c r="AC5746" i="2" s="1"/>
  <c r="W5746" i="2"/>
  <c r="AH5745" i="2"/>
  <c r="AE5745" i="2"/>
  <c r="AD5745" i="2"/>
  <c r="X5745" i="2"/>
  <c r="W5745" i="2"/>
  <c r="AH5744" i="2"/>
  <c r="AE5744" i="2"/>
  <c r="AD5744" i="2"/>
  <c r="Y5744" i="2" s="1"/>
  <c r="X5744" i="2"/>
  <c r="W5744" i="2"/>
  <c r="AH5743" i="2"/>
  <c r="AE5743" i="2"/>
  <c r="AD5743" i="2"/>
  <c r="AF5743" i="2" s="1"/>
  <c r="X5743" i="2"/>
  <c r="AB5743" i="2" s="1"/>
  <c r="AK5743" i="2" s="1"/>
  <c r="W5743" i="2"/>
  <c r="AH5742" i="2"/>
  <c r="AE5742" i="2"/>
  <c r="AD5742" i="2"/>
  <c r="X5742" i="2"/>
  <c r="AC5742" i="2" s="1"/>
  <c r="W5742" i="2"/>
  <c r="AH5741" i="2"/>
  <c r="AE5741" i="2"/>
  <c r="AD5741" i="2"/>
  <c r="X5741" i="2"/>
  <c r="W5741" i="2"/>
  <c r="AH5740" i="2"/>
  <c r="AE5740" i="2"/>
  <c r="AD5740" i="2"/>
  <c r="X5740" i="2"/>
  <c r="AC5740" i="2" s="1"/>
  <c r="W5740" i="2"/>
  <c r="AH5739" i="2"/>
  <c r="AE5739" i="2"/>
  <c r="AF5739" i="2" s="1"/>
  <c r="AD5739" i="2"/>
  <c r="X5739" i="2"/>
  <c r="W5739" i="2"/>
  <c r="AH5738" i="2"/>
  <c r="AE5738" i="2"/>
  <c r="AD5738" i="2"/>
  <c r="X5738" i="2"/>
  <c r="AB5738" i="2" s="1"/>
  <c r="AK5738" i="2" s="1"/>
  <c r="W5738" i="2"/>
  <c r="AH5737" i="2"/>
  <c r="AE5737" i="2"/>
  <c r="AD5737" i="2"/>
  <c r="X5737" i="2"/>
  <c r="W5737" i="2"/>
  <c r="AH5736" i="2"/>
  <c r="AE5736" i="2"/>
  <c r="AD5736" i="2"/>
  <c r="Y5736" i="2" s="1"/>
  <c r="X5736" i="2"/>
  <c r="W5736" i="2"/>
  <c r="AH5735" i="2"/>
  <c r="AE5735" i="2"/>
  <c r="AD5735" i="2"/>
  <c r="AF5735" i="2" s="1"/>
  <c r="X5735" i="2"/>
  <c r="AB5735" i="2" s="1"/>
  <c r="AK5735" i="2" s="1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B5732" i="2" s="1"/>
  <c r="AK5732" i="2" s="1"/>
  <c r="W5732" i="2"/>
  <c r="AH5731" i="2"/>
  <c r="AE5731" i="2"/>
  <c r="AF5731" i="2" s="1"/>
  <c r="AD5731" i="2"/>
  <c r="X5731" i="2"/>
  <c r="W5731" i="2"/>
  <c r="AH5730" i="2"/>
  <c r="AE5730" i="2"/>
  <c r="AD5730" i="2"/>
  <c r="X5730" i="2"/>
  <c r="W5730" i="2"/>
  <c r="AH5729" i="2"/>
  <c r="AE5729" i="2"/>
  <c r="AD5729" i="2"/>
  <c r="X5729" i="2"/>
  <c r="W5729" i="2"/>
  <c r="AH5728" i="2"/>
  <c r="AE5728" i="2"/>
  <c r="AD5728" i="2"/>
  <c r="Y5728" i="2" s="1"/>
  <c r="X5728" i="2"/>
  <c r="W5728" i="2"/>
  <c r="AH5727" i="2"/>
  <c r="AE5727" i="2"/>
  <c r="AD5727" i="2"/>
  <c r="AF5727" i="2" s="1"/>
  <c r="X5727" i="2"/>
  <c r="W5727" i="2"/>
  <c r="AH5726" i="2"/>
  <c r="AE5726" i="2"/>
  <c r="AD5726" i="2"/>
  <c r="X5726" i="2"/>
  <c r="AK5726" i="2" s="1"/>
  <c r="W5726" i="2"/>
  <c r="AH5725" i="2"/>
  <c r="AE5725" i="2"/>
  <c r="AD5725" i="2"/>
  <c r="X5725" i="2"/>
  <c r="W5725" i="2"/>
  <c r="AH5724" i="2"/>
  <c r="AE5724" i="2"/>
  <c r="AD5724" i="2"/>
  <c r="X5724" i="2"/>
  <c r="W5724" i="2"/>
  <c r="AH5723" i="2"/>
  <c r="AE5723" i="2"/>
  <c r="AF5723" i="2" s="1"/>
  <c r="AD5723" i="2"/>
  <c r="X5723" i="2"/>
  <c r="W5723" i="2"/>
  <c r="AH5722" i="2"/>
  <c r="AE5722" i="2"/>
  <c r="AD5722" i="2"/>
  <c r="X5722" i="2"/>
  <c r="W5722" i="2"/>
  <c r="AH5721" i="2"/>
  <c r="AE5721" i="2"/>
  <c r="AD5721" i="2"/>
  <c r="X5721" i="2"/>
  <c r="W5721" i="2"/>
  <c r="AH5720" i="2"/>
  <c r="AE5720" i="2"/>
  <c r="AD5720" i="2"/>
  <c r="Y5720" i="2" s="1"/>
  <c r="X5720" i="2"/>
  <c r="AB5720" i="2" s="1"/>
  <c r="AK5720" i="2" s="1"/>
  <c r="W5720" i="2"/>
  <c r="AH5719" i="2"/>
  <c r="AE5719" i="2"/>
  <c r="AD5719" i="2"/>
  <c r="X5719" i="2"/>
  <c r="AB5719" i="2" s="1"/>
  <c r="AK5719" i="2" s="1"/>
  <c r="W5719" i="2"/>
  <c r="AH5718" i="2"/>
  <c r="AE5718" i="2"/>
  <c r="AF5718" i="2" s="1"/>
  <c r="AD5718" i="2"/>
  <c r="X5718" i="2"/>
  <c r="AC5718" i="2" s="1"/>
  <c r="W5718" i="2"/>
  <c r="AH5717" i="2"/>
  <c r="AE5717" i="2"/>
  <c r="AD5717" i="2"/>
  <c r="X5717" i="2"/>
  <c r="W5717" i="2"/>
  <c r="AH5716" i="2"/>
  <c r="AE5716" i="2"/>
  <c r="AD5716" i="2"/>
  <c r="X5716" i="2"/>
  <c r="AK5716" i="2" s="1"/>
  <c r="W5716" i="2"/>
  <c r="AH5715" i="2"/>
  <c r="AE5715" i="2"/>
  <c r="AF5715" i="2" s="1"/>
  <c r="AD5715" i="2"/>
  <c r="X5715" i="2"/>
  <c r="AK5715" i="2" s="1"/>
  <c r="W5715" i="2"/>
  <c r="AH5714" i="2"/>
  <c r="AE5714" i="2"/>
  <c r="AD5714" i="2"/>
  <c r="X5714" i="2"/>
  <c r="W5714" i="2"/>
  <c r="AH5713" i="2"/>
  <c r="AE5713" i="2"/>
  <c r="AD5713" i="2"/>
  <c r="X5713" i="2"/>
  <c r="AK5713" i="2" s="1"/>
  <c r="W5713" i="2"/>
  <c r="AH5712" i="2"/>
  <c r="AE5712" i="2"/>
  <c r="AD5712" i="2"/>
  <c r="Y5712" i="2" s="1"/>
  <c r="X5712" i="2"/>
  <c r="W5712" i="2"/>
  <c r="AH5711" i="2"/>
  <c r="AE5711" i="2"/>
  <c r="AD5711" i="2"/>
  <c r="X5711" i="2"/>
  <c r="AB5711" i="2" s="1"/>
  <c r="AK5711" i="2" s="1"/>
  <c r="W5711" i="2"/>
  <c r="AH5710" i="2"/>
  <c r="AE5710" i="2"/>
  <c r="AD5710" i="2"/>
  <c r="X5710" i="2"/>
  <c r="AC5710" i="2" s="1"/>
  <c r="W5710" i="2"/>
  <c r="AH5709" i="2"/>
  <c r="AE5709" i="2"/>
  <c r="AD5709" i="2"/>
  <c r="X5709" i="2"/>
  <c r="W5709" i="2"/>
  <c r="AH5708" i="2"/>
  <c r="AE5708" i="2"/>
  <c r="AD5708" i="2"/>
  <c r="X5708" i="2"/>
  <c r="AC5708" i="2" s="1"/>
  <c r="W5708" i="2"/>
  <c r="AH5707" i="2"/>
  <c r="AE5707" i="2"/>
  <c r="AF5707" i="2" s="1"/>
  <c r="AD5707" i="2"/>
  <c r="X5707" i="2"/>
  <c r="W5707" i="2"/>
  <c r="AH5706" i="2"/>
  <c r="AE5706" i="2"/>
  <c r="AD5706" i="2"/>
  <c r="X5706" i="2"/>
  <c r="AC5706" i="2" s="1"/>
  <c r="W5706" i="2"/>
  <c r="AH5705" i="2"/>
  <c r="AE5705" i="2"/>
  <c r="AD5705" i="2"/>
  <c r="X5705" i="2"/>
  <c r="W5705" i="2"/>
  <c r="AH5704" i="2"/>
  <c r="AE5704" i="2"/>
  <c r="AD5704" i="2"/>
  <c r="Y5704" i="2" s="1"/>
  <c r="X5704" i="2"/>
  <c r="W5704" i="2"/>
  <c r="AH5703" i="2"/>
  <c r="AE5703" i="2"/>
  <c r="AD5703" i="2"/>
  <c r="AF5703" i="2" s="1"/>
  <c r="X5703" i="2"/>
  <c r="AC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AF5700" i="2" s="1"/>
  <c r="X5700" i="2"/>
  <c r="AB5700" i="2" s="1"/>
  <c r="AK5700" i="2" s="1"/>
  <c r="W5700" i="2"/>
  <c r="AH5699" i="2"/>
  <c r="AE5699" i="2"/>
  <c r="AF5699" i="2" s="1"/>
  <c r="AD5699" i="2"/>
  <c r="X5699" i="2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Y5696" i="2" s="1"/>
  <c r="X5696" i="2"/>
  <c r="W5696" i="2"/>
  <c r="AH5695" i="2"/>
  <c r="AE5695" i="2"/>
  <c r="AD5695" i="2"/>
  <c r="X5695" i="2"/>
  <c r="AC5695" i="2" s="1"/>
  <c r="W5695" i="2"/>
  <c r="AH5694" i="2"/>
  <c r="AE5694" i="2"/>
  <c r="AF5694" i="2" s="1"/>
  <c r="AD5694" i="2"/>
  <c r="X5694" i="2"/>
  <c r="AC5694" i="2" s="1"/>
  <c r="W5694" i="2"/>
  <c r="AH5693" i="2"/>
  <c r="AE5693" i="2"/>
  <c r="AD5693" i="2"/>
  <c r="X5693" i="2"/>
  <c r="W5693" i="2"/>
  <c r="AH5692" i="2"/>
  <c r="AE5692" i="2"/>
  <c r="AD5692" i="2"/>
  <c r="X5692" i="2"/>
  <c r="AB5692" i="2" s="1"/>
  <c r="AK5692" i="2" s="1"/>
  <c r="W5692" i="2"/>
  <c r="AH5691" i="2"/>
  <c r="AE5691" i="2"/>
  <c r="AF5691" i="2" s="1"/>
  <c r="AD5691" i="2"/>
  <c r="X5691" i="2"/>
  <c r="W5691" i="2"/>
  <c r="AH5690" i="2"/>
  <c r="AE5690" i="2"/>
  <c r="AD5690" i="2"/>
  <c r="X5690" i="2"/>
  <c r="AB5690" i="2" s="1"/>
  <c r="AK5690" i="2" s="1"/>
  <c r="W5690" i="2"/>
  <c r="AH5689" i="2"/>
  <c r="AE5689" i="2"/>
  <c r="AD5689" i="2"/>
  <c r="X5689" i="2"/>
  <c r="W5689" i="2"/>
  <c r="AH5688" i="2"/>
  <c r="AE5688" i="2"/>
  <c r="AD5688" i="2"/>
  <c r="Y5688" i="2" s="1"/>
  <c r="X5688" i="2"/>
  <c r="AC5688" i="2" s="1"/>
  <c r="W5688" i="2"/>
  <c r="AH5687" i="2"/>
  <c r="AE5687" i="2"/>
  <c r="AD5687" i="2"/>
  <c r="X5687" i="2"/>
  <c r="AC5687" i="2" s="1"/>
  <c r="W5687" i="2"/>
  <c r="AH5686" i="2"/>
  <c r="AE5686" i="2"/>
  <c r="AF5686" i="2" s="1"/>
  <c r="AD5686" i="2"/>
  <c r="X5686" i="2"/>
  <c r="AC5686" i="2" s="1"/>
  <c r="W5686" i="2"/>
  <c r="AH5685" i="2"/>
  <c r="AE5685" i="2"/>
  <c r="AD5685" i="2"/>
  <c r="X5685" i="2"/>
  <c r="W5685" i="2"/>
  <c r="AH5684" i="2"/>
  <c r="AE5684" i="2"/>
  <c r="AD5684" i="2"/>
  <c r="X5684" i="2"/>
  <c r="AB5684" i="2" s="1"/>
  <c r="AK5684" i="2" s="1"/>
  <c r="W5684" i="2"/>
  <c r="AH5683" i="2"/>
  <c r="AE5683" i="2"/>
  <c r="AF5683" i="2" s="1"/>
  <c r="AD5683" i="2"/>
  <c r="X5683" i="2"/>
  <c r="W5683" i="2"/>
  <c r="AH5682" i="2"/>
  <c r="AE5682" i="2"/>
  <c r="AD5682" i="2"/>
  <c r="X5682" i="2"/>
  <c r="AC5682" i="2" s="1"/>
  <c r="W5682" i="2"/>
  <c r="AH5681" i="2"/>
  <c r="AE5681" i="2"/>
  <c r="AD5681" i="2"/>
  <c r="X5681" i="2"/>
  <c r="AB5681" i="2" s="1"/>
  <c r="AK5681" i="2" s="1"/>
  <c r="W5681" i="2"/>
  <c r="AH5680" i="2"/>
  <c r="AE5680" i="2"/>
  <c r="AD5680" i="2"/>
  <c r="Y5680" i="2" s="1"/>
  <c r="X5680" i="2"/>
  <c r="W5680" i="2"/>
  <c r="AH5679" i="2"/>
  <c r="AE5679" i="2"/>
  <c r="AD5679" i="2"/>
  <c r="X5679" i="2"/>
  <c r="AB5679" i="2" s="1"/>
  <c r="AK5679" i="2" s="1"/>
  <c r="W5679" i="2"/>
  <c r="AH5678" i="2"/>
  <c r="AE5678" i="2"/>
  <c r="AD5678" i="2"/>
  <c r="X5678" i="2"/>
  <c r="AC5678" i="2" s="1"/>
  <c r="W5678" i="2"/>
  <c r="AH5677" i="2"/>
  <c r="AE5677" i="2"/>
  <c r="AD5677" i="2"/>
  <c r="X5677" i="2"/>
  <c r="W5677" i="2"/>
  <c r="AH5676" i="2"/>
  <c r="AE5676" i="2"/>
  <c r="AD5676" i="2"/>
  <c r="X5676" i="2"/>
  <c r="Y5676" i="2" s="1"/>
  <c r="W5676" i="2"/>
  <c r="AH5675" i="2"/>
  <c r="AE5675" i="2"/>
  <c r="AF5675" i="2" s="1"/>
  <c r="AD5675" i="2"/>
  <c r="X5675" i="2"/>
  <c r="W5675" i="2"/>
  <c r="AH5674" i="2"/>
  <c r="AE5674" i="2"/>
  <c r="AD5674" i="2"/>
  <c r="X5674" i="2"/>
  <c r="W5674" i="2"/>
  <c r="AH5673" i="2"/>
  <c r="AE5673" i="2"/>
  <c r="AD5673" i="2"/>
  <c r="X5673" i="2"/>
  <c r="W5673" i="2"/>
  <c r="AH5672" i="2"/>
  <c r="AE5672" i="2"/>
  <c r="AD5672" i="2"/>
  <c r="Y5672" i="2" s="1"/>
  <c r="X5672" i="2"/>
  <c r="AC5672" i="2" s="1"/>
  <c r="W5672" i="2"/>
  <c r="AH5671" i="2"/>
  <c r="AE5671" i="2"/>
  <c r="AD5671" i="2"/>
  <c r="AF5671" i="2" s="1"/>
  <c r="X5671" i="2"/>
  <c r="AB5671" i="2" s="1"/>
  <c r="AK5671" i="2" s="1"/>
  <c r="W5671" i="2"/>
  <c r="AH5670" i="2"/>
  <c r="AE5670" i="2"/>
  <c r="AF5670" i="2" s="1"/>
  <c r="AD5670" i="2"/>
  <c r="X5670" i="2"/>
  <c r="AC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F5667" i="2" s="1"/>
  <c r="AD5667" i="2"/>
  <c r="X5667" i="2"/>
  <c r="W5667" i="2"/>
  <c r="AH5666" i="2"/>
  <c r="AE5666" i="2"/>
  <c r="AD5666" i="2"/>
  <c r="X5666" i="2"/>
  <c r="AC5666" i="2" s="1"/>
  <c r="W5666" i="2"/>
  <c r="AH5665" i="2"/>
  <c r="AE5665" i="2"/>
  <c r="AD5665" i="2"/>
  <c r="X5665" i="2"/>
  <c r="AC5665" i="2" s="1"/>
  <c r="W5665" i="2"/>
  <c r="AH5664" i="2"/>
  <c r="AE5664" i="2"/>
  <c r="AD5664" i="2"/>
  <c r="Y5664" i="2" s="1"/>
  <c r="X5664" i="2"/>
  <c r="AK5664" i="2" s="1"/>
  <c r="W5664" i="2"/>
  <c r="AH5663" i="2"/>
  <c r="AE5663" i="2"/>
  <c r="AD5663" i="2"/>
  <c r="AF5663" i="2" s="1"/>
  <c r="X5663" i="2"/>
  <c r="W5663" i="2"/>
  <c r="AH5662" i="2"/>
  <c r="AE5662" i="2"/>
  <c r="AF5662" i="2" s="1"/>
  <c r="AD5662" i="2"/>
  <c r="X5662" i="2"/>
  <c r="AC5662" i="2" s="1"/>
  <c r="W5662" i="2"/>
  <c r="AH5661" i="2"/>
  <c r="AE5661" i="2"/>
  <c r="AD5661" i="2"/>
  <c r="X5661" i="2"/>
  <c r="W5661" i="2"/>
  <c r="AH5660" i="2"/>
  <c r="AE5660" i="2"/>
  <c r="AD5660" i="2"/>
  <c r="X5660" i="2"/>
  <c r="AK5660" i="2" s="1"/>
  <c r="W5660" i="2"/>
  <c r="AH5659" i="2"/>
  <c r="AE5659" i="2"/>
  <c r="AD5659" i="2"/>
  <c r="Y5659" i="2" s="1"/>
  <c r="X5659" i="2"/>
  <c r="AK5659" i="2" s="1"/>
  <c r="W5659" i="2"/>
  <c r="AH5658" i="2"/>
  <c r="AE5658" i="2"/>
  <c r="AD5658" i="2"/>
  <c r="X5658" i="2"/>
  <c r="W5658" i="2"/>
  <c r="AH5657" i="2"/>
  <c r="AE5657" i="2"/>
  <c r="AD5657" i="2"/>
  <c r="X5657" i="2"/>
  <c r="AK5657" i="2" s="1"/>
  <c r="W5657" i="2"/>
  <c r="AH5656" i="2"/>
  <c r="AE5656" i="2"/>
  <c r="AD5656" i="2"/>
  <c r="Y5656" i="2" s="1"/>
  <c r="X5656" i="2"/>
  <c r="AK5656" i="2" s="1"/>
  <c r="W5656" i="2"/>
  <c r="AH5655" i="2"/>
  <c r="AE5655" i="2"/>
  <c r="AD5655" i="2"/>
  <c r="AF5655" i="2" s="1"/>
  <c r="X5655" i="2"/>
  <c r="AK5655" i="2" s="1"/>
  <c r="W5655" i="2"/>
  <c r="AH5654" i="2"/>
  <c r="AE5654" i="2"/>
  <c r="AF5654" i="2" s="1"/>
  <c r="AD5654" i="2"/>
  <c r="X5654" i="2"/>
  <c r="AC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F5651" i="2" s="1"/>
  <c r="AD5651" i="2"/>
  <c r="Y5651" i="2" s="1"/>
  <c r="X5651" i="2"/>
  <c r="W5651" i="2"/>
  <c r="AH5650" i="2"/>
  <c r="AE5650" i="2"/>
  <c r="AD5650" i="2"/>
  <c r="X5650" i="2"/>
  <c r="AC5650" i="2" s="1"/>
  <c r="W5650" i="2"/>
  <c r="AH5649" i="2"/>
  <c r="AE5649" i="2"/>
  <c r="AD5649" i="2"/>
  <c r="X5649" i="2"/>
  <c r="AK5649" i="2" s="1"/>
  <c r="W5649" i="2"/>
  <c r="AH5648" i="2"/>
  <c r="AE5648" i="2"/>
  <c r="AD5648" i="2"/>
  <c r="Y5648" i="2" s="1"/>
  <c r="X5648" i="2"/>
  <c r="AC5648" i="2" s="1"/>
  <c r="W5648" i="2"/>
  <c r="AH5647" i="2"/>
  <c r="AE5647" i="2"/>
  <c r="AD5647" i="2"/>
  <c r="X5647" i="2"/>
  <c r="AK5647" i="2" s="1"/>
  <c r="W5647" i="2"/>
  <c r="AH5646" i="2"/>
  <c r="AE5646" i="2"/>
  <c r="AD5646" i="2"/>
  <c r="X5646" i="2"/>
  <c r="AC5646" i="2" s="1"/>
  <c r="W5646" i="2"/>
  <c r="AH5645" i="2"/>
  <c r="AE5645" i="2"/>
  <c r="AD5645" i="2"/>
  <c r="X5645" i="2"/>
  <c r="W5645" i="2"/>
  <c r="AH5644" i="2"/>
  <c r="AE5644" i="2"/>
  <c r="AD5644" i="2"/>
  <c r="X5644" i="2"/>
  <c r="AC5644" i="2" s="1"/>
  <c r="W5644" i="2"/>
  <c r="AH5643" i="2"/>
  <c r="AE5643" i="2"/>
  <c r="AD5643" i="2"/>
  <c r="Y5643" i="2" s="1"/>
  <c r="X5643" i="2"/>
  <c r="W5643" i="2"/>
  <c r="AH5642" i="2"/>
  <c r="AE5642" i="2"/>
  <c r="AD5642" i="2"/>
  <c r="X5642" i="2"/>
  <c r="AB5642" i="2" s="1"/>
  <c r="AK5642" i="2" s="1"/>
  <c r="W5642" i="2"/>
  <c r="AH5641" i="2"/>
  <c r="AE5641" i="2"/>
  <c r="AD5641" i="2"/>
  <c r="X5641" i="2"/>
  <c r="AB5641" i="2" s="1"/>
  <c r="AK5641" i="2" s="1"/>
  <c r="W5641" i="2"/>
  <c r="AH5640" i="2"/>
  <c r="AE5640" i="2"/>
  <c r="AD5640" i="2"/>
  <c r="Y5640" i="2" s="1"/>
  <c r="X5640" i="2"/>
  <c r="AC5640" i="2" s="1"/>
  <c r="W5640" i="2"/>
  <c r="AH5639" i="2"/>
  <c r="AE5639" i="2"/>
  <c r="AD5639" i="2"/>
  <c r="AF5639" i="2" s="1"/>
  <c r="X5639" i="2"/>
  <c r="AB5639" i="2" s="1"/>
  <c r="AK5639" i="2" s="1"/>
  <c r="W5639" i="2"/>
  <c r="AH5638" i="2"/>
  <c r="AE5638" i="2"/>
  <c r="AF5638" i="2" s="1"/>
  <c r="AD5638" i="2"/>
  <c r="X5638" i="2"/>
  <c r="AC5638" i="2" s="1"/>
  <c r="W5638" i="2"/>
  <c r="AH5637" i="2"/>
  <c r="AE5637" i="2"/>
  <c r="AD5637" i="2"/>
  <c r="X5637" i="2"/>
  <c r="W5637" i="2"/>
  <c r="AH5636" i="2"/>
  <c r="AE5636" i="2"/>
  <c r="AD5636" i="2"/>
  <c r="X5636" i="2"/>
  <c r="Y5636" i="2" s="1"/>
  <c r="W5636" i="2"/>
  <c r="AH5635" i="2"/>
  <c r="AE5635" i="2"/>
  <c r="AD5635" i="2"/>
  <c r="Y5635" i="2" s="1"/>
  <c r="X5635" i="2"/>
  <c r="W5635" i="2"/>
  <c r="AH5634" i="2"/>
  <c r="AE5634" i="2"/>
  <c r="AD5634" i="2"/>
  <c r="X5634" i="2"/>
  <c r="AC5634" i="2" s="1"/>
  <c r="W5634" i="2"/>
  <c r="AH5633" i="2"/>
  <c r="AE5633" i="2"/>
  <c r="AD5633" i="2"/>
  <c r="X5633" i="2"/>
  <c r="W5633" i="2"/>
  <c r="AH5632" i="2"/>
  <c r="AE5632" i="2"/>
  <c r="AD5632" i="2"/>
  <c r="Y5632" i="2" s="1"/>
  <c r="X5632" i="2"/>
  <c r="AB5632" i="2" s="1"/>
  <c r="AK5632" i="2" s="1"/>
  <c r="W5632" i="2"/>
  <c r="AH5631" i="2"/>
  <c r="AE5631" i="2"/>
  <c r="AD5631" i="2"/>
  <c r="AF5631" i="2" s="1"/>
  <c r="X5631" i="2"/>
  <c r="W5631" i="2"/>
  <c r="AH5630" i="2"/>
  <c r="AE5630" i="2"/>
  <c r="AF5630" i="2" s="1"/>
  <c r="AD5630" i="2"/>
  <c r="X5630" i="2"/>
  <c r="AC5630" i="2" s="1"/>
  <c r="W5630" i="2"/>
  <c r="AH5629" i="2"/>
  <c r="AE5629" i="2"/>
  <c r="AD5629" i="2"/>
  <c r="X5629" i="2"/>
  <c r="W5629" i="2"/>
  <c r="AH5628" i="2"/>
  <c r="AE5628" i="2"/>
  <c r="AD5628" i="2"/>
  <c r="X5628" i="2"/>
  <c r="AB5628" i="2" s="1"/>
  <c r="AK5628" i="2" s="1"/>
  <c r="W5628" i="2"/>
  <c r="AH5627" i="2"/>
  <c r="AE5627" i="2"/>
  <c r="AD5627" i="2"/>
  <c r="X5627" i="2"/>
  <c r="W5627" i="2"/>
  <c r="AH5626" i="2"/>
  <c r="AE5626" i="2"/>
  <c r="AD5626" i="2"/>
  <c r="X5626" i="2"/>
  <c r="AC5626" i="2" s="1"/>
  <c r="W5626" i="2"/>
  <c r="AH5625" i="2"/>
  <c r="AE5625" i="2"/>
  <c r="AD5625" i="2"/>
  <c r="X5625" i="2"/>
  <c r="W5625" i="2"/>
  <c r="AH5624" i="2"/>
  <c r="AE5624" i="2"/>
  <c r="AD5624" i="2"/>
  <c r="Y5624" i="2" s="1"/>
  <c r="X5624" i="2"/>
  <c r="AC5624" i="2" s="1"/>
  <c r="W5624" i="2"/>
  <c r="AH5623" i="2"/>
  <c r="AE5623" i="2"/>
  <c r="AD5623" i="2"/>
  <c r="AF5623" i="2" s="1"/>
  <c r="X5623" i="2"/>
  <c r="AC5623" i="2" s="1"/>
  <c r="W5623" i="2"/>
  <c r="AH5622" i="2"/>
  <c r="AE5622" i="2"/>
  <c r="AF5622" i="2" s="1"/>
  <c r="AD5622" i="2"/>
  <c r="X5622" i="2"/>
  <c r="AC5622" i="2" s="1"/>
  <c r="W5622" i="2"/>
  <c r="AH5621" i="2"/>
  <c r="AE5621" i="2"/>
  <c r="AD5621" i="2"/>
  <c r="X5621" i="2"/>
  <c r="W5621" i="2"/>
  <c r="AH5620" i="2"/>
  <c r="AE5620" i="2"/>
  <c r="AD5620" i="2"/>
  <c r="X5620" i="2"/>
  <c r="W5620" i="2"/>
  <c r="AH5619" i="2"/>
  <c r="AE5619" i="2"/>
  <c r="AD5619" i="2"/>
  <c r="X5619" i="2"/>
  <c r="W5619" i="2"/>
  <c r="AH5618" i="2"/>
  <c r="AE5618" i="2"/>
  <c r="AD5618" i="2"/>
  <c r="X5618" i="2"/>
  <c r="W5618" i="2"/>
  <c r="AH5617" i="2"/>
  <c r="AE5617" i="2"/>
  <c r="AD5617" i="2"/>
  <c r="X5617" i="2"/>
  <c r="W5617" i="2"/>
  <c r="AH5616" i="2"/>
  <c r="AE5616" i="2"/>
  <c r="AD5616" i="2"/>
  <c r="Y5616" i="2" s="1"/>
  <c r="X5616" i="2"/>
  <c r="AC5616" i="2" s="1"/>
  <c r="W5616" i="2"/>
  <c r="AH5615" i="2"/>
  <c r="AE5615" i="2"/>
  <c r="AD5615" i="2"/>
  <c r="AF5615" i="2" s="1"/>
  <c r="X5615" i="2"/>
  <c r="AB5615" i="2" s="1"/>
  <c r="AK5615" i="2" s="1"/>
  <c r="W5615" i="2"/>
  <c r="AH5614" i="2"/>
  <c r="AE5614" i="2"/>
  <c r="AF5614" i="2" s="1"/>
  <c r="AD5614" i="2"/>
  <c r="X5614" i="2"/>
  <c r="AC5614" i="2" s="1"/>
  <c r="W5614" i="2"/>
  <c r="AH5613" i="2"/>
  <c r="AE5613" i="2"/>
  <c r="AD5613" i="2"/>
  <c r="X5613" i="2"/>
  <c r="W5613" i="2"/>
  <c r="AH5612" i="2"/>
  <c r="AE5612" i="2"/>
  <c r="AD5612" i="2"/>
  <c r="X5612" i="2"/>
  <c r="W5612" i="2"/>
  <c r="AH5611" i="2"/>
  <c r="AE5611" i="2"/>
  <c r="AD5611" i="2"/>
  <c r="X5611" i="2"/>
  <c r="AC5611" i="2" s="1"/>
  <c r="W5611" i="2"/>
  <c r="AH5610" i="2"/>
  <c r="AE5610" i="2"/>
  <c r="AD5610" i="2"/>
  <c r="X5610" i="2"/>
  <c r="AC5610" i="2" s="1"/>
  <c r="W5610" i="2"/>
  <c r="AH5609" i="2"/>
  <c r="AE5609" i="2"/>
  <c r="AD5609" i="2"/>
  <c r="X5609" i="2"/>
  <c r="AC5609" i="2" s="1"/>
  <c r="W5609" i="2"/>
  <c r="AH5608" i="2"/>
  <c r="AE5608" i="2"/>
  <c r="AD5608" i="2"/>
  <c r="X5608" i="2"/>
  <c r="AC5608" i="2" s="1"/>
  <c r="W5608" i="2"/>
  <c r="AH5607" i="2"/>
  <c r="AE5607" i="2"/>
  <c r="AD5607" i="2"/>
  <c r="AF5607" i="2" s="1"/>
  <c r="X5607" i="2"/>
  <c r="AC5607" i="2" s="1"/>
  <c r="W5607" i="2"/>
  <c r="AH5606" i="2"/>
  <c r="AE5606" i="2"/>
  <c r="AF5606" i="2" s="1"/>
  <c r="AD5606" i="2"/>
  <c r="X5606" i="2"/>
  <c r="AC5606" i="2" s="1"/>
  <c r="W5606" i="2"/>
  <c r="AH5605" i="2"/>
  <c r="AE5605" i="2"/>
  <c r="AD5605" i="2"/>
  <c r="X5605" i="2"/>
  <c r="W5605" i="2"/>
  <c r="AH5604" i="2"/>
  <c r="AE5604" i="2"/>
  <c r="AD5604" i="2"/>
  <c r="X5604" i="2"/>
  <c r="Y5604" i="2" s="1"/>
  <c r="W5604" i="2"/>
  <c r="AH5603" i="2"/>
  <c r="AE5603" i="2"/>
  <c r="AD5603" i="2"/>
  <c r="Y5603" i="2" s="1"/>
  <c r="X5603" i="2"/>
  <c r="W5603" i="2"/>
  <c r="AH5602" i="2"/>
  <c r="AE5602" i="2"/>
  <c r="AD5602" i="2"/>
  <c r="X5602" i="2"/>
  <c r="AC5602" i="2" s="1"/>
  <c r="W5602" i="2"/>
  <c r="AH5601" i="2"/>
  <c r="AE5601" i="2"/>
  <c r="AD5601" i="2"/>
  <c r="X5601" i="2"/>
  <c r="AC5601" i="2" s="1"/>
  <c r="W5601" i="2"/>
  <c r="AH5600" i="2"/>
  <c r="AE5600" i="2"/>
  <c r="AD5600" i="2"/>
  <c r="Y5600" i="2" s="1"/>
  <c r="X5600" i="2"/>
  <c r="AK5600" i="2" s="1"/>
  <c r="W5600" i="2"/>
  <c r="AH5599" i="2"/>
  <c r="AE5599" i="2"/>
  <c r="AD5599" i="2"/>
  <c r="AF5599" i="2" s="1"/>
  <c r="X5599" i="2"/>
  <c r="AC5599" i="2" s="1"/>
  <c r="W5599" i="2"/>
  <c r="AH5598" i="2"/>
  <c r="AE5598" i="2"/>
  <c r="AF5598" i="2" s="1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C5596" i="2" s="1"/>
  <c r="W5596" i="2"/>
  <c r="AH5595" i="2"/>
  <c r="AE5595" i="2"/>
  <c r="AF5595" i="2" s="1"/>
  <c r="AD5595" i="2"/>
  <c r="X5595" i="2"/>
  <c r="AK5595" i="2" s="1"/>
  <c r="W5595" i="2"/>
  <c r="AH5594" i="2"/>
  <c r="AE5594" i="2"/>
  <c r="AD5594" i="2"/>
  <c r="X5594" i="2"/>
  <c r="AK5594" i="2" s="1"/>
  <c r="W5594" i="2"/>
  <c r="AH5593" i="2"/>
  <c r="AE5593" i="2"/>
  <c r="AD5593" i="2"/>
  <c r="X5593" i="2"/>
  <c r="AC5593" i="2" s="1"/>
  <c r="W5593" i="2"/>
  <c r="AH5592" i="2"/>
  <c r="AE5592" i="2"/>
  <c r="AD5592" i="2"/>
  <c r="Y5592" i="2" s="1"/>
  <c r="X5592" i="2"/>
  <c r="AC5592" i="2" s="1"/>
  <c r="W5592" i="2"/>
  <c r="AH5591" i="2"/>
  <c r="AE5591" i="2"/>
  <c r="AD5591" i="2"/>
  <c r="AF5591" i="2" s="1"/>
  <c r="X5591" i="2"/>
  <c r="W5591" i="2"/>
  <c r="AH5590" i="2"/>
  <c r="AE5590" i="2"/>
  <c r="AF5590" i="2" s="1"/>
  <c r="AD5590" i="2"/>
  <c r="X5590" i="2"/>
  <c r="AC5590" i="2" s="1"/>
  <c r="W5590" i="2"/>
  <c r="AH5589" i="2"/>
  <c r="AE5589" i="2"/>
  <c r="AD5589" i="2"/>
  <c r="X5589" i="2"/>
  <c r="W5589" i="2"/>
  <c r="AH5588" i="2"/>
  <c r="AE5588" i="2"/>
  <c r="AD5588" i="2"/>
  <c r="X5588" i="2"/>
  <c r="W5588" i="2"/>
  <c r="AH5587" i="2"/>
  <c r="AE5587" i="2"/>
  <c r="AD5587" i="2"/>
  <c r="Y5587" i="2" s="1"/>
  <c r="X5587" i="2"/>
  <c r="AK5587" i="2" s="1"/>
  <c r="AH5586" i="2"/>
  <c r="AE5586" i="2"/>
  <c r="AD5586" i="2"/>
  <c r="X5586" i="2"/>
  <c r="W5586" i="2"/>
  <c r="AH5585" i="2"/>
  <c r="AE5585" i="2"/>
  <c r="AF5585" i="2" s="1"/>
  <c r="AD5585" i="2"/>
  <c r="X5585" i="2"/>
  <c r="W5585" i="2"/>
  <c r="AH5584" i="2"/>
  <c r="AE5584" i="2"/>
  <c r="AD5584" i="2"/>
  <c r="Y5584" i="2" s="1"/>
  <c r="AC5584" i="2"/>
  <c r="W5584" i="2"/>
  <c r="AH5583" i="2"/>
  <c r="AE5583" i="2"/>
  <c r="AD5583" i="2"/>
  <c r="AF5583" i="2" s="1"/>
  <c r="X5583" i="2"/>
  <c r="AC5583" i="2" s="1"/>
  <c r="W5583" i="2"/>
  <c r="AH5582" i="2"/>
  <c r="AE5582" i="2"/>
  <c r="AF5582" i="2" s="1"/>
  <c r="AD5582" i="2"/>
  <c r="Y5582" i="2" s="1"/>
  <c r="X5582" i="2"/>
  <c r="AC5582" i="2" s="1"/>
  <c r="W5582" i="2"/>
  <c r="AH5581" i="2"/>
  <c r="AE5581" i="2"/>
  <c r="AD5581" i="2"/>
  <c r="X5581" i="2"/>
  <c r="AC5581" i="2" s="1"/>
  <c r="W5581" i="2"/>
  <c r="AH5580" i="2"/>
  <c r="AE5580" i="2"/>
  <c r="AD5580" i="2"/>
  <c r="X5580" i="2"/>
  <c r="W5580" i="2"/>
  <c r="AH5579" i="2"/>
  <c r="AE5579" i="2"/>
  <c r="AD5579" i="2"/>
  <c r="Y5579" i="2" s="1"/>
  <c r="X5579" i="2"/>
  <c r="AC5579" i="2" s="1"/>
  <c r="W5579" i="2"/>
  <c r="AH5578" i="2"/>
  <c r="AE5578" i="2"/>
  <c r="AD5578" i="2"/>
  <c r="AF5578" i="2" s="1"/>
  <c r="X5578" i="2"/>
  <c r="AC5578" i="2" s="1"/>
  <c r="W5578" i="2"/>
  <c r="AH5577" i="2"/>
  <c r="AE5577" i="2"/>
  <c r="AF5577" i="2" s="1"/>
  <c r="AD5577" i="2"/>
  <c r="X5577" i="2"/>
  <c r="AC5577" i="2" s="1"/>
  <c r="W5577" i="2"/>
  <c r="AH5576" i="2"/>
  <c r="AE5576" i="2"/>
  <c r="AD5576" i="2"/>
  <c r="X5576" i="2"/>
  <c r="W5576" i="2"/>
  <c r="AH5575" i="2"/>
  <c r="AE5575" i="2"/>
  <c r="AD5575" i="2"/>
  <c r="X5575" i="2"/>
  <c r="AC5575" i="2" s="1"/>
  <c r="W5575" i="2"/>
  <c r="AH5574" i="2"/>
  <c r="AE5574" i="2"/>
  <c r="AF5574" i="2" s="1"/>
  <c r="AD5574" i="2"/>
  <c r="X5574" i="2"/>
  <c r="AC5574" i="2" s="1"/>
  <c r="W5574" i="2"/>
  <c r="AH5573" i="2"/>
  <c r="AE5573" i="2"/>
  <c r="AD5573" i="2"/>
  <c r="X5573" i="2"/>
  <c r="AB5573" i="2" s="1"/>
  <c r="AK5573" i="2" s="1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Y5571" i="2" s="1"/>
  <c r="X5571" i="2"/>
  <c r="AC5571" i="2" s="1"/>
  <c r="W5571" i="2"/>
  <c r="AH5570" i="2"/>
  <c r="AE5570" i="2"/>
  <c r="AD5570" i="2"/>
  <c r="X5570" i="2"/>
  <c r="AC5570" i="2" s="1"/>
  <c r="W5570" i="2"/>
  <c r="AH5569" i="2"/>
  <c r="AE5569" i="2"/>
  <c r="AF5569" i="2" s="1"/>
  <c r="AD5569" i="2"/>
  <c r="X5569" i="2"/>
  <c r="W5569" i="2"/>
  <c r="AH5568" i="2"/>
  <c r="AE5568" i="2"/>
  <c r="AD5568" i="2"/>
  <c r="X5568" i="2"/>
  <c r="W5568" i="2"/>
  <c r="AH5567" i="2"/>
  <c r="AE5567" i="2"/>
  <c r="AD5567" i="2"/>
  <c r="X5567" i="2"/>
  <c r="AB5567" i="2" s="1"/>
  <c r="AK5567" i="2" s="1"/>
  <c r="W5567" i="2"/>
  <c r="AH5566" i="2"/>
  <c r="AE5566" i="2"/>
  <c r="AF5566" i="2" s="1"/>
  <c r="AD5566" i="2"/>
  <c r="Y5566" i="2" s="1"/>
  <c r="X5566" i="2"/>
  <c r="W5566" i="2"/>
  <c r="AH5565" i="2"/>
  <c r="AE5565" i="2"/>
  <c r="AD5565" i="2"/>
  <c r="X5565" i="2"/>
  <c r="AB5565" i="2" s="1"/>
  <c r="AK5565" i="2" s="1"/>
  <c r="W5565" i="2"/>
  <c r="AH5564" i="2"/>
  <c r="AE5564" i="2"/>
  <c r="AD5564" i="2"/>
  <c r="X5564" i="2"/>
  <c r="AC5564" i="2" s="1"/>
  <c r="W5564" i="2"/>
  <c r="AH5563" i="2"/>
  <c r="AE5563" i="2"/>
  <c r="AD5563" i="2"/>
  <c r="Y5563" i="2" s="1"/>
  <c r="X5563" i="2"/>
  <c r="AC5563" i="2" s="1"/>
  <c r="W5563" i="2"/>
  <c r="AH5562" i="2"/>
  <c r="AE5562" i="2"/>
  <c r="AD5562" i="2"/>
  <c r="X5562" i="2"/>
  <c r="AK5562" i="2" s="1"/>
  <c r="W5562" i="2"/>
  <c r="AH5561" i="2"/>
  <c r="AE5561" i="2"/>
  <c r="AD5561" i="2"/>
  <c r="X5561" i="2"/>
  <c r="W5561" i="2"/>
  <c r="AH5560" i="2"/>
  <c r="AE5560" i="2"/>
  <c r="AD5560" i="2"/>
  <c r="X5560" i="2"/>
  <c r="W5560" i="2"/>
  <c r="AH5559" i="2"/>
  <c r="AE5559" i="2"/>
  <c r="AD5559" i="2"/>
  <c r="X5559" i="2"/>
  <c r="W5559" i="2"/>
  <c r="AH5558" i="2"/>
  <c r="AE5558" i="2"/>
  <c r="AF5558" i="2" s="1"/>
  <c r="AD5558" i="2"/>
  <c r="X5558" i="2"/>
  <c r="AC5558" i="2" s="1"/>
  <c r="W5558" i="2"/>
  <c r="AH5557" i="2"/>
  <c r="AE5557" i="2"/>
  <c r="AD5557" i="2"/>
  <c r="X5557" i="2"/>
  <c r="AC5557" i="2" s="1"/>
  <c r="W5557" i="2"/>
  <c r="AH5556" i="2"/>
  <c r="AE5556" i="2"/>
  <c r="AD5556" i="2"/>
  <c r="X5556" i="2"/>
  <c r="AC5556" i="2" s="1"/>
  <c r="W5556" i="2"/>
  <c r="AH5555" i="2"/>
  <c r="AE5555" i="2"/>
  <c r="AD5555" i="2"/>
  <c r="Y5555" i="2" s="1"/>
  <c r="X5555" i="2"/>
  <c r="W5555" i="2"/>
  <c r="AH5554" i="2"/>
  <c r="AE5554" i="2"/>
  <c r="AD5554" i="2"/>
  <c r="AF5554" i="2" s="1"/>
  <c r="X5554" i="2"/>
  <c r="W5554" i="2"/>
  <c r="AH5553" i="2"/>
  <c r="AE5553" i="2"/>
  <c r="AF5553" i="2" s="1"/>
  <c r="AD5553" i="2"/>
  <c r="X5553" i="2"/>
  <c r="AC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F5550" i="2" s="1"/>
  <c r="AD5550" i="2"/>
  <c r="Y5550" i="2" s="1"/>
  <c r="X5550" i="2"/>
  <c r="W5550" i="2"/>
  <c r="AH5549" i="2"/>
  <c r="AE5549" i="2"/>
  <c r="AD5549" i="2"/>
  <c r="X5549" i="2"/>
  <c r="AB5549" i="2" s="1"/>
  <c r="W5549" i="2"/>
  <c r="AH5548" i="2"/>
  <c r="AE5548" i="2"/>
  <c r="AD5548" i="2"/>
  <c r="X5548" i="2"/>
  <c r="W5548" i="2"/>
  <c r="AH5547" i="2"/>
  <c r="AE5547" i="2"/>
  <c r="AD5547" i="2"/>
  <c r="Y5547" i="2" s="1"/>
  <c r="X5547" i="2"/>
  <c r="W5547" i="2"/>
  <c r="AH5546" i="2"/>
  <c r="AE5546" i="2"/>
  <c r="AD5546" i="2"/>
  <c r="AF5546" i="2" s="1"/>
  <c r="X5546" i="2"/>
  <c r="W5546" i="2"/>
  <c r="AH5545" i="2"/>
  <c r="AE5545" i="2"/>
  <c r="AF5545" i="2" s="1"/>
  <c r="AD5545" i="2"/>
  <c r="X5545" i="2"/>
  <c r="W5545" i="2"/>
  <c r="AH5544" i="2"/>
  <c r="AE5544" i="2"/>
  <c r="AD5544" i="2"/>
  <c r="X5544" i="2"/>
  <c r="W5544" i="2"/>
  <c r="AH5543" i="2"/>
  <c r="AE5543" i="2"/>
  <c r="AD5543" i="2"/>
  <c r="X5543" i="2"/>
  <c r="AC5543" i="2" s="1"/>
  <c r="W5543" i="2"/>
  <c r="AH5542" i="2"/>
  <c r="AE5542" i="2"/>
  <c r="AF5542" i="2" s="1"/>
  <c r="AD5542" i="2"/>
  <c r="Y5542" i="2" s="1"/>
  <c r="X5542" i="2"/>
  <c r="AC5542" i="2" s="1"/>
  <c r="W5542" i="2"/>
  <c r="AH5541" i="2"/>
  <c r="AE5541" i="2"/>
  <c r="AD5541" i="2"/>
  <c r="X5541" i="2"/>
  <c r="AC5541" i="2" s="1"/>
  <c r="W5541" i="2"/>
  <c r="AH5540" i="2"/>
  <c r="AE5540" i="2"/>
  <c r="AD5540" i="2"/>
  <c r="X5540" i="2"/>
  <c r="AC5540" i="2" s="1"/>
  <c r="W5540" i="2"/>
  <c r="AH5539" i="2"/>
  <c r="AE5539" i="2"/>
  <c r="AD5539" i="2"/>
  <c r="Y5539" i="2" s="1"/>
  <c r="X5539" i="2"/>
  <c r="W5539" i="2"/>
  <c r="AH5538" i="2"/>
  <c r="AE5538" i="2"/>
  <c r="AD5538" i="2"/>
  <c r="AF5538" i="2" s="1"/>
  <c r="X5538" i="2"/>
  <c r="AC5538" i="2" s="1"/>
  <c r="W5538" i="2"/>
  <c r="AH5537" i="2"/>
  <c r="AE5537" i="2"/>
  <c r="AF5537" i="2" s="1"/>
  <c r="AD5537" i="2"/>
  <c r="X5537" i="2"/>
  <c r="AC5537" i="2" s="1"/>
  <c r="W5537" i="2"/>
  <c r="AH5536" i="2"/>
  <c r="AE5536" i="2"/>
  <c r="AD5536" i="2"/>
  <c r="X5536" i="2"/>
  <c r="W5536" i="2"/>
  <c r="AH5535" i="2"/>
  <c r="AE5535" i="2"/>
  <c r="AD5535" i="2"/>
  <c r="X5535" i="2"/>
  <c r="AB5535" i="2" s="1"/>
  <c r="AK5535" i="2" s="1"/>
  <c r="W5535" i="2"/>
  <c r="AH5534" i="2"/>
  <c r="AE5534" i="2"/>
  <c r="AF5534" i="2" s="1"/>
  <c r="AD5534" i="2"/>
  <c r="Y5534" i="2" s="1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W5532" i="2"/>
  <c r="AH5531" i="2"/>
  <c r="AE5531" i="2"/>
  <c r="AD5531" i="2"/>
  <c r="Y5531" i="2" s="1"/>
  <c r="X5531" i="2"/>
  <c r="W5531" i="2"/>
  <c r="AH5530" i="2"/>
  <c r="AE5530" i="2"/>
  <c r="AD5530" i="2"/>
  <c r="X5530" i="2"/>
  <c r="W5530" i="2"/>
  <c r="AH5529" i="2"/>
  <c r="AE5529" i="2"/>
  <c r="AF5529" i="2" s="1"/>
  <c r="AD5529" i="2"/>
  <c r="X5529" i="2"/>
  <c r="AK5529" i="2" s="1"/>
  <c r="W5529" i="2"/>
  <c r="AH5528" i="2"/>
  <c r="AE5528" i="2"/>
  <c r="AD5528" i="2"/>
  <c r="X5528" i="2"/>
  <c r="W5528" i="2"/>
  <c r="AH5527" i="2"/>
  <c r="AE5527" i="2"/>
  <c r="AD5527" i="2"/>
  <c r="AF5527" i="2" s="1"/>
  <c r="X5527" i="2"/>
  <c r="AC5527" i="2" s="1"/>
  <c r="W5527" i="2"/>
  <c r="AH5526" i="2"/>
  <c r="AE5526" i="2"/>
  <c r="AF5526" i="2" s="1"/>
  <c r="AD5526" i="2"/>
  <c r="Y5526" i="2" s="1"/>
  <c r="X5526" i="2"/>
  <c r="W5526" i="2"/>
  <c r="AH5525" i="2"/>
  <c r="AE5525" i="2"/>
  <c r="AD5525" i="2"/>
  <c r="X5525" i="2"/>
  <c r="AB5525" i="2" s="1"/>
  <c r="AK5525" i="2" s="1"/>
  <c r="W5525" i="2"/>
  <c r="AH5524" i="2"/>
  <c r="AE5524" i="2"/>
  <c r="AD5524" i="2"/>
  <c r="X5524" i="2"/>
  <c r="AC5524" i="2" s="1"/>
  <c r="W5524" i="2"/>
  <c r="AH5523" i="2"/>
  <c r="AE5523" i="2"/>
  <c r="AD5523" i="2"/>
  <c r="Y5523" i="2" s="1"/>
  <c r="X5523" i="2"/>
  <c r="AB5523" i="2" s="1"/>
  <c r="AK5523" i="2" s="1"/>
  <c r="W5523" i="2"/>
  <c r="AH5522" i="2"/>
  <c r="AE5522" i="2"/>
  <c r="AD5522" i="2"/>
  <c r="X5522" i="2"/>
  <c r="AC5522" i="2" s="1"/>
  <c r="W5522" i="2"/>
  <c r="AH5521" i="2"/>
  <c r="AE5521" i="2"/>
  <c r="AF5521" i="2" s="1"/>
  <c r="AD5521" i="2"/>
  <c r="X5521" i="2"/>
  <c r="W5521" i="2"/>
  <c r="AH5520" i="2"/>
  <c r="AE5520" i="2"/>
  <c r="AD5520" i="2"/>
  <c r="X5520" i="2"/>
  <c r="W5520" i="2"/>
  <c r="AH5519" i="2"/>
  <c r="AE5519" i="2"/>
  <c r="AD5519" i="2"/>
  <c r="X5519" i="2"/>
  <c r="AC5519" i="2" s="1"/>
  <c r="W5519" i="2"/>
  <c r="AH5518" i="2"/>
  <c r="AE5518" i="2"/>
  <c r="AF5518" i="2" s="1"/>
  <c r="AD5518" i="2"/>
  <c r="Y5518" i="2" s="1"/>
  <c r="X5518" i="2"/>
  <c r="AC5518" i="2" s="1"/>
  <c r="W5518" i="2"/>
  <c r="AH5517" i="2"/>
  <c r="AE5517" i="2"/>
  <c r="AD5517" i="2"/>
  <c r="X5517" i="2"/>
  <c r="AC5517" i="2" s="1"/>
  <c r="W5517" i="2"/>
  <c r="AH5516" i="2"/>
  <c r="AE5516" i="2"/>
  <c r="AD5516" i="2"/>
  <c r="X5516" i="2"/>
  <c r="W5516" i="2"/>
  <c r="AH5515" i="2"/>
  <c r="AE5515" i="2"/>
  <c r="AD5515" i="2"/>
  <c r="X5515" i="2"/>
  <c r="AB5515" i="2" s="1"/>
  <c r="AK5515" i="2" s="1"/>
  <c r="W5515" i="2"/>
  <c r="AH5514" i="2"/>
  <c r="AE5514" i="2"/>
  <c r="AD5514" i="2"/>
  <c r="X5514" i="2"/>
  <c r="W5514" i="2"/>
  <c r="AH5513" i="2"/>
  <c r="AE5513" i="2"/>
  <c r="AD5513" i="2"/>
  <c r="X5513" i="2"/>
  <c r="AC5513" i="2" s="1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AC5510" i="2" s="1"/>
  <c r="W5510" i="2"/>
  <c r="AH5509" i="2"/>
  <c r="AE5509" i="2"/>
  <c r="AD5509" i="2"/>
  <c r="X5509" i="2"/>
  <c r="AC5509" i="2" s="1"/>
  <c r="W5509" i="2"/>
  <c r="AH5508" i="2"/>
  <c r="AE5508" i="2"/>
  <c r="AF5508" i="2" s="1"/>
  <c r="AD5508" i="2"/>
  <c r="X5508" i="2"/>
  <c r="W5508" i="2"/>
  <c r="AH5507" i="2"/>
  <c r="AE5507" i="2"/>
  <c r="AD5507" i="2"/>
  <c r="Y5507" i="2" s="1"/>
  <c r="X5507" i="2"/>
  <c r="AC5507" i="2" s="1"/>
  <c r="W5507" i="2"/>
  <c r="AH5506" i="2"/>
  <c r="AE5506" i="2"/>
  <c r="AD5506" i="2"/>
  <c r="X5506" i="2"/>
  <c r="AC5506" i="2" s="1"/>
  <c r="W5506" i="2"/>
  <c r="AH5505" i="2"/>
  <c r="AE5505" i="2"/>
  <c r="AF5505" i="2" s="1"/>
  <c r="AD5505" i="2"/>
  <c r="X5505" i="2"/>
  <c r="AC5505" i="2" s="1"/>
  <c r="W5505" i="2"/>
  <c r="AH5504" i="2"/>
  <c r="AE5504" i="2"/>
  <c r="AD5504" i="2"/>
  <c r="X5504" i="2"/>
  <c r="W5504" i="2"/>
  <c r="AH5503" i="2"/>
  <c r="AE5503" i="2"/>
  <c r="AD5503" i="2"/>
  <c r="X5503" i="2"/>
  <c r="AC5503" i="2" s="1"/>
  <c r="W5503" i="2"/>
  <c r="AH5502" i="2"/>
  <c r="AE5502" i="2"/>
  <c r="AD5502" i="2"/>
  <c r="X5502" i="2"/>
  <c r="AC5502" i="2" s="1"/>
  <c r="W5502" i="2"/>
  <c r="AH5501" i="2"/>
  <c r="AE5501" i="2"/>
  <c r="AD5501" i="2"/>
  <c r="X5501" i="2"/>
  <c r="AB5501" i="2" s="1"/>
  <c r="AK5501" i="2" s="1"/>
  <c r="W5501" i="2"/>
  <c r="AH5500" i="2"/>
  <c r="AE5500" i="2"/>
  <c r="AD5500" i="2"/>
  <c r="X5500" i="2"/>
  <c r="W5500" i="2"/>
  <c r="AH5499" i="2"/>
  <c r="AE5499" i="2"/>
  <c r="AD5499" i="2"/>
  <c r="Y5499" i="2" s="1"/>
  <c r="X5499" i="2"/>
  <c r="AC5499" i="2" s="1"/>
  <c r="W5499" i="2"/>
  <c r="AH5498" i="2"/>
  <c r="AE5498" i="2"/>
  <c r="AD5498" i="2"/>
  <c r="AF5498" i="2" s="1"/>
  <c r="X5498" i="2"/>
  <c r="AC5498" i="2" s="1"/>
  <c r="W5498" i="2"/>
  <c r="AH5497" i="2"/>
  <c r="AE5497" i="2"/>
  <c r="AF5497" i="2" s="1"/>
  <c r="AD5497" i="2"/>
  <c r="X5497" i="2"/>
  <c r="AC5497" i="2" s="1"/>
  <c r="W5497" i="2"/>
  <c r="AH5496" i="2"/>
  <c r="AE5496" i="2"/>
  <c r="AD5496" i="2"/>
  <c r="X5496" i="2"/>
  <c r="W5496" i="2"/>
  <c r="AH5495" i="2"/>
  <c r="AE5495" i="2"/>
  <c r="AD5495" i="2"/>
  <c r="X5495" i="2"/>
  <c r="AC5495" i="2" s="1"/>
  <c r="W5495" i="2"/>
  <c r="AH5494" i="2"/>
  <c r="AE5494" i="2"/>
  <c r="AF5494" i="2" s="1"/>
  <c r="AD5494" i="2"/>
  <c r="Y5494" i="2" s="1"/>
  <c r="X5494" i="2"/>
  <c r="AC5494" i="2" s="1"/>
  <c r="W5494" i="2"/>
  <c r="AH5493" i="2"/>
  <c r="AE5493" i="2"/>
  <c r="AD5493" i="2"/>
  <c r="X5493" i="2"/>
  <c r="AC5493" i="2" s="1"/>
  <c r="W5493" i="2"/>
  <c r="AH5492" i="2"/>
  <c r="AE5492" i="2"/>
  <c r="AD5492" i="2"/>
  <c r="X5492" i="2"/>
  <c r="Y5492" i="2" s="1"/>
  <c r="W5492" i="2"/>
  <c r="AH5491" i="2"/>
  <c r="AE5491" i="2"/>
  <c r="AD5491" i="2"/>
  <c r="Y5491" i="2" s="1"/>
  <c r="X5491" i="2"/>
  <c r="W5491" i="2"/>
  <c r="AH5490" i="2"/>
  <c r="AE5490" i="2"/>
  <c r="AD5490" i="2"/>
  <c r="X5490" i="2"/>
  <c r="AB5490" i="2" s="1"/>
  <c r="AK5490" i="2" s="1"/>
  <c r="W5490" i="2"/>
  <c r="AH5489" i="2"/>
  <c r="AE5489" i="2"/>
  <c r="AD5489" i="2"/>
  <c r="X5489" i="2"/>
  <c r="AC5489" i="2" s="1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F5486" i="2" s="1"/>
  <c r="AD5486" i="2"/>
  <c r="Y5486" i="2" s="1"/>
  <c r="X5486" i="2"/>
  <c r="W5486" i="2"/>
  <c r="AH5485" i="2"/>
  <c r="AE5485" i="2"/>
  <c r="AD5485" i="2"/>
  <c r="X5485" i="2"/>
  <c r="W5485" i="2"/>
  <c r="AH5484" i="2"/>
  <c r="AE5484" i="2"/>
  <c r="AD5484" i="2"/>
  <c r="X5484" i="2"/>
  <c r="Y5484" i="2" s="1"/>
  <c r="W5484" i="2"/>
  <c r="AH5483" i="2"/>
  <c r="AE5483" i="2"/>
  <c r="AD5483" i="2"/>
  <c r="Y5483" i="2" s="1"/>
  <c r="X5483" i="2"/>
  <c r="AC5483" i="2" s="1"/>
  <c r="W5483" i="2"/>
  <c r="AH5482" i="2"/>
  <c r="AE5482" i="2"/>
  <c r="AD5482" i="2"/>
  <c r="AF5482" i="2" s="1"/>
  <c r="X5482" i="2"/>
  <c r="AB5482" i="2" s="1"/>
  <c r="AK5482" i="2" s="1"/>
  <c r="W5482" i="2"/>
  <c r="AH5481" i="2"/>
  <c r="AE5481" i="2"/>
  <c r="AF5481" i="2" s="1"/>
  <c r="AD5481" i="2"/>
  <c r="X5481" i="2"/>
  <c r="AC5481" i="2" s="1"/>
  <c r="W5481" i="2"/>
  <c r="AH5480" i="2"/>
  <c r="AE5480" i="2"/>
  <c r="AD5480" i="2"/>
  <c r="X5480" i="2"/>
  <c r="W5480" i="2"/>
  <c r="AH5479" i="2"/>
  <c r="AE5479" i="2"/>
  <c r="AD5479" i="2"/>
  <c r="X5479" i="2"/>
  <c r="AC5479" i="2" s="1"/>
  <c r="W5479" i="2"/>
  <c r="AH5478" i="2"/>
  <c r="AE5478" i="2"/>
  <c r="AD5478" i="2"/>
  <c r="Y5478" i="2" s="1"/>
  <c r="X5478" i="2"/>
  <c r="W5478" i="2"/>
  <c r="AH5477" i="2"/>
  <c r="AE5477" i="2"/>
  <c r="AD5477" i="2"/>
  <c r="X5477" i="2"/>
  <c r="AK5477" i="2" s="1"/>
  <c r="W5477" i="2"/>
  <c r="AH5476" i="2"/>
  <c r="AE5476" i="2"/>
  <c r="AD5476" i="2"/>
  <c r="X5476" i="2"/>
  <c r="AK5476" i="2" s="1"/>
  <c r="W5476" i="2"/>
  <c r="AH5475" i="2"/>
  <c r="AE5475" i="2"/>
  <c r="AD5475" i="2"/>
  <c r="Y5475" i="2" s="1"/>
  <c r="X5475" i="2"/>
  <c r="AC5475" i="2" s="1"/>
  <c r="W5475" i="2"/>
  <c r="AH5474" i="2"/>
  <c r="AE5474" i="2"/>
  <c r="AD5474" i="2"/>
  <c r="AF5474" i="2" s="1"/>
  <c r="X5474" i="2"/>
  <c r="W5474" i="2"/>
  <c r="AH5473" i="2"/>
  <c r="AE5473" i="2"/>
  <c r="AD5473" i="2"/>
  <c r="X5473" i="2"/>
  <c r="AC5473" i="2" s="1"/>
  <c r="W5473" i="2"/>
  <c r="AH5472" i="2"/>
  <c r="AE5472" i="2"/>
  <c r="AD5472" i="2"/>
  <c r="X5472" i="2"/>
  <c r="W5472" i="2"/>
  <c r="AH5471" i="2"/>
  <c r="AE5471" i="2"/>
  <c r="AD5471" i="2"/>
  <c r="X5471" i="2"/>
  <c r="AC5471" i="2" s="1"/>
  <c r="W5471" i="2"/>
  <c r="AH5470" i="2"/>
  <c r="AE5470" i="2"/>
  <c r="AD5470" i="2"/>
  <c r="Y5470" i="2" s="1"/>
  <c r="X5470" i="2"/>
  <c r="AC5470" i="2" s="1"/>
  <c r="W5470" i="2"/>
  <c r="AH5469" i="2"/>
  <c r="AE5469" i="2"/>
  <c r="AD5469" i="2"/>
  <c r="X5469" i="2"/>
  <c r="AC5469" i="2" s="1"/>
  <c r="W5469" i="2"/>
  <c r="AH5468" i="2"/>
  <c r="AE5468" i="2"/>
  <c r="AD5468" i="2"/>
  <c r="X5468" i="2"/>
  <c r="W5468" i="2"/>
  <c r="AH5467" i="2"/>
  <c r="AE5467" i="2"/>
  <c r="AD5467" i="2"/>
  <c r="Y5467" i="2" s="1"/>
  <c r="X5467" i="2"/>
  <c r="W5467" i="2"/>
  <c r="AH5466" i="2"/>
  <c r="AE5466" i="2"/>
  <c r="AD5466" i="2"/>
  <c r="AF5466" i="2" s="1"/>
  <c r="X5466" i="2"/>
  <c r="AC5466" i="2" s="1"/>
  <c r="W5466" i="2"/>
  <c r="AH5465" i="2"/>
  <c r="AE5465" i="2"/>
  <c r="AD5465" i="2"/>
  <c r="X5465" i="2"/>
  <c r="AC5465" i="2" s="1"/>
  <c r="W5465" i="2"/>
  <c r="AH5464" i="2"/>
  <c r="AE5464" i="2"/>
  <c r="AD5464" i="2"/>
  <c r="X5464" i="2"/>
  <c r="W5464" i="2"/>
  <c r="AH5463" i="2"/>
  <c r="AE5463" i="2"/>
  <c r="AD5463" i="2"/>
  <c r="X5463" i="2"/>
  <c r="AB5463" i="2" s="1"/>
  <c r="AK5463" i="2" s="1"/>
  <c r="W5463" i="2"/>
  <c r="AH5462" i="2"/>
  <c r="AE5462" i="2"/>
  <c r="AF5462" i="2" s="1"/>
  <c r="AD5462" i="2"/>
  <c r="X5462" i="2"/>
  <c r="W5462" i="2"/>
  <c r="AH5461" i="2"/>
  <c r="AE5461" i="2"/>
  <c r="AD5461" i="2"/>
  <c r="X5461" i="2"/>
  <c r="AC5461" i="2" s="1"/>
  <c r="W5461" i="2"/>
  <c r="AH5460" i="2"/>
  <c r="AE5460" i="2"/>
  <c r="AF5460" i="2" s="1"/>
  <c r="AD5460" i="2"/>
  <c r="X5460" i="2"/>
  <c r="W5460" i="2"/>
  <c r="AH5459" i="2"/>
  <c r="AE5459" i="2"/>
  <c r="AD5459" i="2"/>
  <c r="Y5459" i="2" s="1"/>
  <c r="X5459" i="2"/>
  <c r="AC5459" i="2" s="1"/>
  <c r="W5459" i="2"/>
  <c r="AH5458" i="2"/>
  <c r="AE5458" i="2"/>
  <c r="AD5458" i="2"/>
  <c r="X5458" i="2"/>
  <c r="AC5458" i="2" s="1"/>
  <c r="W5458" i="2"/>
  <c r="AH5457" i="2"/>
  <c r="AE5457" i="2"/>
  <c r="AD5457" i="2"/>
  <c r="X5457" i="2"/>
  <c r="AC5457" i="2" s="1"/>
  <c r="W5457" i="2"/>
  <c r="AH5456" i="2"/>
  <c r="AE5456" i="2"/>
  <c r="AD5456" i="2"/>
  <c r="X5456" i="2"/>
  <c r="W5456" i="2"/>
  <c r="AH5455" i="2"/>
  <c r="AE5455" i="2"/>
  <c r="AD5455" i="2"/>
  <c r="X5455" i="2"/>
  <c r="Y5455" i="2" s="1"/>
  <c r="W5455" i="2"/>
  <c r="AH5454" i="2"/>
  <c r="AE5454" i="2"/>
  <c r="AF5454" i="2" s="1"/>
  <c r="AD5454" i="2"/>
  <c r="Y5454" i="2" s="1"/>
  <c r="X5454" i="2"/>
  <c r="AC5454" i="2" s="1"/>
  <c r="W5454" i="2"/>
  <c r="AH5453" i="2"/>
  <c r="AE5453" i="2"/>
  <c r="AD5453" i="2"/>
  <c r="X5453" i="2"/>
  <c r="AC5453" i="2" s="1"/>
  <c r="W5453" i="2"/>
  <c r="AH5452" i="2"/>
  <c r="AE5452" i="2"/>
  <c r="AD5452" i="2"/>
  <c r="X5452" i="2"/>
  <c r="W5452" i="2"/>
  <c r="AH5451" i="2"/>
  <c r="AE5451" i="2"/>
  <c r="AD5451" i="2"/>
  <c r="Y5451" i="2" s="1"/>
  <c r="X5451" i="2"/>
  <c r="AC5451" i="2" s="1"/>
  <c r="W5451" i="2"/>
  <c r="AH5450" i="2"/>
  <c r="AE5450" i="2"/>
  <c r="AD5450" i="2"/>
  <c r="AF5450" i="2" s="1"/>
  <c r="X5450" i="2"/>
  <c r="AC5450" i="2" s="1"/>
  <c r="W5450" i="2"/>
  <c r="AH5449" i="2"/>
  <c r="AE5449" i="2"/>
  <c r="AD5449" i="2"/>
  <c r="X5449" i="2"/>
  <c r="AC5449" i="2" s="1"/>
  <c r="W5449" i="2"/>
  <c r="AH5448" i="2"/>
  <c r="AE5448" i="2"/>
  <c r="AD5448" i="2"/>
  <c r="X5448" i="2"/>
  <c r="W5448" i="2"/>
  <c r="AH5447" i="2"/>
  <c r="AE5447" i="2"/>
  <c r="AD5447" i="2"/>
  <c r="X5447" i="2"/>
  <c r="W5447" i="2"/>
  <c r="AH5446" i="2"/>
  <c r="AE5446" i="2"/>
  <c r="AF5446" i="2" s="1"/>
  <c r="AD5446" i="2"/>
  <c r="X5446" i="2"/>
  <c r="AC5446" i="2" s="1"/>
  <c r="W5446" i="2"/>
  <c r="AH5445" i="2"/>
  <c r="AE5445" i="2"/>
  <c r="AD5445" i="2"/>
  <c r="X5445" i="2"/>
  <c r="AC5445" i="2" s="1"/>
  <c r="W5445" i="2"/>
  <c r="AH5444" i="2"/>
  <c r="AE5444" i="2"/>
  <c r="AD5444" i="2"/>
  <c r="X5444" i="2"/>
  <c r="W5444" i="2"/>
  <c r="AH5443" i="2"/>
  <c r="AE5443" i="2"/>
  <c r="AD5443" i="2"/>
  <c r="Y5443" i="2" s="1"/>
  <c r="X5443" i="2"/>
  <c r="W5443" i="2"/>
  <c r="AH5442" i="2"/>
  <c r="AE5442" i="2"/>
  <c r="AD5442" i="2"/>
  <c r="AF5442" i="2" s="1"/>
  <c r="X5442" i="2"/>
  <c r="AC5442" i="2" s="1"/>
  <c r="W5442" i="2"/>
  <c r="AH5441" i="2"/>
  <c r="AE5441" i="2"/>
  <c r="AD5441" i="2"/>
  <c r="X5441" i="2"/>
  <c r="AC5441" i="2" s="1"/>
  <c r="W5441" i="2"/>
  <c r="AH5440" i="2"/>
  <c r="AE5440" i="2"/>
  <c r="AD5440" i="2"/>
  <c r="X5440" i="2"/>
  <c r="W5440" i="2"/>
  <c r="AH5439" i="2"/>
  <c r="AE5439" i="2"/>
  <c r="AD5439" i="2"/>
  <c r="X5439" i="2"/>
  <c r="AB5439" i="2" s="1"/>
  <c r="AK5439" i="2" s="1"/>
  <c r="W5439" i="2"/>
  <c r="AH5438" i="2"/>
  <c r="AE5438" i="2"/>
  <c r="AD5438" i="2"/>
  <c r="Y5438" i="2" s="1"/>
  <c r="X5438" i="2"/>
  <c r="W5438" i="2"/>
  <c r="AH5437" i="2"/>
  <c r="AE5437" i="2"/>
  <c r="AD5437" i="2"/>
  <c r="X5437" i="2"/>
  <c r="AC5437" i="2" s="1"/>
  <c r="AH5436" i="2"/>
  <c r="AE5436" i="2"/>
  <c r="AD5436" i="2"/>
  <c r="X5436" i="2"/>
  <c r="AC5436" i="2" s="1"/>
  <c r="W5436" i="2"/>
  <c r="AH5435" i="2"/>
  <c r="AE5435" i="2"/>
  <c r="AD5435" i="2"/>
  <c r="X5435" i="2"/>
  <c r="W5435" i="2"/>
  <c r="AH5434" i="2"/>
  <c r="AE5434" i="2"/>
  <c r="AD5434" i="2"/>
  <c r="X5434" i="2"/>
  <c r="AC5434" i="2" s="1"/>
  <c r="W5434" i="2"/>
  <c r="AH5433" i="2"/>
  <c r="AE5433" i="2"/>
  <c r="AF5433" i="2" s="1"/>
  <c r="AD5433" i="2"/>
  <c r="Y5433" i="2" s="1"/>
  <c r="X5433" i="2"/>
  <c r="AC5433" i="2" s="1"/>
  <c r="W5433" i="2"/>
  <c r="AH5432" i="2"/>
  <c r="AE5432" i="2"/>
  <c r="AD5432" i="2"/>
  <c r="X5432" i="2"/>
  <c r="AK5432" i="2" s="1"/>
  <c r="W5432" i="2"/>
  <c r="AH5431" i="2"/>
  <c r="AE5431" i="2"/>
  <c r="AD5431" i="2"/>
  <c r="X5431" i="2"/>
  <c r="AC5431" i="2" s="1"/>
  <c r="W5431" i="2"/>
  <c r="AH5430" i="2"/>
  <c r="AE5430" i="2"/>
  <c r="AD5430" i="2"/>
  <c r="Y5430" i="2" s="1"/>
  <c r="X5430" i="2"/>
  <c r="W5430" i="2"/>
  <c r="AH5429" i="2"/>
  <c r="AE5429" i="2"/>
  <c r="AD5429" i="2"/>
  <c r="AF5429" i="2" s="1"/>
  <c r="X5429" i="2"/>
  <c r="AC5429" i="2" s="1"/>
  <c r="W5429" i="2"/>
  <c r="AH5428" i="2"/>
  <c r="AE5428" i="2"/>
  <c r="AF5428" i="2" s="1"/>
  <c r="AD5428" i="2"/>
  <c r="X5428" i="2"/>
  <c r="W5428" i="2"/>
  <c r="AH5427" i="2"/>
  <c r="AE5427" i="2"/>
  <c r="AD5427" i="2"/>
  <c r="X5427" i="2"/>
  <c r="W5427" i="2"/>
  <c r="AH5426" i="2"/>
  <c r="AE5426" i="2"/>
  <c r="AD5426" i="2"/>
  <c r="X5426" i="2"/>
  <c r="AC5426" i="2" s="1"/>
  <c r="W5426" i="2"/>
  <c r="AH5425" i="2"/>
  <c r="AE5425" i="2"/>
  <c r="AD5425" i="2"/>
  <c r="X5425" i="2"/>
  <c r="W5425" i="2"/>
  <c r="AH5424" i="2"/>
  <c r="AE5424" i="2"/>
  <c r="AD5424" i="2"/>
  <c r="X5424" i="2"/>
  <c r="W5424" i="2"/>
  <c r="AH5423" i="2"/>
  <c r="AE5423" i="2"/>
  <c r="AD5423" i="2"/>
  <c r="X5423" i="2"/>
  <c r="AC5423" i="2" s="1"/>
  <c r="W5423" i="2"/>
  <c r="AH5422" i="2"/>
  <c r="AE5422" i="2"/>
  <c r="AD5422" i="2"/>
  <c r="Y5422" i="2" s="1"/>
  <c r="X5422" i="2"/>
  <c r="AB5422" i="2" s="1"/>
  <c r="AK5422" i="2" s="1"/>
  <c r="W5422" i="2"/>
  <c r="AH5421" i="2"/>
  <c r="AE5421" i="2"/>
  <c r="AD5421" i="2"/>
  <c r="AF5421" i="2" s="1"/>
  <c r="X5421" i="2"/>
  <c r="AC5421" i="2" s="1"/>
  <c r="W5421" i="2"/>
  <c r="AH5420" i="2"/>
  <c r="AE5420" i="2"/>
  <c r="AF5420" i="2" s="1"/>
  <c r="AD5420" i="2"/>
  <c r="X5420" i="2"/>
  <c r="AC5420" i="2" s="1"/>
  <c r="W5420" i="2"/>
  <c r="AH5419" i="2"/>
  <c r="AE5419" i="2"/>
  <c r="AD5419" i="2"/>
  <c r="X5419" i="2"/>
  <c r="W5419" i="2"/>
  <c r="AH5418" i="2"/>
  <c r="AE5418" i="2"/>
  <c r="AD5418" i="2"/>
  <c r="AF5418" i="2" s="1"/>
  <c r="X5418" i="2"/>
  <c r="AC5418" i="2" s="1"/>
  <c r="W5418" i="2"/>
  <c r="AH5417" i="2"/>
  <c r="AE5417" i="2"/>
  <c r="AD5417" i="2"/>
  <c r="Y5417" i="2" s="1"/>
  <c r="X5417" i="2"/>
  <c r="AC5417" i="2" s="1"/>
  <c r="W5417" i="2"/>
  <c r="AH5416" i="2"/>
  <c r="AE5416" i="2"/>
  <c r="AD5416" i="2"/>
  <c r="X5416" i="2"/>
  <c r="AC5416" i="2" s="1"/>
  <c r="W5416" i="2"/>
  <c r="AH5415" i="2"/>
  <c r="AE5415" i="2"/>
  <c r="AD5415" i="2"/>
  <c r="X5415" i="2"/>
  <c r="W5415" i="2"/>
  <c r="AH5414" i="2"/>
  <c r="AE5414" i="2"/>
  <c r="AD5414" i="2"/>
  <c r="Y5414" i="2" s="1"/>
  <c r="X5414" i="2"/>
  <c r="AC5414" i="2" s="1"/>
  <c r="W5414" i="2"/>
  <c r="AH5413" i="2"/>
  <c r="AE5413" i="2"/>
  <c r="AD5413" i="2"/>
  <c r="AF5413" i="2" s="1"/>
  <c r="X5413" i="2"/>
  <c r="AK5413" i="2" s="1"/>
  <c r="W5413" i="2"/>
  <c r="AH5412" i="2"/>
  <c r="AE5412" i="2"/>
  <c r="AD5412" i="2"/>
  <c r="Y5412" i="2" s="1"/>
  <c r="X5412" i="2"/>
  <c r="W5412" i="2"/>
  <c r="AH5411" i="2"/>
  <c r="AE5411" i="2"/>
  <c r="AD5411" i="2"/>
  <c r="X5411" i="2"/>
  <c r="W5411" i="2"/>
  <c r="AH5410" i="2"/>
  <c r="AE5410" i="2"/>
  <c r="AD5410" i="2"/>
  <c r="AF5410" i="2" s="1"/>
  <c r="X5410" i="2"/>
  <c r="Y5410" i="2" s="1"/>
  <c r="W5410" i="2"/>
  <c r="AH5409" i="2"/>
  <c r="AE5409" i="2"/>
  <c r="AF5409" i="2" s="1"/>
  <c r="AD5409" i="2"/>
  <c r="Y5409" i="2" s="1"/>
  <c r="X5409" i="2"/>
  <c r="AB5409" i="2" s="1"/>
  <c r="AK5409" i="2" s="1"/>
  <c r="W5409" i="2"/>
  <c r="AH5408" i="2"/>
  <c r="AE5408" i="2"/>
  <c r="AD5408" i="2"/>
  <c r="X5408" i="2"/>
  <c r="AC5408" i="2" s="1"/>
  <c r="W5408" i="2"/>
  <c r="AH5407" i="2"/>
  <c r="AE5407" i="2"/>
  <c r="AD5407" i="2"/>
  <c r="X5407" i="2"/>
  <c r="AB5407" i="2" s="1"/>
  <c r="AK5407" i="2" s="1"/>
  <c r="W5407" i="2"/>
  <c r="AH5406" i="2"/>
  <c r="AE5406" i="2"/>
  <c r="AD5406" i="2"/>
  <c r="Y5406" i="2" s="1"/>
  <c r="X5406" i="2"/>
  <c r="AC5406" i="2" s="1"/>
  <c r="W5406" i="2"/>
  <c r="AH5405" i="2"/>
  <c r="AE5405" i="2"/>
  <c r="AD5405" i="2"/>
  <c r="X5405" i="2"/>
  <c r="AC5405" i="2" s="1"/>
  <c r="W5405" i="2"/>
  <c r="AH5404" i="2"/>
  <c r="AE5404" i="2"/>
  <c r="AD5404" i="2"/>
  <c r="X5404" i="2"/>
  <c r="AC5404" i="2" s="1"/>
  <c r="W5404" i="2"/>
  <c r="AH5403" i="2"/>
  <c r="AE5403" i="2"/>
  <c r="AD5403" i="2"/>
  <c r="X5403" i="2"/>
  <c r="W5403" i="2"/>
  <c r="AH5402" i="2"/>
  <c r="AE5402" i="2"/>
  <c r="AD5402" i="2"/>
  <c r="AF5402" i="2" s="1"/>
  <c r="X5402" i="2"/>
  <c r="AC5402" i="2" s="1"/>
  <c r="W5402" i="2"/>
  <c r="AH5401" i="2"/>
  <c r="AE5401" i="2"/>
  <c r="AF5401" i="2" s="1"/>
  <c r="AD5401" i="2"/>
  <c r="Y5401" i="2" s="1"/>
  <c r="X5401" i="2"/>
  <c r="AC5401" i="2" s="1"/>
  <c r="W5401" i="2"/>
  <c r="AH5400" i="2"/>
  <c r="AE5400" i="2"/>
  <c r="AD5400" i="2"/>
  <c r="X5400" i="2"/>
  <c r="AB5400" i="2" s="1"/>
  <c r="AK5400" i="2" s="1"/>
  <c r="W5400" i="2"/>
  <c r="AH5399" i="2"/>
  <c r="AE5399" i="2"/>
  <c r="AD5399" i="2"/>
  <c r="X5399" i="2"/>
  <c r="AC5399" i="2" s="1"/>
  <c r="W5399" i="2"/>
  <c r="AH5398" i="2"/>
  <c r="AE5398" i="2"/>
  <c r="AD5398" i="2"/>
  <c r="X5398" i="2"/>
  <c r="AB5398" i="2" s="1"/>
  <c r="AK5398" i="2" s="1"/>
  <c r="W5398" i="2"/>
  <c r="AH5397" i="2"/>
  <c r="AE5397" i="2"/>
  <c r="AD5397" i="2"/>
  <c r="X5397" i="2"/>
  <c r="W5397" i="2"/>
  <c r="AH5396" i="2"/>
  <c r="AE5396" i="2"/>
  <c r="AD5396" i="2"/>
  <c r="X5396" i="2"/>
  <c r="W5396" i="2"/>
  <c r="AH5395" i="2"/>
  <c r="AE5395" i="2"/>
  <c r="AD5395" i="2"/>
  <c r="X5395" i="2"/>
  <c r="W5395" i="2"/>
  <c r="AH5394" i="2"/>
  <c r="AE5394" i="2"/>
  <c r="AD5394" i="2"/>
  <c r="X5394" i="2"/>
  <c r="W5394" i="2"/>
  <c r="AH5393" i="2"/>
  <c r="AE5393" i="2"/>
  <c r="AF5393" i="2" s="1"/>
  <c r="AD5393" i="2"/>
  <c r="X5393" i="2"/>
  <c r="AC5393" i="2" s="1"/>
  <c r="W5393" i="2"/>
  <c r="AH5392" i="2"/>
  <c r="AE5392" i="2"/>
  <c r="AD5392" i="2"/>
  <c r="X5392" i="2"/>
  <c r="AB5392" i="2" s="1"/>
  <c r="AK5392" i="2" s="1"/>
  <c r="W5392" i="2"/>
  <c r="AH5391" i="2"/>
  <c r="AE5391" i="2"/>
  <c r="AD5391" i="2"/>
  <c r="X5391" i="2"/>
  <c r="AC5391" i="2" s="1"/>
  <c r="W5391" i="2"/>
  <c r="AH5390" i="2"/>
  <c r="AE5390" i="2"/>
  <c r="AD5390" i="2"/>
  <c r="Y5390" i="2" s="1"/>
  <c r="X5390" i="2"/>
  <c r="AC5390" i="2" s="1"/>
  <c r="W5390" i="2"/>
  <c r="AH5389" i="2"/>
  <c r="AE5389" i="2"/>
  <c r="AD5389" i="2"/>
  <c r="X5389" i="2"/>
  <c r="W5389" i="2"/>
  <c r="AH5388" i="2"/>
  <c r="AE5388" i="2"/>
  <c r="AD5388" i="2"/>
  <c r="Y5388" i="2" s="1"/>
  <c r="X5388" i="2"/>
  <c r="W5388" i="2"/>
  <c r="AH5387" i="2"/>
  <c r="AE5387" i="2"/>
  <c r="AD5387" i="2"/>
  <c r="X5387" i="2"/>
  <c r="W5387" i="2"/>
  <c r="AH5386" i="2"/>
  <c r="AE5386" i="2"/>
  <c r="AD5386" i="2"/>
  <c r="AF5386" i="2" s="1"/>
  <c r="X5386" i="2"/>
  <c r="W5386" i="2"/>
  <c r="AH5385" i="2"/>
  <c r="AE5385" i="2"/>
  <c r="AD5385" i="2"/>
  <c r="X5385" i="2"/>
  <c r="AB5385" i="2" s="1"/>
  <c r="AK5385" i="2" s="1"/>
  <c r="W5385" i="2"/>
  <c r="AH5384" i="2"/>
  <c r="AE5384" i="2"/>
  <c r="AD5384" i="2"/>
  <c r="X5384" i="2"/>
  <c r="AB5384" i="2" s="1"/>
  <c r="AK5384" i="2" s="1"/>
  <c r="W5384" i="2"/>
  <c r="AH5383" i="2"/>
  <c r="AE5383" i="2"/>
  <c r="AD5383" i="2"/>
  <c r="X5383" i="2"/>
  <c r="Y5383" i="2" s="1"/>
  <c r="W5383" i="2"/>
  <c r="AH5382" i="2"/>
  <c r="AE5382" i="2"/>
  <c r="AD5382" i="2"/>
  <c r="Y5382" i="2" s="1"/>
  <c r="X5382" i="2"/>
  <c r="AB5382" i="2" s="1"/>
  <c r="AK5382" i="2" s="1"/>
  <c r="W5382" i="2"/>
  <c r="AH5381" i="2"/>
  <c r="AE5381" i="2"/>
  <c r="AD5381" i="2"/>
  <c r="X5381" i="2"/>
  <c r="AC5381" i="2" s="1"/>
  <c r="W5381" i="2"/>
  <c r="AH5380" i="2"/>
  <c r="AE5380" i="2"/>
  <c r="AD5380" i="2"/>
  <c r="X5380" i="2"/>
  <c r="AC5380" i="2" s="1"/>
  <c r="W5380" i="2"/>
  <c r="AH5379" i="2"/>
  <c r="AE5379" i="2"/>
  <c r="AD5379" i="2"/>
  <c r="X5379" i="2"/>
  <c r="W5379" i="2"/>
  <c r="AH5378" i="2"/>
  <c r="AE5378" i="2"/>
  <c r="AD5378" i="2"/>
  <c r="X5378" i="2"/>
  <c r="Y5378" i="2" s="1"/>
  <c r="W5378" i="2"/>
  <c r="AH5377" i="2"/>
  <c r="AE5377" i="2"/>
  <c r="AF5377" i="2" s="1"/>
  <c r="AD5377" i="2"/>
  <c r="Y5377" i="2" s="1"/>
  <c r="X5377" i="2"/>
  <c r="AC5377" i="2" s="1"/>
  <c r="W5377" i="2"/>
  <c r="AH5376" i="2"/>
  <c r="AE5376" i="2"/>
  <c r="AD5376" i="2"/>
  <c r="X5376" i="2"/>
  <c r="AC5376" i="2" s="1"/>
  <c r="W5376" i="2"/>
  <c r="AH5375" i="2"/>
  <c r="AE5375" i="2"/>
  <c r="AD5375" i="2"/>
  <c r="X5375" i="2"/>
  <c r="AB5375" i="2" s="1"/>
  <c r="AK5375" i="2" s="1"/>
  <c r="W5375" i="2"/>
  <c r="AH5374" i="2"/>
  <c r="AE5374" i="2"/>
  <c r="AD5374" i="2"/>
  <c r="Y5374" i="2" s="1"/>
  <c r="X5374" i="2"/>
  <c r="AB5374" i="2" s="1"/>
  <c r="AK5374" i="2" s="1"/>
  <c r="W5374" i="2"/>
  <c r="AH5373" i="2"/>
  <c r="AE5373" i="2"/>
  <c r="AD5373" i="2"/>
  <c r="X5373" i="2"/>
  <c r="AC5373" i="2" s="1"/>
  <c r="W5373" i="2"/>
  <c r="J180" i="3"/>
  <c r="L180" i="3"/>
  <c r="O180" i="3"/>
  <c r="J179" i="3"/>
  <c r="L179" i="3"/>
  <c r="O179" i="3" s="1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 s="1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5811" i="2"/>
  <c r="AC5835" i="2"/>
  <c r="AC5843" i="2"/>
  <c r="AC5904" i="2"/>
  <c r="AC5912" i="2"/>
  <c r="AC5920" i="2"/>
  <c r="AK5920" i="2"/>
  <c r="AC5928" i="2"/>
  <c r="AC5936" i="2"/>
  <c r="AC5944" i="2"/>
  <c r="AC5960" i="2"/>
  <c r="AC5989" i="2"/>
  <c r="AC5997" i="2"/>
  <c r="AC6021" i="2"/>
  <c r="AC6029" i="2"/>
  <c r="AC6037" i="2"/>
  <c r="AK6037" i="2"/>
  <c r="AC6058" i="2"/>
  <c r="AC6076" i="2"/>
  <c r="AC6082" i="2"/>
  <c r="AC6086" i="2"/>
  <c r="AC6098" i="2"/>
  <c r="AC6600" i="2"/>
  <c r="AC6612" i="2"/>
  <c r="AC6637" i="2"/>
  <c r="AC6639" i="2"/>
  <c r="AC6641" i="2"/>
  <c r="AA6744" i="2"/>
  <c r="AB6744" i="2" s="1"/>
  <c r="AK6744" i="2" s="1"/>
  <c r="AA6760" i="2"/>
  <c r="AB6760" i="2" s="1"/>
  <c r="AK6760" i="2" s="1"/>
  <c r="AC6768" i="2"/>
  <c r="AC6832" i="2"/>
  <c r="AK6832" i="2"/>
  <c r="AC6840" i="2"/>
  <c r="AC6856" i="2"/>
  <c r="AC6957" i="2"/>
  <c r="AC6973" i="2"/>
  <c r="AC6981" i="2"/>
  <c r="AC6989" i="2"/>
  <c r="AC7010" i="2"/>
  <c r="AC7018" i="2"/>
  <c r="AK7018" i="2"/>
  <c r="AC7026" i="2"/>
  <c r="AC7034" i="2"/>
  <c r="AC7042" i="2"/>
  <c r="AC7058" i="2"/>
  <c r="AC7074" i="2"/>
  <c r="AC7082" i="2"/>
  <c r="AC7090" i="2"/>
  <c r="AC7121" i="2"/>
  <c r="AC7137" i="2"/>
  <c r="AC7169" i="2"/>
  <c r="AC7177" i="2"/>
  <c r="AC7193" i="2"/>
  <c r="AC7201" i="2"/>
  <c r="AC7209" i="2"/>
  <c r="AC7225" i="2"/>
  <c r="AC7233" i="2"/>
  <c r="AC7241" i="2"/>
  <c r="AC7249" i="2"/>
  <c r="AC7257" i="2"/>
  <c r="AB7265" i="2"/>
  <c r="AK7265" i="2" s="1"/>
  <c r="AC6102" i="2"/>
  <c r="AC6202" i="2"/>
  <c r="AC6216" i="2"/>
  <c r="AC6439" i="2"/>
  <c r="AC6445" i="2"/>
  <c r="AC6615" i="2"/>
  <c r="AC6773" i="2"/>
  <c r="AC6821" i="2"/>
  <c r="AC6866" i="2"/>
  <c r="AC6878" i="2"/>
  <c r="AB7015" i="2"/>
  <c r="AK7015" i="2" s="1"/>
  <c r="AC7031" i="2"/>
  <c r="AC7047" i="2"/>
  <c r="AB7055" i="2"/>
  <c r="AK7055" i="2" s="1"/>
  <c r="AB7063" i="2"/>
  <c r="AK7063" i="2" s="1"/>
  <c r="AB7079" i="2"/>
  <c r="AK7079" i="2" s="1"/>
  <c r="AC7206" i="2"/>
  <c r="AC6415" i="2"/>
  <c r="AC6648" i="2"/>
  <c r="AC6681" i="2"/>
  <c r="AC6697" i="2"/>
  <c r="AC6371" i="2"/>
  <c r="AC6379" i="2"/>
  <c r="AC6339" i="2"/>
  <c r="AC6341" i="2"/>
  <c r="AC6345" i="2"/>
  <c r="AC6347" i="2"/>
  <c r="AC6351" i="2"/>
  <c r="AC6355" i="2"/>
  <c r="AC6599" i="2"/>
  <c r="AC7157" i="2"/>
  <c r="AC7165" i="2"/>
  <c r="AC6513" i="2"/>
  <c r="AC6529" i="2"/>
  <c r="AC6537" i="2"/>
  <c r="AC6545" i="2"/>
  <c r="AC6875" i="2"/>
  <c r="AC6877" i="2"/>
  <c r="AC6879" i="2"/>
  <c r="AC7109" i="2"/>
  <c r="AC7282" i="2"/>
  <c r="AC6790" i="2"/>
  <c r="AC6881" i="2"/>
  <c r="AC6889" i="2"/>
  <c r="AC6918" i="2"/>
  <c r="AC6923" i="2"/>
  <c r="AC6931" i="2"/>
  <c r="AC6939" i="2"/>
  <c r="AK6939" i="2"/>
  <c r="AC6947" i="2"/>
  <c r="AC7016" i="2"/>
  <c r="AC7032" i="2"/>
  <c r="AC7064" i="2"/>
  <c r="AC7072" i="2"/>
  <c r="AK7072" i="2"/>
  <c r="AC7080" i="2"/>
  <c r="AB7127" i="2"/>
  <c r="AK7127" i="2" s="1"/>
  <c r="AB7143" i="2"/>
  <c r="AK7143" i="2" s="1"/>
  <c r="AB7151" i="2"/>
  <c r="AK7151" i="2" s="1"/>
  <c r="AB7159" i="2"/>
  <c r="AK7159" i="2" s="1"/>
  <c r="AB7183" i="2"/>
  <c r="AK7183" i="2" s="1"/>
  <c r="AB7191" i="2"/>
  <c r="AK7191" i="2" s="1"/>
  <c r="AB7207" i="2"/>
  <c r="AK7207" i="2" s="1"/>
  <c r="AB7215" i="2"/>
  <c r="AK7215" i="2" s="1"/>
  <c r="AB7287" i="2"/>
  <c r="AK7287" i="2" s="1"/>
  <c r="AB7303" i="2"/>
  <c r="AK7303" i="2" s="1"/>
  <c r="AB7311" i="2"/>
  <c r="AK7311" i="2" s="1"/>
  <c r="AC5982" i="2"/>
  <c r="AA6739" i="2"/>
  <c r="AB6739" i="2" s="1"/>
  <c r="AK6739" i="2" s="1"/>
  <c r="AC6747" i="2"/>
  <c r="AC6763" i="2"/>
  <c r="AA6779" i="2"/>
  <c r="AB6779" i="2" s="1"/>
  <c r="AK6779" i="2" s="1"/>
  <c r="AC6803" i="2"/>
  <c r="AC6811" i="2"/>
  <c r="AC6819" i="2"/>
  <c r="AC6827" i="2"/>
  <c r="AC6886" i="2"/>
  <c r="AC6920" i="2"/>
  <c r="AC6960" i="2"/>
  <c r="AC6976" i="2"/>
  <c r="AC6984" i="2"/>
  <c r="AC6992" i="2"/>
  <c r="AC7116" i="2"/>
  <c r="AC7124" i="2"/>
  <c r="AC7132" i="2"/>
  <c r="AC7148" i="2"/>
  <c r="AC7156" i="2"/>
  <c r="AC7180" i="2"/>
  <c r="AC7188" i="2"/>
  <c r="AC7204" i="2"/>
  <c r="AC7212" i="2"/>
  <c r="AC7220" i="2"/>
  <c r="AC7228" i="2"/>
  <c r="AC7236" i="2"/>
  <c r="AC7244" i="2"/>
  <c r="AC7252" i="2"/>
  <c r="AC7260" i="2"/>
  <c r="AC7268" i="2"/>
  <c r="AC7292" i="2"/>
  <c r="AC7300" i="2"/>
  <c r="AC7308" i="2"/>
  <c r="AB7273" i="2"/>
  <c r="AK7273" i="2" s="1"/>
  <c r="AB7281" i="2"/>
  <c r="AK7281" i="2" s="1"/>
  <c r="AB7289" i="2"/>
  <c r="AK7289" i="2" s="1"/>
  <c r="AB7297" i="2"/>
  <c r="AK7297" i="2" s="1"/>
  <c r="AB7305" i="2"/>
  <c r="AK7305" i="2" s="1"/>
  <c r="AB7313" i="2"/>
  <c r="AK7313" i="2" s="1"/>
  <c r="AB7329" i="2"/>
  <c r="AK7329" i="2" s="1"/>
  <c r="AB7345" i="2"/>
  <c r="AK7345" i="2" s="1"/>
  <c r="AB7353" i="2"/>
  <c r="AK7353" i="2" s="1"/>
  <c r="AB7361" i="2"/>
  <c r="AK7361" i="2" s="1"/>
  <c r="AB7377" i="2"/>
  <c r="AK7377" i="2" s="1"/>
  <c r="AB7385" i="2"/>
  <c r="AK7385" i="2" s="1"/>
  <c r="AB7393" i="2"/>
  <c r="AK7393" i="2" s="1"/>
  <c r="AB7401" i="2"/>
  <c r="AK7401" i="2" s="1"/>
  <c r="AB7409" i="2"/>
  <c r="AK7409" i="2" s="1"/>
  <c r="AB7417" i="2"/>
  <c r="AK7417" i="2" s="1"/>
  <c r="AB7449" i="2"/>
  <c r="AK7449" i="2" s="1"/>
  <c r="AC7494" i="2"/>
  <c r="AC7502" i="2"/>
  <c r="AC7531" i="2"/>
  <c r="AC7539" i="2"/>
  <c r="AC7555" i="2"/>
  <c r="AC7571" i="2"/>
  <c r="AC7595" i="2"/>
  <c r="AC7603" i="2"/>
  <c r="AC7622" i="2"/>
  <c r="AC7630" i="2"/>
  <c r="AC7646" i="2"/>
  <c r="AC7662" i="2"/>
  <c r="AB7946" i="2"/>
  <c r="AK7946" i="2" s="1"/>
  <c r="AB7959" i="2"/>
  <c r="AK7959" i="2" s="1"/>
  <c r="AB7967" i="2"/>
  <c r="AK7967" i="2" s="1"/>
  <c r="AB7975" i="2"/>
  <c r="AK7975" i="2" s="1"/>
  <c r="AB7983" i="2"/>
  <c r="AK7983" i="2" s="1"/>
  <c r="AB7993" i="2"/>
  <c r="AK7993" i="2" s="1"/>
  <c r="AB8009" i="2"/>
  <c r="AK8009" i="2" s="1"/>
  <c r="AC7528" i="2"/>
  <c r="AC7536" i="2"/>
  <c r="AC7552" i="2"/>
  <c r="AC7600" i="2"/>
  <c r="AB7608" i="2"/>
  <c r="AK7608" i="2" s="1"/>
  <c r="AC7675" i="2"/>
  <c r="AC7683" i="2"/>
  <c r="AC7699" i="2"/>
  <c r="AC7707" i="2"/>
  <c r="AC7715" i="2"/>
  <c r="AC7723" i="2"/>
  <c r="AB7956" i="2"/>
  <c r="AK7956" i="2" s="1"/>
  <c r="AB7964" i="2"/>
  <c r="AK7964" i="2" s="1"/>
  <c r="AB7972" i="2"/>
  <c r="AK7972" i="2" s="1"/>
  <c r="AB7980" i="2"/>
  <c r="AK7980" i="2" s="1"/>
  <c r="AB7996" i="2"/>
  <c r="AK7996" i="2" s="1"/>
  <c r="AB8004" i="2"/>
  <c r="AK8004" i="2" s="1"/>
  <c r="AB8012" i="2"/>
  <c r="AK8012" i="2" s="1"/>
  <c r="Y8049" i="2"/>
  <c r="Y8057" i="2"/>
  <c r="Y8128" i="2"/>
  <c r="AB8148" i="2"/>
  <c r="AK8148" i="2" s="1"/>
  <c r="Y8040" i="2"/>
  <c r="AB8046" i="2"/>
  <c r="AK8046" i="2" s="1"/>
  <c r="AB8052" i="2"/>
  <c r="AK8052" i="2" s="1"/>
  <c r="AB8073" i="2"/>
  <c r="AK8073" i="2" s="1"/>
  <c r="AB8080" i="2"/>
  <c r="AK8080" i="2" s="1"/>
  <c r="AB8084" i="2"/>
  <c r="AK8084" i="2" s="1"/>
  <c r="AB8088" i="2"/>
  <c r="AK8088" i="2" s="1"/>
  <c r="AB8092" i="2"/>
  <c r="AK8092" i="2" s="1"/>
  <c r="AB8096" i="2"/>
  <c r="AK8096" i="2" s="1"/>
  <c r="AB8100" i="2"/>
  <c r="AK8100" i="2" s="1"/>
  <c r="AB8104" i="2"/>
  <c r="AK8104" i="2" s="1"/>
  <c r="AB8108" i="2"/>
  <c r="AK8108" i="2" s="1"/>
  <c r="AB8112" i="2"/>
  <c r="AK8112" i="2" s="1"/>
  <c r="AB8116" i="2"/>
  <c r="AK8116" i="2" s="1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 s="1"/>
  <c r="AB7815" i="2"/>
  <c r="AK7815" i="2" s="1"/>
  <c r="AB7823" i="2"/>
  <c r="AK7823" i="2" s="1"/>
  <c r="AB7831" i="2"/>
  <c r="AK7831" i="2" s="1"/>
  <c r="AB7847" i="2"/>
  <c r="AK7847" i="2" s="1"/>
  <c r="AB7855" i="2"/>
  <c r="AK7855" i="2" s="1"/>
  <c r="AB7863" i="2"/>
  <c r="AK7863" i="2" s="1"/>
  <c r="AB7871" i="2"/>
  <c r="AK7871" i="2" s="1"/>
  <c r="AB7879" i="2"/>
  <c r="AK7879" i="2" s="1"/>
  <c r="AB7887" i="2"/>
  <c r="AK7887" i="2" s="1"/>
  <c r="AB7958" i="2"/>
  <c r="AK7958" i="2" s="1"/>
  <c r="AB7966" i="2"/>
  <c r="AK7966" i="2" s="1"/>
  <c r="AB7974" i="2"/>
  <c r="AK7974" i="2" s="1"/>
  <c r="AB7982" i="2"/>
  <c r="AK7982" i="2" s="1"/>
  <c r="Y8031" i="2"/>
  <c r="Y8121" i="2"/>
  <c r="Y8125" i="2"/>
  <c r="AB8129" i="2"/>
  <c r="AK8129" i="2" s="1"/>
  <c r="Y8137" i="2"/>
  <c r="AB8141" i="2"/>
  <c r="AK8141" i="2" s="1"/>
  <c r="Y8145" i="2"/>
  <c r="AC7397" i="2"/>
  <c r="AC7421" i="2"/>
  <c r="AC7756" i="2"/>
  <c r="AC7764" i="2"/>
  <c r="AC7780" i="2"/>
  <c r="AC7812" i="2"/>
  <c r="AC7844" i="2"/>
  <c r="AC7876" i="2"/>
  <c r="AB7884" i="2"/>
  <c r="AK7884" i="2" s="1"/>
  <c r="AB7905" i="2"/>
  <c r="AK7905" i="2" s="1"/>
  <c r="AB7913" i="2"/>
  <c r="AK7913" i="2" s="1"/>
  <c r="AB7921" i="2"/>
  <c r="AK7921" i="2" s="1"/>
  <c r="AB7997" i="2"/>
  <c r="AK7997" i="2" s="1"/>
  <c r="Y8041" i="2"/>
  <c r="AB8044" i="2"/>
  <c r="AK8044" i="2" s="1"/>
  <c r="AB8074" i="2"/>
  <c r="AK8074" i="2" s="1"/>
  <c r="AC7306" i="2"/>
  <c r="AC7314" i="2"/>
  <c r="AC7330" i="2"/>
  <c r="AC7346" i="2"/>
  <c r="AC7362" i="2"/>
  <c r="AC7378" i="2"/>
  <c r="AC7402" i="2"/>
  <c r="AC7418" i="2"/>
  <c r="AB7487" i="2"/>
  <c r="AK7487" i="2" s="1"/>
  <c r="AB7495" i="2"/>
  <c r="AK7495" i="2" s="1"/>
  <c r="AB7503" i="2"/>
  <c r="AK7503" i="2" s="1"/>
  <c r="AB7511" i="2"/>
  <c r="AK7511" i="2" s="1"/>
  <c r="AC7524" i="2"/>
  <c r="AC7540" i="2"/>
  <c r="AC7556" i="2"/>
  <c r="AC7580" i="2"/>
  <c r="AC7588" i="2"/>
  <c r="AC7604" i="2"/>
  <c r="AB7615" i="2"/>
  <c r="AK7615" i="2" s="1"/>
  <c r="AB7623" i="2"/>
  <c r="AK7623" i="2" s="1"/>
  <c r="AB7631" i="2"/>
  <c r="AK7631" i="2" s="1"/>
  <c r="AB7639" i="2"/>
  <c r="AK7639" i="2" s="1"/>
  <c r="AB7647" i="2"/>
  <c r="AK7647" i="2" s="1"/>
  <c r="AB7655" i="2"/>
  <c r="AK7655" i="2" s="1"/>
  <c r="AB7737" i="2"/>
  <c r="AK7737" i="2" s="1"/>
  <c r="AB7745" i="2"/>
  <c r="AK7745" i="2" s="1"/>
  <c r="AB7761" i="2"/>
  <c r="AK7761" i="2" s="1"/>
  <c r="AB7769" i="2"/>
  <c r="AK7769" i="2" s="1"/>
  <c r="AB7777" i="2"/>
  <c r="AK7777" i="2" s="1"/>
  <c r="AB7785" i="2"/>
  <c r="AK7785" i="2" s="1"/>
  <c r="AB7793" i="2"/>
  <c r="AK7793" i="2" s="1"/>
  <c r="AB7801" i="2"/>
  <c r="AK7801" i="2" s="1"/>
  <c r="AB7809" i="2"/>
  <c r="AK7809" i="2" s="1"/>
  <c r="AB7825" i="2"/>
  <c r="AK7825" i="2" s="1"/>
  <c r="AB7841" i="2"/>
  <c r="AK7841" i="2" s="1"/>
  <c r="AB7849" i="2"/>
  <c r="AK7849" i="2" s="1"/>
  <c r="AB7873" i="2"/>
  <c r="AK7873" i="2" s="1"/>
  <c r="AB7881" i="2"/>
  <c r="AK7881" i="2" s="1"/>
  <c r="AB7889" i="2"/>
  <c r="AK7889" i="2" s="1"/>
  <c r="AB7902" i="2"/>
  <c r="AK7902" i="2" s="1"/>
  <c r="AB7910" i="2"/>
  <c r="AK7910" i="2" s="1"/>
  <c r="AB7934" i="2"/>
  <c r="AK7934" i="2" s="1"/>
  <c r="AB7992" i="2"/>
  <c r="AK7992" i="2" s="1"/>
  <c r="AB8000" i="2"/>
  <c r="AK8000" i="2" s="1"/>
  <c r="AB8008" i="2"/>
  <c r="AK8008" i="2" s="1"/>
  <c r="AB8038" i="2"/>
  <c r="AK8038" i="2" s="1"/>
  <c r="Y8047" i="2"/>
  <c r="AB8122" i="2"/>
  <c r="AK8122" i="2" s="1"/>
  <c r="Y8126" i="2"/>
  <c r="AB8134" i="2"/>
  <c r="AK8134" i="2" s="1"/>
  <c r="Y8138" i="2"/>
  <c r="AB8146" i="2"/>
  <c r="AK8146" i="2" s="1"/>
  <c r="AB7319" i="2"/>
  <c r="AK7319" i="2" s="1"/>
  <c r="AB7327" i="2"/>
  <c r="AK7327" i="2" s="1"/>
  <c r="AB7335" i="2"/>
  <c r="AK7335" i="2" s="1"/>
  <c r="AB7351" i="2"/>
  <c r="AK7351" i="2" s="1"/>
  <c r="AB7359" i="2"/>
  <c r="AK7359" i="2" s="1"/>
  <c r="AB7367" i="2"/>
  <c r="AK7367" i="2" s="1"/>
  <c r="AB7375" i="2"/>
  <c r="AK7375" i="2" s="1"/>
  <c r="AB7383" i="2"/>
  <c r="AK7383" i="2" s="1"/>
  <c r="AB7399" i="2"/>
  <c r="AK7399" i="2" s="1"/>
  <c r="AB7407" i="2"/>
  <c r="AK7407" i="2" s="1"/>
  <c r="AB7415" i="2"/>
  <c r="AK7415" i="2" s="1"/>
  <c r="AB7423" i="2"/>
  <c r="AK7423" i="2" s="1"/>
  <c r="AB7431" i="2"/>
  <c r="AK7431" i="2" s="1"/>
  <c r="AB7439" i="2"/>
  <c r="AK7439" i="2" s="1"/>
  <c r="AB7447" i="2"/>
  <c r="AK7447" i="2" s="1"/>
  <c r="AC7508" i="2"/>
  <c r="AC7516" i="2"/>
  <c r="AC7612" i="2"/>
  <c r="AC7628" i="2"/>
  <c r="AC7652" i="2"/>
  <c r="AC7660" i="2"/>
  <c r="AC7676" i="2"/>
  <c r="AC7684" i="2"/>
  <c r="AC7700" i="2"/>
  <c r="AC7708" i="2"/>
  <c r="AC7716" i="2"/>
  <c r="AC7724" i="2"/>
  <c r="AC7734" i="2"/>
  <c r="AC7750" i="2"/>
  <c r="AB7899" i="2"/>
  <c r="AK7899" i="2" s="1"/>
  <c r="AB7915" i="2"/>
  <c r="AK7915" i="2" s="1"/>
  <c r="AB7931" i="2"/>
  <c r="AK7931" i="2" s="1"/>
  <c r="AB7939" i="2"/>
  <c r="AK7939" i="2" s="1"/>
  <c r="AB7952" i="2"/>
  <c r="AK7952" i="2" s="1"/>
  <c r="AB8042" i="2"/>
  <c r="AK8042" i="2" s="1"/>
  <c r="AB8056" i="2"/>
  <c r="AK8056" i="2" s="1"/>
  <c r="Y8071" i="2"/>
  <c r="AB8079" i="2"/>
  <c r="AK8079" i="2" s="1"/>
  <c r="AB8087" i="2"/>
  <c r="AK8087" i="2" s="1"/>
  <c r="AB8095" i="2"/>
  <c r="AK8095" i="2" s="1"/>
  <c r="AB8103" i="2"/>
  <c r="AK8103" i="2" s="1"/>
  <c r="AB8111" i="2"/>
  <c r="AK8111" i="2" s="1"/>
  <c r="AB8119" i="2"/>
  <c r="AK8119" i="2" s="1"/>
  <c r="AC7356" i="2"/>
  <c r="AC7372" i="2"/>
  <c r="AC7388" i="2"/>
  <c r="AC7396" i="2"/>
  <c r="AC7404" i="2"/>
  <c r="AC7428" i="2"/>
  <c r="AC7436" i="2"/>
  <c r="AC7444" i="2"/>
  <c r="AB7457" i="2"/>
  <c r="AK7457" i="2" s="1"/>
  <c r="AB7465" i="2"/>
  <c r="AK7465" i="2" s="1"/>
  <c r="AB7473" i="2"/>
  <c r="AK7473" i="2" s="1"/>
  <c r="AB7481" i="2"/>
  <c r="AK7481" i="2" s="1"/>
  <c r="AB7489" i="2"/>
  <c r="AK7489" i="2" s="1"/>
  <c r="AB7497" i="2"/>
  <c r="AK7497" i="2" s="1"/>
  <c r="AC7534" i="2"/>
  <c r="AC7550" i="2"/>
  <c r="AC7558" i="2"/>
  <c r="AC7574" i="2"/>
  <c r="AC7590" i="2"/>
  <c r="AB7609" i="2"/>
  <c r="AK7609" i="2" s="1"/>
  <c r="AB7617" i="2"/>
  <c r="AK7617" i="2" s="1"/>
  <c r="AB7625" i="2"/>
  <c r="AK7625" i="2" s="1"/>
  <c r="AB7633" i="2"/>
  <c r="AK7633" i="2" s="1"/>
  <c r="AB7649" i="2"/>
  <c r="AK7649" i="2" s="1"/>
  <c r="AB7657" i="2"/>
  <c r="AK7657" i="2" s="1"/>
  <c r="AB7665" i="2"/>
  <c r="AK7665" i="2" s="1"/>
  <c r="AC7731" i="2"/>
  <c r="AC7771" i="2"/>
  <c r="AC7779" i="2"/>
  <c r="AC7795" i="2"/>
  <c r="AB7920" i="2"/>
  <c r="AK7920" i="2" s="1"/>
  <c r="AB7928" i="2"/>
  <c r="AK7928" i="2" s="1"/>
  <c r="AB7941" i="2"/>
  <c r="AK7941" i="2" s="1"/>
  <c r="AB7949" i="2"/>
  <c r="AK7949" i="2" s="1"/>
  <c r="AB8032" i="2"/>
  <c r="AK8032" i="2" s="1"/>
  <c r="AB8068" i="2"/>
  <c r="AK8068" i="2" s="1"/>
  <c r="W6614" i="2"/>
  <c r="X6614" i="2"/>
  <c r="AC6614" i="2" s="1"/>
  <c r="AH6614" i="2"/>
  <c r="O163" i="3"/>
  <c r="T163" i="3"/>
  <c r="U163" i="3"/>
  <c r="V163" i="3" s="1"/>
  <c r="AB8062" i="2"/>
  <c r="AK8062" i="2" s="1"/>
  <c r="AB8058" i="2"/>
  <c r="AK8058" i="2" s="1"/>
  <c r="AB8066" i="2"/>
  <c r="AK8066" i="2" s="1"/>
  <c r="AC7276" i="2"/>
  <c r="Y8065" i="2"/>
  <c r="AB8076" i="2"/>
  <c r="AK8076" i="2" s="1"/>
  <c r="AB8064" i="2"/>
  <c r="AK8064" i="2" s="1"/>
  <c r="AB8069" i="2"/>
  <c r="AK8069" i="2" s="1"/>
  <c r="AB8059" i="2"/>
  <c r="AK8059" i="2" s="1"/>
  <c r="AB7753" i="2"/>
  <c r="AK7753" i="2" s="1"/>
  <c r="AB7279" i="2"/>
  <c r="AK7279" i="2" s="1"/>
  <c r="AB7839" i="2"/>
  <c r="AK7839" i="2" s="1"/>
  <c r="AB7988" i="2"/>
  <c r="AK7988" i="2" s="1"/>
  <c r="AC6386" i="2"/>
  <c r="AC6588" i="2"/>
  <c r="AC7709" i="2"/>
  <c r="AF7934" i="2"/>
  <c r="AF7830" i="2"/>
  <c r="AF7862" i="2"/>
  <c r="AF7870" i="2"/>
  <c r="Y8149" i="2"/>
  <c r="Y7942" i="2"/>
  <c r="AF7945" i="2"/>
  <c r="Y8048" i="2"/>
  <c r="AC5791" i="2"/>
  <c r="AF6734" i="2"/>
  <c r="AF7135" i="2"/>
  <c r="AF5588" i="2"/>
  <c r="AF7103" i="2"/>
  <c r="AF7311" i="2"/>
  <c r="AF5641" i="2"/>
  <c r="AC7625" i="2"/>
  <c r="AC7631" i="2"/>
  <c r="AF7315" i="2"/>
  <c r="AF7285" i="2"/>
  <c r="AC7956" i="2"/>
  <c r="AF5773" i="2"/>
  <c r="AF5910" i="2"/>
  <c r="AF5913" i="2"/>
  <c r="AF7647" i="2"/>
  <c r="AF7963" i="2"/>
  <c r="AF7971" i="2"/>
  <c r="AF7987" i="2"/>
  <c r="AF5535" i="2"/>
  <c r="AF7092" i="2"/>
  <c r="AF7279" i="2"/>
  <c r="AF7290" i="2"/>
  <c r="AF7303" i="2"/>
  <c r="AC7311" i="2"/>
  <c r="AF7588" i="2"/>
  <c r="Y7593" i="2"/>
  <c r="Y7909" i="2"/>
  <c r="AF7920" i="2"/>
  <c r="AF7011" i="2"/>
  <c r="AF7380" i="2"/>
  <c r="AF7489" i="2"/>
  <c r="AF7672" i="2"/>
  <c r="Y8082" i="2"/>
  <c r="Y8090" i="2"/>
  <c r="AF5601" i="2"/>
  <c r="AF5766" i="2"/>
  <c r="AF5871" i="2"/>
  <c r="AC7417" i="2"/>
  <c r="AF7428" i="2"/>
  <c r="AC7497" i="2"/>
  <c r="AF7503" i="2"/>
  <c r="AF7537" i="2"/>
  <c r="Y7719" i="2"/>
  <c r="AH8008" i="2"/>
  <c r="AC8038" i="2"/>
  <c r="AC6985" i="2"/>
  <c r="AF7283" i="2"/>
  <c r="AF7363" i="2"/>
  <c r="AC7737" i="2"/>
  <c r="AF7879" i="2"/>
  <c r="AF5468" i="2"/>
  <c r="AF5492" i="2"/>
  <c r="AF7060" i="2"/>
  <c r="AF7226" i="2"/>
  <c r="AF7308" i="2"/>
  <c r="AF7383" i="2"/>
  <c r="AF7455" i="2"/>
  <c r="AF7546" i="2"/>
  <c r="AC7649" i="2"/>
  <c r="AC7992" i="2"/>
  <c r="AC8100" i="2"/>
  <c r="AF5732" i="2"/>
  <c r="AF5950" i="2"/>
  <c r="AF5953" i="2"/>
  <c r="AF5980" i="2"/>
  <c r="AF6742" i="2"/>
  <c r="AF6893" i="2"/>
  <c r="AF7255" i="2"/>
  <c r="AF7298" i="2"/>
  <c r="AF7306" i="2"/>
  <c r="AF7348" i="2"/>
  <c r="AF7367" i="2"/>
  <c r="AC7383" i="2"/>
  <c r="AF7386" i="2"/>
  <c r="AF7410" i="2"/>
  <c r="AF7632" i="2"/>
  <c r="AF7660" i="2"/>
  <c r="AF7734" i="2"/>
  <c r="AF7737" i="2"/>
  <c r="AF7772" i="2"/>
  <c r="AC7884" i="2"/>
  <c r="AC8080" i="2"/>
  <c r="AC7996" i="2"/>
  <c r="AC8059" i="2"/>
  <c r="AC8062" i="2"/>
  <c r="AC8092" i="2"/>
  <c r="Y8098" i="2"/>
  <c r="AF5668" i="2"/>
  <c r="AF5673" i="2"/>
  <c r="AF6041" i="2"/>
  <c r="AF7008" i="2"/>
  <c r="AC7079" i="2"/>
  <c r="AF7300" i="2"/>
  <c r="AF7328" i="2"/>
  <c r="AF7442" i="2"/>
  <c r="Y7567" i="2"/>
  <c r="AF7631" i="2"/>
  <c r="AF7648" i="2"/>
  <c r="AF7750" i="2"/>
  <c r="AF7780" i="2"/>
  <c r="AF7799" i="2"/>
  <c r="AC7823" i="2"/>
  <c r="AC7889" i="2"/>
  <c r="AF7937" i="2"/>
  <c r="AF7950" i="2"/>
  <c r="AF5375" i="2"/>
  <c r="AC8108" i="2"/>
  <c r="Y8114" i="2"/>
  <c r="AF5684" i="2"/>
  <c r="AF5692" i="2"/>
  <c r="AF5758" i="2"/>
  <c r="AF5769" i="2"/>
  <c r="AC6053" i="2"/>
  <c r="AC6779" i="2"/>
  <c r="AF7151" i="2"/>
  <c r="AF7170" i="2"/>
  <c r="AF7178" i="2"/>
  <c r="AF7186" i="2"/>
  <c r="AF7205" i="2"/>
  <c r="AC7319" i="2"/>
  <c r="AF7333" i="2"/>
  <c r="AF7460" i="2"/>
  <c r="Y7545" i="2"/>
  <c r="AF7610" i="2"/>
  <c r="AC7647" i="2"/>
  <c r="AF7836" i="2"/>
  <c r="AF6920" i="2"/>
  <c r="AF7327" i="2"/>
  <c r="AF7778" i="2"/>
  <c r="AF7204" i="2"/>
  <c r="AF7231" i="2"/>
  <c r="AF7343" i="2"/>
  <c r="AC7367" i="2"/>
  <c r="AF7395" i="2"/>
  <c r="AF7767" i="2"/>
  <c r="AF7814" i="2"/>
  <c r="AC7849" i="2"/>
  <c r="AC7855" i="2"/>
  <c r="AF7882" i="2"/>
  <c r="AF7949" i="2"/>
  <c r="AF5652" i="2"/>
  <c r="AF5660" i="2"/>
  <c r="AF5985" i="2"/>
  <c r="AF5551" i="2"/>
  <c r="AF5982" i="2"/>
  <c r="AF5726" i="2"/>
  <c r="AF5737" i="2"/>
  <c r="AF5873" i="2"/>
  <c r="AF5878" i="2"/>
  <c r="AF5516" i="2"/>
  <c r="AF5596" i="2"/>
  <c r="AF5734" i="2"/>
  <c r="AF5748" i="2"/>
  <c r="AF5756" i="2"/>
  <c r="AF5391" i="2"/>
  <c r="AF5705" i="2"/>
  <c r="Y7513" i="2"/>
  <c r="AF7551" i="2"/>
  <c r="AF7562" i="2"/>
  <c r="AF7590" i="2"/>
  <c r="AC7657" i="2"/>
  <c r="AF7680" i="2"/>
  <c r="AF7712" i="2"/>
  <c r="AC7745" i="2"/>
  <c r="AC7809" i="2"/>
  <c r="AC7857" i="2"/>
  <c r="AF7910" i="2"/>
  <c r="AC7915" i="2"/>
  <c r="Y7929" i="2"/>
  <c r="AC7980" i="2"/>
  <c r="Y8106" i="2"/>
  <c r="AF6803" i="2"/>
  <c r="AF6916" i="2"/>
  <c r="AF7009" i="2"/>
  <c r="AF7061" i="2"/>
  <c r="AF7138" i="2"/>
  <c r="AF7176" i="2"/>
  <c r="AF7184" i="2"/>
  <c r="AF7195" i="2"/>
  <c r="AF7252" i="2"/>
  <c r="AF7260" i="2"/>
  <c r="AF7268" i="2"/>
  <c r="AF7282" i="2"/>
  <c r="AF7331" i="2"/>
  <c r="AC7361" i="2"/>
  <c r="AF7420" i="2"/>
  <c r="AC7449" i="2"/>
  <c r="AF7463" i="2"/>
  <c r="AF7526" i="2"/>
  <c r="AC7609" i="2"/>
  <c r="AF7616" i="2"/>
  <c r="AC7761" i="2"/>
  <c r="AF7820" i="2"/>
  <c r="AC7873" i="2"/>
  <c r="AC7879" i="2"/>
  <c r="AF7953" i="2"/>
  <c r="AH7992" i="2"/>
  <c r="AC8009" i="2"/>
  <c r="AC8066" i="2"/>
  <c r="Y8089" i="2"/>
  <c r="AC8116" i="2"/>
  <c r="AF6854" i="2"/>
  <c r="AF7003" i="2"/>
  <c r="AF7014" i="2"/>
  <c r="AF7097" i="2"/>
  <c r="AC7615" i="2"/>
  <c r="AF7636" i="2"/>
  <c r="AF7639" i="2"/>
  <c r="Y7673" i="2"/>
  <c r="AF7688" i="2"/>
  <c r="AF7720" i="2"/>
  <c r="AF7742" i="2"/>
  <c r="AF7806" i="2"/>
  <c r="AC7847" i="2"/>
  <c r="AF7873" i="2"/>
  <c r="AF7876" i="2"/>
  <c r="AC7920" i="2"/>
  <c r="AC7931" i="2"/>
  <c r="AC7934" i="2"/>
  <c r="AF8002" i="2"/>
  <c r="Y8009" i="2"/>
  <c r="AF7159" i="2"/>
  <c r="AC7183" i="2"/>
  <c r="AC7313" i="2"/>
  <c r="AF7375" i="2"/>
  <c r="AC7399" i="2"/>
  <c r="Y7791" i="2"/>
  <c r="AF7819" i="2"/>
  <c r="AC7982" i="2"/>
  <c r="AF8009" i="2"/>
  <c r="AC8076" i="2"/>
  <c r="AF5702" i="2"/>
  <c r="AF5855" i="2"/>
  <c r="AF6843" i="2"/>
  <c r="AF6928" i="2"/>
  <c r="AF6947" i="2"/>
  <c r="AF6995" i="2"/>
  <c r="AF7077" i="2"/>
  <c r="AF7099" i="2"/>
  <c r="AF7104" i="2"/>
  <c r="AF7172" i="2"/>
  <c r="AF7180" i="2"/>
  <c r="AF7194" i="2"/>
  <c r="AC7297" i="2"/>
  <c r="AC7303" i="2"/>
  <c r="AF7346" i="2"/>
  <c r="AF7388" i="2"/>
  <c r="AF7468" i="2"/>
  <c r="AF7504" i="2"/>
  <c r="AF7566" i="2"/>
  <c r="AF7665" i="2"/>
  <c r="AF7713" i="2"/>
  <c r="Y7727" i="2"/>
  <c r="AF7763" i="2"/>
  <c r="AF7968" i="2"/>
  <c r="AF7985" i="2"/>
  <c r="AC7993" i="2"/>
  <c r="AF8005" i="2"/>
  <c r="AF5724" i="2"/>
  <c r="AF5764" i="2"/>
  <c r="AF5972" i="2"/>
  <c r="AF6019" i="2"/>
  <c r="AF6974" i="2"/>
  <c r="AF7013" i="2"/>
  <c r="AF7196" i="2"/>
  <c r="AF7788" i="2"/>
  <c r="Y7897" i="2"/>
  <c r="Y7984" i="2"/>
  <c r="AF6804" i="2"/>
  <c r="AF6820" i="2"/>
  <c r="AF7207" i="2"/>
  <c r="AF7242" i="2"/>
  <c r="AF7280" i="2"/>
  <c r="AC7337" i="2"/>
  <c r="AC7359" i="2"/>
  <c r="AF7365" i="2"/>
  <c r="AF7481" i="2"/>
  <c r="Y7529" i="2"/>
  <c r="Y7601" i="2"/>
  <c r="AF7721" i="2"/>
  <c r="Y7924" i="2"/>
  <c r="AC8046" i="2"/>
  <c r="AC8122" i="2"/>
  <c r="AF6790" i="2"/>
  <c r="AF6801" i="2"/>
  <c r="AF6979" i="2"/>
  <c r="AF7070" i="2"/>
  <c r="AF7098" i="2"/>
  <c r="AF7109" i="2"/>
  <c r="AF7404" i="2"/>
  <c r="AF5383" i="2"/>
  <c r="AF5500" i="2"/>
  <c r="AF5503" i="2"/>
  <c r="AF5617" i="2"/>
  <c r="AF5649" i="2"/>
  <c r="AF5681" i="2"/>
  <c r="AF5713" i="2"/>
  <c r="AF5745" i="2"/>
  <c r="AF5789" i="2"/>
  <c r="AF5809" i="2"/>
  <c r="AF5902" i="2"/>
  <c r="AF5905" i="2"/>
  <c r="AF5926" i="2"/>
  <c r="AF5929" i="2"/>
  <c r="AF6056" i="2"/>
  <c r="AF5452" i="2"/>
  <c r="AF5532" i="2"/>
  <c r="AF5625" i="2"/>
  <c r="AF5646" i="2"/>
  <c r="AF5678" i="2"/>
  <c r="AF5689" i="2"/>
  <c r="AF5710" i="2"/>
  <c r="AF5721" i="2"/>
  <c r="AF5742" i="2"/>
  <c r="AF5753" i="2"/>
  <c r="AF5776" i="2"/>
  <c r="AF5815" i="2"/>
  <c r="AF5943" i="2"/>
  <c r="AF6064" i="2"/>
  <c r="AF6067" i="2"/>
  <c r="AF5487" i="2"/>
  <c r="AF5633" i="2"/>
  <c r="AF5665" i="2"/>
  <c r="AF5697" i="2"/>
  <c r="AF5729" i="2"/>
  <c r="AF5750" i="2"/>
  <c r="AF5761" i="2"/>
  <c r="AF5841" i="2"/>
  <c r="AF6001" i="2"/>
  <c r="AF5495" i="2"/>
  <c r="AF5575" i="2"/>
  <c r="AF5847" i="2"/>
  <c r="AF6027" i="2"/>
  <c r="AF5593" i="2"/>
  <c r="AF5609" i="2"/>
  <c r="AF5644" i="2"/>
  <c r="AF5676" i="2"/>
  <c r="AF5708" i="2"/>
  <c r="AF5740" i="2"/>
  <c r="AF5787" i="2"/>
  <c r="AF5823" i="2"/>
  <c r="AF5894" i="2"/>
  <c r="AF6383" i="2"/>
  <c r="AF6401" i="2"/>
  <c r="AF6739" i="2"/>
  <c r="AF6884" i="2"/>
  <c r="AF6963" i="2"/>
  <c r="AC7015" i="2"/>
  <c r="AF7057" i="2"/>
  <c r="AF7187" i="2"/>
  <c r="AF7234" i="2"/>
  <c r="AF7266" i="2"/>
  <c r="AF7275" i="2"/>
  <c r="AC7287" i="2"/>
  <c r="AF7296" i="2"/>
  <c r="AF7324" i="2"/>
  <c r="AC7329" i="2"/>
  <c r="AC7335" i="2"/>
  <c r="AF7341" i="2"/>
  <c r="AF7356" i="2"/>
  <c r="AC7385" i="2"/>
  <c r="AF7415" i="2"/>
  <c r="AF7427" i="2"/>
  <c r="AF7457" i="2"/>
  <c r="Y7705" i="2"/>
  <c r="AB7833" i="2"/>
  <c r="AK7833" i="2" s="1"/>
  <c r="Y7833" i="2"/>
  <c r="AC7833" i="2"/>
  <c r="Y7103" i="2"/>
  <c r="AF7130" i="2"/>
  <c r="AF7148" i="2"/>
  <c r="AC7151" i="2"/>
  <c r="AF7160" i="2"/>
  <c r="AC7265" i="2"/>
  <c r="AF7271" i="2"/>
  <c r="AF7284" i="2"/>
  <c r="AF7287" i="2"/>
  <c r="AF7347" i="2"/>
  <c r="AF6398" i="2"/>
  <c r="AF6817" i="2"/>
  <c r="AF6907" i="2"/>
  <c r="AF7012" i="2"/>
  <c r="AF7036" i="2"/>
  <c r="AF7062" i="2"/>
  <c r="AC7343" i="2"/>
  <c r="AF7364" i="2"/>
  <c r="AF7379" i="2"/>
  <c r="AC7393" i="2"/>
  <c r="AC7423" i="2"/>
  <c r="AF7426" i="2"/>
  <c r="AF7437" i="2"/>
  <c r="AF6794" i="2"/>
  <c r="AF6814" i="2"/>
  <c r="AF7127" i="2"/>
  <c r="AC7273" i="2"/>
  <c r="AF7274" i="2"/>
  <c r="AC7289" i="2"/>
  <c r="AC7503" i="2"/>
  <c r="AB7519" i="2"/>
  <c r="AK7519" i="2" s="1"/>
  <c r="AC7519" i="2"/>
  <c r="AB7799" i="2"/>
  <c r="AK7799" i="2" s="1"/>
  <c r="AC7799" i="2"/>
  <c r="AF6747" i="2"/>
  <c r="AF6750" i="2"/>
  <c r="AF6758" i="2"/>
  <c r="AF6819" i="2"/>
  <c r="AF6822" i="2"/>
  <c r="AF6886" i="2"/>
  <c r="AF6915" i="2"/>
  <c r="AF6918" i="2"/>
  <c r="AF6964" i="2"/>
  <c r="AC7055" i="2"/>
  <c r="AF7065" i="2"/>
  <c r="AF7212" i="2"/>
  <c r="AF7223" i="2"/>
  <c r="AF7244" i="2"/>
  <c r="AF7250" i="2"/>
  <c r="AC7351" i="2"/>
  <c r="AF7396" i="2"/>
  <c r="AF7402" i="2"/>
  <c r="AF7408" i="2"/>
  <c r="AF7411" i="2"/>
  <c r="AF7416" i="2"/>
  <c r="AF7423" i="2"/>
  <c r="AF7431" i="2"/>
  <c r="AF7434" i="2"/>
  <c r="AF7040" i="2"/>
  <c r="AF7372" i="2"/>
  <c r="AF7392" i="2"/>
  <c r="AC7433" i="2"/>
  <c r="AB7441" i="2"/>
  <c r="AK7441" i="2" s="1"/>
  <c r="AC7441" i="2"/>
  <c r="AF7480" i="2"/>
  <c r="AF7488" i="2"/>
  <c r="AB7505" i="2"/>
  <c r="AK7505" i="2" s="1"/>
  <c r="AC7505" i="2"/>
  <c r="AB7513" i="2"/>
  <c r="AK7513" i="2" s="1"/>
  <c r="AC7513" i="2"/>
  <c r="AB7521" i="2"/>
  <c r="AK7521" i="2" s="1"/>
  <c r="AC7521" i="2"/>
  <c r="AF7543" i="2"/>
  <c r="AB7894" i="2"/>
  <c r="AK7894" i="2" s="1"/>
  <c r="AC7894" i="2"/>
  <c r="AF7049" i="2"/>
  <c r="AF7073" i="2"/>
  <c r="AF7111" i="2"/>
  <c r="AF7188" i="2"/>
  <c r="AF7258" i="2"/>
  <c r="AF7889" i="2"/>
  <c r="Y7889" i="2"/>
  <c r="AB7891" i="2"/>
  <c r="AK7891" i="2" s="1"/>
  <c r="AC7891" i="2"/>
  <c r="AF6787" i="2"/>
  <c r="AF6899" i="2"/>
  <c r="AF6987" i="2"/>
  <c r="AC7063" i="2"/>
  <c r="AF7076" i="2"/>
  <c r="AF7146" i="2"/>
  <c r="AC7281" i="2"/>
  <c r="AF7319" i="2"/>
  <c r="AF7513" i="2"/>
  <c r="AB7817" i="2"/>
  <c r="AK7817" i="2" s="1"/>
  <c r="AC7817" i="2"/>
  <c r="AB7865" i="2"/>
  <c r="AK7865" i="2" s="1"/>
  <c r="Y7865" i="2"/>
  <c r="Y7737" i="2"/>
  <c r="AF7495" i="2"/>
  <c r="Y7537" i="2"/>
  <c r="Y7543" i="2"/>
  <c r="AF7559" i="2"/>
  <c r="AF7564" i="2"/>
  <c r="AF7567" i="2"/>
  <c r="AF7574" i="2"/>
  <c r="AF7625" i="2"/>
  <c r="AF7634" i="2"/>
  <c r="AF7637" i="2"/>
  <c r="AF7652" i="2"/>
  <c r="AF7664" i="2"/>
  <c r="AF7681" i="2"/>
  <c r="Y7687" i="2"/>
  <c r="AF7696" i="2"/>
  <c r="AF7711" i="2"/>
  <c r="AF7743" i="2"/>
  <c r="AF7758" i="2"/>
  <c r="AF7764" i="2"/>
  <c r="AF7839" i="2"/>
  <c r="AF7851" i="2"/>
  <c r="AF7854" i="2"/>
  <c r="AF7860" i="2"/>
  <c r="AF7871" i="2"/>
  <c r="AF7886" i="2"/>
  <c r="Y7888" i="2"/>
  <c r="AC7905" i="2"/>
  <c r="AF7908" i="2"/>
  <c r="AC7959" i="2"/>
  <c r="AF7962" i="2"/>
  <c r="Y7968" i="2"/>
  <c r="AC7974" i="2"/>
  <c r="AC7997" i="2"/>
  <c r="AC8056" i="2"/>
  <c r="AC8064" i="2"/>
  <c r="AC8069" i="2"/>
  <c r="AC8084" i="2"/>
  <c r="AC8104" i="2"/>
  <c r="AC8129" i="2"/>
  <c r="Y8122" i="2"/>
  <c r="Y8095" i="2"/>
  <c r="Y8066" i="2"/>
  <c r="Y7879" i="2"/>
  <c r="AF7606" i="2"/>
  <c r="Y7695" i="2"/>
  <c r="AF7769" i="2"/>
  <c r="Y7783" i="2"/>
  <c r="AF7833" i="2"/>
  <c r="Y7905" i="2"/>
  <c r="Y7983" i="2"/>
  <c r="Y7871" i="2"/>
  <c r="AF7902" i="2"/>
  <c r="AC7910" i="2"/>
  <c r="AF7939" i="2"/>
  <c r="AC7941" i="2"/>
  <c r="AC7958" i="2"/>
  <c r="AC7964" i="2"/>
  <c r="AC7983" i="2"/>
  <c r="AC8008" i="2"/>
  <c r="AC8012" i="2"/>
  <c r="AC8032" i="2"/>
  <c r="AC8044" i="2"/>
  <c r="AC8052" i="2"/>
  <c r="AC8073" i="2"/>
  <c r="AC8088" i="2"/>
  <c r="Y7975" i="2"/>
  <c r="Y7921" i="2"/>
  <c r="Y7609" i="2"/>
  <c r="AF7465" i="2"/>
  <c r="AF7506" i="2"/>
  <c r="AF7512" i="2"/>
  <c r="AF7524" i="2"/>
  <c r="AF7527" i="2"/>
  <c r="AF7533" i="2"/>
  <c r="Y7575" i="2"/>
  <c r="AF7602" i="2"/>
  <c r="AF7609" i="2"/>
  <c r="AF7615" i="2"/>
  <c r="AF7663" i="2"/>
  <c r="AF7671" i="2"/>
  <c r="AF7689" i="2"/>
  <c r="Y7697" i="2"/>
  <c r="AF7704" i="2"/>
  <c r="AF7719" i="2"/>
  <c r="AF7745" i="2"/>
  <c r="AF7748" i="2"/>
  <c r="AF7754" i="2"/>
  <c r="AF7809" i="2"/>
  <c r="AF7835" i="2"/>
  <c r="Y7878" i="2"/>
  <c r="AF7899" i="2"/>
  <c r="AF7924" i="2"/>
  <c r="AF7941" i="2"/>
  <c r="AC7952" i="2"/>
  <c r="AF7955" i="2"/>
  <c r="AC7967" i="2"/>
  <c r="AF7970" i="2"/>
  <c r="AF7976" i="2"/>
  <c r="AF7977" i="2"/>
  <c r="AF7989" i="2"/>
  <c r="AF7993" i="2"/>
  <c r="AC8004" i="2"/>
  <c r="Y8006" i="2"/>
  <c r="AC8042" i="2"/>
  <c r="AC8112" i="2"/>
  <c r="AC8146" i="2"/>
  <c r="Y8087" i="2"/>
  <c r="Y7967" i="2"/>
  <c r="Y7857" i="2"/>
  <c r="AF7447" i="2"/>
  <c r="AF7473" i="2"/>
  <c r="AF7487" i="2"/>
  <c r="AF7496" i="2"/>
  <c r="AF7575" i="2"/>
  <c r="AF7608" i="2"/>
  <c r="AF7623" i="2"/>
  <c r="AF7641" i="2"/>
  <c r="AF7703" i="2"/>
  <c r="AC7831" i="2"/>
  <c r="AF7846" i="2"/>
  <c r="AF7884" i="2"/>
  <c r="AF7915" i="2"/>
  <c r="AF7921" i="2"/>
  <c r="AF7926" i="2"/>
  <c r="Y7960" i="2"/>
  <c r="AC7966" i="2"/>
  <c r="AC7972" i="2"/>
  <c r="AF7979" i="2"/>
  <c r="AC7988" i="2"/>
  <c r="Y7990" i="2"/>
  <c r="AF7998" i="2"/>
  <c r="AH8000" i="2"/>
  <c r="AC8074" i="2"/>
  <c r="AC8096" i="2"/>
  <c r="Y8147" i="2"/>
  <c r="Y8079" i="2"/>
  <c r="Y7959" i="2"/>
  <c r="Y7831" i="2"/>
  <c r="AF7450" i="2"/>
  <c r="AC7489" i="2"/>
  <c r="AC7495" i="2"/>
  <c r="AF7508" i="2"/>
  <c r="AF7520" i="2"/>
  <c r="AF7535" i="2"/>
  <c r="AF7550" i="2"/>
  <c r="AF7553" i="2"/>
  <c r="AF7580" i="2"/>
  <c r="Y7735" i="2"/>
  <c r="AF7756" i="2"/>
  <c r="AF7796" i="2"/>
  <c r="AF7811" i="2"/>
  <c r="AF7828" i="2"/>
  <c r="AF7831" i="2"/>
  <c r="AF7863" i="2"/>
  <c r="AC7871" i="2"/>
  <c r="AF7903" i="2"/>
  <c r="Y7917" i="2"/>
  <c r="Y7981" i="2"/>
  <c r="Y8146" i="2"/>
  <c r="Y8129" i="2"/>
  <c r="Y8073" i="2"/>
  <c r="Y7993" i="2"/>
  <c r="Y7769" i="2"/>
  <c r="AF5444" i="2"/>
  <c r="AF5511" i="2"/>
  <c r="AF5580" i="2"/>
  <c r="AF5807" i="2"/>
  <c r="AF5820" i="2"/>
  <c r="AF5839" i="2"/>
  <c r="AF5852" i="2"/>
  <c r="AF5886" i="2"/>
  <c r="AF6069" i="2"/>
  <c r="AF5519" i="2"/>
  <c r="AF5543" i="2"/>
  <c r="AF5564" i="2"/>
  <c r="AF5567" i="2"/>
  <c r="AF5812" i="2"/>
  <c r="AF5828" i="2"/>
  <c r="AF5831" i="2"/>
  <c r="AF5863" i="2"/>
  <c r="AF5934" i="2"/>
  <c r="AF5937" i="2"/>
  <c r="AF5961" i="2"/>
  <c r="AF5977" i="2"/>
  <c r="AF5990" i="2"/>
  <c r="AF5993" i="2"/>
  <c r="AF5399" i="2"/>
  <c r="AF5463" i="2"/>
  <c r="AF5865" i="2"/>
  <c r="AF5942" i="2"/>
  <c r="AF5945" i="2"/>
  <c r="AF5964" i="2"/>
  <c r="AF6753" i="2"/>
  <c r="AF6774" i="2"/>
  <c r="AF6852" i="2"/>
  <c r="AF6908" i="2"/>
  <c r="AF6929" i="2"/>
  <c r="AF6955" i="2"/>
  <c r="AF6958" i="2"/>
  <c r="AF7000" i="2"/>
  <c r="AF7116" i="2"/>
  <c r="AF7122" i="2"/>
  <c r="AF7128" i="2"/>
  <c r="AF7143" i="2"/>
  <c r="AF7155" i="2"/>
  <c r="AF7199" i="2"/>
  <c r="AF7220" i="2"/>
  <c r="AF7247" i="2"/>
  <c r="AF7316" i="2"/>
  <c r="AF7322" i="2"/>
  <c r="AF7325" i="2"/>
  <c r="AF7354" i="2"/>
  <c r="AF7432" i="2"/>
  <c r="AF7444" i="2"/>
  <c r="AF7452" i="2"/>
  <c r="AF7542" i="2"/>
  <c r="AF7569" i="2"/>
  <c r="AF7599" i="2"/>
  <c r="AF7621" i="2"/>
  <c r="AF7624" i="2"/>
  <c r="AF7645" i="2"/>
  <c r="AF7669" i="2"/>
  <c r="AF7687" i="2"/>
  <c r="AF7740" i="2"/>
  <c r="AF7775" i="2"/>
  <c r="AF7802" i="2"/>
  <c r="AF7842" i="2"/>
  <c r="AF7868" i="2"/>
  <c r="AF7892" i="2"/>
  <c r="AF7918" i="2"/>
  <c r="AF7929" i="2"/>
  <c r="AF7932" i="2"/>
  <c r="AF7952" i="2"/>
  <c r="AF7961" i="2"/>
  <c r="AF7399" i="2"/>
  <c r="AF7440" i="2"/>
  <c r="AF7498" i="2"/>
  <c r="AF7897" i="2"/>
  <c r="AF7954" i="2"/>
  <c r="AF5918" i="2"/>
  <c r="AF5921" i="2"/>
  <c r="AF5966" i="2"/>
  <c r="AF5969" i="2"/>
  <c r="AF6062" i="2"/>
  <c r="AF6767" i="2"/>
  <c r="AF6779" i="2"/>
  <c r="AF6851" i="2"/>
  <c r="AF6937" i="2"/>
  <c r="AF6984" i="2"/>
  <c r="AF6990" i="2"/>
  <c r="AF7115" i="2"/>
  <c r="AF7228" i="2"/>
  <c r="AF7471" i="2"/>
  <c r="AF7583" i="2"/>
  <c r="AF7598" i="2"/>
  <c r="AF7601" i="2"/>
  <c r="AF7620" i="2"/>
  <c r="AF7626" i="2"/>
  <c r="AF7656" i="2"/>
  <c r="AF7697" i="2"/>
  <c r="AF7783" i="2"/>
  <c r="AF7786" i="2"/>
  <c r="AF7844" i="2"/>
  <c r="AF7847" i="2"/>
  <c r="AF7894" i="2"/>
  <c r="AF7607" i="2"/>
  <c r="AF7673" i="2"/>
  <c r="AF7759" i="2"/>
  <c r="AF7794" i="2"/>
  <c r="AF7969" i="2"/>
  <c r="AF6772" i="2"/>
  <c r="AF6980" i="2"/>
  <c r="AF7067" i="2"/>
  <c r="AF7088" i="2"/>
  <c r="AF7144" i="2"/>
  <c r="AF7162" i="2"/>
  <c r="AF7165" i="2"/>
  <c r="AF7200" i="2"/>
  <c r="AF7218" i="2"/>
  <c r="AF7239" i="2"/>
  <c r="AF7295" i="2"/>
  <c r="AF7317" i="2"/>
  <c r="AF7332" i="2"/>
  <c r="AF7335" i="2"/>
  <c r="AF7362" i="2"/>
  <c r="AF7407" i="2"/>
  <c r="AF7439" i="2"/>
  <c r="AF7445" i="2"/>
  <c r="AF7519" i="2"/>
  <c r="AF7522" i="2"/>
  <c r="AF7534" i="2"/>
  <c r="AF7679" i="2"/>
  <c r="AF7729" i="2"/>
  <c r="AF7779" i="2"/>
  <c r="AF7812" i="2"/>
  <c r="AF7826" i="2"/>
  <c r="AF7843" i="2"/>
  <c r="AF7896" i="2"/>
  <c r="AF7919" i="2"/>
  <c r="AF6745" i="2"/>
  <c r="AF6763" i="2"/>
  <c r="AF6766" i="2"/>
  <c r="AF6809" i="2"/>
  <c r="AF6812" i="2"/>
  <c r="AF6835" i="2"/>
  <c r="AF6850" i="2"/>
  <c r="AF6900" i="2"/>
  <c r="AF6992" i="2"/>
  <c r="AF7006" i="2"/>
  <c r="AF7024" i="2"/>
  <c r="AF7051" i="2"/>
  <c r="AF7054" i="2"/>
  <c r="AF7102" i="2"/>
  <c r="AF7141" i="2"/>
  <c r="AF7191" i="2"/>
  <c r="AF7197" i="2"/>
  <c r="AF7215" i="2"/>
  <c r="AF7236" i="2"/>
  <c r="AF7263" i="2"/>
  <c r="AF7276" i="2"/>
  <c r="AF7292" i="2"/>
  <c r="AF7314" i="2"/>
  <c r="AF7349" i="2"/>
  <c r="AF7376" i="2"/>
  <c r="AF7391" i="2"/>
  <c r="AF7412" i="2"/>
  <c r="AF7436" i="2"/>
  <c r="AF7476" i="2"/>
  <c r="AF7548" i="2"/>
  <c r="AF7558" i="2"/>
  <c r="AF7582" i="2"/>
  <c r="AF7591" i="2"/>
  <c r="AF7597" i="2"/>
  <c r="AF7640" i="2"/>
  <c r="AF7655" i="2"/>
  <c r="AF7658" i="2"/>
  <c r="AF7705" i="2"/>
  <c r="AF7732" i="2"/>
  <c r="AF7770" i="2"/>
  <c r="AF7793" i="2"/>
  <c r="AF7852" i="2"/>
  <c r="AF7866" i="2"/>
  <c r="AF7881" i="2"/>
  <c r="AF7887" i="2"/>
  <c r="AF7904" i="2"/>
  <c r="AF7907" i="2"/>
  <c r="AF7913" i="2"/>
  <c r="AF7927" i="2"/>
  <c r="AF7936" i="2"/>
  <c r="AF7984" i="2"/>
  <c r="AB5383" i="2"/>
  <c r="AK5383" i="2" s="1"/>
  <c r="AB5478" i="2"/>
  <c r="AK5478" i="2" s="1"/>
  <c r="AB5486" i="2"/>
  <c r="AK5486" i="2" s="1"/>
  <c r="AC5478" i="2"/>
  <c r="AC5486" i="2"/>
  <c r="AB5518" i="2"/>
  <c r="AK5518" i="2" s="1"/>
  <c r="AB5548" i="2"/>
  <c r="AK5548" i="2" s="1"/>
  <c r="Y5548" i="2"/>
  <c r="AB5561" i="2"/>
  <c r="AK5561" i="2" s="1"/>
  <c r="Y5561" i="2"/>
  <c r="AB5582" i="2"/>
  <c r="AK5582" i="2" s="1"/>
  <c r="AB5593" i="2"/>
  <c r="AK5593" i="2" s="1"/>
  <c r="Y5593" i="2"/>
  <c r="AB5601" i="2"/>
  <c r="AK5601" i="2" s="1"/>
  <c r="Y5601" i="2"/>
  <c r="AB5609" i="2"/>
  <c r="AK5609" i="2" s="1"/>
  <c r="Y5609" i="2"/>
  <c r="AB5614" i="2"/>
  <c r="AK5614" i="2" s="1"/>
  <c r="Y5614" i="2"/>
  <c r="AB5622" i="2"/>
  <c r="AK5622" i="2" s="1"/>
  <c r="Y5622" i="2"/>
  <c r="AB5630" i="2"/>
  <c r="AK5630" i="2" s="1"/>
  <c r="Y5630" i="2"/>
  <c r="AB5638" i="2"/>
  <c r="AK5638" i="2" s="1"/>
  <c r="Y5638" i="2"/>
  <c r="AB5646" i="2"/>
  <c r="AK5646" i="2" s="1"/>
  <c r="Y5646" i="2"/>
  <c r="Y5654" i="2"/>
  <c r="Y5662" i="2"/>
  <c r="AB5670" i="2"/>
  <c r="AK5670" i="2" s="1"/>
  <c r="Y5670" i="2"/>
  <c r="AB5678" i="2"/>
  <c r="AK5678" i="2" s="1"/>
  <c r="Y5678" i="2"/>
  <c r="AB5686" i="2"/>
  <c r="AK5686" i="2" s="1"/>
  <c r="Y5686" i="2"/>
  <c r="AB5694" i="2"/>
  <c r="AK5694" i="2" s="1"/>
  <c r="Y5694" i="2"/>
  <c r="AB5702" i="2"/>
  <c r="AK5702" i="2" s="1"/>
  <c r="Y5702" i="2"/>
  <c r="AB5710" i="2"/>
  <c r="AK5710" i="2" s="1"/>
  <c r="Y5710" i="2"/>
  <c r="Y5718" i="2"/>
  <c r="Y5726" i="2"/>
  <c r="AB5734" i="2"/>
  <c r="AK5734" i="2" s="1"/>
  <c r="Y5734" i="2"/>
  <c r="AB5742" i="2"/>
  <c r="AK5742" i="2" s="1"/>
  <c r="Y5742" i="2"/>
  <c r="AB5750" i="2"/>
  <c r="AK5750" i="2" s="1"/>
  <c r="Y5750" i="2"/>
  <c r="AB5758" i="2"/>
  <c r="AK5758" i="2" s="1"/>
  <c r="Y5758" i="2"/>
  <c r="AB5766" i="2"/>
  <c r="AK5766" i="2" s="1"/>
  <c r="Y5766" i="2"/>
  <c r="AC5773" i="2"/>
  <c r="AB5773" i="2"/>
  <c r="AK5773" i="2" s="1"/>
  <c r="Y5773" i="2"/>
  <c r="AF5779" i="2"/>
  <c r="AC5786" i="2"/>
  <c r="AB5786" i="2"/>
  <c r="AK5786" i="2" s="1"/>
  <c r="Y5786" i="2"/>
  <c r="AF5794" i="2"/>
  <c r="AC5806" i="2"/>
  <c r="AB5806" i="2"/>
  <c r="AK5806" i="2" s="1"/>
  <c r="Y5806" i="2"/>
  <c r="AB5815" i="2"/>
  <c r="AK5815" i="2" s="1"/>
  <c r="AF5825" i="2"/>
  <c r="AC5838" i="2"/>
  <c r="AB5838" i="2"/>
  <c r="AK5838" i="2" s="1"/>
  <c r="Y5838" i="2"/>
  <c r="AF5857" i="2"/>
  <c r="AF5897" i="2"/>
  <c r="Y5969" i="2"/>
  <c r="AB5993" i="2"/>
  <c r="AK5993" i="2" s="1"/>
  <c r="AC6006" i="2"/>
  <c r="AB6006" i="2"/>
  <c r="AK6006" i="2" s="1"/>
  <c r="Y6006" i="2"/>
  <c r="AC6027" i="2"/>
  <c r="AB6027" i="2"/>
  <c r="AK6027" i="2" s="1"/>
  <c r="Y6027" i="2"/>
  <c r="AC6051" i="2"/>
  <c r="AB6051" i="2"/>
  <c r="AK6051" i="2" s="1"/>
  <c r="Y6051" i="2"/>
  <c r="AC6056" i="2"/>
  <c r="AB6056" i="2"/>
  <c r="AK6056" i="2" s="1"/>
  <c r="Y6056" i="2"/>
  <c r="AB6064" i="2"/>
  <c r="AK6064" i="2" s="1"/>
  <c r="Y6064" i="2"/>
  <c r="AB6069" i="2"/>
  <c r="AK6069" i="2" s="1"/>
  <c r="Y6069" i="2"/>
  <c r="AC6079" i="2"/>
  <c r="AB6079" i="2"/>
  <c r="AK6079" i="2" s="1"/>
  <c r="Y6079" i="2"/>
  <c r="AB6115" i="2"/>
  <c r="AK6115" i="2" s="1"/>
  <c r="Y6131" i="2"/>
  <c r="Y6163" i="2"/>
  <c r="AC6172" i="2"/>
  <c r="AC6209" i="2"/>
  <c r="AB6209" i="2"/>
  <c r="AK6209" i="2" s="1"/>
  <c r="Y6209" i="2"/>
  <c r="AC6332" i="2"/>
  <c r="Y6342" i="2"/>
  <c r="AB6349" i="2"/>
  <c r="AK6349" i="2" s="1"/>
  <c r="Y6349" i="2"/>
  <c r="AB6353" i="2"/>
  <c r="AK6353" i="2" s="1"/>
  <c r="Y6353" i="2"/>
  <c r="AB6357" i="2"/>
  <c r="AK6357" i="2" s="1"/>
  <c r="Y6357" i="2"/>
  <c r="AB6361" i="2"/>
  <c r="AK6361" i="2" s="1"/>
  <c r="Y6361" i="2"/>
  <c r="AB6365" i="2"/>
  <c r="AK6365" i="2" s="1"/>
  <c r="Y6365" i="2"/>
  <c r="AB6375" i="2"/>
  <c r="AK6375" i="2" s="1"/>
  <c r="Y6375" i="2"/>
  <c r="AC6391" i="2"/>
  <c r="AB6391" i="2"/>
  <c r="AK6391" i="2" s="1"/>
  <c r="Y6391" i="2"/>
  <c r="AB6399" i="2"/>
  <c r="AK6399" i="2" s="1"/>
  <c r="Y6399" i="2"/>
  <c r="AC6407" i="2"/>
  <c r="AB6407" i="2"/>
  <c r="AK6407" i="2" s="1"/>
  <c r="Y6407" i="2"/>
  <c r="AC6418" i="2"/>
  <c r="AB6418" i="2"/>
  <c r="AK6418" i="2" s="1"/>
  <c r="AC6426" i="2"/>
  <c r="AB6426" i="2"/>
  <c r="AK6426" i="2" s="1"/>
  <c r="AC6434" i="2"/>
  <c r="AB6434" i="2"/>
  <c r="AK6434" i="2" s="1"/>
  <c r="AC6442" i="2"/>
  <c r="AB6442" i="2"/>
  <c r="AK6442" i="2" s="1"/>
  <c r="AC6450" i="2"/>
  <c r="AB6450" i="2"/>
  <c r="AK6450" i="2" s="1"/>
  <c r="Y6455" i="2"/>
  <c r="AB6459" i="2"/>
  <c r="AK6459" i="2" s="1"/>
  <c r="AB6475" i="2"/>
  <c r="AK6475" i="2" s="1"/>
  <c r="AC6481" i="2"/>
  <c r="AB6481" i="2"/>
  <c r="AK6481" i="2" s="1"/>
  <c r="AB6517" i="2"/>
  <c r="AK6517" i="2" s="1"/>
  <c r="AB6525" i="2"/>
  <c r="AK6525" i="2" s="1"/>
  <c r="AB6533" i="2"/>
  <c r="AK6533" i="2" s="1"/>
  <c r="AB6541" i="2"/>
  <c r="AK6541" i="2" s="1"/>
  <c r="AB6549" i="2"/>
  <c r="AK6549" i="2" s="1"/>
  <c r="AC6620" i="2"/>
  <c r="AB6620" i="2"/>
  <c r="AK6620" i="2" s="1"/>
  <c r="AC6628" i="2"/>
  <c r="AB6628" i="2"/>
  <c r="AK6628" i="2" s="1"/>
  <c r="Y6628" i="2"/>
  <c r="AC6647" i="2"/>
  <c r="Y6647" i="2"/>
  <c r="AB6650" i="2"/>
  <c r="AK6650" i="2" s="1"/>
  <c r="Y6650" i="2"/>
  <c r="AB6654" i="2"/>
  <c r="AK6654" i="2" s="1"/>
  <c r="Y6654" i="2"/>
  <c r="AB6663" i="2"/>
  <c r="AK6663" i="2" s="1"/>
  <c r="Y6663" i="2"/>
  <c r="AB6667" i="2"/>
  <c r="AK6667" i="2" s="1"/>
  <c r="AB6671" i="2"/>
  <c r="AK6671" i="2" s="1"/>
  <c r="AB6675" i="2"/>
  <c r="AK6675" i="2" s="1"/>
  <c r="AB6685" i="2"/>
  <c r="AK6685" i="2" s="1"/>
  <c r="AB6693" i="2"/>
  <c r="AK6693" i="2" s="1"/>
  <c r="AB6701" i="2"/>
  <c r="AK6701" i="2" s="1"/>
  <c r="AB6737" i="2"/>
  <c r="AK6737" i="2" s="1"/>
  <c r="Y6737" i="2"/>
  <c r="AB6765" i="2"/>
  <c r="AK6765" i="2" s="1"/>
  <c r="AC6783" i="2"/>
  <c r="Y6783" i="2"/>
  <c r="AC6789" i="2"/>
  <c r="AB6789" i="2"/>
  <c r="AK6789" i="2" s="1"/>
  <c r="AC6797" i="2"/>
  <c r="Y6801" i="2"/>
  <c r="AC6808" i="2"/>
  <c r="AB6808" i="2"/>
  <c r="AK6808" i="2" s="1"/>
  <c r="Y6808" i="2"/>
  <c r="AC6815" i="2"/>
  <c r="AB6815" i="2"/>
  <c r="AK6815" i="2" s="1"/>
  <c r="Y6825" i="2"/>
  <c r="AC6835" i="2"/>
  <c r="Y6835" i="2"/>
  <c r="AB6839" i="2"/>
  <c r="AK6839" i="2" s="1"/>
  <c r="AC6843" i="2"/>
  <c r="AB6843" i="2"/>
  <c r="AK6843" i="2" s="1"/>
  <c r="Y6843" i="2"/>
  <c r="AA6847" i="2"/>
  <c r="AB6847" i="2" s="1"/>
  <c r="AK6847" i="2" s="1"/>
  <c r="Y6847" i="2"/>
  <c r="AB6854" i="2"/>
  <c r="AK6854" i="2" s="1"/>
  <c r="Y6854" i="2"/>
  <c r="AB6871" i="2"/>
  <c r="AK6871" i="2" s="1"/>
  <c r="Y6871" i="2"/>
  <c r="AB6874" i="2"/>
  <c r="AK6874" i="2" s="1"/>
  <c r="Y6874" i="2"/>
  <c r="AB6884" i="2"/>
  <c r="AK6884" i="2" s="1"/>
  <c r="Y6884" i="2"/>
  <c r="AC6891" i="2"/>
  <c r="AB6891" i="2"/>
  <c r="AK6891" i="2" s="1"/>
  <c r="Y6891" i="2"/>
  <c r="AC6895" i="2"/>
  <c r="AB6895" i="2"/>
  <c r="AK6895" i="2" s="1"/>
  <c r="AB6908" i="2"/>
  <c r="AK6908" i="2" s="1"/>
  <c r="Y6908" i="2"/>
  <c r="AC6915" i="2"/>
  <c r="AB6915" i="2"/>
  <c r="AK6915" i="2" s="1"/>
  <c r="Y6915" i="2"/>
  <c r="AB6925" i="2"/>
  <c r="AK6925" i="2" s="1"/>
  <c r="Y6925" i="2"/>
  <c r="AB6928" i="2"/>
  <c r="AK6928" i="2" s="1"/>
  <c r="Y6928" i="2"/>
  <c r="AC6932" i="2"/>
  <c r="AB6932" i="2"/>
  <c r="AK6932" i="2" s="1"/>
  <c r="Y6932" i="2"/>
  <c r="AC6942" i="2"/>
  <c r="Y6942" i="2"/>
  <c r="AC6954" i="2"/>
  <c r="AB6954" i="2"/>
  <c r="AK6954" i="2" s="1"/>
  <c r="AC6964" i="2"/>
  <c r="Y6964" i="2"/>
  <c r="AC6970" i="2"/>
  <c r="AB6970" i="2"/>
  <c r="AK6970" i="2" s="1"/>
  <c r="AC6986" i="2"/>
  <c r="AB6986" i="2"/>
  <c r="AK6986" i="2" s="1"/>
  <c r="AC7001" i="2"/>
  <c r="AB7001" i="2"/>
  <c r="AK7001" i="2" s="1"/>
  <c r="AB7007" i="2"/>
  <c r="AK7007" i="2" s="1"/>
  <c r="AC7017" i="2"/>
  <c r="Y7017" i="2"/>
  <c r="AB7023" i="2"/>
  <c r="AK7023" i="2" s="1"/>
  <c r="AC7023" i="2"/>
  <c r="AB7039" i="2"/>
  <c r="AK7039" i="2" s="1"/>
  <c r="AC7039" i="2"/>
  <c r="AB7095" i="2"/>
  <c r="AK7095" i="2" s="1"/>
  <c r="Y7095" i="2"/>
  <c r="AC7146" i="2"/>
  <c r="AB7146" i="2"/>
  <c r="AK7146" i="2" s="1"/>
  <c r="Y7146" i="2"/>
  <c r="AC7167" i="2"/>
  <c r="AB7167" i="2"/>
  <c r="AK7167" i="2" s="1"/>
  <c r="Y7167" i="2"/>
  <c r="AB7182" i="2"/>
  <c r="AK7182" i="2" s="1"/>
  <c r="AC7182" i="2"/>
  <c r="AB7223" i="2"/>
  <c r="AK7223" i="2" s="1"/>
  <c r="Y7223" i="2"/>
  <c r="AC7223" i="2"/>
  <c r="AC7288" i="2"/>
  <c r="AB7288" i="2"/>
  <c r="AK7288" i="2" s="1"/>
  <c r="Y7288" i="2"/>
  <c r="AC7310" i="2"/>
  <c r="AB7310" i="2"/>
  <c r="AK7310" i="2" s="1"/>
  <c r="AC7373" i="2"/>
  <c r="AB7373" i="2"/>
  <c r="AK7373" i="2" s="1"/>
  <c r="Y7373" i="2"/>
  <c r="AB7587" i="2"/>
  <c r="AK7587" i="2" s="1"/>
  <c r="Y7587" i="2"/>
  <c r="AC7587" i="2"/>
  <c r="AB7606" i="2"/>
  <c r="AK7606" i="2" s="1"/>
  <c r="Y7606" i="2"/>
  <c r="AC7606" i="2"/>
  <c r="AB7702" i="2"/>
  <c r="AK7702" i="2" s="1"/>
  <c r="Y7702" i="2"/>
  <c r="AC7702" i="2"/>
  <c r="AB5428" i="2"/>
  <c r="AK5428" i="2" s="1"/>
  <c r="AC5643" i="2"/>
  <c r="AB5643" i="2"/>
  <c r="AK5643" i="2" s="1"/>
  <c r="AB5462" i="2"/>
  <c r="AK5462" i="2" s="1"/>
  <c r="Y5462" i="2"/>
  <c r="AB5438" i="2"/>
  <c r="AK5438" i="2" s="1"/>
  <c r="AB5401" i="2"/>
  <c r="AK5401" i="2" s="1"/>
  <c r="AC5409" i="2"/>
  <c r="AB5412" i="2"/>
  <c r="AK5412" i="2" s="1"/>
  <c r="AC5438" i="2"/>
  <c r="AB5526" i="2"/>
  <c r="AK5526" i="2" s="1"/>
  <c r="AC5535" i="2"/>
  <c r="AC5548" i="2"/>
  <c r="AB5556" i="2"/>
  <c r="AK5556" i="2" s="1"/>
  <c r="Y5556" i="2"/>
  <c r="AC5561" i="2"/>
  <c r="AB5569" i="2"/>
  <c r="AK5569" i="2" s="1"/>
  <c r="Y5569" i="2"/>
  <c r="AB5617" i="2"/>
  <c r="AK5617" i="2" s="1"/>
  <c r="Y5617" i="2"/>
  <c r="AB5625" i="2"/>
  <c r="AK5625" i="2" s="1"/>
  <c r="Y5625" i="2"/>
  <c r="AB5633" i="2"/>
  <c r="AK5633" i="2" s="1"/>
  <c r="Y5633" i="2"/>
  <c r="Y5641" i="2"/>
  <c r="Y5649" i="2"/>
  <c r="Y5657" i="2"/>
  <c r="AB5665" i="2"/>
  <c r="AK5665" i="2" s="1"/>
  <c r="Y5665" i="2"/>
  <c r="AB5673" i="2"/>
  <c r="AK5673" i="2" s="1"/>
  <c r="Y5673" i="2"/>
  <c r="Y5681" i="2"/>
  <c r="AB5689" i="2"/>
  <c r="AK5689" i="2" s="1"/>
  <c r="Y5689" i="2"/>
  <c r="AB5697" i="2"/>
  <c r="AK5697" i="2" s="1"/>
  <c r="Y5697" i="2"/>
  <c r="AB5705" i="2"/>
  <c r="AK5705" i="2" s="1"/>
  <c r="Y5705" i="2"/>
  <c r="AB5721" i="2"/>
  <c r="AK5721" i="2" s="1"/>
  <c r="Y5721" i="2"/>
  <c r="AB5729" i="2"/>
  <c r="AK5729" i="2" s="1"/>
  <c r="Y5729" i="2"/>
  <c r="AB5737" i="2"/>
  <c r="AK5737" i="2" s="1"/>
  <c r="Y5737" i="2"/>
  <c r="AB5745" i="2"/>
  <c r="AK5745" i="2" s="1"/>
  <c r="Y5745" i="2"/>
  <c r="AB5753" i="2"/>
  <c r="AK5753" i="2" s="1"/>
  <c r="Y5753" i="2"/>
  <c r="AB5761" i="2"/>
  <c r="AK5761" i="2" s="1"/>
  <c r="Y5761" i="2"/>
  <c r="AB5769" i="2"/>
  <c r="AK5769" i="2" s="1"/>
  <c r="Y5769" i="2"/>
  <c r="AC5781" i="2"/>
  <c r="AB5781" i="2"/>
  <c r="AK5781" i="2" s="1"/>
  <c r="Y5781" i="2"/>
  <c r="AB5793" i="2"/>
  <c r="AK5793" i="2" s="1"/>
  <c r="AC5801" i="2"/>
  <c r="AB5801" i="2"/>
  <c r="AK5801" i="2" s="1"/>
  <c r="Y5801" i="2"/>
  <c r="AB5819" i="2"/>
  <c r="AK5819" i="2" s="1"/>
  <c r="AB5828" i="2"/>
  <c r="AK5828" i="2" s="1"/>
  <c r="Y5828" i="2"/>
  <c r="AC5833" i="2"/>
  <c r="AB5833" i="2"/>
  <c r="AK5833" i="2" s="1"/>
  <c r="Y5833" i="2"/>
  <c r="AB5851" i="2"/>
  <c r="AK5851" i="2" s="1"/>
  <c r="AB5860" i="2"/>
  <c r="AK5860" i="2" s="1"/>
  <c r="Y5860" i="2"/>
  <c r="AB5865" i="2"/>
  <c r="AK5865" i="2" s="1"/>
  <c r="Y5865" i="2"/>
  <c r="AB5873" i="2"/>
  <c r="AK5873" i="2" s="1"/>
  <c r="Y5873" i="2"/>
  <c r="AB5880" i="2"/>
  <c r="AK5880" i="2" s="1"/>
  <c r="AB5888" i="2"/>
  <c r="AK5888" i="2" s="1"/>
  <c r="AB5896" i="2"/>
  <c r="AK5896" i="2" s="1"/>
  <c r="AB5904" i="2"/>
  <c r="AK5904" i="2" s="1"/>
  <c r="AB5912" i="2"/>
  <c r="AK5912" i="2" s="1"/>
  <c r="AB5928" i="2"/>
  <c r="AK5928" i="2" s="1"/>
  <c r="AB5936" i="2"/>
  <c r="AK5936" i="2" s="1"/>
  <c r="AB5944" i="2"/>
  <c r="AK5944" i="2" s="1"/>
  <c r="AB5952" i="2"/>
  <c r="AK5952" i="2" s="1"/>
  <c r="AC5969" i="2"/>
  <c r="Y5977" i="2"/>
  <c r="AB5982" i="2"/>
  <c r="AK5982" i="2" s="1"/>
  <c r="Y5982" i="2"/>
  <c r="AB5989" i="2"/>
  <c r="AK5989" i="2" s="1"/>
  <c r="AB5997" i="2"/>
  <c r="AK5997" i="2" s="1"/>
  <c r="AF6006" i="2"/>
  <c r="AC6014" i="2"/>
  <c r="AB6014" i="2"/>
  <c r="AK6014" i="2" s="1"/>
  <c r="Y6014" i="2"/>
  <c r="Y6035" i="2"/>
  <c r="AB6043" i="2"/>
  <c r="AK6043" i="2" s="1"/>
  <c r="Y6043" i="2"/>
  <c r="AC6064" i="2"/>
  <c r="AC6069" i="2"/>
  <c r="AB6072" i="2"/>
  <c r="AK6072" i="2" s="1"/>
  <c r="Y6072" i="2"/>
  <c r="AB6076" i="2"/>
  <c r="AK6076" i="2" s="1"/>
  <c r="Y6076" i="2"/>
  <c r="AC6085" i="2"/>
  <c r="AC6088" i="2"/>
  <c r="AB6088" i="2"/>
  <c r="AK6088" i="2" s="1"/>
  <c r="Y6088" i="2"/>
  <c r="AB6094" i="2"/>
  <c r="AK6094" i="2" s="1"/>
  <c r="Y6094" i="2"/>
  <c r="AC6104" i="2"/>
  <c r="AB6104" i="2"/>
  <c r="AK6104" i="2" s="1"/>
  <c r="Y6104" i="2"/>
  <c r="AC6112" i="2"/>
  <c r="AB6112" i="2"/>
  <c r="AK6112" i="2" s="1"/>
  <c r="Y6112" i="2"/>
  <c r="AC6120" i="2"/>
  <c r="AB6120" i="2"/>
  <c r="AK6120" i="2" s="1"/>
  <c r="Y6120" i="2"/>
  <c r="AC6128" i="2"/>
  <c r="AB6128" i="2"/>
  <c r="AK6128" i="2" s="1"/>
  <c r="Y6128" i="2"/>
  <c r="AC6136" i="2"/>
  <c r="AB6136" i="2"/>
  <c r="AK6136" i="2" s="1"/>
  <c r="Y6136" i="2"/>
  <c r="AC6144" i="2"/>
  <c r="AB6144" i="2"/>
  <c r="AK6144" i="2" s="1"/>
  <c r="Y6144" i="2"/>
  <c r="AC6147" i="2"/>
  <c r="AC6152" i="2"/>
  <c r="AB6152" i="2"/>
  <c r="AK6152" i="2" s="1"/>
  <c r="Y6152" i="2"/>
  <c r="AC6160" i="2"/>
  <c r="AB6160" i="2"/>
  <c r="AK6160" i="2" s="1"/>
  <c r="Y6160" i="2"/>
  <c r="AC6179" i="2"/>
  <c r="AB6179" i="2"/>
  <c r="AK6179" i="2" s="1"/>
  <c r="Y6179" i="2"/>
  <c r="AB6187" i="2"/>
  <c r="AK6187" i="2" s="1"/>
  <c r="Y6187" i="2"/>
  <c r="AC6195" i="2"/>
  <c r="AB6195" i="2"/>
  <c r="AK6195" i="2" s="1"/>
  <c r="Y6195" i="2"/>
  <c r="AB6203" i="2"/>
  <c r="AK6203" i="2" s="1"/>
  <c r="Y6203" i="2"/>
  <c r="AB6212" i="2"/>
  <c r="AK6212" i="2" s="1"/>
  <c r="Y6212" i="2"/>
  <c r="AB6339" i="2"/>
  <c r="AK6339" i="2" s="1"/>
  <c r="Y6339" i="2"/>
  <c r="AB6345" i="2"/>
  <c r="AK6345" i="2" s="1"/>
  <c r="Y6345" i="2"/>
  <c r="AC6349" i="2"/>
  <c r="AC6353" i="2"/>
  <c r="AC6357" i="2"/>
  <c r="AC6361" i="2"/>
  <c r="AC6365" i="2"/>
  <c r="AC6372" i="2"/>
  <c r="AB6372" i="2"/>
  <c r="AK6372" i="2" s="1"/>
  <c r="Y6372" i="2"/>
  <c r="AC6375" i="2"/>
  <c r="AC6380" i="2"/>
  <c r="AB6380" i="2"/>
  <c r="AK6380" i="2" s="1"/>
  <c r="Y6380" i="2"/>
  <c r="AB6388" i="2"/>
  <c r="AK6388" i="2" s="1"/>
  <c r="AB6396" i="2"/>
  <c r="AK6396" i="2" s="1"/>
  <c r="AC6399" i="2"/>
  <c r="AB6404" i="2"/>
  <c r="AK6404" i="2" s="1"/>
  <c r="AB6412" i="2"/>
  <c r="AK6412" i="2" s="1"/>
  <c r="Y6412" i="2"/>
  <c r="AB6431" i="2"/>
  <c r="AK6431" i="2" s="1"/>
  <c r="Y6431" i="2"/>
  <c r="AB6439" i="2"/>
  <c r="AK6439" i="2" s="1"/>
  <c r="AC6467" i="2"/>
  <c r="AC6471" i="2"/>
  <c r="AB6478" i="2"/>
  <c r="AK6478" i="2" s="1"/>
  <c r="Y6478" i="2"/>
  <c r="AB6486" i="2"/>
  <c r="AK6486" i="2" s="1"/>
  <c r="Y6486" i="2"/>
  <c r="AB6492" i="2"/>
  <c r="AK6492" i="2" s="1"/>
  <c r="Y6492" i="2"/>
  <c r="AB6496" i="2"/>
  <c r="AK6496" i="2" s="1"/>
  <c r="Y6496" i="2"/>
  <c r="AB6500" i="2"/>
  <c r="AK6500" i="2" s="1"/>
  <c r="Y6500" i="2"/>
  <c r="AB6504" i="2"/>
  <c r="AK6504" i="2" s="1"/>
  <c r="Y6504" i="2"/>
  <c r="AB6508" i="2"/>
  <c r="AK6508" i="2" s="1"/>
  <c r="Y6508" i="2"/>
  <c r="AC6514" i="2"/>
  <c r="AC6517" i="2"/>
  <c r="AC6522" i="2"/>
  <c r="Y6522" i="2"/>
  <c r="AC6525" i="2"/>
  <c r="AC6530" i="2"/>
  <c r="AC6533" i="2"/>
  <c r="AC6538" i="2"/>
  <c r="Y6538" i="2"/>
  <c r="AC6541" i="2"/>
  <c r="AC6546" i="2"/>
  <c r="AC6549" i="2"/>
  <c r="AC6554" i="2"/>
  <c r="AB6554" i="2"/>
  <c r="AK6554" i="2" s="1"/>
  <c r="Y6554" i="2"/>
  <c r="AC6562" i="2"/>
  <c r="AB6562" i="2"/>
  <c r="AK6562" i="2" s="1"/>
  <c r="Y6562" i="2"/>
  <c r="AC6570" i="2"/>
  <c r="AB6570" i="2"/>
  <c r="AK6570" i="2" s="1"/>
  <c r="Y6570" i="2"/>
  <c r="AC6578" i="2"/>
  <c r="AB6578" i="2"/>
  <c r="AK6578" i="2" s="1"/>
  <c r="Y6578" i="2"/>
  <c r="AB6583" i="2"/>
  <c r="AK6583" i="2" s="1"/>
  <c r="AB6587" i="2"/>
  <c r="AK6587" i="2" s="1"/>
  <c r="AB6591" i="2"/>
  <c r="AK6591" i="2" s="1"/>
  <c r="AB6595" i="2"/>
  <c r="AK6595" i="2" s="1"/>
  <c r="AB6599" i="2"/>
  <c r="AK6599" i="2" s="1"/>
  <c r="AB6603" i="2"/>
  <c r="AK6603" i="2" s="1"/>
  <c r="AB6607" i="2"/>
  <c r="AK6607" i="2" s="1"/>
  <c r="AB6611" i="2"/>
  <c r="AK6611" i="2" s="1"/>
  <c r="AB6617" i="2"/>
  <c r="AK6617" i="2" s="1"/>
  <c r="Y6617" i="2"/>
  <c r="AB6625" i="2"/>
  <c r="AK6625" i="2" s="1"/>
  <c r="Y6625" i="2"/>
  <c r="AB6633" i="2"/>
  <c r="AK6633" i="2" s="1"/>
  <c r="Y6633" i="2"/>
  <c r="AC6650" i="2"/>
  <c r="AC6654" i="2"/>
  <c r="AC6663" i="2"/>
  <c r="AC6667" i="2"/>
  <c r="AC6671" i="2"/>
  <c r="AC6675" i="2"/>
  <c r="AC6682" i="2"/>
  <c r="AB6682" i="2"/>
  <c r="AK6682" i="2" s="1"/>
  <c r="AC6685" i="2"/>
  <c r="AC6690" i="2"/>
  <c r="AB6690" i="2"/>
  <c r="AK6690" i="2" s="1"/>
  <c r="AC6693" i="2"/>
  <c r="AC6698" i="2"/>
  <c r="AB6698" i="2"/>
  <c r="AK6698" i="2" s="1"/>
  <c r="AC6701" i="2"/>
  <c r="AC6706" i="2"/>
  <c r="AB6706" i="2"/>
  <c r="AK6706" i="2" s="1"/>
  <c r="Y6706" i="2"/>
  <c r="AC6714" i="2"/>
  <c r="AB6714" i="2"/>
  <c r="AK6714" i="2" s="1"/>
  <c r="Y6714" i="2"/>
  <c r="AC6722" i="2"/>
  <c r="AB6722" i="2"/>
  <c r="AK6722" i="2" s="1"/>
  <c r="Y6722" i="2"/>
  <c r="AC6730" i="2"/>
  <c r="AB6730" i="2"/>
  <c r="AK6730" i="2" s="1"/>
  <c r="Y6730" i="2"/>
  <c r="AC6737" i="2"/>
  <c r="AC6742" i="2"/>
  <c r="Y6742" i="2"/>
  <c r="AA6743" i="2"/>
  <c r="AB6743" i="2" s="1"/>
  <c r="AB6759" i="2"/>
  <c r="AK6759" i="2" s="1"/>
  <c r="Y6759" i="2"/>
  <c r="Y6760" i="2"/>
  <c r="Y6761" i="2"/>
  <c r="AC6765" i="2"/>
  <c r="AB6768" i="2"/>
  <c r="AK6768" i="2" s="1"/>
  <c r="Y6768" i="2"/>
  <c r="AF6780" i="2"/>
  <c r="AA6783" i="2"/>
  <c r="AB6783" i="2" s="1"/>
  <c r="AK6783" i="2" s="1"/>
  <c r="Y6793" i="2"/>
  <c r="AA6797" i="2"/>
  <c r="AB6797" i="2" s="1"/>
  <c r="AK6797" i="2" s="1"/>
  <c r="AF6798" i="2"/>
  <c r="AB6804" i="2"/>
  <c r="AK6804" i="2" s="1"/>
  <c r="Y6804" i="2"/>
  <c r="AB6811" i="2"/>
  <c r="AK6811" i="2" s="1"/>
  <c r="Y6811" i="2"/>
  <c r="AB6821" i="2"/>
  <c r="AK6821" i="2" s="1"/>
  <c r="AA6835" i="2"/>
  <c r="AB6835" i="2" s="1"/>
  <c r="AF6836" i="2"/>
  <c r="AC6839" i="2"/>
  <c r="AC6847" i="2"/>
  <c r="AB6853" i="2"/>
  <c r="AK6853" i="2" s="1"/>
  <c r="AC6854" i="2"/>
  <c r="AC6857" i="2"/>
  <c r="AB6857" i="2"/>
  <c r="AK6857" i="2" s="1"/>
  <c r="Y6857" i="2"/>
  <c r="AC6859" i="2"/>
  <c r="AB6859" i="2"/>
  <c r="AK6859" i="2" s="1"/>
  <c r="Y6859" i="2"/>
  <c r="AC6861" i="2"/>
  <c r="AB6861" i="2"/>
  <c r="AK6861" i="2" s="1"/>
  <c r="Y6861" i="2"/>
  <c r="AC6871" i="2"/>
  <c r="AC6874" i="2"/>
  <c r="AB6877" i="2"/>
  <c r="AK6877" i="2" s="1"/>
  <c r="Y6877" i="2"/>
  <c r="AC6884" i="2"/>
  <c r="AF6892" i="2"/>
  <c r="AF6895" i="2"/>
  <c r="AF6905" i="2"/>
  <c r="AB6918" i="2"/>
  <c r="AK6918" i="2" s="1"/>
  <c r="Y6918" i="2"/>
  <c r="AB6921" i="2"/>
  <c r="AK6921" i="2" s="1"/>
  <c r="AC6925" i="2"/>
  <c r="AC6928" i="2"/>
  <c r="AB6931" i="2"/>
  <c r="AK6931" i="2" s="1"/>
  <c r="Y6931" i="2"/>
  <c r="AF6935" i="2"/>
  <c r="AC6938" i="2"/>
  <c r="AB6938" i="2"/>
  <c r="AK6938" i="2" s="1"/>
  <c r="AF6942" i="2"/>
  <c r="AC6945" i="2"/>
  <c r="AB6957" i="2"/>
  <c r="AK6957" i="2" s="1"/>
  <c r="Y6957" i="2"/>
  <c r="AB6960" i="2"/>
  <c r="AK6960" i="2" s="1"/>
  <c r="Y6960" i="2"/>
  <c r="AB6979" i="2"/>
  <c r="AK6979" i="2" s="1"/>
  <c r="Y6979" i="2"/>
  <c r="AC6979" i="2"/>
  <c r="AC7007" i="2"/>
  <c r="AB7010" i="2"/>
  <c r="AK7010" i="2" s="1"/>
  <c r="Y7010" i="2"/>
  <c r="AC7045" i="2"/>
  <c r="AB7045" i="2"/>
  <c r="AK7045" i="2" s="1"/>
  <c r="Y7045" i="2"/>
  <c r="AB7048" i="2"/>
  <c r="AK7048" i="2" s="1"/>
  <c r="Y7048" i="2"/>
  <c r="AC7051" i="2"/>
  <c r="AB7051" i="2"/>
  <c r="AK7051" i="2" s="1"/>
  <c r="Y7051" i="2"/>
  <c r="AC7054" i="2"/>
  <c r="AB7054" i="2"/>
  <c r="AK7054" i="2" s="1"/>
  <c r="AC7057" i="2"/>
  <c r="AB7057" i="2"/>
  <c r="AK7057" i="2" s="1"/>
  <c r="Y7057" i="2"/>
  <c r="AF7089" i="2"/>
  <c r="AC7095" i="2"/>
  <c r="AF7119" i="2"/>
  <c r="AB7140" i="2"/>
  <c r="AK7140" i="2" s="1"/>
  <c r="Y7140" i="2"/>
  <c r="AC7140" i="2"/>
  <c r="AF7164" i="2"/>
  <c r="AB7247" i="2"/>
  <c r="AK7247" i="2" s="1"/>
  <c r="Y7247" i="2"/>
  <c r="AC7247" i="2"/>
  <c r="AB7354" i="2"/>
  <c r="AK7354" i="2" s="1"/>
  <c r="Y7354" i="2"/>
  <c r="AC7354" i="2"/>
  <c r="AC7414" i="2"/>
  <c r="AB7414" i="2"/>
  <c r="AK7414" i="2" s="1"/>
  <c r="AB7452" i="2"/>
  <c r="AK7452" i="2" s="1"/>
  <c r="Y7452" i="2"/>
  <c r="AC7452" i="2"/>
  <c r="AB7542" i="2"/>
  <c r="AK7542" i="2" s="1"/>
  <c r="Y7542" i="2"/>
  <c r="AC7542" i="2"/>
  <c r="AC7569" i="2"/>
  <c r="AB7569" i="2"/>
  <c r="AK7569" i="2" s="1"/>
  <c r="Y7569" i="2"/>
  <c r="AB7572" i="2"/>
  <c r="AK7572" i="2" s="1"/>
  <c r="Y7572" i="2"/>
  <c r="AC7572" i="2"/>
  <c r="AB7584" i="2"/>
  <c r="AK7584" i="2" s="1"/>
  <c r="AC7584" i="2"/>
  <c r="AC7599" i="2"/>
  <c r="AB7599" i="2"/>
  <c r="AK7599" i="2" s="1"/>
  <c r="Y7599" i="2"/>
  <c r="AB7678" i="2"/>
  <c r="AK7678" i="2" s="1"/>
  <c r="Y7678" i="2"/>
  <c r="AC7678" i="2"/>
  <c r="AB7726" i="2"/>
  <c r="AK7726" i="2" s="1"/>
  <c r="Y7726" i="2"/>
  <c r="AC7726" i="2"/>
  <c r="AB5566" i="2"/>
  <c r="AK5566" i="2" s="1"/>
  <c r="AC5651" i="2"/>
  <c r="AB5651" i="2"/>
  <c r="AK5651" i="2" s="1"/>
  <c r="AB5446" i="2"/>
  <c r="AK5446" i="2" s="1"/>
  <c r="AC5383" i="2"/>
  <c r="AB5420" i="2"/>
  <c r="AK5420" i="2" s="1"/>
  <c r="Y5420" i="2"/>
  <c r="AC5462" i="2"/>
  <c r="AC5375" i="2"/>
  <c r="AB5393" i="2"/>
  <c r="AK5393" i="2" s="1"/>
  <c r="Y5393" i="2"/>
  <c r="AF5394" i="2"/>
  <c r="AB5404" i="2"/>
  <c r="AK5404" i="2" s="1"/>
  <c r="Y5404" i="2"/>
  <c r="AC5412" i="2"/>
  <c r="AB5423" i="2"/>
  <c r="AK5423" i="2" s="1"/>
  <c r="AB5441" i="2"/>
  <c r="AK5441" i="2" s="1"/>
  <c r="Y5441" i="2"/>
  <c r="AB5449" i="2"/>
  <c r="AK5449" i="2" s="1"/>
  <c r="Y5449" i="2"/>
  <c r="AB5457" i="2"/>
  <c r="AK5457" i="2" s="1"/>
  <c r="Y5457" i="2"/>
  <c r="AB5465" i="2"/>
  <c r="AK5465" i="2" s="1"/>
  <c r="Y5465" i="2"/>
  <c r="AB5473" i="2"/>
  <c r="AK5473" i="2" s="1"/>
  <c r="Y5473" i="2"/>
  <c r="AB5481" i="2"/>
  <c r="AK5481" i="2" s="1"/>
  <c r="Y5481" i="2"/>
  <c r="AB5489" i="2"/>
  <c r="AK5489" i="2" s="1"/>
  <c r="Y5489" i="2"/>
  <c r="AB5497" i="2"/>
  <c r="AK5497" i="2" s="1"/>
  <c r="Y5497" i="2"/>
  <c r="AB5505" i="2"/>
  <c r="AK5505" i="2" s="1"/>
  <c r="Y5505" i="2"/>
  <c r="AB5513" i="2"/>
  <c r="AK5513" i="2" s="1"/>
  <c r="Y5513" i="2"/>
  <c r="AC5526" i="2"/>
  <c r="AB5534" i="2"/>
  <c r="AK5534" i="2" s="1"/>
  <c r="AF5561" i="2"/>
  <c r="AB5564" i="2"/>
  <c r="AK5564" i="2" s="1"/>
  <c r="Y5564" i="2"/>
  <c r="AC5569" i="2"/>
  <c r="AB5577" i="2"/>
  <c r="AK5577" i="2" s="1"/>
  <c r="Y5577" i="2"/>
  <c r="AC5585" i="2"/>
  <c r="AB5585" i="2"/>
  <c r="AK5585" i="2" s="1"/>
  <c r="Y5585" i="2"/>
  <c r="AC5617" i="2"/>
  <c r="AC5625" i="2"/>
  <c r="AC5633" i="2"/>
  <c r="AC5641" i="2"/>
  <c r="AC5649" i="2"/>
  <c r="AC5657" i="2"/>
  <c r="AC5673" i="2"/>
  <c r="AC5681" i="2"/>
  <c r="AC5689" i="2"/>
  <c r="AC5697" i="2"/>
  <c r="AC5705" i="2"/>
  <c r="AC5713" i="2"/>
  <c r="AC5721" i="2"/>
  <c r="AC5729" i="2"/>
  <c r="AF5730" i="2"/>
  <c r="AC5737" i="2"/>
  <c r="AC5745" i="2"/>
  <c r="AC5753" i="2"/>
  <c r="AC5761" i="2"/>
  <c r="AC5769" i="2"/>
  <c r="AB5776" i="2"/>
  <c r="AK5776" i="2" s="1"/>
  <c r="Y5776" i="2"/>
  <c r="AF5781" i="2"/>
  <c r="AC5789" i="2"/>
  <c r="AB5789" i="2"/>
  <c r="AK5789" i="2" s="1"/>
  <c r="Y5789" i="2"/>
  <c r="AC5793" i="2"/>
  <c r="AF5801" i="2"/>
  <c r="AC5814" i="2"/>
  <c r="AB5814" i="2"/>
  <c r="AK5814" i="2" s="1"/>
  <c r="Y5814" i="2"/>
  <c r="AC5819" i="2"/>
  <c r="AC5828" i="2"/>
  <c r="AF5833" i="2"/>
  <c r="AC5846" i="2"/>
  <c r="AB5846" i="2"/>
  <c r="AK5846" i="2" s="1"/>
  <c r="Y5846" i="2"/>
  <c r="AC5851" i="2"/>
  <c r="AC5860" i="2"/>
  <c r="AC5865" i="2"/>
  <c r="AC5873" i="2"/>
  <c r="AC5880" i="2"/>
  <c r="AF5884" i="2"/>
  <c r="AC5888" i="2"/>
  <c r="AF5892" i="2"/>
  <c r="AC5896" i="2"/>
  <c r="AF5900" i="2"/>
  <c r="AF5908" i="2"/>
  <c r="AF5916" i="2"/>
  <c r="AF5924" i="2"/>
  <c r="AF5932" i="2"/>
  <c r="AF5940" i="2"/>
  <c r="AF5948" i="2"/>
  <c r="AF5956" i="2"/>
  <c r="AC5968" i="2"/>
  <c r="AB5976" i="2"/>
  <c r="AK5976" i="2" s="1"/>
  <c r="AC5985" i="2"/>
  <c r="AB5985" i="2"/>
  <c r="AK5985" i="2" s="1"/>
  <c r="Y5985" i="2"/>
  <c r="AC5992" i="2"/>
  <c r="AB5992" i="2"/>
  <c r="AK5992" i="2" s="1"/>
  <c r="Y5992" i="2"/>
  <c r="AB6000" i="2"/>
  <c r="AK6000" i="2" s="1"/>
  <c r="Y6000" i="2"/>
  <c r="AB6005" i="2"/>
  <c r="AK6005" i="2" s="1"/>
  <c r="AC6022" i="2"/>
  <c r="AB6022" i="2"/>
  <c r="AK6022" i="2" s="1"/>
  <c r="Y6022" i="2"/>
  <c r="AB6050" i="2"/>
  <c r="AK6050" i="2" s="1"/>
  <c r="AB6097" i="2"/>
  <c r="AK6097" i="2" s="1"/>
  <c r="AB6133" i="2"/>
  <c r="AK6133" i="2" s="1"/>
  <c r="AB6157" i="2"/>
  <c r="AK6157" i="2" s="1"/>
  <c r="Y6165" i="2"/>
  <c r="AC6168" i="2"/>
  <c r="AB6168" i="2"/>
  <c r="AK6168" i="2" s="1"/>
  <c r="AC6171" i="2"/>
  <c r="AB6171" i="2"/>
  <c r="AK6171" i="2" s="1"/>
  <c r="Y6171" i="2"/>
  <c r="AC6174" i="2"/>
  <c r="Y6184" i="2"/>
  <c r="AB6192" i="2"/>
  <c r="AK6192" i="2" s="1"/>
  <c r="AC6219" i="2"/>
  <c r="AB6219" i="2"/>
  <c r="AK6219" i="2" s="1"/>
  <c r="Y6219" i="2"/>
  <c r="AC6221" i="2"/>
  <c r="AB6221" i="2"/>
  <c r="AK6221" i="2" s="1"/>
  <c r="Y6221" i="2"/>
  <c r="AC6223" i="2"/>
  <c r="AB6223" i="2"/>
  <c r="AK6223" i="2" s="1"/>
  <c r="Y6223" i="2"/>
  <c r="AC6225" i="2"/>
  <c r="AB6225" i="2"/>
  <c r="AK6225" i="2" s="1"/>
  <c r="Y6225" i="2"/>
  <c r="AC6227" i="2"/>
  <c r="AB6227" i="2"/>
  <c r="AK6227" i="2" s="1"/>
  <c r="Y6227" i="2"/>
  <c r="AC6229" i="2"/>
  <c r="AB6229" i="2"/>
  <c r="AK6229" i="2" s="1"/>
  <c r="Y6229" i="2"/>
  <c r="AC6231" i="2"/>
  <c r="AB6231" i="2"/>
  <c r="AK6231" i="2" s="1"/>
  <c r="Y6231" i="2"/>
  <c r="AC6233" i="2"/>
  <c r="Y6233" i="2"/>
  <c r="AC6235" i="2"/>
  <c r="AB6235" i="2"/>
  <c r="AK6235" i="2" s="1"/>
  <c r="Y6235" i="2"/>
  <c r="AC6237" i="2"/>
  <c r="AB6237" i="2"/>
  <c r="AK6237" i="2" s="1"/>
  <c r="Y6237" i="2"/>
  <c r="AB6239" i="2"/>
  <c r="AK6239" i="2" s="1"/>
  <c r="Y6239" i="2"/>
  <c r="AC6241" i="2"/>
  <c r="AB6241" i="2"/>
  <c r="AK6241" i="2" s="1"/>
  <c r="Y6241" i="2"/>
  <c r="AC6243" i="2"/>
  <c r="AB6243" i="2"/>
  <c r="AK6243" i="2" s="1"/>
  <c r="AC6245" i="2"/>
  <c r="AB6245" i="2"/>
  <c r="AK6245" i="2" s="1"/>
  <c r="Y6245" i="2"/>
  <c r="AC6247" i="2"/>
  <c r="AB6247" i="2"/>
  <c r="AK6247" i="2" s="1"/>
  <c r="Y6247" i="2"/>
  <c r="AC6249" i="2"/>
  <c r="AK6249" i="2"/>
  <c r="Y6249" i="2"/>
  <c r="AC6251" i="2"/>
  <c r="AB6251" i="2"/>
  <c r="AK6251" i="2" s="1"/>
  <c r="Y6251" i="2"/>
  <c r="AC6253" i="2"/>
  <c r="AB6253" i="2"/>
  <c r="AK6253" i="2" s="1"/>
  <c r="AC6255" i="2"/>
  <c r="AB6255" i="2"/>
  <c r="AK6255" i="2" s="1"/>
  <c r="Y6255" i="2"/>
  <c r="AC6257" i="2"/>
  <c r="AB6257" i="2"/>
  <c r="AK6257" i="2" s="1"/>
  <c r="Y6257" i="2"/>
  <c r="AC6259" i="2"/>
  <c r="Y6259" i="2"/>
  <c r="AC6261" i="2"/>
  <c r="AB6261" i="2"/>
  <c r="AK6261" i="2" s="1"/>
  <c r="Y6261" i="2"/>
  <c r="AC6263" i="2"/>
  <c r="AB6263" i="2"/>
  <c r="AK6263" i="2" s="1"/>
  <c r="Y6263" i="2"/>
  <c r="AB6265" i="2"/>
  <c r="AK6265" i="2" s="1"/>
  <c r="Y6265" i="2"/>
  <c r="AC6267" i="2"/>
  <c r="AB6267" i="2"/>
  <c r="AK6267" i="2" s="1"/>
  <c r="Y6267" i="2"/>
  <c r="AC6269" i="2"/>
  <c r="AB6269" i="2"/>
  <c r="AK6269" i="2" s="1"/>
  <c r="AC6271" i="2"/>
  <c r="AB6271" i="2"/>
  <c r="AK6271" i="2" s="1"/>
  <c r="Y6271" i="2"/>
  <c r="AC6273" i="2"/>
  <c r="AB6273" i="2"/>
  <c r="AK6273" i="2" s="1"/>
  <c r="Y6273" i="2"/>
  <c r="AB6275" i="2"/>
  <c r="AK6275" i="2" s="1"/>
  <c r="Y6275" i="2"/>
  <c r="AC6277" i="2"/>
  <c r="AB6277" i="2"/>
  <c r="AK6277" i="2" s="1"/>
  <c r="Y6277" i="2"/>
  <c r="AC6279" i="2"/>
  <c r="AB6279" i="2"/>
  <c r="AK6279" i="2" s="1"/>
  <c r="AC6281" i="2"/>
  <c r="AB6281" i="2"/>
  <c r="AK6281" i="2" s="1"/>
  <c r="Y6281" i="2"/>
  <c r="AC6283" i="2"/>
  <c r="AB6283" i="2"/>
  <c r="AK6283" i="2" s="1"/>
  <c r="Y6283" i="2"/>
  <c r="AC6285" i="2"/>
  <c r="Y6285" i="2"/>
  <c r="AC6287" i="2"/>
  <c r="AB6287" i="2"/>
  <c r="AK6287" i="2" s="1"/>
  <c r="Y6287" i="2"/>
  <c r="AC6289" i="2"/>
  <c r="AB6289" i="2"/>
  <c r="AK6289" i="2" s="1"/>
  <c r="Y6289" i="2"/>
  <c r="AB6291" i="2"/>
  <c r="AK6291" i="2" s="1"/>
  <c r="Y6291" i="2"/>
  <c r="AC6293" i="2"/>
  <c r="AB6293" i="2"/>
  <c r="AK6293" i="2" s="1"/>
  <c r="Y6293" i="2"/>
  <c r="AC6295" i="2"/>
  <c r="AB6295" i="2"/>
  <c r="AK6295" i="2" s="1"/>
  <c r="AC6297" i="2"/>
  <c r="AB6297" i="2"/>
  <c r="AK6297" i="2" s="1"/>
  <c r="Y6297" i="2"/>
  <c r="AC6299" i="2"/>
  <c r="AB6299" i="2"/>
  <c r="AK6299" i="2" s="1"/>
  <c r="Y6299" i="2"/>
  <c r="AC6301" i="2"/>
  <c r="AK6301" i="2"/>
  <c r="Y6301" i="2"/>
  <c r="AC6303" i="2"/>
  <c r="AB6303" i="2"/>
  <c r="AK6303" i="2" s="1"/>
  <c r="Y6303" i="2"/>
  <c r="AC6305" i="2"/>
  <c r="AB6305" i="2"/>
  <c r="AK6305" i="2" s="1"/>
  <c r="AC6307" i="2"/>
  <c r="AB6307" i="2"/>
  <c r="AK6307" i="2" s="1"/>
  <c r="Y6307" i="2"/>
  <c r="AC6309" i="2"/>
  <c r="AB6309" i="2"/>
  <c r="AK6309" i="2" s="1"/>
  <c r="Y6309" i="2"/>
  <c r="AC6311" i="2"/>
  <c r="Y6311" i="2"/>
  <c r="AC6313" i="2"/>
  <c r="AB6313" i="2"/>
  <c r="AK6313" i="2" s="1"/>
  <c r="Y6313" i="2"/>
  <c r="AC6315" i="2"/>
  <c r="AB6315" i="2"/>
  <c r="AK6315" i="2" s="1"/>
  <c r="Y6315" i="2"/>
  <c r="AB6317" i="2"/>
  <c r="AK6317" i="2" s="1"/>
  <c r="Y6317" i="2"/>
  <c r="AC6319" i="2"/>
  <c r="AB6319" i="2"/>
  <c r="AK6319" i="2" s="1"/>
  <c r="Y6319" i="2"/>
  <c r="AC6321" i="2"/>
  <c r="AB6321" i="2"/>
  <c r="AK6321" i="2" s="1"/>
  <c r="Y6321" i="2"/>
  <c r="AC6323" i="2"/>
  <c r="AB6323" i="2"/>
  <c r="AK6323" i="2" s="1"/>
  <c r="Y6323" i="2"/>
  <c r="AC6325" i="2"/>
  <c r="AB6325" i="2"/>
  <c r="AK6325" i="2" s="1"/>
  <c r="Y6325" i="2"/>
  <c r="AC6327" i="2"/>
  <c r="AB6327" i="2"/>
  <c r="AK6327" i="2" s="1"/>
  <c r="Y6327" i="2"/>
  <c r="AB6336" i="2"/>
  <c r="AK6336" i="2" s="1"/>
  <c r="Y6352" i="2"/>
  <c r="AB6360" i="2"/>
  <c r="AK6360" i="2" s="1"/>
  <c r="Y6364" i="2"/>
  <c r="AC6367" i="2"/>
  <c r="AB6367" i="2"/>
  <c r="AK6367" i="2" s="1"/>
  <c r="Y6367" i="2"/>
  <c r="AB6369" i="2"/>
  <c r="AK6369" i="2" s="1"/>
  <c r="Y6369" i="2"/>
  <c r="AB6377" i="2"/>
  <c r="AK6377" i="2" s="1"/>
  <c r="Y6377" i="2"/>
  <c r="AC6385" i="2"/>
  <c r="AB6385" i="2"/>
  <c r="AK6385" i="2" s="1"/>
  <c r="Y6385" i="2"/>
  <c r="AC6393" i="2"/>
  <c r="AB6393" i="2"/>
  <c r="AK6393" i="2" s="1"/>
  <c r="Y6393" i="2"/>
  <c r="AC6409" i="2"/>
  <c r="AB6409" i="2"/>
  <c r="AK6409" i="2" s="1"/>
  <c r="Y6409" i="2"/>
  <c r="AC6420" i="2"/>
  <c r="AB6420" i="2"/>
  <c r="AK6420" i="2" s="1"/>
  <c r="AC6428" i="2"/>
  <c r="AB6428" i="2"/>
  <c r="AK6428" i="2" s="1"/>
  <c r="AC6436" i="2"/>
  <c r="AB6436" i="2"/>
  <c r="AK6436" i="2" s="1"/>
  <c r="AC6444" i="2"/>
  <c r="AB6444" i="2"/>
  <c r="AK6444" i="2" s="1"/>
  <c r="AC6452" i="2"/>
  <c r="AB6452" i="2"/>
  <c r="AK6452" i="2" s="1"/>
  <c r="AB6458" i="2"/>
  <c r="AK6458" i="2" s="1"/>
  <c r="Y6458" i="2"/>
  <c r="AB6462" i="2"/>
  <c r="AK6462" i="2" s="1"/>
  <c r="Y6462" i="2"/>
  <c r="AB6466" i="2"/>
  <c r="AK6466" i="2" s="1"/>
  <c r="Y6466" i="2"/>
  <c r="AB6470" i="2"/>
  <c r="AK6470" i="2" s="1"/>
  <c r="Y6470" i="2"/>
  <c r="AB6474" i="2"/>
  <c r="AK6474" i="2" s="1"/>
  <c r="AC6483" i="2"/>
  <c r="AB6483" i="2"/>
  <c r="AK6483" i="2" s="1"/>
  <c r="Y6483" i="2"/>
  <c r="AB6511" i="2"/>
  <c r="AK6511" i="2" s="1"/>
  <c r="AB6519" i="2"/>
  <c r="AK6519" i="2" s="1"/>
  <c r="AB6527" i="2"/>
  <c r="AK6527" i="2" s="1"/>
  <c r="AB6535" i="2"/>
  <c r="AK6535" i="2" s="1"/>
  <c r="AB6543" i="2"/>
  <c r="AK6543" i="2" s="1"/>
  <c r="AC6622" i="2"/>
  <c r="AB6622" i="2"/>
  <c r="AK6622" i="2" s="1"/>
  <c r="Y6622" i="2"/>
  <c r="AC6630" i="2"/>
  <c r="AB6630" i="2"/>
  <c r="AK6630" i="2" s="1"/>
  <c r="Y6630" i="2"/>
  <c r="AC6656" i="2"/>
  <c r="AB6656" i="2"/>
  <c r="AK6656" i="2" s="1"/>
  <c r="Y6656" i="2"/>
  <c r="AB6662" i="2"/>
  <c r="AK6662" i="2" s="1"/>
  <c r="Y6662" i="2"/>
  <c r="AB6666" i="2"/>
  <c r="AK6666" i="2" s="1"/>
  <c r="Y6666" i="2"/>
  <c r="AB6670" i="2"/>
  <c r="AK6670" i="2" s="1"/>
  <c r="Y6670" i="2"/>
  <c r="AB6674" i="2"/>
  <c r="AK6674" i="2" s="1"/>
  <c r="Y6674" i="2"/>
  <c r="AB6679" i="2"/>
  <c r="AK6679" i="2" s="1"/>
  <c r="AB6687" i="2"/>
  <c r="AK6687" i="2" s="1"/>
  <c r="AB6695" i="2"/>
  <c r="AK6695" i="2" s="1"/>
  <c r="AB6703" i="2"/>
  <c r="AK6703" i="2" s="1"/>
  <c r="AB6736" i="2"/>
  <c r="AK6736" i="2" s="1"/>
  <c r="Y6736" i="2"/>
  <c r="AC6741" i="2"/>
  <c r="AC6764" i="2"/>
  <c r="Y6764" i="2"/>
  <c r="AC6775" i="2"/>
  <c r="AB6800" i="2"/>
  <c r="AK6800" i="2" s="1"/>
  <c r="Y6800" i="2"/>
  <c r="AB6807" i="2"/>
  <c r="AK6807" i="2" s="1"/>
  <c r="Y6807" i="2"/>
  <c r="AB6814" i="2"/>
  <c r="AK6814" i="2" s="1"/>
  <c r="Y6814" i="2"/>
  <c r="AB6828" i="2"/>
  <c r="AK6828" i="2" s="1"/>
  <c r="AC6831" i="2"/>
  <c r="AB6831" i="2"/>
  <c r="AK6831" i="2" s="1"/>
  <c r="Y6831" i="2"/>
  <c r="AB6838" i="2"/>
  <c r="AK6838" i="2" s="1"/>
  <c r="Y6838" i="2"/>
  <c r="AA6846" i="2"/>
  <c r="Y6846" i="2"/>
  <c r="AC6863" i="2"/>
  <c r="AB6863" i="2"/>
  <c r="AK6863" i="2" s="1"/>
  <c r="Y6863" i="2"/>
  <c r="AC6868" i="2"/>
  <c r="AB6868" i="2"/>
  <c r="AK6868" i="2" s="1"/>
  <c r="Y6868" i="2"/>
  <c r="AC6880" i="2"/>
  <c r="AB6880" i="2"/>
  <c r="AK6880" i="2" s="1"/>
  <c r="AC6887" i="2"/>
  <c r="Y6887" i="2"/>
  <c r="AB6890" i="2"/>
  <c r="AK6890" i="2" s="1"/>
  <c r="Y6890" i="2"/>
  <c r="AB6894" i="2"/>
  <c r="AK6894" i="2" s="1"/>
  <c r="Y6894" i="2"/>
  <c r="AB6897" i="2"/>
  <c r="AK6897" i="2" s="1"/>
  <c r="Y6897" i="2"/>
  <c r="AC6901" i="2"/>
  <c r="AB6901" i="2"/>
  <c r="AK6901" i="2" s="1"/>
  <c r="AC6904" i="2"/>
  <c r="AB6904" i="2"/>
  <c r="AK6904" i="2" s="1"/>
  <c r="Y6904" i="2"/>
  <c r="AC6911" i="2"/>
  <c r="AB6911" i="2"/>
  <c r="AK6911" i="2" s="1"/>
  <c r="Y6911" i="2"/>
  <c r="Y6941" i="2"/>
  <c r="AB6944" i="2"/>
  <c r="AK6944" i="2" s="1"/>
  <c r="Y6944" i="2"/>
  <c r="AC6948" i="2"/>
  <c r="AB6948" i="2"/>
  <c r="AK6948" i="2" s="1"/>
  <c r="Y6963" i="2"/>
  <c r="AC6963" i="2"/>
  <c r="AC6998" i="2"/>
  <c r="Y6998" i="2"/>
  <c r="AC7041" i="2"/>
  <c r="AB7041" i="2"/>
  <c r="AK7041" i="2" s="1"/>
  <c r="AC7048" i="2"/>
  <c r="AB7088" i="2"/>
  <c r="AK7088" i="2" s="1"/>
  <c r="Y7088" i="2"/>
  <c r="AC7088" i="2"/>
  <c r="AB7112" i="2"/>
  <c r="AK7112" i="2" s="1"/>
  <c r="Y7112" i="2"/>
  <c r="AC7118" i="2"/>
  <c r="AB7118" i="2"/>
  <c r="AK7118" i="2" s="1"/>
  <c r="AC7158" i="2"/>
  <c r="AB7158" i="2"/>
  <c r="AK7158" i="2" s="1"/>
  <c r="AB7175" i="2"/>
  <c r="AK7175" i="2" s="1"/>
  <c r="Y7175" i="2"/>
  <c r="AC7175" i="2"/>
  <c r="AB7196" i="2"/>
  <c r="AK7196" i="2" s="1"/>
  <c r="Y7196" i="2"/>
  <c r="AC7196" i="2"/>
  <c r="AB7271" i="2"/>
  <c r="AK7271" i="2" s="1"/>
  <c r="Y7271" i="2"/>
  <c r="AC7271" i="2"/>
  <c r="AC7384" i="2"/>
  <c r="AB7384" i="2"/>
  <c r="AK7384" i="2" s="1"/>
  <c r="Y7384" i="2"/>
  <c r="AB7429" i="2"/>
  <c r="AK7429" i="2" s="1"/>
  <c r="Y7429" i="2"/>
  <c r="AC7429" i="2"/>
  <c r="AC7486" i="2"/>
  <c r="AB7486" i="2"/>
  <c r="AK7486" i="2" s="1"/>
  <c r="Y7486" i="2"/>
  <c r="AB7523" i="2"/>
  <c r="AK7523" i="2" s="1"/>
  <c r="Y7523" i="2"/>
  <c r="AC7523" i="2"/>
  <c r="AC5627" i="2"/>
  <c r="AB5627" i="2"/>
  <c r="AK5627" i="2" s="1"/>
  <c r="Y5627" i="2"/>
  <c r="AC5659" i="2"/>
  <c r="Y5385" i="2"/>
  <c r="AB5396" i="2"/>
  <c r="AK5396" i="2" s="1"/>
  <c r="Y5396" i="2"/>
  <c r="AB5415" i="2"/>
  <c r="AK5415" i="2" s="1"/>
  <c r="Y5415" i="2"/>
  <c r="AB5521" i="2"/>
  <c r="AK5521" i="2" s="1"/>
  <c r="Y5521" i="2"/>
  <c r="Y5572" i="2"/>
  <c r="AB5608" i="2"/>
  <c r="AK5608" i="2" s="1"/>
  <c r="AB5784" i="2"/>
  <c r="AK5784" i="2" s="1"/>
  <c r="Y5784" i="2"/>
  <c r="AB5796" i="2"/>
  <c r="AK5796" i="2" s="1"/>
  <c r="Y5796" i="2"/>
  <c r="AB5804" i="2"/>
  <c r="AK5804" i="2" s="1"/>
  <c r="Y5804" i="2"/>
  <c r="AC5809" i="2"/>
  <c r="AB5809" i="2"/>
  <c r="AK5809" i="2" s="1"/>
  <c r="Y5809" i="2"/>
  <c r="AB5827" i="2"/>
  <c r="AK5827" i="2" s="1"/>
  <c r="AB5836" i="2"/>
  <c r="AK5836" i="2" s="1"/>
  <c r="Y5836" i="2"/>
  <c r="AC5841" i="2"/>
  <c r="AB5841" i="2"/>
  <c r="AK5841" i="2" s="1"/>
  <c r="Y5841" i="2"/>
  <c r="AB5859" i="2"/>
  <c r="AK5859" i="2" s="1"/>
  <c r="AB5868" i="2"/>
  <c r="AK5868" i="2" s="1"/>
  <c r="Y5868" i="2"/>
  <c r="AB5876" i="2"/>
  <c r="AK5876" i="2" s="1"/>
  <c r="Y5876" i="2"/>
  <c r="AB5883" i="2"/>
  <c r="AK5883" i="2" s="1"/>
  <c r="Y5883" i="2"/>
  <c r="Y5891" i="2"/>
  <c r="Y5895" i="2"/>
  <c r="AB5899" i="2"/>
  <c r="AK5899" i="2" s="1"/>
  <c r="Y5899" i="2"/>
  <c r="AB5907" i="2"/>
  <c r="AK5907" i="2" s="1"/>
  <c r="Y5907" i="2"/>
  <c r="AB5915" i="2"/>
  <c r="AK5915" i="2" s="1"/>
  <c r="Y5915" i="2"/>
  <c r="AB5923" i="2"/>
  <c r="AK5923" i="2" s="1"/>
  <c r="Y5923" i="2"/>
  <c r="AB5931" i="2"/>
  <c r="AK5931" i="2" s="1"/>
  <c r="Y5931" i="2"/>
  <c r="AB5939" i="2"/>
  <c r="AK5939" i="2" s="1"/>
  <c r="Y5939" i="2"/>
  <c r="AB5947" i="2"/>
  <c r="AK5947" i="2" s="1"/>
  <c r="Y5947" i="2"/>
  <c r="AB5955" i="2"/>
  <c r="AK5955" i="2" s="1"/>
  <c r="Y5955" i="2"/>
  <c r="AC5963" i="2"/>
  <c r="AB5963" i="2"/>
  <c r="AK5963" i="2" s="1"/>
  <c r="Y5963" i="2"/>
  <c r="AC5976" i="2"/>
  <c r="AB5988" i="2"/>
  <c r="AK5988" i="2" s="1"/>
  <c r="AC6000" i="2"/>
  <c r="AC6005" i="2"/>
  <c r="AB6008" i="2"/>
  <c r="AK6008" i="2" s="1"/>
  <c r="Y6008" i="2"/>
  <c r="AB6013" i="2"/>
  <c r="AK6013" i="2" s="1"/>
  <c r="AC6030" i="2"/>
  <c r="AB6030" i="2"/>
  <c r="AK6030" i="2" s="1"/>
  <c r="Y6030" i="2"/>
  <c r="AB6038" i="2"/>
  <c r="AK6038" i="2" s="1"/>
  <c r="Y6038" i="2"/>
  <c r="AC6050" i="2"/>
  <c r="AB6059" i="2"/>
  <c r="AK6059" i="2" s="1"/>
  <c r="Y6059" i="2"/>
  <c r="Y6067" i="2"/>
  <c r="AC6071" i="2"/>
  <c r="AB6071" i="2"/>
  <c r="AK6071" i="2" s="1"/>
  <c r="AB6078" i="2"/>
  <c r="AK6078" i="2" s="1"/>
  <c r="Y6078" i="2"/>
  <c r="AC6084" i="2"/>
  <c r="AB6084" i="2"/>
  <c r="AK6084" i="2" s="1"/>
  <c r="Y6084" i="2"/>
  <c r="AB6090" i="2"/>
  <c r="AK6090" i="2" s="1"/>
  <c r="Y6090" i="2"/>
  <c r="AB6100" i="2"/>
  <c r="AK6100" i="2" s="1"/>
  <c r="Y6100" i="2"/>
  <c r="AC6106" i="2"/>
  <c r="AB6106" i="2"/>
  <c r="AK6106" i="2" s="1"/>
  <c r="Y6106" i="2"/>
  <c r="AC6114" i="2"/>
  <c r="AB6114" i="2"/>
  <c r="AK6114" i="2" s="1"/>
  <c r="Y6114" i="2"/>
  <c r="AC6117" i="2"/>
  <c r="AC6122" i="2"/>
  <c r="AB6122" i="2"/>
  <c r="AK6122" i="2" s="1"/>
  <c r="Y6122" i="2"/>
  <c r="AC6130" i="2"/>
  <c r="AB6130" i="2"/>
  <c r="AK6130" i="2" s="1"/>
  <c r="Y6130" i="2"/>
  <c r="AC6138" i="2"/>
  <c r="AB6138" i="2"/>
  <c r="AK6138" i="2" s="1"/>
  <c r="Y6138" i="2"/>
  <c r="AC6146" i="2"/>
  <c r="AB6146" i="2"/>
  <c r="AK6146" i="2" s="1"/>
  <c r="Y6146" i="2"/>
  <c r="AC6154" i="2"/>
  <c r="AB6154" i="2"/>
  <c r="AK6154" i="2" s="1"/>
  <c r="Y6154" i="2"/>
  <c r="AC6162" i="2"/>
  <c r="AB6162" i="2"/>
  <c r="AK6162" i="2" s="1"/>
  <c r="Y6162" i="2"/>
  <c r="AC6181" i="2"/>
  <c r="AB6181" i="2"/>
  <c r="AK6181" i="2" s="1"/>
  <c r="Y6181" i="2"/>
  <c r="AC6189" i="2"/>
  <c r="AB6189" i="2"/>
  <c r="AK6189" i="2" s="1"/>
  <c r="Y6189" i="2"/>
  <c r="AC6197" i="2"/>
  <c r="Y6197" i="2"/>
  <c r="AC6205" i="2"/>
  <c r="AB6205" i="2"/>
  <c r="AK6205" i="2" s="1"/>
  <c r="Y6205" i="2"/>
  <c r="AB6211" i="2"/>
  <c r="AK6211" i="2" s="1"/>
  <c r="Y6211" i="2"/>
  <c r="Y6215" i="2"/>
  <c r="AC6329" i="2"/>
  <c r="AB6329" i="2"/>
  <c r="AK6329" i="2" s="1"/>
  <c r="Y6329" i="2"/>
  <c r="AB6331" i="2"/>
  <c r="AK6331" i="2" s="1"/>
  <c r="Y6331" i="2"/>
  <c r="AB6341" i="2"/>
  <c r="AK6341" i="2" s="1"/>
  <c r="Y6341" i="2"/>
  <c r="AC6348" i="2"/>
  <c r="AC6356" i="2"/>
  <c r="AC6369" i="2"/>
  <c r="AC6374" i="2"/>
  <c r="AB6374" i="2"/>
  <c r="AK6374" i="2" s="1"/>
  <c r="Y6374" i="2"/>
  <c r="AC6377" i="2"/>
  <c r="AB6390" i="2"/>
  <c r="AK6390" i="2" s="1"/>
  <c r="AB6406" i="2"/>
  <c r="AK6406" i="2" s="1"/>
  <c r="AB6414" i="2"/>
  <c r="AK6414" i="2" s="1"/>
  <c r="Y6414" i="2"/>
  <c r="AB6417" i="2"/>
  <c r="AK6417" i="2" s="1"/>
  <c r="Y6417" i="2"/>
  <c r="AB6425" i="2"/>
  <c r="AK6425" i="2" s="1"/>
  <c r="Y6425" i="2"/>
  <c r="AB6433" i="2"/>
  <c r="AK6433" i="2" s="1"/>
  <c r="Y6441" i="2"/>
  <c r="AB6449" i="2"/>
  <c r="AK6449" i="2" s="1"/>
  <c r="AC6458" i="2"/>
  <c r="AC6462" i="2"/>
  <c r="AC6466" i="2"/>
  <c r="AC6470" i="2"/>
  <c r="AC6474" i="2"/>
  <c r="AB6480" i="2"/>
  <c r="AK6480" i="2" s="1"/>
  <c r="Y6480" i="2"/>
  <c r="AB6488" i="2"/>
  <c r="AK6488" i="2" s="1"/>
  <c r="Y6488" i="2"/>
  <c r="AC6511" i="2"/>
  <c r="AC6516" i="2"/>
  <c r="AC6519" i="2"/>
  <c r="AC6524" i="2"/>
  <c r="Y6524" i="2"/>
  <c r="AC6527" i="2"/>
  <c r="AC6532" i="2"/>
  <c r="AC6535" i="2"/>
  <c r="AC6540" i="2"/>
  <c r="Y6540" i="2"/>
  <c r="AC6543" i="2"/>
  <c r="AC6548" i="2"/>
  <c r="AC6556" i="2"/>
  <c r="Y6556" i="2"/>
  <c r="AC6564" i="2"/>
  <c r="AB6564" i="2"/>
  <c r="AK6564" i="2" s="1"/>
  <c r="Y6564" i="2"/>
  <c r="AC6572" i="2"/>
  <c r="AB6572" i="2"/>
  <c r="AK6572" i="2" s="1"/>
  <c r="Y6572" i="2"/>
  <c r="AC6580" i="2"/>
  <c r="AB6580" i="2"/>
  <c r="AK6580" i="2" s="1"/>
  <c r="Y6580" i="2"/>
  <c r="AB6586" i="2"/>
  <c r="AK6586" i="2" s="1"/>
  <c r="Y6586" i="2"/>
  <c r="AB6590" i="2"/>
  <c r="AK6590" i="2" s="1"/>
  <c r="Y6594" i="2"/>
  <c r="AB6598" i="2"/>
  <c r="AK6598" i="2" s="1"/>
  <c r="AB6602" i="2"/>
  <c r="AK6602" i="2" s="1"/>
  <c r="Y6602" i="2"/>
  <c r="AB6606" i="2"/>
  <c r="AK6606" i="2" s="1"/>
  <c r="Y6610" i="2"/>
  <c r="AB6619" i="2"/>
  <c r="AK6619" i="2" s="1"/>
  <c r="Y6619" i="2"/>
  <c r="AB6627" i="2"/>
  <c r="AK6627" i="2" s="1"/>
  <c r="Y6627" i="2"/>
  <c r="AB6635" i="2"/>
  <c r="AK6635" i="2" s="1"/>
  <c r="Y6635" i="2"/>
  <c r="AB6639" i="2"/>
  <c r="AK6639" i="2" s="1"/>
  <c r="Y6639" i="2"/>
  <c r="AB6643" i="2"/>
  <c r="AK6643" i="2" s="1"/>
  <c r="Y6643" i="2"/>
  <c r="AB6646" i="2"/>
  <c r="AK6646" i="2" s="1"/>
  <c r="AC6649" i="2"/>
  <c r="AC6662" i="2"/>
  <c r="AC6666" i="2"/>
  <c r="AC6670" i="2"/>
  <c r="AC6674" i="2"/>
  <c r="AC6679" i="2"/>
  <c r="AC6684" i="2"/>
  <c r="AB6684" i="2"/>
  <c r="AK6684" i="2" s="1"/>
  <c r="AC6687" i="2"/>
  <c r="AC6692" i="2"/>
  <c r="AB6692" i="2"/>
  <c r="AK6692" i="2" s="1"/>
  <c r="AC6695" i="2"/>
  <c r="AC6700" i="2"/>
  <c r="AB6700" i="2"/>
  <c r="AK6700" i="2" s="1"/>
  <c r="AC6703" i="2"/>
  <c r="AC6708" i="2"/>
  <c r="AB6708" i="2"/>
  <c r="AK6708" i="2" s="1"/>
  <c r="Y6708" i="2"/>
  <c r="AC6716" i="2"/>
  <c r="AB6716" i="2"/>
  <c r="AK6716" i="2" s="1"/>
  <c r="Y6716" i="2"/>
  <c r="AC6724" i="2"/>
  <c r="AB6724" i="2"/>
  <c r="AK6724" i="2" s="1"/>
  <c r="Y6724" i="2"/>
  <c r="AC6732" i="2"/>
  <c r="AB6732" i="2"/>
  <c r="AK6732" i="2" s="1"/>
  <c r="Y6732" i="2"/>
  <c r="AB6735" i="2"/>
  <c r="AK6735" i="2" s="1"/>
  <c r="Y6735" i="2"/>
  <c r="AC6736" i="2"/>
  <c r="Y6740" i="2"/>
  <c r="AA6741" i="2"/>
  <c r="AB6741" i="2" s="1"/>
  <c r="AK6741" i="2" s="1"/>
  <c r="AB6747" i="2"/>
  <c r="AK6747" i="2" s="1"/>
  <c r="Y6747" i="2"/>
  <c r="AF6748" i="2"/>
  <c r="AC6755" i="2"/>
  <c r="AB6755" i="2"/>
  <c r="AK6755" i="2" s="1"/>
  <c r="Y6755" i="2"/>
  <c r="AF6756" i="2"/>
  <c r="AC6758" i="2"/>
  <c r="AB6758" i="2"/>
  <c r="AK6758" i="2" s="1"/>
  <c r="Y6758" i="2"/>
  <c r="AC6759" i="2"/>
  <c r="AC6760" i="2"/>
  <c r="AF6761" i="2"/>
  <c r="AC6771" i="2"/>
  <c r="AB6771" i="2"/>
  <c r="AK6771" i="2" s="1"/>
  <c r="Y6771" i="2"/>
  <c r="AC6782" i="2"/>
  <c r="AB6782" i="2"/>
  <c r="AK6782" i="2" s="1"/>
  <c r="Y6782" i="2"/>
  <c r="AF6786" i="2"/>
  <c r="AC6796" i="2"/>
  <c r="AC6800" i="2"/>
  <c r="AB6803" i="2"/>
  <c r="AK6803" i="2" s="1"/>
  <c r="Y6803" i="2"/>
  <c r="AC6807" i="2"/>
  <c r="AF6811" i="2"/>
  <c r="AC6814" i="2"/>
  <c r="AC6817" i="2"/>
  <c r="Y6817" i="2"/>
  <c r="AC6824" i="2"/>
  <c r="AB6824" i="2"/>
  <c r="AK6824" i="2" s="1"/>
  <c r="Y6824" i="2"/>
  <c r="AF6825" i="2"/>
  <c r="AF6828" i="2"/>
  <c r="AC6838" i="2"/>
  <c r="AC6846" i="2"/>
  <c r="AB6856" i="2"/>
  <c r="AK6856" i="2" s="1"/>
  <c r="Y6856" i="2"/>
  <c r="AC6865" i="2"/>
  <c r="AB6865" i="2"/>
  <c r="AK6865" i="2" s="1"/>
  <c r="Y6865" i="2"/>
  <c r="AB6870" i="2"/>
  <c r="AK6870" i="2" s="1"/>
  <c r="Y6870" i="2"/>
  <c r="AB6873" i="2"/>
  <c r="AK6873" i="2" s="1"/>
  <c r="Y6873" i="2"/>
  <c r="AC6883" i="2"/>
  <c r="AB6883" i="2"/>
  <c r="AK6883" i="2" s="1"/>
  <c r="Y6883" i="2"/>
  <c r="AF6887" i="2"/>
  <c r="AC6890" i="2"/>
  <c r="AC6894" i="2"/>
  <c r="AC6897" i="2"/>
  <c r="Y6900" i="2"/>
  <c r="AC6907" i="2"/>
  <c r="AB6907" i="2"/>
  <c r="AK6907" i="2" s="1"/>
  <c r="Y6907" i="2"/>
  <c r="AB6920" i="2"/>
  <c r="AK6920" i="2" s="1"/>
  <c r="Y6920" i="2"/>
  <c r="AF6921" i="2"/>
  <c r="AC6924" i="2"/>
  <c r="AB6924" i="2"/>
  <c r="AK6924" i="2" s="1"/>
  <c r="Y6924" i="2"/>
  <c r="AC6934" i="2"/>
  <c r="AB6934" i="2"/>
  <c r="AK6934" i="2" s="1"/>
  <c r="Y6934" i="2"/>
  <c r="AB6937" i="2"/>
  <c r="AK6937" i="2" s="1"/>
  <c r="AC6941" i="2"/>
  <c r="AC6944" i="2"/>
  <c r="AB6947" i="2"/>
  <c r="AK6947" i="2" s="1"/>
  <c r="Y6947" i="2"/>
  <c r="AB6953" i="2"/>
  <c r="AK6953" i="2" s="1"/>
  <c r="Y6953" i="2"/>
  <c r="AC6966" i="2"/>
  <c r="AB6966" i="2"/>
  <c r="AK6966" i="2" s="1"/>
  <c r="Y6966" i="2"/>
  <c r="AC6969" i="2"/>
  <c r="AC6972" i="2"/>
  <c r="AB6972" i="2"/>
  <c r="AK6972" i="2" s="1"/>
  <c r="Y6972" i="2"/>
  <c r="AF6982" i="2"/>
  <c r="AC6988" i="2"/>
  <c r="AB6988" i="2"/>
  <c r="AK6988" i="2" s="1"/>
  <c r="AF6998" i="2"/>
  <c r="AC7038" i="2"/>
  <c r="Y7038" i="2"/>
  <c r="AB7047" i="2"/>
  <c r="AK7047" i="2" s="1"/>
  <c r="AF7048" i="2"/>
  <c r="AC7085" i="2"/>
  <c r="AB7085" i="2"/>
  <c r="AK7085" i="2" s="1"/>
  <c r="Y7085" i="2"/>
  <c r="AC7091" i="2"/>
  <c r="AB7091" i="2"/>
  <c r="AK7091" i="2" s="1"/>
  <c r="Y7091" i="2"/>
  <c r="AC7112" i="2"/>
  <c r="AB7133" i="2"/>
  <c r="AK7133" i="2" s="1"/>
  <c r="Y7133" i="2"/>
  <c r="AC7133" i="2"/>
  <c r="AC7181" i="2"/>
  <c r="AB7181" i="2"/>
  <c r="AK7181" i="2" s="1"/>
  <c r="Y7181" i="2"/>
  <c r="AB7231" i="2"/>
  <c r="AK7231" i="2" s="1"/>
  <c r="Y7231" i="2"/>
  <c r="AC7231" i="2"/>
  <c r="AB7284" i="2"/>
  <c r="AK7284" i="2" s="1"/>
  <c r="Y7284" i="2"/>
  <c r="AC7284" i="2"/>
  <c r="AC7336" i="2"/>
  <c r="AB7336" i="2"/>
  <c r="AK7336" i="2" s="1"/>
  <c r="Y7336" i="2"/>
  <c r="AB7369" i="2"/>
  <c r="AK7369" i="2" s="1"/>
  <c r="Y7369" i="2"/>
  <c r="AC7369" i="2"/>
  <c r="AB7460" i="2"/>
  <c r="AK7460" i="2" s="1"/>
  <c r="Y7460" i="2"/>
  <c r="AC7460" i="2"/>
  <c r="AC7483" i="2"/>
  <c r="AB7483" i="2"/>
  <c r="AK7483" i="2" s="1"/>
  <c r="AB7501" i="2"/>
  <c r="AK7501" i="2" s="1"/>
  <c r="Y7501" i="2"/>
  <c r="AC7501" i="2"/>
  <c r="AC7535" i="2"/>
  <c r="AB7535" i="2"/>
  <c r="AK7535" i="2" s="1"/>
  <c r="Y7535" i="2"/>
  <c r="AB7644" i="2"/>
  <c r="AK7644" i="2" s="1"/>
  <c r="Y7644" i="2"/>
  <c r="AC7644" i="2"/>
  <c r="AB7663" i="2"/>
  <c r="AK7663" i="2" s="1"/>
  <c r="Y7663" i="2"/>
  <c r="AC7663" i="2"/>
  <c r="Y7671" i="2"/>
  <c r="AB7710" i="2"/>
  <c r="AK7710" i="2" s="1"/>
  <c r="Y7710" i="2"/>
  <c r="AC7710" i="2"/>
  <c r="AB7748" i="2"/>
  <c r="AK7748" i="2" s="1"/>
  <c r="Y7748" i="2"/>
  <c r="AC7748" i="2"/>
  <c r="AB5377" i="2"/>
  <c r="AK5377" i="2" s="1"/>
  <c r="AC5385" i="2"/>
  <c r="AB5388" i="2"/>
  <c r="AK5388" i="2" s="1"/>
  <c r="AC5396" i="2"/>
  <c r="AC5415" i="2"/>
  <c r="AB5452" i="2"/>
  <c r="AK5452" i="2" s="1"/>
  <c r="Y5452" i="2"/>
  <c r="AB5468" i="2"/>
  <c r="AK5468" i="2" s="1"/>
  <c r="Y5468" i="2"/>
  <c r="AB5492" i="2"/>
  <c r="AK5492" i="2" s="1"/>
  <c r="AB5508" i="2"/>
  <c r="AK5508" i="2" s="1"/>
  <c r="Y5508" i="2"/>
  <c r="AB5516" i="2"/>
  <c r="AK5516" i="2" s="1"/>
  <c r="Y5516" i="2"/>
  <c r="AC5521" i="2"/>
  <c r="AB5580" i="2"/>
  <c r="AK5580" i="2" s="1"/>
  <c r="Y5580" i="2"/>
  <c r="AB5624" i="2"/>
  <c r="AK5624" i="2" s="1"/>
  <c r="AC5632" i="2"/>
  <c r="AC5656" i="2"/>
  <c r="AC5664" i="2"/>
  <c r="AB5672" i="2"/>
  <c r="AK5672" i="2" s="1"/>
  <c r="AC5680" i="2"/>
  <c r="AB5680" i="2"/>
  <c r="AK5680" i="2" s="1"/>
  <c r="AC5696" i="2"/>
  <c r="AB5696" i="2"/>
  <c r="AK5696" i="2" s="1"/>
  <c r="AC5704" i="2"/>
  <c r="AB5704" i="2"/>
  <c r="AK5704" i="2" s="1"/>
  <c r="AC5712" i="2"/>
  <c r="AB5712" i="2"/>
  <c r="AK5712" i="2" s="1"/>
  <c r="AC5720" i="2"/>
  <c r="AC5728" i="2"/>
  <c r="AB5728" i="2"/>
  <c r="AK5728" i="2" s="1"/>
  <c r="AC5736" i="2"/>
  <c r="AB5736" i="2"/>
  <c r="AK5736" i="2" s="1"/>
  <c r="AC5744" i="2"/>
  <c r="AB5744" i="2"/>
  <c r="AK5744" i="2" s="1"/>
  <c r="AC5752" i="2"/>
  <c r="AB5752" i="2"/>
  <c r="AK5752" i="2" s="1"/>
  <c r="AC5756" i="2"/>
  <c r="AC5760" i="2"/>
  <c r="AB5760" i="2"/>
  <c r="AK5760" i="2" s="1"/>
  <c r="AC5768" i="2"/>
  <c r="AB5768" i="2"/>
  <c r="AK5768" i="2" s="1"/>
  <c r="AB5775" i="2"/>
  <c r="AK5775" i="2" s="1"/>
  <c r="AC5784" i="2"/>
  <c r="AC5796" i="2"/>
  <c r="AC5804" i="2"/>
  <c r="AC5822" i="2"/>
  <c r="AB5822" i="2"/>
  <c r="AK5822" i="2" s="1"/>
  <c r="Y5822" i="2"/>
  <c r="AC5827" i="2"/>
  <c r="AC5836" i="2"/>
  <c r="AC5854" i="2"/>
  <c r="AB5854" i="2"/>
  <c r="AK5854" i="2" s="1"/>
  <c r="Y5854" i="2"/>
  <c r="AC5859" i="2"/>
  <c r="AB5867" i="2"/>
  <c r="AK5867" i="2" s="1"/>
  <c r="AC5868" i="2"/>
  <c r="AB5875" i="2"/>
  <c r="AK5875" i="2" s="1"/>
  <c r="AC5876" i="2"/>
  <c r="AC5883" i="2"/>
  <c r="AC5891" i="2"/>
  <c r="AC5899" i="2"/>
  <c r="AC5907" i="2"/>
  <c r="AC5915" i="2"/>
  <c r="AC5923" i="2"/>
  <c r="AC5931" i="2"/>
  <c r="AC5939" i="2"/>
  <c r="AC5947" i="2"/>
  <c r="AC5955" i="2"/>
  <c r="AC5971" i="2"/>
  <c r="AB5971" i="2"/>
  <c r="AK5971" i="2" s="1"/>
  <c r="Y5971" i="2"/>
  <c r="AC5984" i="2"/>
  <c r="AB5984" i="2"/>
  <c r="AK5984" i="2" s="1"/>
  <c r="AC5995" i="2"/>
  <c r="AB5995" i="2"/>
  <c r="AK5995" i="2" s="1"/>
  <c r="Y5995" i="2"/>
  <c r="AC6008" i="2"/>
  <c r="AF6009" i="2"/>
  <c r="AC6013" i="2"/>
  <c r="AB6016" i="2"/>
  <c r="AK6016" i="2" s="1"/>
  <c r="Y6016" i="2"/>
  <c r="AB6021" i="2"/>
  <c r="AK6021" i="2" s="1"/>
  <c r="AC6038" i="2"/>
  <c r="AB6046" i="2"/>
  <c r="AK6046" i="2" s="1"/>
  <c r="Y6046" i="2"/>
  <c r="AC6059" i="2"/>
  <c r="AC6078" i="2"/>
  <c r="AC6087" i="2"/>
  <c r="AC6090" i="2"/>
  <c r="AB6093" i="2"/>
  <c r="AK6093" i="2" s="1"/>
  <c r="Y6093" i="2"/>
  <c r="AC6100" i="2"/>
  <c r="AB6151" i="2"/>
  <c r="AK6151" i="2" s="1"/>
  <c r="Y6151" i="2"/>
  <c r="AB6186" i="2"/>
  <c r="AK6186" i="2" s="1"/>
  <c r="Y6186" i="2"/>
  <c r="AC6211" i="2"/>
  <c r="AC6215" i="2"/>
  <c r="AC6331" i="2"/>
  <c r="AB6338" i="2"/>
  <c r="AK6338" i="2" s="1"/>
  <c r="AC6344" i="2"/>
  <c r="AB6347" i="2"/>
  <c r="AK6347" i="2" s="1"/>
  <c r="Y6347" i="2"/>
  <c r="AB6351" i="2"/>
  <c r="AK6351" i="2" s="1"/>
  <c r="Y6351" i="2"/>
  <c r="AB6355" i="2"/>
  <c r="AK6355" i="2" s="1"/>
  <c r="Y6355" i="2"/>
  <c r="AB6359" i="2"/>
  <c r="AK6359" i="2" s="1"/>
  <c r="Y6359" i="2"/>
  <c r="AB6363" i="2"/>
  <c r="AK6363" i="2" s="1"/>
  <c r="Y6363" i="2"/>
  <c r="AB6371" i="2"/>
  <c r="AK6371" i="2" s="1"/>
  <c r="Y6371" i="2"/>
  <c r="AB6379" i="2"/>
  <c r="AK6379" i="2" s="1"/>
  <c r="Y6379" i="2"/>
  <c r="AC6387" i="2"/>
  <c r="AB6387" i="2"/>
  <c r="AK6387" i="2" s="1"/>
  <c r="Y6387" i="2"/>
  <c r="AC6390" i="2"/>
  <c r="AC6395" i="2"/>
  <c r="AB6395" i="2"/>
  <c r="AK6395" i="2" s="1"/>
  <c r="Y6395" i="2"/>
  <c r="AC6403" i="2"/>
  <c r="AB6403" i="2"/>
  <c r="AK6403" i="2" s="1"/>
  <c r="Y6403" i="2"/>
  <c r="AC6406" i="2"/>
  <c r="AC6411" i="2"/>
  <c r="AB6411" i="2"/>
  <c r="AK6411" i="2" s="1"/>
  <c r="Y6411" i="2"/>
  <c r="AC6414" i="2"/>
  <c r="AC6417" i="2"/>
  <c r="AC6422" i="2"/>
  <c r="AB6422" i="2"/>
  <c r="AK6422" i="2" s="1"/>
  <c r="AC6430" i="2"/>
  <c r="AB6430" i="2"/>
  <c r="AK6430" i="2" s="1"/>
  <c r="AC6433" i="2"/>
  <c r="AC6438" i="2"/>
  <c r="AB6438" i="2"/>
  <c r="AK6438" i="2" s="1"/>
  <c r="AC6441" i="2"/>
  <c r="AC6446" i="2"/>
  <c r="AB6446" i="2"/>
  <c r="AK6446" i="2" s="1"/>
  <c r="AC6454" i="2"/>
  <c r="AB6454" i="2"/>
  <c r="AK6454" i="2" s="1"/>
  <c r="Y6457" i="2"/>
  <c r="Y6461" i="2"/>
  <c r="AB6469" i="2"/>
  <c r="AK6469" i="2" s="1"/>
  <c r="Y6477" i="2"/>
  <c r="AC6480" i="2"/>
  <c r="AC6485" i="2"/>
  <c r="AB6485" i="2"/>
  <c r="AK6485" i="2" s="1"/>
  <c r="Y6485" i="2"/>
  <c r="AC6488" i="2"/>
  <c r="AB6513" i="2"/>
  <c r="AK6513" i="2" s="1"/>
  <c r="AB6521" i="2"/>
  <c r="AK6521" i="2" s="1"/>
  <c r="AB6529" i="2"/>
  <c r="AK6529" i="2" s="1"/>
  <c r="AB6537" i="2"/>
  <c r="AK6537" i="2" s="1"/>
  <c r="AB6545" i="2"/>
  <c r="AK6545" i="2" s="1"/>
  <c r="AC6586" i="2"/>
  <c r="AC6590" i="2"/>
  <c r="AC6598" i="2"/>
  <c r="AC6602" i="2"/>
  <c r="AC6606" i="2"/>
  <c r="AC6616" i="2"/>
  <c r="AB6616" i="2"/>
  <c r="AK6616" i="2" s="1"/>
  <c r="AC6624" i="2"/>
  <c r="AB6624" i="2"/>
  <c r="AK6624" i="2" s="1"/>
  <c r="AC6632" i="2"/>
  <c r="AB6632" i="2"/>
  <c r="AK6632" i="2" s="1"/>
  <c r="AB6648" i="2"/>
  <c r="AK6648" i="2" s="1"/>
  <c r="Y6648" i="2"/>
  <c r="AB6652" i="2"/>
  <c r="AK6652" i="2" s="1"/>
  <c r="Y6652" i="2"/>
  <c r="AC6658" i="2"/>
  <c r="AB6658" i="2"/>
  <c r="AK6658" i="2" s="1"/>
  <c r="Y6658" i="2"/>
  <c r="AB6661" i="2"/>
  <c r="AK6661" i="2" s="1"/>
  <c r="AB6665" i="2"/>
  <c r="AK6665" i="2" s="1"/>
  <c r="Y6665" i="2"/>
  <c r="AB6669" i="2"/>
  <c r="AK6669" i="2" s="1"/>
  <c r="Y6669" i="2"/>
  <c r="AB6673" i="2"/>
  <c r="AK6673" i="2" s="1"/>
  <c r="AB6681" i="2"/>
  <c r="AK6681" i="2" s="1"/>
  <c r="AB6689" i="2"/>
  <c r="AK6689" i="2" s="1"/>
  <c r="AB6697" i="2"/>
  <c r="AK6697" i="2" s="1"/>
  <c r="AC6739" i="2"/>
  <c r="Y6739" i="2"/>
  <c r="AF6755" i="2"/>
  <c r="AB6763" i="2"/>
  <c r="AK6763" i="2" s="1"/>
  <c r="Y6763" i="2"/>
  <c r="AC6767" i="2"/>
  <c r="AB6767" i="2"/>
  <c r="AK6767" i="2" s="1"/>
  <c r="Y6767" i="2"/>
  <c r="AF6771" i="2"/>
  <c r="AC6777" i="2"/>
  <c r="Y6777" i="2"/>
  <c r="AF6782" i="2"/>
  <c r="Y6785" i="2"/>
  <c r="AC6792" i="2"/>
  <c r="AB6792" i="2"/>
  <c r="AK6792" i="2" s="1"/>
  <c r="Y6792" i="2"/>
  <c r="AF6796" i="2"/>
  <c r="AC6799" i="2"/>
  <c r="AB6799" i="2"/>
  <c r="AK6799" i="2" s="1"/>
  <c r="AC6813" i="2"/>
  <c r="AB6813" i="2"/>
  <c r="AK6813" i="2" s="1"/>
  <c r="AB6827" i="2"/>
  <c r="AK6827" i="2" s="1"/>
  <c r="Y6827" i="2"/>
  <c r="AC6837" i="2"/>
  <c r="AB6837" i="2"/>
  <c r="AK6837" i="2" s="1"/>
  <c r="AF6838" i="2"/>
  <c r="AB6841" i="2"/>
  <c r="AK6841" i="2" s="1"/>
  <c r="Y6841" i="2"/>
  <c r="AA6845" i="2"/>
  <c r="AB6845" i="2" s="1"/>
  <c r="AK6845" i="2" s="1"/>
  <c r="AF6846" i="2"/>
  <c r="AC6849" i="2"/>
  <c r="AB6849" i="2"/>
  <c r="AK6849" i="2" s="1"/>
  <c r="Y6849" i="2"/>
  <c r="AB6852" i="2"/>
  <c r="AK6852" i="2" s="1"/>
  <c r="Y6852" i="2"/>
  <c r="AB6867" i="2"/>
  <c r="AK6867" i="2" s="1"/>
  <c r="Y6867" i="2"/>
  <c r="AC6876" i="2"/>
  <c r="AB6876" i="2"/>
  <c r="AK6876" i="2" s="1"/>
  <c r="Y6876" i="2"/>
  <c r="AB6879" i="2"/>
  <c r="AK6879" i="2" s="1"/>
  <c r="Y6879" i="2"/>
  <c r="AB6886" i="2"/>
  <c r="AK6886" i="2" s="1"/>
  <c r="Y6886" i="2"/>
  <c r="AB6889" i="2"/>
  <c r="AK6889" i="2" s="1"/>
  <c r="Y6889" i="2"/>
  <c r="AF6890" i="2"/>
  <c r="AF6897" i="2"/>
  <c r="AB6910" i="2"/>
  <c r="AK6910" i="2" s="1"/>
  <c r="Y6910" i="2"/>
  <c r="AB6913" i="2"/>
  <c r="AK6913" i="2" s="1"/>
  <c r="Y6913" i="2"/>
  <c r="AC6917" i="2"/>
  <c r="AB6917" i="2"/>
  <c r="AK6917" i="2" s="1"/>
  <c r="AB6923" i="2"/>
  <c r="AK6923" i="2" s="1"/>
  <c r="Y6923" i="2"/>
  <c r="AF6924" i="2"/>
  <c r="AF6927" i="2"/>
  <c r="AC6930" i="2"/>
  <c r="AB6930" i="2"/>
  <c r="AK6930" i="2" s="1"/>
  <c r="AF6934" i="2"/>
  <c r="AF6944" i="2"/>
  <c r="AC6950" i="2"/>
  <c r="AB6950" i="2"/>
  <c r="AK6950" i="2" s="1"/>
  <c r="Y6950" i="2"/>
  <c r="AC6956" i="2"/>
  <c r="AB6956" i="2"/>
  <c r="AK6956" i="2" s="1"/>
  <c r="AF6969" i="2"/>
  <c r="AF6972" i="2"/>
  <c r="AF6975" i="2"/>
  <c r="AC6978" i="2"/>
  <c r="AB6978" i="2"/>
  <c r="AK6978" i="2" s="1"/>
  <c r="AB6981" i="2"/>
  <c r="AK6981" i="2" s="1"/>
  <c r="Y6981" i="2"/>
  <c r="AB6984" i="2"/>
  <c r="AK6984" i="2" s="1"/>
  <c r="Y6984" i="2"/>
  <c r="AF6985" i="2"/>
  <c r="AF6988" i="2"/>
  <c r="AC6994" i="2"/>
  <c r="AB6994" i="2"/>
  <c r="AK6994" i="2" s="1"/>
  <c r="AB7000" i="2"/>
  <c r="AK7000" i="2" s="1"/>
  <c r="Y7000" i="2"/>
  <c r="AC7000" i="2"/>
  <c r="AC7009" i="2"/>
  <c r="AB7009" i="2"/>
  <c r="AK7009" i="2" s="1"/>
  <c r="Y7009" i="2"/>
  <c r="AB7031" i="2"/>
  <c r="AK7031" i="2" s="1"/>
  <c r="AF7032" i="2"/>
  <c r="AC7035" i="2"/>
  <c r="AB7035" i="2"/>
  <c r="AK7035" i="2" s="1"/>
  <c r="Y7035" i="2"/>
  <c r="AF7038" i="2"/>
  <c r="AB7050" i="2"/>
  <c r="AK7050" i="2" s="1"/>
  <c r="Y7050" i="2"/>
  <c r="AC7050" i="2"/>
  <c r="AF7069" i="2"/>
  <c r="AC7075" i="2"/>
  <c r="AB7075" i="2"/>
  <c r="AK7075" i="2" s="1"/>
  <c r="Y7075" i="2"/>
  <c r="AC7078" i="2"/>
  <c r="AB7078" i="2"/>
  <c r="AK7078" i="2" s="1"/>
  <c r="Y7078" i="2"/>
  <c r="AF7106" i="2"/>
  <c r="AC7216" i="2"/>
  <c r="AB7216" i="2"/>
  <c r="AK7216" i="2" s="1"/>
  <c r="Y7216" i="2"/>
  <c r="AC7255" i="2"/>
  <c r="Y7255" i="2"/>
  <c r="AC7277" i="2"/>
  <c r="AB7277" i="2"/>
  <c r="AK7277" i="2" s="1"/>
  <c r="Y7277" i="2"/>
  <c r="AB7321" i="2"/>
  <c r="AK7321" i="2" s="1"/>
  <c r="AC7321" i="2"/>
  <c r="Y7321" i="2"/>
  <c r="AB7437" i="2"/>
  <c r="AK7437" i="2" s="1"/>
  <c r="Y7437" i="2"/>
  <c r="AC7437" i="2"/>
  <c r="AB7614" i="2"/>
  <c r="AK7614" i="2" s="1"/>
  <c r="Y7614" i="2"/>
  <c r="AC7614" i="2"/>
  <c r="AC7626" i="2"/>
  <c r="AB7626" i="2"/>
  <c r="AK7626" i="2" s="1"/>
  <c r="Y7626" i="2"/>
  <c r="AB7629" i="2"/>
  <c r="AK7629" i="2" s="1"/>
  <c r="Y7629" i="2"/>
  <c r="AC7629" i="2"/>
  <c r="AB7641" i="2"/>
  <c r="AK7641" i="2" s="1"/>
  <c r="AC7641" i="2"/>
  <c r="Y7641" i="2"/>
  <c r="AB7686" i="2"/>
  <c r="AK7686" i="2" s="1"/>
  <c r="Y7686" i="2"/>
  <c r="AC7686" i="2"/>
  <c r="AB5425" i="2"/>
  <c r="AK5425" i="2" s="1"/>
  <c r="Y5425" i="2"/>
  <c r="AC5667" i="2"/>
  <c r="AB5667" i="2"/>
  <c r="AK5667" i="2" s="1"/>
  <c r="Y5667" i="2"/>
  <c r="AB5542" i="2"/>
  <c r="AK5542" i="2" s="1"/>
  <c r="AB5433" i="2"/>
  <c r="AK5433" i="2" s="1"/>
  <c r="AB5444" i="2"/>
  <c r="AK5444" i="2" s="1"/>
  <c r="Y5444" i="2"/>
  <c r="AB5460" i="2"/>
  <c r="AK5460" i="2" s="1"/>
  <c r="Y5460" i="2"/>
  <c r="Y5476" i="2"/>
  <c r="AB5484" i="2"/>
  <c r="AK5484" i="2" s="1"/>
  <c r="AB5500" i="2"/>
  <c r="AK5500" i="2" s="1"/>
  <c r="Y5500" i="2"/>
  <c r="Y5529" i="2"/>
  <c r="AB5550" i="2"/>
  <c r="AK5550" i="2" s="1"/>
  <c r="AB5571" i="2"/>
  <c r="AK5571" i="2" s="1"/>
  <c r="AC5572" i="2"/>
  <c r="AB5648" i="2"/>
  <c r="AK5648" i="2" s="1"/>
  <c r="AB5380" i="2"/>
  <c r="AK5380" i="2" s="1"/>
  <c r="Y5380" i="2"/>
  <c r="AC5388" i="2"/>
  <c r="AB5399" i="2"/>
  <c r="AK5399" i="2" s="1"/>
  <c r="Y5399" i="2"/>
  <c r="AC5407" i="2"/>
  <c r="AF5426" i="2"/>
  <c r="AB5436" i="2"/>
  <c r="AK5436" i="2" s="1"/>
  <c r="Y5436" i="2"/>
  <c r="AC5444" i="2"/>
  <c r="AC5452" i="2"/>
  <c r="AC5460" i="2"/>
  <c r="AC5468" i="2"/>
  <c r="AC5476" i="2"/>
  <c r="AC5492" i="2"/>
  <c r="AC5500" i="2"/>
  <c r="AC5508" i="2"/>
  <c r="AC5516" i="2"/>
  <c r="AB5524" i="2"/>
  <c r="AK5524" i="2" s="1"/>
  <c r="Y5524" i="2"/>
  <c r="AC5529" i="2"/>
  <c r="AB5537" i="2"/>
  <c r="AK5537" i="2" s="1"/>
  <c r="Y5537" i="2"/>
  <c r="AC5550" i="2"/>
  <c r="AB5558" i="2"/>
  <c r="AK5558" i="2" s="1"/>
  <c r="Y5558" i="2"/>
  <c r="AF5572" i="2"/>
  <c r="AC5580" i="2"/>
  <c r="AC5587" i="2"/>
  <c r="AC5595" i="2"/>
  <c r="Y5595" i="2"/>
  <c r="AC5603" i="2"/>
  <c r="AB5603" i="2"/>
  <c r="AK5603" i="2" s="1"/>
  <c r="AB5611" i="2"/>
  <c r="AK5611" i="2" s="1"/>
  <c r="Y5611" i="2"/>
  <c r="Y5771" i="2"/>
  <c r="AC5775" i="2"/>
  <c r="AB5783" i="2"/>
  <c r="AK5783" i="2" s="1"/>
  <c r="AF5784" i="2"/>
  <c r="AB5803" i="2"/>
  <c r="AK5803" i="2" s="1"/>
  <c r="AB5812" i="2"/>
  <c r="AK5812" i="2" s="1"/>
  <c r="Y5812" i="2"/>
  <c r="AC5817" i="2"/>
  <c r="AB5817" i="2"/>
  <c r="AK5817" i="2" s="1"/>
  <c r="Y5817" i="2"/>
  <c r="AB5835" i="2"/>
  <c r="AK5835" i="2" s="1"/>
  <c r="AF5836" i="2"/>
  <c r="AB5844" i="2"/>
  <c r="AK5844" i="2" s="1"/>
  <c r="Y5844" i="2"/>
  <c r="AC5849" i="2"/>
  <c r="AB5849" i="2"/>
  <c r="AK5849" i="2" s="1"/>
  <c r="Y5849" i="2"/>
  <c r="AC5867" i="2"/>
  <c r="AF5868" i="2"/>
  <c r="AB5871" i="2"/>
  <c r="AK5871" i="2" s="1"/>
  <c r="AC5875" i="2"/>
  <c r="AF5876" i="2"/>
  <c r="AC5878" i="2"/>
  <c r="AB5878" i="2"/>
  <c r="AK5878" i="2" s="1"/>
  <c r="Y5878" i="2"/>
  <c r="AC5886" i="2"/>
  <c r="AB5886" i="2"/>
  <c r="AK5886" i="2" s="1"/>
  <c r="Y5886" i="2"/>
  <c r="AC5894" i="2"/>
  <c r="AB5894" i="2"/>
  <c r="AK5894" i="2" s="1"/>
  <c r="Y5894" i="2"/>
  <c r="AC5902" i="2"/>
  <c r="AB5902" i="2"/>
  <c r="AK5902" i="2" s="1"/>
  <c r="Y5902" i="2"/>
  <c r="AC5910" i="2"/>
  <c r="Y5910" i="2"/>
  <c r="AC5918" i="2"/>
  <c r="AB5918" i="2"/>
  <c r="AK5918" i="2" s="1"/>
  <c r="Y5918" i="2"/>
  <c r="AC5926" i="2"/>
  <c r="AB5926" i="2"/>
  <c r="AK5926" i="2" s="1"/>
  <c r="Y5926" i="2"/>
  <c r="AC5934" i="2"/>
  <c r="AB5934" i="2"/>
  <c r="AK5934" i="2" s="1"/>
  <c r="Y5934" i="2"/>
  <c r="AC5942" i="2"/>
  <c r="AB5942" i="2"/>
  <c r="AK5942" i="2" s="1"/>
  <c r="Y5942" i="2"/>
  <c r="AC5950" i="2"/>
  <c r="AB5950" i="2"/>
  <c r="AK5950" i="2" s="1"/>
  <c r="Y5950" i="2"/>
  <c r="AC5958" i="2"/>
  <c r="AB5958" i="2"/>
  <c r="AK5958" i="2" s="1"/>
  <c r="Y5958" i="2"/>
  <c r="AC5979" i="2"/>
  <c r="AB5979" i="2"/>
  <c r="AK5979" i="2" s="1"/>
  <c r="Y5979" i="2"/>
  <c r="AC5987" i="2"/>
  <c r="AB5987" i="2"/>
  <c r="AK5987" i="2" s="1"/>
  <c r="Y5987" i="2"/>
  <c r="AC6003" i="2"/>
  <c r="AB6003" i="2"/>
  <c r="AK6003" i="2" s="1"/>
  <c r="Y6003" i="2"/>
  <c r="AF6017" i="2"/>
  <c r="AB6024" i="2"/>
  <c r="AK6024" i="2" s="1"/>
  <c r="Y6024" i="2"/>
  <c r="AB6029" i="2"/>
  <c r="AK6029" i="2" s="1"/>
  <c r="AF6038" i="2"/>
  <c r="AB6045" i="2"/>
  <c r="AK6045" i="2" s="1"/>
  <c r="Y6053" i="2"/>
  <c r="AB6058" i="2"/>
  <c r="AK6058" i="2" s="1"/>
  <c r="AB6066" i="2"/>
  <c r="AK6066" i="2" s="1"/>
  <c r="Y6066" i="2"/>
  <c r="AB6086" i="2"/>
  <c r="AK6086" i="2" s="1"/>
  <c r="Y6086" i="2"/>
  <c r="AC6096" i="2"/>
  <c r="AB6096" i="2"/>
  <c r="AK6096" i="2" s="1"/>
  <c r="Y6096" i="2"/>
  <c r="AB6099" i="2"/>
  <c r="AK6099" i="2" s="1"/>
  <c r="Y6099" i="2"/>
  <c r="AC6108" i="2"/>
  <c r="AB6108" i="2"/>
  <c r="AK6108" i="2" s="1"/>
  <c r="Y6108" i="2"/>
  <c r="AC6116" i="2"/>
  <c r="AB6116" i="2"/>
  <c r="AK6116" i="2" s="1"/>
  <c r="Y6116" i="2"/>
  <c r="AC6124" i="2"/>
  <c r="AB6124" i="2"/>
  <c r="AK6124" i="2" s="1"/>
  <c r="Y6124" i="2"/>
  <c r="AC6132" i="2"/>
  <c r="AB6132" i="2"/>
  <c r="AK6132" i="2" s="1"/>
  <c r="Y6132" i="2"/>
  <c r="AC6140" i="2"/>
  <c r="AB6140" i="2"/>
  <c r="AK6140" i="2" s="1"/>
  <c r="Y6140" i="2"/>
  <c r="AC6148" i="2"/>
  <c r="AB6148" i="2"/>
  <c r="AK6148" i="2" s="1"/>
  <c r="Y6148" i="2"/>
  <c r="AC6156" i="2"/>
  <c r="AB6156" i="2"/>
  <c r="AK6156" i="2" s="1"/>
  <c r="Y6156" i="2"/>
  <c r="AC6164" i="2"/>
  <c r="AB6164" i="2"/>
  <c r="AK6164" i="2" s="1"/>
  <c r="Y6164" i="2"/>
  <c r="AB6173" i="2"/>
  <c r="AK6173" i="2" s="1"/>
  <c r="Y6173" i="2"/>
  <c r="AC6183" i="2"/>
  <c r="AB6183" i="2"/>
  <c r="AK6183" i="2" s="1"/>
  <c r="Y6183" i="2"/>
  <c r="AC6191" i="2"/>
  <c r="AB6191" i="2"/>
  <c r="AK6191" i="2" s="1"/>
  <c r="Y6191" i="2"/>
  <c r="AC6199" i="2"/>
  <c r="AB6199" i="2"/>
  <c r="AK6199" i="2" s="1"/>
  <c r="Y6199" i="2"/>
  <c r="AC6207" i="2"/>
  <c r="AB6207" i="2"/>
  <c r="AK6207" i="2" s="1"/>
  <c r="Y6207" i="2"/>
  <c r="AB6210" i="2"/>
  <c r="AK6210" i="2" s="1"/>
  <c r="Y6210" i="2"/>
  <c r="AC6333" i="2"/>
  <c r="AB6333" i="2"/>
  <c r="AK6333" i="2" s="1"/>
  <c r="Y6333" i="2"/>
  <c r="AB6335" i="2"/>
  <c r="AK6335" i="2" s="1"/>
  <c r="Y6335" i="2"/>
  <c r="AC6366" i="2"/>
  <c r="AB6366" i="2"/>
  <c r="AK6366" i="2" s="1"/>
  <c r="Y6366" i="2"/>
  <c r="AC6376" i="2"/>
  <c r="AB6376" i="2"/>
  <c r="AK6376" i="2" s="1"/>
  <c r="Y6376" i="2"/>
  <c r="AB6384" i="2"/>
  <c r="AK6384" i="2" s="1"/>
  <c r="AB6392" i="2"/>
  <c r="AK6392" i="2" s="1"/>
  <c r="Y6392" i="2"/>
  <c r="AB6408" i="2"/>
  <c r="AK6408" i="2" s="1"/>
  <c r="AB6419" i="2"/>
  <c r="AK6419" i="2" s="1"/>
  <c r="Y6419" i="2"/>
  <c r="Y6427" i="2"/>
  <c r="AB6435" i="2"/>
  <c r="AK6435" i="2" s="1"/>
  <c r="Y6435" i="2"/>
  <c r="Y6443" i="2"/>
  <c r="AB6451" i="2"/>
  <c r="AK6451" i="2" s="1"/>
  <c r="Y6451" i="2"/>
  <c r="AB6482" i="2"/>
  <c r="AK6482" i="2" s="1"/>
  <c r="Y6482" i="2"/>
  <c r="AB6490" i="2"/>
  <c r="AK6490" i="2" s="1"/>
  <c r="Y6490" i="2"/>
  <c r="AB6494" i="2"/>
  <c r="AK6494" i="2" s="1"/>
  <c r="Y6494" i="2"/>
  <c r="AB6498" i="2"/>
  <c r="AK6498" i="2" s="1"/>
  <c r="Y6498" i="2"/>
  <c r="AB6502" i="2"/>
  <c r="AK6502" i="2" s="1"/>
  <c r="Y6502" i="2"/>
  <c r="AB6506" i="2"/>
  <c r="AK6506" i="2" s="1"/>
  <c r="Y6506" i="2"/>
  <c r="AB6510" i="2"/>
  <c r="AK6510" i="2" s="1"/>
  <c r="Y6510" i="2"/>
  <c r="AC6518" i="2"/>
  <c r="AB6518" i="2"/>
  <c r="AK6518" i="2" s="1"/>
  <c r="AC6526" i="2"/>
  <c r="AB6526" i="2"/>
  <c r="AK6526" i="2" s="1"/>
  <c r="Y6526" i="2"/>
  <c r="AB6534" i="2"/>
  <c r="AK6534" i="2" s="1"/>
  <c r="Y6534" i="2"/>
  <c r="AC6542" i="2"/>
  <c r="Y6542" i="2"/>
  <c r="AC6550" i="2"/>
  <c r="AB6550" i="2"/>
  <c r="AK6550" i="2" s="1"/>
  <c r="AC6558" i="2"/>
  <c r="AB6558" i="2"/>
  <c r="AK6558" i="2" s="1"/>
  <c r="Y6558" i="2"/>
  <c r="AC6566" i="2"/>
  <c r="AB6566" i="2"/>
  <c r="AK6566" i="2" s="1"/>
  <c r="Y6566" i="2"/>
  <c r="AC6574" i="2"/>
  <c r="AB6574" i="2"/>
  <c r="AK6574" i="2" s="1"/>
  <c r="Y6574" i="2"/>
  <c r="AC6582" i="2"/>
  <c r="AB6582" i="2"/>
  <c r="AK6582" i="2" s="1"/>
  <c r="Y6582" i="2"/>
  <c r="AB6585" i="2"/>
  <c r="AK6585" i="2" s="1"/>
  <c r="AB6589" i="2"/>
  <c r="AK6589" i="2" s="1"/>
  <c r="AB6593" i="2"/>
  <c r="AK6593" i="2" s="1"/>
  <c r="AB6597" i="2"/>
  <c r="AK6597" i="2" s="1"/>
  <c r="AB6601" i="2"/>
  <c r="AK6601" i="2" s="1"/>
  <c r="AB6605" i="2"/>
  <c r="AK6605" i="2" s="1"/>
  <c r="AB6609" i="2"/>
  <c r="AK6609" i="2" s="1"/>
  <c r="AB6613" i="2"/>
  <c r="AK6613" i="2" s="1"/>
  <c r="AB6621" i="2"/>
  <c r="AK6621" i="2" s="1"/>
  <c r="Y6621" i="2"/>
  <c r="AB6629" i="2"/>
  <c r="AK6629" i="2" s="1"/>
  <c r="Y6629" i="2"/>
  <c r="AB6655" i="2"/>
  <c r="AK6655" i="2" s="1"/>
  <c r="AC6678" i="2"/>
  <c r="Y6678" i="2"/>
  <c r="AC6686" i="2"/>
  <c r="AB6686" i="2"/>
  <c r="AK6686" i="2" s="1"/>
  <c r="AC6694" i="2"/>
  <c r="AB6694" i="2"/>
  <c r="AK6694" i="2" s="1"/>
  <c r="Y6694" i="2"/>
  <c r="AB6702" i="2"/>
  <c r="AK6702" i="2" s="1"/>
  <c r="Y6702" i="2"/>
  <c r="AC6710" i="2"/>
  <c r="AB6710" i="2"/>
  <c r="AK6710" i="2" s="1"/>
  <c r="Y6710" i="2"/>
  <c r="AC6718" i="2"/>
  <c r="AB6718" i="2"/>
  <c r="AK6718" i="2" s="1"/>
  <c r="Y6718" i="2"/>
  <c r="AC6726" i="2"/>
  <c r="AB6726" i="2"/>
  <c r="AK6726" i="2" s="1"/>
  <c r="Y6726" i="2"/>
  <c r="AC6734" i="2"/>
  <c r="AB6734" i="2"/>
  <c r="AK6734" i="2" s="1"/>
  <c r="Y6734" i="2"/>
  <c r="Y6750" i="2"/>
  <c r="Y6752" i="2"/>
  <c r="Y6753" i="2"/>
  <c r="AC6774" i="2"/>
  <c r="Y6774" i="2"/>
  <c r="AA6781" i="2"/>
  <c r="AB6781" i="2" s="1"/>
  <c r="AK6781" i="2" s="1"/>
  <c r="AB6795" i="2"/>
  <c r="AK6795" i="2" s="1"/>
  <c r="Y6795" i="2"/>
  <c r="AC6806" i="2"/>
  <c r="AB6806" i="2"/>
  <c r="AK6806" i="2" s="1"/>
  <c r="Y6806" i="2"/>
  <c r="AB6816" i="2"/>
  <c r="AK6816" i="2" s="1"/>
  <c r="Y6816" i="2"/>
  <c r="AB6823" i="2"/>
  <c r="AK6823" i="2" s="1"/>
  <c r="Y6823" i="2"/>
  <c r="AC6830" i="2"/>
  <c r="Y6830" i="2"/>
  <c r="AC6833" i="2"/>
  <c r="AB6833" i="2"/>
  <c r="AK6833" i="2" s="1"/>
  <c r="Y6833" i="2"/>
  <c r="Y6844" i="2"/>
  <c r="AC6858" i="2"/>
  <c r="AB6858" i="2"/>
  <c r="AK6858" i="2" s="1"/>
  <c r="Y6858" i="2"/>
  <c r="AC6860" i="2"/>
  <c r="AB6860" i="2"/>
  <c r="AK6860" i="2" s="1"/>
  <c r="Y6860" i="2"/>
  <c r="AB6862" i="2"/>
  <c r="AK6862" i="2" s="1"/>
  <c r="Y6862" i="2"/>
  <c r="AB6882" i="2"/>
  <c r="AK6882" i="2" s="1"/>
  <c r="Y6882" i="2"/>
  <c r="Y6892" i="2"/>
  <c r="AC6896" i="2"/>
  <c r="AB6896" i="2"/>
  <c r="AK6896" i="2" s="1"/>
  <c r="Y6896" i="2"/>
  <c r="AC6903" i="2"/>
  <c r="AB6903" i="2"/>
  <c r="AK6903" i="2" s="1"/>
  <c r="Y6903" i="2"/>
  <c r="AB6916" i="2"/>
  <c r="AK6916" i="2" s="1"/>
  <c r="AB6933" i="2"/>
  <c r="AK6933" i="2" s="1"/>
  <c r="Y6933" i="2"/>
  <c r="AB6936" i="2"/>
  <c r="AK6936" i="2" s="1"/>
  <c r="Y6936" i="2"/>
  <c r="AC6940" i="2"/>
  <c r="AB6940" i="2"/>
  <c r="AK6940" i="2" s="1"/>
  <c r="Y6940" i="2"/>
  <c r="AB6965" i="2"/>
  <c r="AK6965" i="2" s="1"/>
  <c r="Y6965" i="2"/>
  <c r="AB6968" i="2"/>
  <c r="AK6968" i="2" s="1"/>
  <c r="Y6968" i="2"/>
  <c r="AB6971" i="2"/>
  <c r="AK6971" i="2" s="1"/>
  <c r="Y6971" i="2"/>
  <c r="AB6987" i="2"/>
  <c r="AK6987" i="2" s="1"/>
  <c r="Y6987" i="2"/>
  <c r="AB6997" i="2"/>
  <c r="AK6997" i="2" s="1"/>
  <c r="Y6997" i="2"/>
  <c r="AC6997" i="2"/>
  <c r="AB7002" i="2"/>
  <c r="AK7002" i="2" s="1"/>
  <c r="Y7002" i="2"/>
  <c r="AC7002" i="2"/>
  <c r="AB7024" i="2"/>
  <c r="AK7024" i="2" s="1"/>
  <c r="Y7024" i="2"/>
  <c r="AB7034" i="2"/>
  <c r="AK7034" i="2" s="1"/>
  <c r="Y7034" i="2"/>
  <c r="AF7035" i="2"/>
  <c r="AB7040" i="2"/>
  <c r="AK7040" i="2" s="1"/>
  <c r="Y7040" i="2"/>
  <c r="AC7040" i="2"/>
  <c r="AF7059" i="2"/>
  <c r="AC7065" i="2"/>
  <c r="AB7065" i="2"/>
  <c r="AK7065" i="2" s="1"/>
  <c r="Y7065" i="2"/>
  <c r="AB7071" i="2"/>
  <c r="AK7071" i="2" s="1"/>
  <c r="AB7087" i="2"/>
  <c r="AK7087" i="2" s="1"/>
  <c r="AC7087" i="2"/>
  <c r="AC7105" i="2"/>
  <c r="AC7111" i="2"/>
  <c r="AB7111" i="2"/>
  <c r="AK7111" i="2" s="1"/>
  <c r="Y7111" i="2"/>
  <c r="AB7135" i="2"/>
  <c r="AK7135" i="2" s="1"/>
  <c r="Y7135" i="2"/>
  <c r="AC7135" i="2"/>
  <c r="AF7154" i="2"/>
  <c r="AB7168" i="2"/>
  <c r="AK7168" i="2" s="1"/>
  <c r="Y7168" i="2"/>
  <c r="AC7168" i="2"/>
  <c r="AC7174" i="2"/>
  <c r="AB7174" i="2"/>
  <c r="AK7174" i="2" s="1"/>
  <c r="Y7380" i="2"/>
  <c r="AC7380" i="2"/>
  <c r="AB7410" i="2"/>
  <c r="AK7410" i="2" s="1"/>
  <c r="Y7410" i="2"/>
  <c r="AC7410" i="2"/>
  <c r="AB7425" i="2"/>
  <c r="AK7425" i="2" s="1"/>
  <c r="Y7425" i="2"/>
  <c r="AC7425" i="2"/>
  <c r="AB7468" i="2"/>
  <c r="AK7468" i="2" s="1"/>
  <c r="Y7468" i="2"/>
  <c r="AC7468" i="2"/>
  <c r="AC7546" i="2"/>
  <c r="AB7546" i="2"/>
  <c r="AK7546" i="2" s="1"/>
  <c r="Y7546" i="2"/>
  <c r="Y7607" i="2"/>
  <c r="AB7694" i="2"/>
  <c r="AK7694" i="2" s="1"/>
  <c r="Y7694" i="2"/>
  <c r="AC7694" i="2"/>
  <c r="Y7703" i="2"/>
  <c r="AC5635" i="2"/>
  <c r="AB5635" i="2"/>
  <c r="AK5635" i="2" s="1"/>
  <c r="AC5675" i="2"/>
  <c r="AB5675" i="2"/>
  <c r="AK5675" i="2" s="1"/>
  <c r="Y5675" i="2"/>
  <c r="AC5683" i="2"/>
  <c r="AB5683" i="2"/>
  <c r="AK5683" i="2" s="1"/>
  <c r="Y5683" i="2"/>
  <c r="AC5691" i="2"/>
  <c r="AB5691" i="2"/>
  <c r="AK5691" i="2" s="1"/>
  <c r="Y5691" i="2"/>
  <c r="AC5699" i="2"/>
  <c r="AB5699" i="2"/>
  <c r="AK5699" i="2" s="1"/>
  <c r="Y5699" i="2"/>
  <c r="AC5707" i="2"/>
  <c r="AB5707" i="2"/>
  <c r="AK5707" i="2" s="1"/>
  <c r="Y5707" i="2"/>
  <c r="AC5715" i="2"/>
  <c r="Y5715" i="2"/>
  <c r="AC5723" i="2"/>
  <c r="AB5723" i="2"/>
  <c r="AK5723" i="2" s="1"/>
  <c r="Y5723" i="2"/>
  <c r="AC5731" i="2"/>
  <c r="AB5731" i="2"/>
  <c r="AK5731" i="2" s="1"/>
  <c r="Y5731" i="2"/>
  <c r="AC5739" i="2"/>
  <c r="AB5739" i="2"/>
  <c r="AK5739" i="2" s="1"/>
  <c r="Y5739" i="2"/>
  <c r="AC5747" i="2"/>
  <c r="AB5747" i="2"/>
  <c r="AK5747" i="2" s="1"/>
  <c r="Y5747" i="2"/>
  <c r="AC5755" i="2"/>
  <c r="AB5755" i="2"/>
  <c r="AK5755" i="2" s="1"/>
  <c r="Y5755" i="2"/>
  <c r="AC5763" i="2"/>
  <c r="AB5763" i="2"/>
  <c r="AK5763" i="2" s="1"/>
  <c r="Y5763" i="2"/>
  <c r="AB5791" i="2"/>
  <c r="AK5791" i="2" s="1"/>
  <c r="AC5799" i="2"/>
  <c r="AB5799" i="2"/>
  <c r="AK5799" i="2" s="1"/>
  <c r="Y5799" i="2"/>
  <c r="AF5817" i="2"/>
  <c r="AC5830" i="2"/>
  <c r="AB5830" i="2"/>
  <c r="AK5830" i="2" s="1"/>
  <c r="Y5830" i="2"/>
  <c r="AF5849" i="2"/>
  <c r="AC5862" i="2"/>
  <c r="AB5862" i="2"/>
  <c r="AK5862" i="2" s="1"/>
  <c r="Y5862" i="2"/>
  <c r="AB5870" i="2"/>
  <c r="AK5870" i="2" s="1"/>
  <c r="Y5870" i="2"/>
  <c r="AB5961" i="2"/>
  <c r="AK5961" i="2" s="1"/>
  <c r="Y5961" i="2"/>
  <c r="AC5966" i="2"/>
  <c r="AB5966" i="2"/>
  <c r="AK5966" i="2" s="1"/>
  <c r="Y5966" i="2"/>
  <c r="AC6011" i="2"/>
  <c r="AB6011" i="2"/>
  <c r="AK6011" i="2" s="1"/>
  <c r="Y6011" i="2"/>
  <c r="AF6025" i="2"/>
  <c r="AB6032" i="2"/>
  <c r="AK6032" i="2" s="1"/>
  <c r="Y6032" i="2"/>
  <c r="AC6040" i="2"/>
  <c r="AB6040" i="2"/>
  <c r="AK6040" i="2" s="1"/>
  <c r="Y6040" i="2"/>
  <c r="AB6052" i="2"/>
  <c r="AK6052" i="2" s="1"/>
  <c r="AB6074" i="2"/>
  <c r="AK6074" i="2" s="1"/>
  <c r="Y6074" i="2"/>
  <c r="Y6089" i="2"/>
  <c r="AB6121" i="2"/>
  <c r="AK6121" i="2" s="1"/>
  <c r="AB6137" i="2"/>
  <c r="AK6137" i="2" s="1"/>
  <c r="Y6145" i="2"/>
  <c r="AB6161" i="2"/>
  <c r="AK6161" i="2" s="1"/>
  <c r="Y6161" i="2"/>
  <c r="AC6173" i="2"/>
  <c r="AC6175" i="2"/>
  <c r="AB6175" i="2"/>
  <c r="AK6175" i="2" s="1"/>
  <c r="Y6175" i="2"/>
  <c r="AB6180" i="2"/>
  <c r="AK6180" i="2" s="1"/>
  <c r="Y6188" i="2"/>
  <c r="AB6196" i="2"/>
  <c r="AK6196" i="2" s="1"/>
  <c r="AC6220" i="2"/>
  <c r="Y6220" i="2"/>
  <c r="AB6222" i="2"/>
  <c r="AK6222" i="2" s="1"/>
  <c r="Y6222" i="2"/>
  <c r="AB6226" i="2"/>
  <c r="AK6226" i="2" s="1"/>
  <c r="Y6226" i="2"/>
  <c r="AB6228" i="2"/>
  <c r="AK6228" i="2" s="1"/>
  <c r="Y6228" i="2"/>
  <c r="AC6232" i="2"/>
  <c r="AB6232" i="2"/>
  <c r="AK6232" i="2" s="1"/>
  <c r="AC6234" i="2"/>
  <c r="AB6234" i="2"/>
  <c r="AK6234" i="2" s="1"/>
  <c r="Y6236" i="2"/>
  <c r="AC6238" i="2"/>
  <c r="Y6238" i="2"/>
  <c r="AC6240" i="2"/>
  <c r="AB6242" i="2"/>
  <c r="AK6242" i="2" s="1"/>
  <c r="Y6242" i="2"/>
  <c r="AB6244" i="2"/>
  <c r="AK6244" i="2" s="1"/>
  <c r="Y6244" i="2"/>
  <c r="AC6248" i="2"/>
  <c r="AB6248" i="2"/>
  <c r="AK6248" i="2" s="1"/>
  <c r="AC6250" i="2"/>
  <c r="AB6250" i="2"/>
  <c r="AK6250" i="2" s="1"/>
  <c r="Y6252" i="2"/>
  <c r="AC6254" i="2"/>
  <c r="Y6254" i="2"/>
  <c r="AC6256" i="2"/>
  <c r="AB6258" i="2"/>
  <c r="AK6258" i="2" s="1"/>
  <c r="Y6258" i="2"/>
  <c r="AB6260" i="2"/>
  <c r="AK6260" i="2" s="1"/>
  <c r="Y6260" i="2"/>
  <c r="AC6264" i="2"/>
  <c r="AB6264" i="2"/>
  <c r="AK6264" i="2" s="1"/>
  <c r="AC6266" i="2"/>
  <c r="AB6266" i="2"/>
  <c r="AK6266" i="2" s="1"/>
  <c r="Y6268" i="2"/>
  <c r="AC6270" i="2"/>
  <c r="Y6270" i="2"/>
  <c r="AC6272" i="2"/>
  <c r="AB6274" i="2"/>
  <c r="AK6274" i="2" s="1"/>
  <c r="Y6274" i="2"/>
  <c r="AB6276" i="2"/>
  <c r="AK6276" i="2" s="1"/>
  <c r="Y6276" i="2"/>
  <c r="AC6280" i="2"/>
  <c r="AB6280" i="2"/>
  <c r="AK6280" i="2" s="1"/>
  <c r="AC6282" i="2"/>
  <c r="AB6282" i="2"/>
  <c r="AK6282" i="2" s="1"/>
  <c r="Y6284" i="2"/>
  <c r="AC6286" i="2"/>
  <c r="Y6286" i="2"/>
  <c r="AC6288" i="2"/>
  <c r="AB6290" i="2"/>
  <c r="AK6290" i="2" s="1"/>
  <c r="Y6290" i="2"/>
  <c r="AB6292" i="2"/>
  <c r="AK6292" i="2" s="1"/>
  <c r="Y6292" i="2"/>
  <c r="AC6296" i="2"/>
  <c r="AB6296" i="2"/>
  <c r="AK6296" i="2" s="1"/>
  <c r="AC6298" i="2"/>
  <c r="AB6298" i="2"/>
  <c r="AK6298" i="2" s="1"/>
  <c r="Y6300" i="2"/>
  <c r="AC6302" i="2"/>
  <c r="Y6302" i="2"/>
  <c r="AC6304" i="2"/>
  <c r="AB6306" i="2"/>
  <c r="AK6306" i="2" s="1"/>
  <c r="Y6306" i="2"/>
  <c r="AB6308" i="2"/>
  <c r="AK6308" i="2" s="1"/>
  <c r="Y6308" i="2"/>
  <c r="AC6312" i="2"/>
  <c r="AB6312" i="2"/>
  <c r="AK6312" i="2" s="1"/>
  <c r="AC6314" i="2"/>
  <c r="AB6314" i="2"/>
  <c r="AK6314" i="2" s="1"/>
  <c r="Y6316" i="2"/>
  <c r="AC6318" i="2"/>
  <c r="Y6318" i="2"/>
  <c r="AC6320" i="2"/>
  <c r="AB6322" i="2"/>
  <c r="AK6322" i="2" s="1"/>
  <c r="Y6322" i="2"/>
  <c r="AB6324" i="2"/>
  <c r="AK6324" i="2" s="1"/>
  <c r="Y6324" i="2"/>
  <c r="AC6328" i="2"/>
  <c r="AB6328" i="2"/>
  <c r="AK6328" i="2" s="1"/>
  <c r="AC6335" i="2"/>
  <c r="AC6340" i="2"/>
  <c r="AB6343" i="2"/>
  <c r="AK6343" i="2" s="1"/>
  <c r="Y6343" i="2"/>
  <c r="AB6346" i="2"/>
  <c r="AK6346" i="2" s="1"/>
  <c r="AB6350" i="2"/>
  <c r="AK6350" i="2" s="1"/>
  <c r="Y6350" i="2"/>
  <c r="Y6358" i="2"/>
  <c r="AB6362" i="2"/>
  <c r="AK6362" i="2" s="1"/>
  <c r="AC6368" i="2"/>
  <c r="AB6368" i="2"/>
  <c r="AK6368" i="2" s="1"/>
  <c r="Y6368" i="2"/>
  <c r="AB6373" i="2"/>
  <c r="AK6373" i="2" s="1"/>
  <c r="Y6373" i="2"/>
  <c r="AB6381" i="2"/>
  <c r="AK6381" i="2" s="1"/>
  <c r="Y6381" i="2"/>
  <c r="AC6384" i="2"/>
  <c r="AC6389" i="2"/>
  <c r="AB6389" i="2"/>
  <c r="AK6389" i="2" s="1"/>
  <c r="Y6389" i="2"/>
  <c r="AC6392" i="2"/>
  <c r="AC6397" i="2"/>
  <c r="AB6397" i="2"/>
  <c r="AK6397" i="2" s="1"/>
  <c r="Y6397" i="2"/>
  <c r="AC6405" i="2"/>
  <c r="AB6405" i="2"/>
  <c r="AK6405" i="2" s="1"/>
  <c r="Y6405" i="2"/>
  <c r="AC6408" i="2"/>
  <c r="AC6413" i="2"/>
  <c r="AB6413" i="2"/>
  <c r="AK6413" i="2" s="1"/>
  <c r="Y6413" i="2"/>
  <c r="AC6419" i="2"/>
  <c r="AC6424" i="2"/>
  <c r="AB6424" i="2"/>
  <c r="AK6424" i="2" s="1"/>
  <c r="AC6427" i="2"/>
  <c r="AC6432" i="2"/>
  <c r="AB6432" i="2"/>
  <c r="AK6432" i="2" s="1"/>
  <c r="AC6435" i="2"/>
  <c r="AC6440" i="2"/>
  <c r="AB6440" i="2"/>
  <c r="AK6440" i="2" s="1"/>
  <c r="AC6443" i="2"/>
  <c r="AC6448" i="2"/>
  <c r="AB6448" i="2"/>
  <c r="AK6448" i="2" s="1"/>
  <c r="AC6451" i="2"/>
  <c r="AB6456" i="2"/>
  <c r="AK6456" i="2" s="1"/>
  <c r="Y6456" i="2"/>
  <c r="AB6460" i="2"/>
  <c r="AK6460" i="2" s="1"/>
  <c r="Y6460" i="2"/>
  <c r="AB6464" i="2"/>
  <c r="AK6464" i="2" s="1"/>
  <c r="Y6464" i="2"/>
  <c r="AB6468" i="2"/>
  <c r="AK6468" i="2" s="1"/>
  <c r="Y6468" i="2"/>
  <c r="AB6472" i="2"/>
  <c r="AK6472" i="2" s="1"/>
  <c r="Y6472" i="2"/>
  <c r="AB6476" i="2"/>
  <c r="AK6476" i="2" s="1"/>
  <c r="Y6476" i="2"/>
  <c r="AC6479" i="2"/>
  <c r="AB6479" i="2"/>
  <c r="AK6479" i="2" s="1"/>
  <c r="Y6479" i="2"/>
  <c r="AC6482" i="2"/>
  <c r="AC6487" i="2"/>
  <c r="AB6487" i="2"/>
  <c r="AK6487" i="2" s="1"/>
  <c r="Y6487" i="2"/>
  <c r="AC6490" i="2"/>
  <c r="AC6494" i="2"/>
  <c r="AC6498" i="2"/>
  <c r="AC6502" i="2"/>
  <c r="AC6506" i="2"/>
  <c r="AC6510" i="2"/>
  <c r="AB6515" i="2"/>
  <c r="AK6515" i="2" s="1"/>
  <c r="AB6523" i="2"/>
  <c r="AK6523" i="2" s="1"/>
  <c r="AB6531" i="2"/>
  <c r="AK6531" i="2" s="1"/>
  <c r="AB6539" i="2"/>
  <c r="AK6539" i="2" s="1"/>
  <c r="AB6547" i="2"/>
  <c r="AK6547" i="2" s="1"/>
  <c r="AC6585" i="2"/>
  <c r="AC6589" i="2"/>
  <c r="AC6593" i="2"/>
  <c r="AC6597" i="2"/>
  <c r="AC6601" i="2"/>
  <c r="AC6605" i="2"/>
  <c r="AC6609" i="2"/>
  <c r="AC6613" i="2"/>
  <c r="AC6618" i="2"/>
  <c r="AB6618" i="2"/>
  <c r="AK6618" i="2" s="1"/>
  <c r="AC6621" i="2"/>
  <c r="AC6626" i="2"/>
  <c r="AB6626" i="2"/>
  <c r="AK6626" i="2" s="1"/>
  <c r="AC6629" i="2"/>
  <c r="AC6645" i="2"/>
  <c r="AB6645" i="2"/>
  <c r="AK6645" i="2" s="1"/>
  <c r="Y6645" i="2"/>
  <c r="Y6651" i="2"/>
  <c r="AC6655" i="2"/>
  <c r="AB6660" i="2"/>
  <c r="AK6660" i="2" s="1"/>
  <c r="Y6660" i="2"/>
  <c r="AB6664" i="2"/>
  <c r="AK6664" i="2" s="1"/>
  <c r="Y6664" i="2"/>
  <c r="AB6668" i="2"/>
  <c r="AK6668" i="2" s="1"/>
  <c r="Y6668" i="2"/>
  <c r="AB6672" i="2"/>
  <c r="AK6672" i="2" s="1"/>
  <c r="Y6672" i="2"/>
  <c r="AB6676" i="2"/>
  <c r="AK6676" i="2" s="1"/>
  <c r="Y6676" i="2"/>
  <c r="AB6683" i="2"/>
  <c r="AK6683" i="2" s="1"/>
  <c r="AB6691" i="2"/>
  <c r="AK6691" i="2" s="1"/>
  <c r="AB6699" i="2"/>
  <c r="AK6699" i="2" s="1"/>
  <c r="AC6745" i="2"/>
  <c r="Y6745" i="2"/>
  <c r="AA6750" i="2"/>
  <c r="AB6750" i="2" s="1"/>
  <c r="AA6751" i="2"/>
  <c r="AB6751" i="2" s="1"/>
  <c r="AK6751" i="2" s="1"/>
  <c r="AA6752" i="2"/>
  <c r="AB6752" i="2" s="1"/>
  <c r="AK6752" i="2" s="1"/>
  <c r="AA6753" i="2"/>
  <c r="AB6753" i="2" s="1"/>
  <c r="AC6757" i="2"/>
  <c r="AA6766" i="2"/>
  <c r="AB6766" i="2" s="1"/>
  <c r="Y6766" i="2"/>
  <c r="AC6781" i="2"/>
  <c r="AB6784" i="2"/>
  <c r="AK6784" i="2" s="1"/>
  <c r="Y6784" i="2"/>
  <c r="AF6785" i="2"/>
  <c r="AC6787" i="2"/>
  <c r="Y6787" i="2"/>
  <c r="Y6790" i="2"/>
  <c r="AB6791" i="2"/>
  <c r="AK6791" i="2" s="1"/>
  <c r="Y6791" i="2"/>
  <c r="AC6795" i="2"/>
  <c r="AB6798" i="2"/>
  <c r="AK6798" i="2" s="1"/>
  <c r="Y6798" i="2"/>
  <c r="AF6806" i="2"/>
  <c r="AB6809" i="2"/>
  <c r="AK6809" i="2" s="1"/>
  <c r="Y6809" i="2"/>
  <c r="AC6816" i="2"/>
  <c r="AB6819" i="2"/>
  <c r="AK6819" i="2" s="1"/>
  <c r="Y6819" i="2"/>
  <c r="AC6823" i="2"/>
  <c r="AF6827" i="2"/>
  <c r="AF6830" i="2"/>
  <c r="AF6833" i="2"/>
  <c r="AB6836" i="2"/>
  <c r="AK6836" i="2" s="1"/>
  <c r="Y6836" i="2"/>
  <c r="AB6840" i="2"/>
  <c r="AK6840" i="2" s="1"/>
  <c r="Y6840" i="2"/>
  <c r="AC6844" i="2"/>
  <c r="AC6848" i="2"/>
  <c r="AB6848" i="2"/>
  <c r="AK6848" i="2" s="1"/>
  <c r="Y6848" i="2"/>
  <c r="AF6849" i="2"/>
  <c r="AC6855" i="2"/>
  <c r="AB6855" i="2"/>
  <c r="AK6855" i="2" s="1"/>
  <c r="Y6855" i="2"/>
  <c r="AC6862" i="2"/>
  <c r="AC6872" i="2"/>
  <c r="AB6872" i="2"/>
  <c r="AK6872" i="2" s="1"/>
  <c r="Y6872" i="2"/>
  <c r="AB6875" i="2"/>
  <c r="AK6875" i="2" s="1"/>
  <c r="Y6875" i="2"/>
  <c r="AB6878" i="2"/>
  <c r="AK6878" i="2" s="1"/>
  <c r="Y6878" i="2"/>
  <c r="AC6882" i="2"/>
  <c r="AF6889" i="2"/>
  <c r="AA6892" i="2"/>
  <c r="AC6899" i="2"/>
  <c r="AB6899" i="2"/>
  <c r="AK6899" i="2" s="1"/>
  <c r="Y6899" i="2"/>
  <c r="AF6903" i="2"/>
  <c r="AF6913" i="2"/>
  <c r="AC6916" i="2"/>
  <c r="AC6926" i="2"/>
  <c r="AB6926" i="2"/>
  <c r="AK6926" i="2" s="1"/>
  <c r="Y6926" i="2"/>
  <c r="AB6929" i="2"/>
  <c r="AK6929" i="2" s="1"/>
  <c r="Y6929" i="2"/>
  <c r="AC6933" i="2"/>
  <c r="AC6936" i="2"/>
  <c r="AB6952" i="2"/>
  <c r="AK6952" i="2" s="1"/>
  <c r="Y6952" i="2"/>
  <c r="AC6952" i="2"/>
  <c r="AC6965" i="2"/>
  <c r="AC6968" i="2"/>
  <c r="AC6971" i="2"/>
  <c r="AC6974" i="2"/>
  <c r="AB6974" i="2"/>
  <c r="AK6974" i="2" s="1"/>
  <c r="Y6974" i="2"/>
  <c r="AB6977" i="2"/>
  <c r="AK6977" i="2" s="1"/>
  <c r="Y6977" i="2"/>
  <c r="AC6987" i="2"/>
  <c r="AC7021" i="2"/>
  <c r="AB7021" i="2"/>
  <c r="AK7021" i="2" s="1"/>
  <c r="Y7021" i="2"/>
  <c r="AC7024" i="2"/>
  <c r="AC7037" i="2"/>
  <c r="AB7037" i="2"/>
  <c r="AK7037" i="2" s="1"/>
  <c r="Y7037" i="2"/>
  <c r="AC7043" i="2"/>
  <c r="AB7043" i="2"/>
  <c r="AK7043" i="2" s="1"/>
  <c r="Y7043" i="2"/>
  <c r="AB7058" i="2"/>
  <c r="AK7058" i="2" s="1"/>
  <c r="Y7058" i="2"/>
  <c r="AC7071" i="2"/>
  <c r="AF7120" i="2"/>
  <c r="AF7123" i="2"/>
  <c r="AC7126" i="2"/>
  <c r="AB7126" i="2"/>
  <c r="AK7126" i="2" s="1"/>
  <c r="AB7129" i="2"/>
  <c r="AK7129" i="2" s="1"/>
  <c r="Y7129" i="2"/>
  <c r="AC7129" i="2"/>
  <c r="AC7144" i="2"/>
  <c r="AB7144" i="2"/>
  <c r="AK7144" i="2" s="1"/>
  <c r="Y7144" i="2"/>
  <c r="AC7200" i="2"/>
  <c r="AB7200" i="2"/>
  <c r="AK7200" i="2" s="1"/>
  <c r="Y7200" i="2"/>
  <c r="AB7239" i="2"/>
  <c r="AK7239" i="2" s="1"/>
  <c r="Y7239" i="2"/>
  <c r="AC7239" i="2"/>
  <c r="AB7295" i="2"/>
  <c r="AK7295" i="2" s="1"/>
  <c r="Y7295" i="2"/>
  <c r="AC7295" i="2"/>
  <c r="AB7332" i="2"/>
  <c r="AK7332" i="2" s="1"/>
  <c r="Y7332" i="2"/>
  <c r="AC7332" i="2"/>
  <c r="AB7445" i="2"/>
  <c r="AK7445" i="2" s="1"/>
  <c r="Y7445" i="2"/>
  <c r="AC7445" i="2"/>
  <c r="AB7479" i="2"/>
  <c r="AK7479" i="2" s="1"/>
  <c r="Y7479" i="2"/>
  <c r="AC7479" i="2"/>
  <c r="AB7493" i="2"/>
  <c r="AK7493" i="2" s="1"/>
  <c r="Y7493" i="2"/>
  <c r="AC7493" i="2"/>
  <c r="AF7577" i="2"/>
  <c r="Y7577" i="2"/>
  <c r="AB7718" i="2"/>
  <c r="AK7718" i="2" s="1"/>
  <c r="Y7718" i="2"/>
  <c r="AC7718" i="2"/>
  <c r="AB7729" i="2"/>
  <c r="AK7729" i="2" s="1"/>
  <c r="Y7729" i="2"/>
  <c r="AC7729" i="2"/>
  <c r="AC7741" i="2"/>
  <c r="AB7741" i="2"/>
  <c r="AK7741" i="2" s="1"/>
  <c r="AB5391" i="2"/>
  <c r="AK5391" i="2" s="1"/>
  <c r="Y5391" i="2"/>
  <c r="AB5532" i="2"/>
  <c r="AK5532" i="2" s="1"/>
  <c r="Y5532" i="2"/>
  <c r="AB5545" i="2"/>
  <c r="AK5545" i="2" s="1"/>
  <c r="Y5545" i="2"/>
  <c r="AC5619" i="2"/>
  <c r="AB5619" i="2"/>
  <c r="AK5619" i="2" s="1"/>
  <c r="Y5619" i="2"/>
  <c r="AB5417" i="2"/>
  <c r="AK5417" i="2" s="1"/>
  <c r="AC5425" i="2"/>
  <c r="AC5428" i="2"/>
  <c r="Y5439" i="2"/>
  <c r="AB5454" i="2"/>
  <c r="AK5454" i="2" s="1"/>
  <c r="AB5470" i="2"/>
  <c r="AK5470" i="2" s="1"/>
  <c r="AB5494" i="2"/>
  <c r="AK5494" i="2" s="1"/>
  <c r="AB5502" i="2"/>
  <c r="AK5502" i="2" s="1"/>
  <c r="Y5502" i="2"/>
  <c r="AB5510" i="2"/>
  <c r="AK5510" i="2" s="1"/>
  <c r="Y5510" i="2"/>
  <c r="AC5532" i="2"/>
  <c r="AB5540" i="2"/>
  <c r="AK5540" i="2" s="1"/>
  <c r="AC5545" i="2"/>
  <c r="AB5553" i="2"/>
  <c r="AK5553" i="2" s="1"/>
  <c r="Y5553" i="2"/>
  <c r="AC5566" i="2"/>
  <c r="AB5574" i="2"/>
  <c r="AK5574" i="2" s="1"/>
  <c r="Y5574" i="2"/>
  <c r="AB5590" i="2"/>
  <c r="AK5590" i="2" s="1"/>
  <c r="Y5590" i="2"/>
  <c r="Y5598" i="2"/>
  <c r="AB5606" i="2"/>
  <c r="AK5606" i="2" s="1"/>
  <c r="Y5606" i="2"/>
  <c r="AC5743" i="2"/>
  <c r="AC5778" i="2"/>
  <c r="AB5778" i="2"/>
  <c r="AK5778" i="2" s="1"/>
  <c r="Y5778" i="2"/>
  <c r="AB5798" i="2"/>
  <c r="AK5798" i="2" s="1"/>
  <c r="AB5811" i="2"/>
  <c r="AK5811" i="2" s="1"/>
  <c r="AB5820" i="2"/>
  <c r="AK5820" i="2" s="1"/>
  <c r="Y5820" i="2"/>
  <c r="AC5825" i="2"/>
  <c r="AB5825" i="2"/>
  <c r="AK5825" i="2" s="1"/>
  <c r="Y5825" i="2"/>
  <c r="AB5843" i="2"/>
  <c r="AK5843" i="2" s="1"/>
  <c r="AB5852" i="2"/>
  <c r="AK5852" i="2" s="1"/>
  <c r="Y5852" i="2"/>
  <c r="AC5857" i="2"/>
  <c r="AB5857" i="2"/>
  <c r="AK5857" i="2" s="1"/>
  <c r="Y5857" i="2"/>
  <c r="AC5881" i="2"/>
  <c r="AB5881" i="2"/>
  <c r="AK5881" i="2" s="1"/>
  <c r="Y5881" i="2"/>
  <c r="AC5889" i="2"/>
  <c r="AB5889" i="2"/>
  <c r="AK5889" i="2" s="1"/>
  <c r="Y5889" i="2"/>
  <c r="AC5897" i="2"/>
  <c r="AB5897" i="2"/>
  <c r="AK5897" i="2" s="1"/>
  <c r="Y5897" i="2"/>
  <c r="AC5905" i="2"/>
  <c r="AB5905" i="2"/>
  <c r="AK5905" i="2" s="1"/>
  <c r="Y5905" i="2"/>
  <c r="AC5913" i="2"/>
  <c r="AB5913" i="2"/>
  <c r="AK5913" i="2" s="1"/>
  <c r="Y5913" i="2"/>
  <c r="AC5921" i="2"/>
  <c r="AB5921" i="2"/>
  <c r="AK5921" i="2" s="1"/>
  <c r="Y5921" i="2"/>
  <c r="AC5929" i="2"/>
  <c r="AB5929" i="2"/>
  <c r="AK5929" i="2" s="1"/>
  <c r="Y5929" i="2"/>
  <c r="AC5937" i="2"/>
  <c r="AB5937" i="2"/>
  <c r="AK5937" i="2" s="1"/>
  <c r="Y5937" i="2"/>
  <c r="AC5945" i="2"/>
  <c r="AB5945" i="2"/>
  <c r="AK5945" i="2" s="1"/>
  <c r="Y5945" i="2"/>
  <c r="AC5953" i="2"/>
  <c r="AB5953" i="2"/>
  <c r="AK5953" i="2" s="1"/>
  <c r="Y5953" i="2"/>
  <c r="AB5960" i="2"/>
  <c r="AK5960" i="2" s="1"/>
  <c r="AC5974" i="2"/>
  <c r="AB5974" i="2"/>
  <c r="AK5974" i="2" s="1"/>
  <c r="Y5974" i="2"/>
  <c r="AC5990" i="2"/>
  <c r="AB5990" i="2"/>
  <c r="AK5990" i="2" s="1"/>
  <c r="Y5990" i="2"/>
  <c r="AC5998" i="2"/>
  <c r="AB5998" i="2"/>
  <c r="AK5998" i="2" s="1"/>
  <c r="Y5998" i="2"/>
  <c r="AC6019" i="2"/>
  <c r="AB6019" i="2"/>
  <c r="AK6019" i="2" s="1"/>
  <c r="Y6019" i="2"/>
  <c r="AF6033" i="2"/>
  <c r="AC6044" i="2"/>
  <c r="AC6048" i="2"/>
  <c r="AB6048" i="2"/>
  <c r="AK6048" i="2" s="1"/>
  <c r="Y6048" i="2"/>
  <c r="AF6054" i="2"/>
  <c r="AB6061" i="2"/>
  <c r="AK6061" i="2" s="1"/>
  <c r="Y6061" i="2"/>
  <c r="AB6065" i="2"/>
  <c r="AK6065" i="2" s="1"/>
  <c r="AB6082" i="2"/>
  <c r="AK6082" i="2" s="1"/>
  <c r="Y6082" i="2"/>
  <c r="AC6092" i="2"/>
  <c r="AB6092" i="2"/>
  <c r="AK6092" i="2" s="1"/>
  <c r="Y6092" i="2"/>
  <c r="Y6095" i="2"/>
  <c r="AB6098" i="2"/>
  <c r="AK6098" i="2" s="1"/>
  <c r="Y6098" i="2"/>
  <c r="AB6102" i="2"/>
  <c r="AK6102" i="2" s="1"/>
  <c r="Y6102" i="2"/>
  <c r="AC6110" i="2"/>
  <c r="AB6110" i="2"/>
  <c r="AK6110" i="2" s="1"/>
  <c r="Y6110" i="2"/>
  <c r="AC6118" i="2"/>
  <c r="AB6118" i="2"/>
  <c r="AK6118" i="2" s="1"/>
  <c r="Y6118" i="2"/>
  <c r="AC6126" i="2"/>
  <c r="AB6126" i="2"/>
  <c r="AK6126" i="2" s="1"/>
  <c r="Y6126" i="2"/>
  <c r="AC6134" i="2"/>
  <c r="AB6134" i="2"/>
  <c r="AK6134" i="2" s="1"/>
  <c r="Y6134" i="2"/>
  <c r="AC6142" i="2"/>
  <c r="AB6142" i="2"/>
  <c r="AK6142" i="2" s="1"/>
  <c r="Y6142" i="2"/>
  <c r="AC6150" i="2"/>
  <c r="AB6150" i="2"/>
  <c r="AK6150" i="2" s="1"/>
  <c r="Y6150" i="2"/>
  <c r="AC6158" i="2"/>
  <c r="AB6158" i="2"/>
  <c r="AK6158" i="2" s="1"/>
  <c r="Y6158" i="2"/>
  <c r="AC6166" i="2"/>
  <c r="AB6166" i="2"/>
  <c r="AK6166" i="2" s="1"/>
  <c r="Y6166" i="2"/>
  <c r="AC6177" i="2"/>
  <c r="AB6177" i="2"/>
  <c r="AK6177" i="2" s="1"/>
  <c r="Y6177" i="2"/>
  <c r="AC6185" i="2"/>
  <c r="AB6185" i="2"/>
  <c r="AK6185" i="2" s="1"/>
  <c r="Y6185" i="2"/>
  <c r="AC6193" i="2"/>
  <c r="AB6193" i="2"/>
  <c r="AK6193" i="2" s="1"/>
  <c r="Y6193" i="2"/>
  <c r="AC6201" i="2"/>
  <c r="AB6201" i="2"/>
  <c r="AK6201" i="2" s="1"/>
  <c r="Y6201" i="2"/>
  <c r="AB6213" i="2"/>
  <c r="AK6213" i="2" s="1"/>
  <c r="Y6213" i="2"/>
  <c r="AB6217" i="2"/>
  <c r="AK6217" i="2" s="1"/>
  <c r="Y6217" i="2"/>
  <c r="AB6330" i="2"/>
  <c r="AK6330" i="2" s="1"/>
  <c r="Y6330" i="2"/>
  <c r="AB6337" i="2"/>
  <c r="AK6337" i="2" s="1"/>
  <c r="Y6337" i="2"/>
  <c r="AC6343" i="2"/>
  <c r="AC6358" i="2"/>
  <c r="AC6362" i="2"/>
  <c r="AC6370" i="2"/>
  <c r="AB6370" i="2"/>
  <c r="AK6370" i="2" s="1"/>
  <c r="Y6370" i="2"/>
  <c r="AC6373" i="2"/>
  <c r="AC6378" i="2"/>
  <c r="AB6378" i="2"/>
  <c r="AK6378" i="2" s="1"/>
  <c r="Y6378" i="2"/>
  <c r="AC6381" i="2"/>
  <c r="AB6386" i="2"/>
  <c r="AK6386" i="2" s="1"/>
  <c r="Y6386" i="2"/>
  <c r="AB6394" i="2"/>
  <c r="AK6394" i="2" s="1"/>
  <c r="AB6410" i="2"/>
  <c r="AK6410" i="2" s="1"/>
  <c r="AB6415" i="2"/>
  <c r="AK6415" i="2" s="1"/>
  <c r="Y6415" i="2"/>
  <c r="AB6421" i="2"/>
  <c r="AK6421" i="2" s="1"/>
  <c r="Y6421" i="2"/>
  <c r="AB6429" i="2"/>
  <c r="AK6429" i="2" s="1"/>
  <c r="Y6429" i="2"/>
  <c r="AB6437" i="2"/>
  <c r="AK6437" i="2" s="1"/>
  <c r="Y6437" i="2"/>
  <c r="AB6445" i="2"/>
  <c r="AK6445" i="2" s="1"/>
  <c r="Y6445" i="2"/>
  <c r="AB6453" i="2"/>
  <c r="AK6453" i="2" s="1"/>
  <c r="Y6453" i="2"/>
  <c r="AC6456" i="2"/>
  <c r="AC6460" i="2"/>
  <c r="AC6464" i="2"/>
  <c r="AC6468" i="2"/>
  <c r="AC6472" i="2"/>
  <c r="AC6476" i="2"/>
  <c r="AB6484" i="2"/>
  <c r="AK6484" i="2" s="1"/>
  <c r="Y6484" i="2"/>
  <c r="AC6512" i="2"/>
  <c r="AB6512" i="2"/>
  <c r="AK6512" i="2" s="1"/>
  <c r="Y6512" i="2"/>
  <c r="AC6515" i="2"/>
  <c r="AC6520" i="2"/>
  <c r="AB6520" i="2"/>
  <c r="AK6520" i="2" s="1"/>
  <c r="Y6520" i="2"/>
  <c r="AC6523" i="2"/>
  <c r="AC6528" i="2"/>
  <c r="AB6528" i="2"/>
  <c r="AK6528" i="2" s="1"/>
  <c r="Y6528" i="2"/>
  <c r="AC6531" i="2"/>
  <c r="AC6536" i="2"/>
  <c r="AB6536" i="2"/>
  <c r="AK6536" i="2" s="1"/>
  <c r="Y6536" i="2"/>
  <c r="AC6539" i="2"/>
  <c r="AC6544" i="2"/>
  <c r="AB6544" i="2"/>
  <c r="AK6544" i="2" s="1"/>
  <c r="Y6544" i="2"/>
  <c r="AC6547" i="2"/>
  <c r="AC6552" i="2"/>
  <c r="AB6552" i="2"/>
  <c r="AK6552" i="2" s="1"/>
  <c r="Y6552" i="2"/>
  <c r="AC6560" i="2"/>
  <c r="AB6560" i="2"/>
  <c r="AK6560" i="2" s="1"/>
  <c r="Y6560" i="2"/>
  <c r="AC6568" i="2"/>
  <c r="Y6568" i="2"/>
  <c r="AC6576" i="2"/>
  <c r="AB6576" i="2"/>
  <c r="AK6576" i="2" s="1"/>
  <c r="Y6576" i="2"/>
  <c r="AB6584" i="2"/>
  <c r="AK6584" i="2" s="1"/>
  <c r="Y6584" i="2"/>
  <c r="AB6588" i="2"/>
  <c r="AK6588" i="2" s="1"/>
  <c r="Y6588" i="2"/>
  <c r="AB6592" i="2"/>
  <c r="AK6592" i="2" s="1"/>
  <c r="Y6592" i="2"/>
  <c r="AB6596" i="2"/>
  <c r="AK6596" i="2" s="1"/>
  <c r="Y6596" i="2"/>
  <c r="AB6600" i="2"/>
  <c r="AK6600" i="2" s="1"/>
  <c r="Y6600" i="2"/>
  <c r="AB6604" i="2"/>
  <c r="AK6604" i="2" s="1"/>
  <c r="Y6604" i="2"/>
  <c r="AB6608" i="2"/>
  <c r="AK6608" i="2" s="1"/>
  <c r="Y6608" i="2"/>
  <c r="AB6612" i="2"/>
  <c r="AK6612" i="2" s="1"/>
  <c r="Y6612" i="2"/>
  <c r="AB6615" i="2"/>
  <c r="AK6615" i="2" s="1"/>
  <c r="Y6615" i="2"/>
  <c r="AB6623" i="2"/>
  <c r="AK6623" i="2" s="1"/>
  <c r="Y6623" i="2"/>
  <c r="AB6631" i="2"/>
  <c r="AK6631" i="2" s="1"/>
  <c r="Y6631" i="2"/>
  <c r="AB6637" i="2"/>
  <c r="AK6637" i="2" s="1"/>
  <c r="Y6637" i="2"/>
  <c r="AB6641" i="2"/>
  <c r="AK6641" i="2" s="1"/>
  <c r="Y6641" i="2"/>
  <c r="AB6657" i="2"/>
  <c r="AK6657" i="2" s="1"/>
  <c r="AC6660" i="2"/>
  <c r="AC6664" i="2"/>
  <c r="AC6668" i="2"/>
  <c r="AC6672" i="2"/>
  <c r="AC6676" i="2"/>
  <c r="AC6680" i="2"/>
  <c r="AB6680" i="2"/>
  <c r="AK6680" i="2" s="1"/>
  <c r="Y6680" i="2"/>
  <c r="AC6683" i="2"/>
  <c r="AC6688" i="2"/>
  <c r="Y6688" i="2" s="1"/>
  <c r="AB6688" i="2"/>
  <c r="AK6688" i="2" s="1"/>
  <c r="AC6691" i="2"/>
  <c r="AC6696" i="2"/>
  <c r="AB6696" i="2"/>
  <c r="AK6696" i="2" s="1"/>
  <c r="Y6696" i="2"/>
  <c r="AC6699" i="2"/>
  <c r="AC6704" i="2"/>
  <c r="AB6704" i="2"/>
  <c r="AK6704" i="2" s="1"/>
  <c r="Y6704" i="2"/>
  <c r="AC6712" i="2"/>
  <c r="AB6712" i="2"/>
  <c r="AK6712" i="2" s="1"/>
  <c r="Y6712" i="2"/>
  <c r="AC6720" i="2"/>
  <c r="AB6720" i="2"/>
  <c r="AK6720" i="2" s="1"/>
  <c r="Y6720" i="2"/>
  <c r="AC6728" i="2"/>
  <c r="AB6728" i="2"/>
  <c r="AK6728" i="2" s="1"/>
  <c r="Y6728" i="2"/>
  <c r="AC6744" i="2"/>
  <c r="Y6744" i="2"/>
  <c r="AA6745" i="2"/>
  <c r="AB6745" i="2" s="1"/>
  <c r="AK6745" i="2" s="1"/>
  <c r="AC6749" i="2"/>
  <c r="AB6749" i="2"/>
  <c r="AK6749" i="2" s="1"/>
  <c r="AC6750" i="2"/>
  <c r="AC6751" i="2"/>
  <c r="AC6752" i="2"/>
  <c r="AC6753" i="2"/>
  <c r="AC6766" i="2"/>
  <c r="AC6769" i="2"/>
  <c r="AB6769" i="2"/>
  <c r="AK6769" i="2" s="1"/>
  <c r="Y6769" i="2"/>
  <c r="AF6770" i="2"/>
  <c r="AB6773" i="2"/>
  <c r="AK6773" i="2" s="1"/>
  <c r="AC6776" i="2"/>
  <c r="Y6776" i="2"/>
  <c r="Y6779" i="2"/>
  <c r="AB6780" i="2"/>
  <c r="AK6780" i="2" s="1"/>
  <c r="Y6780" i="2"/>
  <c r="AC6784" i="2"/>
  <c r="AA6790" i="2"/>
  <c r="AC6791" i="2"/>
  <c r="AF6795" i="2"/>
  <c r="AC6798" i="2"/>
  <c r="AB6805" i="2"/>
  <c r="AK6805" i="2" s="1"/>
  <c r="AC6809" i="2"/>
  <c r="AC6812" i="2"/>
  <c r="Y6812" i="2"/>
  <c r="AC6822" i="2"/>
  <c r="AB6822" i="2"/>
  <c r="AK6822" i="2" s="1"/>
  <c r="Y6822" i="2"/>
  <c r="AB6829" i="2"/>
  <c r="AK6829" i="2" s="1"/>
  <c r="Y6832" i="2"/>
  <c r="AC6851" i="2"/>
  <c r="Y6851" i="2"/>
  <c r="AF6855" i="2"/>
  <c r="AC6864" i="2"/>
  <c r="AB6864" i="2"/>
  <c r="AK6864" i="2" s="1"/>
  <c r="Y6864" i="2"/>
  <c r="AB6866" i="2"/>
  <c r="AK6866" i="2" s="1"/>
  <c r="Y6866" i="2"/>
  <c r="AC6869" i="2"/>
  <c r="AB6869" i="2"/>
  <c r="AK6869" i="2" s="1"/>
  <c r="Y6869" i="2"/>
  <c r="AB6881" i="2"/>
  <c r="AK6881" i="2" s="1"/>
  <c r="Y6881" i="2"/>
  <c r="AF6882" i="2"/>
  <c r="AC6888" i="2"/>
  <c r="AB6888" i="2"/>
  <c r="AK6888" i="2" s="1"/>
  <c r="AC6892" i="2"/>
  <c r="AB6902" i="2"/>
  <c r="AK6902" i="2" s="1"/>
  <c r="Y6902" i="2"/>
  <c r="AB6905" i="2"/>
  <c r="AK6905" i="2" s="1"/>
  <c r="Y6905" i="2"/>
  <c r="AF6906" i="2"/>
  <c r="AC6909" i="2"/>
  <c r="AB6909" i="2"/>
  <c r="AK6909" i="2" s="1"/>
  <c r="AC6912" i="2"/>
  <c r="AB6912" i="2"/>
  <c r="AK6912" i="2" s="1"/>
  <c r="Y6912" i="2"/>
  <c r="AF6919" i="2"/>
  <c r="AC6922" i="2"/>
  <c r="AB6922" i="2"/>
  <c r="AK6922" i="2" s="1"/>
  <c r="AF6926" i="2"/>
  <c r="AF6936" i="2"/>
  <c r="AB6949" i="2"/>
  <c r="AK6949" i="2" s="1"/>
  <c r="Y6949" i="2"/>
  <c r="AC6949" i="2"/>
  <c r="AF6952" i="2"/>
  <c r="AC6958" i="2"/>
  <c r="AB6958" i="2"/>
  <c r="AK6958" i="2" s="1"/>
  <c r="Y6958" i="2"/>
  <c r="AB6961" i="2"/>
  <c r="AK6961" i="2" s="1"/>
  <c r="Y6961" i="2"/>
  <c r="AF6968" i="2"/>
  <c r="AF6971" i="2"/>
  <c r="AF7005" i="2"/>
  <c r="AC7011" i="2"/>
  <c r="AB7011" i="2"/>
  <c r="AK7011" i="2" s="1"/>
  <c r="Y7011" i="2"/>
  <c r="AC7014" i="2"/>
  <c r="AB7014" i="2"/>
  <c r="AK7014" i="2" s="1"/>
  <c r="Y7014" i="2"/>
  <c r="AF7021" i="2"/>
  <c r="AC7027" i="2"/>
  <c r="AB7027" i="2"/>
  <c r="AK7027" i="2" s="1"/>
  <c r="Y7027" i="2"/>
  <c r="AC7030" i="2"/>
  <c r="AB7030" i="2"/>
  <c r="AK7030" i="2" s="1"/>
  <c r="Y7030" i="2"/>
  <c r="AC7061" i="2"/>
  <c r="AB7061" i="2"/>
  <c r="AK7061" i="2" s="1"/>
  <c r="Y7061" i="2"/>
  <c r="AB7064" i="2"/>
  <c r="AK7064" i="2" s="1"/>
  <c r="Y7064" i="2"/>
  <c r="AB7101" i="2"/>
  <c r="AK7101" i="2" s="1"/>
  <c r="Y7101" i="2"/>
  <c r="AC7101" i="2"/>
  <c r="AB7119" i="2"/>
  <c r="AK7119" i="2" s="1"/>
  <c r="Y7119" i="2"/>
  <c r="AB7153" i="2"/>
  <c r="AK7153" i="2" s="1"/>
  <c r="Y7153" i="2"/>
  <c r="AC7153" i="2"/>
  <c r="AB7263" i="2"/>
  <c r="AK7263" i="2" s="1"/>
  <c r="Y7263" i="2"/>
  <c r="AC7263" i="2"/>
  <c r="AC7358" i="2"/>
  <c r="AB7358" i="2"/>
  <c r="AK7358" i="2" s="1"/>
  <c r="AB7391" i="2"/>
  <c r="AK7391" i="2" s="1"/>
  <c r="Y7391" i="2"/>
  <c r="AC7391" i="2"/>
  <c r="AB7476" i="2"/>
  <c r="AK7476" i="2" s="1"/>
  <c r="Y7476" i="2"/>
  <c r="AC7476" i="2"/>
  <c r="AC7490" i="2"/>
  <c r="AB7490" i="2"/>
  <c r="AK7490" i="2" s="1"/>
  <c r="Y7490" i="2"/>
  <c r="AC7667" i="2"/>
  <c r="AB7667" i="2"/>
  <c r="AK7667" i="2" s="1"/>
  <c r="AC7752" i="2"/>
  <c r="AB7752" i="2"/>
  <c r="AK7752" i="2" s="1"/>
  <c r="Y7752" i="2"/>
  <c r="AB7763" i="2"/>
  <c r="AK7763" i="2" s="1"/>
  <c r="Y7763" i="2"/>
  <c r="AC7775" i="2"/>
  <c r="AB7790" i="2"/>
  <c r="AK7790" i="2" s="1"/>
  <c r="Y7790" i="2"/>
  <c r="AC7805" i="2"/>
  <c r="AC7819" i="2"/>
  <c r="AB7819" i="2"/>
  <c r="AK7819" i="2" s="1"/>
  <c r="Y7819" i="2"/>
  <c r="AB7836" i="2"/>
  <c r="AK7836" i="2" s="1"/>
  <c r="Y7836" i="2"/>
  <c r="AC7840" i="2"/>
  <c r="AB7840" i="2"/>
  <c r="AK7840" i="2" s="1"/>
  <c r="Y7840" i="2"/>
  <c r="AB7860" i="2"/>
  <c r="AK7860" i="2" s="1"/>
  <c r="Y7860" i="2"/>
  <c r="AC7860" i="2"/>
  <c r="AC7900" i="2"/>
  <c r="AB7900" i="2"/>
  <c r="AK7900" i="2" s="1"/>
  <c r="Y7900" i="2"/>
  <c r="AB7936" i="2"/>
  <c r="AK7936" i="2" s="1"/>
  <c r="AC7936" i="2"/>
  <c r="Y7936" i="2"/>
  <c r="AC7947" i="2"/>
  <c r="AB7947" i="2"/>
  <c r="AK7947" i="2" s="1"/>
  <c r="Y7947" i="2"/>
  <c r="AC8086" i="2"/>
  <c r="AB8086" i="2"/>
  <c r="AK8086" i="2" s="1"/>
  <c r="Y8086" i="2"/>
  <c r="AB8099" i="2"/>
  <c r="AK8099" i="2" s="1"/>
  <c r="AC8099" i="2"/>
  <c r="Y7801" i="2"/>
  <c r="Y7481" i="2"/>
  <c r="Y7449" i="2"/>
  <c r="Y7417" i="2"/>
  <c r="Y7385" i="2"/>
  <c r="Y7353" i="2"/>
  <c r="Y7289" i="2"/>
  <c r="Y7191" i="2"/>
  <c r="Y7127" i="2"/>
  <c r="AC7154" i="2"/>
  <c r="AB7154" i="2"/>
  <c r="AK7154" i="2" s="1"/>
  <c r="Y7154" i="2"/>
  <c r="AB7161" i="2"/>
  <c r="AK7161" i="2" s="1"/>
  <c r="Y7161" i="2"/>
  <c r="AC7164" i="2"/>
  <c r="AB7164" i="2"/>
  <c r="AK7164" i="2" s="1"/>
  <c r="Y7164" i="2"/>
  <c r="AF7179" i="2"/>
  <c r="AF7183" i="2"/>
  <c r="AB7185" i="2"/>
  <c r="AK7185" i="2" s="1"/>
  <c r="Y7185" i="2"/>
  <c r="AC7189" i="2"/>
  <c r="AB7189" i="2"/>
  <c r="AK7189" i="2" s="1"/>
  <c r="Y7189" i="2"/>
  <c r="AC7192" i="2"/>
  <c r="AB7192" i="2"/>
  <c r="AK7192" i="2" s="1"/>
  <c r="Y7192" i="2"/>
  <c r="AC7208" i="2"/>
  <c r="AB7208" i="2"/>
  <c r="AK7208" i="2" s="1"/>
  <c r="Y7208" i="2"/>
  <c r="AF7224" i="2"/>
  <c r="AF7232" i="2"/>
  <c r="AF7240" i="2"/>
  <c r="AF7248" i="2"/>
  <c r="AF7256" i="2"/>
  <c r="AF7264" i="2"/>
  <c r="AF7272" i="2"/>
  <c r="AA7276" i="2"/>
  <c r="Y7276" i="2"/>
  <c r="AF7277" i="2"/>
  <c r="AC7280" i="2"/>
  <c r="AB7280" i="2"/>
  <c r="AK7280" i="2" s="1"/>
  <c r="Y7280" i="2"/>
  <c r="AF7288" i="2"/>
  <c r="AB7306" i="2"/>
  <c r="AK7306" i="2" s="1"/>
  <c r="Y7306" i="2"/>
  <c r="AF7307" i="2"/>
  <c r="AC7325" i="2"/>
  <c r="AB7325" i="2"/>
  <c r="AK7325" i="2" s="1"/>
  <c r="Y7325" i="2"/>
  <c r="AF7336" i="2"/>
  <c r="AB7346" i="2"/>
  <c r="AK7346" i="2" s="1"/>
  <c r="Y7346" i="2"/>
  <c r="AC7350" i="2"/>
  <c r="AB7350" i="2"/>
  <c r="AK7350" i="2" s="1"/>
  <c r="AF7355" i="2"/>
  <c r="AB7372" i="2"/>
  <c r="AK7372" i="2" s="1"/>
  <c r="Y7372" i="2"/>
  <c r="AF7373" i="2"/>
  <c r="AC7376" i="2"/>
  <c r="AB7376" i="2"/>
  <c r="AK7376" i="2" s="1"/>
  <c r="Y7376" i="2"/>
  <c r="AF7384" i="2"/>
  <c r="AB7402" i="2"/>
  <c r="AK7402" i="2" s="1"/>
  <c r="Y7402" i="2"/>
  <c r="AF7403" i="2"/>
  <c r="AC7406" i="2"/>
  <c r="AB7406" i="2"/>
  <c r="AK7406" i="2" s="1"/>
  <c r="AF7418" i="2"/>
  <c r="AB7421" i="2"/>
  <c r="AK7421" i="2" s="1"/>
  <c r="Y7421" i="2"/>
  <c r="AB7428" i="2"/>
  <c r="AK7428" i="2" s="1"/>
  <c r="Y7428" i="2"/>
  <c r="AB7436" i="2"/>
  <c r="AK7436" i="2" s="1"/>
  <c r="Y7436" i="2"/>
  <c r="AB7444" i="2"/>
  <c r="AK7444" i="2" s="1"/>
  <c r="Y7444" i="2"/>
  <c r="AF7456" i="2"/>
  <c r="AB7459" i="2"/>
  <c r="AK7459" i="2" s="1"/>
  <c r="AF7464" i="2"/>
  <c r="AB7467" i="2"/>
  <c r="AK7467" i="2" s="1"/>
  <c r="AF7472" i="2"/>
  <c r="AB7475" i="2"/>
  <c r="AK7475" i="2" s="1"/>
  <c r="AF7490" i="2"/>
  <c r="AB7508" i="2"/>
  <c r="AK7508" i="2" s="1"/>
  <c r="Y7508" i="2"/>
  <c r="AF7509" i="2"/>
  <c r="AF7516" i="2"/>
  <c r="AF7521" i="2"/>
  <c r="AC7527" i="2"/>
  <c r="AB7527" i="2"/>
  <c r="AK7527" i="2" s="1"/>
  <c r="AB7534" i="2"/>
  <c r="AK7534" i="2" s="1"/>
  <c r="Y7534" i="2"/>
  <c r="AC7538" i="2"/>
  <c r="AB7538" i="2"/>
  <c r="AK7538" i="2" s="1"/>
  <c r="Y7538" i="2"/>
  <c r="AC7561" i="2"/>
  <c r="AB7561" i="2"/>
  <c r="AK7561" i="2" s="1"/>
  <c r="AB7564" i="2"/>
  <c r="AK7564" i="2" s="1"/>
  <c r="Y7564" i="2"/>
  <c r="AB7576" i="2"/>
  <c r="AK7576" i="2" s="1"/>
  <c r="AB7579" i="2"/>
  <c r="AK7579" i="2" s="1"/>
  <c r="Y7579" i="2"/>
  <c r="AC7591" i="2"/>
  <c r="AB7591" i="2"/>
  <c r="AK7591" i="2" s="1"/>
  <c r="AB7598" i="2"/>
  <c r="AK7598" i="2" s="1"/>
  <c r="Y7598" i="2"/>
  <c r="AC7602" i="2"/>
  <c r="Y7602" i="2"/>
  <c r="AC7618" i="2"/>
  <c r="AB7618" i="2"/>
  <c r="AK7618" i="2" s="1"/>
  <c r="Y7618" i="2"/>
  <c r="AB7621" i="2"/>
  <c r="AK7621" i="2" s="1"/>
  <c r="Y7621" i="2"/>
  <c r="AB7636" i="2"/>
  <c r="AK7636" i="2" s="1"/>
  <c r="Y7636" i="2"/>
  <c r="AF7657" i="2"/>
  <c r="AC7659" i="2"/>
  <c r="AB7659" i="2"/>
  <c r="AK7659" i="2" s="1"/>
  <c r="AC7674" i="2"/>
  <c r="AB7674" i="2"/>
  <c r="AK7674" i="2" s="1"/>
  <c r="Y7674" i="2"/>
  <c r="AC7682" i="2"/>
  <c r="Y7682" i="2"/>
  <c r="AC7690" i="2"/>
  <c r="Y7690" i="2"/>
  <c r="AC7698" i="2"/>
  <c r="AB7698" i="2"/>
  <c r="AK7698" i="2" s="1"/>
  <c r="Y7698" i="2"/>
  <c r="AC7706" i="2"/>
  <c r="AB7706" i="2"/>
  <c r="AK7706" i="2" s="1"/>
  <c r="Y7706" i="2"/>
  <c r="AC7714" i="2"/>
  <c r="AB7714" i="2"/>
  <c r="AK7714" i="2" s="1"/>
  <c r="Y7714" i="2"/>
  <c r="AC7722" i="2"/>
  <c r="AB7722" i="2"/>
  <c r="AK7722" i="2" s="1"/>
  <c r="Y7722" i="2"/>
  <c r="AC7733" i="2"/>
  <c r="AB7733" i="2"/>
  <c r="AK7733" i="2" s="1"/>
  <c r="Y7740" i="2"/>
  <c r="AC7744" i="2"/>
  <c r="AB7744" i="2"/>
  <c r="AK7744" i="2" s="1"/>
  <c r="Y7744" i="2"/>
  <c r="AB7755" i="2"/>
  <c r="AK7755" i="2" s="1"/>
  <c r="Y7755" i="2"/>
  <c r="AC7763" i="2"/>
  <c r="AC7767" i="2"/>
  <c r="AB7767" i="2"/>
  <c r="AK7767" i="2" s="1"/>
  <c r="AB7782" i="2"/>
  <c r="AK7782" i="2" s="1"/>
  <c r="Y7782" i="2"/>
  <c r="AC7790" i="2"/>
  <c r="AC7793" i="2"/>
  <c r="AC7797" i="2"/>
  <c r="AF7798" i="2"/>
  <c r="AC7801" i="2"/>
  <c r="AB7804" i="2"/>
  <c r="AK7804" i="2" s="1"/>
  <c r="Y7804" i="2"/>
  <c r="AC7808" i="2"/>
  <c r="AB7808" i="2"/>
  <c r="AK7808" i="2" s="1"/>
  <c r="Y7808" i="2"/>
  <c r="AC7815" i="2"/>
  <c r="AC7822" i="2"/>
  <c r="AB7822" i="2"/>
  <c r="AK7822" i="2" s="1"/>
  <c r="Y7822" i="2"/>
  <c r="AC7829" i="2"/>
  <c r="AB7829" i="2"/>
  <c r="AK7829" i="2" s="1"/>
  <c r="AC7836" i="2"/>
  <c r="AC7843" i="2"/>
  <c r="AB7843" i="2"/>
  <c r="AK7843" i="2" s="1"/>
  <c r="Y7843" i="2"/>
  <c r="AC7869" i="2"/>
  <c r="AB7869" i="2"/>
  <c r="AK7869" i="2" s="1"/>
  <c r="AB7897" i="2"/>
  <c r="AK7897" i="2" s="1"/>
  <c r="AC7897" i="2"/>
  <c r="AB7912" i="2"/>
  <c r="AK7912" i="2" s="1"/>
  <c r="Y7912" i="2"/>
  <c r="AB7918" i="2"/>
  <c r="AK7918" i="2" s="1"/>
  <c r="Y7918" i="2"/>
  <c r="AC7918" i="2"/>
  <c r="AB7944" i="2"/>
  <c r="AK7944" i="2" s="1"/>
  <c r="Y7944" i="2"/>
  <c r="AC7944" i="2"/>
  <c r="AB8070" i="2"/>
  <c r="AK8070" i="2" s="1"/>
  <c r="Y8070" i="2"/>
  <c r="AC8070" i="2"/>
  <c r="AC8110" i="2"/>
  <c r="AB8110" i="2"/>
  <c r="AK8110" i="2" s="1"/>
  <c r="Y8110" i="2"/>
  <c r="AB8130" i="2"/>
  <c r="AK8130" i="2" s="1"/>
  <c r="Y8130" i="2"/>
  <c r="AC8130" i="2"/>
  <c r="Y7863" i="2"/>
  <c r="Y7799" i="2"/>
  <c r="Y7767" i="2"/>
  <c r="Y7639" i="2"/>
  <c r="Y7511" i="2"/>
  <c r="Y7447" i="2"/>
  <c r="Y7415" i="2"/>
  <c r="Y7383" i="2"/>
  <c r="Y7351" i="2"/>
  <c r="Y7319" i="2"/>
  <c r="Y7287" i="2"/>
  <c r="Y7183" i="2"/>
  <c r="Y6985" i="2"/>
  <c r="AB7074" i="2"/>
  <c r="AK7074" i="2" s="1"/>
  <c r="Y7074" i="2"/>
  <c r="AF7075" i="2"/>
  <c r="AF7078" i="2"/>
  <c r="AC7081" i="2"/>
  <c r="AB7081" i="2"/>
  <c r="AK7081" i="2" s="1"/>
  <c r="Y7081" i="2"/>
  <c r="AF7085" i="2"/>
  <c r="AB7094" i="2"/>
  <c r="AK7094" i="2" s="1"/>
  <c r="Y7094" i="2"/>
  <c r="AC7098" i="2"/>
  <c r="AB7098" i="2"/>
  <c r="AK7098" i="2" s="1"/>
  <c r="Y7098" i="2"/>
  <c r="AB7104" i="2"/>
  <c r="AK7104" i="2" s="1"/>
  <c r="Y7104" i="2"/>
  <c r="AC7108" i="2"/>
  <c r="AB7108" i="2"/>
  <c r="AK7108" i="2" s="1"/>
  <c r="Y7108" i="2"/>
  <c r="AC7115" i="2"/>
  <c r="AB7115" i="2"/>
  <c r="AK7115" i="2" s="1"/>
  <c r="Y7115" i="2"/>
  <c r="AC7122" i="2"/>
  <c r="Y7122" i="2"/>
  <c r="AB7125" i="2"/>
  <c r="AK7125" i="2" s="1"/>
  <c r="Y7125" i="2"/>
  <c r="AB7132" i="2"/>
  <c r="AK7132" i="2" s="1"/>
  <c r="Y7132" i="2"/>
  <c r="AF7133" i="2"/>
  <c r="AC7136" i="2"/>
  <c r="AB7136" i="2"/>
  <c r="AK7136" i="2" s="1"/>
  <c r="Y7136" i="2"/>
  <c r="AF7140" i="2"/>
  <c r="AC7143" i="2"/>
  <c r="AF7147" i="2"/>
  <c r="AC7150" i="2"/>
  <c r="AB7150" i="2"/>
  <c r="AK7150" i="2" s="1"/>
  <c r="AB7157" i="2"/>
  <c r="AK7157" i="2" s="1"/>
  <c r="Y7157" i="2"/>
  <c r="AC7161" i="2"/>
  <c r="AF7168" i="2"/>
  <c r="AF7175" i="2"/>
  <c r="AC7178" i="2"/>
  <c r="AB7178" i="2"/>
  <c r="AK7178" i="2" s="1"/>
  <c r="Y7178" i="2"/>
  <c r="AC7185" i="2"/>
  <c r="AB7188" i="2"/>
  <c r="AK7188" i="2" s="1"/>
  <c r="Y7188" i="2"/>
  <c r="AF7189" i="2"/>
  <c r="AC7199" i="2"/>
  <c r="AC7215" i="2"/>
  <c r="AF7216" i="2"/>
  <c r="AB7222" i="2"/>
  <c r="AK7222" i="2" s="1"/>
  <c r="AB7230" i="2"/>
  <c r="AK7230" i="2" s="1"/>
  <c r="AB7238" i="2"/>
  <c r="AK7238" i="2" s="1"/>
  <c r="AB7246" i="2"/>
  <c r="AK7246" i="2" s="1"/>
  <c r="AB7254" i="2"/>
  <c r="AK7254" i="2" s="1"/>
  <c r="AB7262" i="2"/>
  <c r="AK7262" i="2" s="1"/>
  <c r="AB7270" i="2"/>
  <c r="AK7270" i="2" s="1"/>
  <c r="AB7298" i="2"/>
  <c r="AK7298" i="2" s="1"/>
  <c r="Y7298" i="2"/>
  <c r="AC7302" i="2"/>
  <c r="AB7302" i="2"/>
  <c r="AK7302" i="2" s="1"/>
  <c r="AC7317" i="2"/>
  <c r="AB7317" i="2"/>
  <c r="AK7317" i="2" s="1"/>
  <c r="Y7317" i="2"/>
  <c r="AB7324" i="2"/>
  <c r="AK7324" i="2" s="1"/>
  <c r="Y7324" i="2"/>
  <c r="AC7328" i="2"/>
  <c r="AB7328" i="2"/>
  <c r="AK7328" i="2" s="1"/>
  <c r="Y7328" i="2"/>
  <c r="AC7342" i="2"/>
  <c r="AB7342" i="2"/>
  <c r="AK7342" i="2" s="1"/>
  <c r="AC7365" i="2"/>
  <c r="AB7365" i="2"/>
  <c r="AK7365" i="2" s="1"/>
  <c r="Y7365" i="2"/>
  <c r="AB7394" i="2"/>
  <c r="AK7394" i="2" s="1"/>
  <c r="Y7394" i="2"/>
  <c r="AC7398" i="2"/>
  <c r="AB7398" i="2"/>
  <c r="AK7398" i="2" s="1"/>
  <c r="AB7413" i="2"/>
  <c r="AK7413" i="2" s="1"/>
  <c r="Y7413" i="2"/>
  <c r="AB7420" i="2"/>
  <c r="AK7420" i="2" s="1"/>
  <c r="Y7420" i="2"/>
  <c r="AC7432" i="2"/>
  <c r="AB7432" i="2"/>
  <c r="AK7432" i="2" s="1"/>
  <c r="Y7432" i="2"/>
  <c r="AC7440" i="2"/>
  <c r="AB7440" i="2"/>
  <c r="AK7440" i="2" s="1"/>
  <c r="Y7440" i="2"/>
  <c r="AC7448" i="2"/>
  <c r="AB7448" i="2"/>
  <c r="AK7448" i="2" s="1"/>
  <c r="Y7448" i="2"/>
  <c r="AC7455" i="2"/>
  <c r="AB7455" i="2"/>
  <c r="AK7455" i="2" s="1"/>
  <c r="AC7463" i="2"/>
  <c r="AB7463" i="2"/>
  <c r="AK7463" i="2" s="1"/>
  <c r="AC7471" i="2"/>
  <c r="AB7471" i="2"/>
  <c r="AK7471" i="2" s="1"/>
  <c r="AB7485" i="2"/>
  <c r="AK7485" i="2" s="1"/>
  <c r="Y7485" i="2"/>
  <c r="AB7492" i="2"/>
  <c r="AK7492" i="2" s="1"/>
  <c r="Y7492" i="2"/>
  <c r="AB7500" i="2"/>
  <c r="AK7500" i="2" s="1"/>
  <c r="Y7500" i="2"/>
  <c r="AC7515" i="2"/>
  <c r="AB7515" i="2"/>
  <c r="AK7515" i="2" s="1"/>
  <c r="AB7526" i="2"/>
  <c r="AK7526" i="2" s="1"/>
  <c r="Y7526" i="2"/>
  <c r="AC7530" i="2"/>
  <c r="AB7530" i="2"/>
  <c r="AK7530" i="2" s="1"/>
  <c r="Y7530" i="2"/>
  <c r="AC7553" i="2"/>
  <c r="AB7553" i="2"/>
  <c r="AK7553" i="2" s="1"/>
  <c r="AB7556" i="2"/>
  <c r="AK7556" i="2" s="1"/>
  <c r="Y7556" i="2"/>
  <c r="AF7557" i="2"/>
  <c r="AF7561" i="2"/>
  <c r="AC7564" i="2"/>
  <c r="AB7568" i="2"/>
  <c r="AK7568" i="2" s="1"/>
  <c r="AB7571" i="2"/>
  <c r="AK7571" i="2" s="1"/>
  <c r="Y7571" i="2"/>
  <c r="AF7572" i="2"/>
  <c r="AC7576" i="2"/>
  <c r="AC7579" i="2"/>
  <c r="AC7583" i="2"/>
  <c r="AB7583" i="2"/>
  <c r="AK7583" i="2" s="1"/>
  <c r="AB7590" i="2"/>
  <c r="AK7590" i="2" s="1"/>
  <c r="Y7590" i="2"/>
  <c r="AC7594" i="2"/>
  <c r="AB7594" i="2"/>
  <c r="AK7594" i="2" s="1"/>
  <c r="Y7594" i="2"/>
  <c r="AC7598" i="2"/>
  <c r="AC7610" i="2"/>
  <c r="AB7610" i="2"/>
  <c r="AK7610" i="2" s="1"/>
  <c r="Y7610" i="2"/>
  <c r="AB7613" i="2"/>
  <c r="AK7613" i="2" s="1"/>
  <c r="Y7613" i="2"/>
  <c r="AF7618" i="2"/>
  <c r="AC7621" i="2"/>
  <c r="AB7628" i="2"/>
  <c r="AK7628" i="2" s="1"/>
  <c r="Y7628" i="2"/>
  <c r="AF7629" i="2"/>
  <c r="AC7633" i="2"/>
  <c r="AC7636" i="2"/>
  <c r="AF7644" i="2"/>
  <c r="AF7649" i="2"/>
  <c r="AC7651" i="2"/>
  <c r="AB7651" i="2"/>
  <c r="AK7651" i="2" s="1"/>
  <c r="AC7655" i="2"/>
  <c r="AB7662" i="2"/>
  <c r="AK7662" i="2" s="1"/>
  <c r="Y7662" i="2"/>
  <c r="AF7674" i="2"/>
  <c r="AB7677" i="2"/>
  <c r="AK7677" i="2" s="1"/>
  <c r="Y7677" i="2"/>
  <c r="AF7682" i="2"/>
  <c r="AB7685" i="2"/>
  <c r="AK7685" i="2" s="1"/>
  <c r="Y7685" i="2"/>
  <c r="AF7690" i="2"/>
  <c r="AB7693" i="2"/>
  <c r="AK7693" i="2" s="1"/>
  <c r="Y7693" i="2"/>
  <c r="AF7698" i="2"/>
  <c r="AB7701" i="2"/>
  <c r="AK7701" i="2" s="1"/>
  <c r="Y7701" i="2"/>
  <c r="AF7706" i="2"/>
  <c r="AB7709" i="2"/>
  <c r="AK7709" i="2" s="1"/>
  <c r="Y7709" i="2"/>
  <c r="AB7717" i="2"/>
  <c r="AK7717" i="2" s="1"/>
  <c r="Y7717" i="2"/>
  <c r="AF7722" i="2"/>
  <c r="AB7725" i="2"/>
  <c r="AK7725" i="2" s="1"/>
  <c r="Y7725" i="2"/>
  <c r="AB7732" i="2"/>
  <c r="AK7732" i="2" s="1"/>
  <c r="Y7732" i="2"/>
  <c r="AC7736" i="2"/>
  <c r="AB7736" i="2"/>
  <c r="AK7736" i="2" s="1"/>
  <c r="Y7736" i="2"/>
  <c r="AC7740" i="2"/>
  <c r="AB7747" i="2"/>
  <c r="AK7747" i="2" s="1"/>
  <c r="Y7747" i="2"/>
  <c r="AC7755" i="2"/>
  <c r="AC7759" i="2"/>
  <c r="AB7759" i="2"/>
  <c r="AK7759" i="2" s="1"/>
  <c r="Y7774" i="2"/>
  <c r="AC7782" i="2"/>
  <c r="AC7785" i="2"/>
  <c r="AC7789" i="2"/>
  <c r="AB7789" i="2"/>
  <c r="AK7789" i="2" s="1"/>
  <c r="AB7796" i="2"/>
  <c r="AK7796" i="2" s="1"/>
  <c r="Y7796" i="2"/>
  <c r="AC7804" i="2"/>
  <c r="AC7811" i="2"/>
  <c r="AB7811" i="2"/>
  <c r="AK7811" i="2" s="1"/>
  <c r="Y7811" i="2"/>
  <c r="Y7818" i="2"/>
  <c r="AC7832" i="2"/>
  <c r="AB7832" i="2"/>
  <c r="AK7832" i="2" s="1"/>
  <c r="Y7832" i="2"/>
  <c r="AC7839" i="2"/>
  <c r="AC7846" i="2"/>
  <c r="AB7846" i="2"/>
  <c r="AK7846" i="2" s="1"/>
  <c r="Y7846" i="2"/>
  <c r="AC7856" i="2"/>
  <c r="Y7856" i="2"/>
  <c r="AC7872" i="2"/>
  <c r="AB7872" i="2"/>
  <c r="AK7872" i="2" s="1"/>
  <c r="Y7872" i="2"/>
  <c r="AC7912" i="2"/>
  <c r="AB7929" i="2"/>
  <c r="AK7929" i="2" s="1"/>
  <c r="AC7929" i="2"/>
  <c r="AC7938" i="2"/>
  <c r="AB7938" i="2"/>
  <c r="AK7938" i="2" s="1"/>
  <c r="AC7965" i="2"/>
  <c r="AB7965" i="2"/>
  <c r="AK7965" i="2" s="1"/>
  <c r="Y7965" i="2"/>
  <c r="AH8006" i="2"/>
  <c r="AH8010" i="2"/>
  <c r="AF8010" i="2"/>
  <c r="AB8050" i="2"/>
  <c r="AK8050" i="2" s="1"/>
  <c r="Y8050" i="2"/>
  <c r="AC8050" i="2"/>
  <c r="AC8065" i="2"/>
  <c r="AB8065" i="2"/>
  <c r="AK8065" i="2" s="1"/>
  <c r="AB8083" i="2"/>
  <c r="AK8083" i="2" s="1"/>
  <c r="Y8083" i="2"/>
  <c r="AC8083" i="2"/>
  <c r="Y7825" i="2"/>
  <c r="Y7793" i="2"/>
  <c r="Y7761" i="2"/>
  <c r="Y7665" i="2"/>
  <c r="Y7633" i="2"/>
  <c r="Y7505" i="2"/>
  <c r="Y7473" i="2"/>
  <c r="Y7441" i="2"/>
  <c r="Y7409" i="2"/>
  <c r="Y7377" i="2"/>
  <c r="Y7345" i="2"/>
  <c r="Y7313" i="2"/>
  <c r="Y7281" i="2"/>
  <c r="AF7192" i="2"/>
  <c r="AC7207" i="2"/>
  <c r="AF7208" i="2"/>
  <c r="AB7214" i="2"/>
  <c r="AK7214" i="2" s="1"/>
  <c r="AF7219" i="2"/>
  <c r="AC7222" i="2"/>
  <c r="AC7226" i="2"/>
  <c r="AB7226" i="2"/>
  <c r="AK7226" i="2" s="1"/>
  <c r="Y7226" i="2"/>
  <c r="AF7227" i="2"/>
  <c r="AC7230" i="2"/>
  <c r="AC7234" i="2"/>
  <c r="AB7234" i="2"/>
  <c r="AK7234" i="2" s="1"/>
  <c r="Y7234" i="2"/>
  <c r="AF7235" i="2"/>
  <c r="AC7238" i="2"/>
  <c r="AC7242" i="2"/>
  <c r="AB7242" i="2"/>
  <c r="AK7242" i="2" s="1"/>
  <c r="Y7242" i="2"/>
  <c r="AF7243" i="2"/>
  <c r="AC7246" i="2"/>
  <c r="AC7250" i="2"/>
  <c r="AB7250" i="2"/>
  <c r="AK7250" i="2" s="1"/>
  <c r="Y7250" i="2"/>
  <c r="AF7251" i="2"/>
  <c r="AC7254" i="2"/>
  <c r="AC7258" i="2"/>
  <c r="AB7258" i="2"/>
  <c r="AK7258" i="2" s="1"/>
  <c r="Y7258" i="2"/>
  <c r="AF7259" i="2"/>
  <c r="AC7262" i="2"/>
  <c r="AC7266" i="2"/>
  <c r="AB7266" i="2"/>
  <c r="AK7266" i="2" s="1"/>
  <c r="Y7266" i="2"/>
  <c r="AF7267" i="2"/>
  <c r="AC7270" i="2"/>
  <c r="AA7274" i="2"/>
  <c r="Y7274" i="2"/>
  <c r="AC7279" i="2"/>
  <c r="AB7290" i="2"/>
  <c r="AK7290" i="2" s="1"/>
  <c r="Y7290" i="2"/>
  <c r="AC7294" i="2"/>
  <c r="AB7294" i="2"/>
  <c r="AK7294" i="2" s="1"/>
  <c r="AC7298" i="2"/>
  <c r="AF7299" i="2"/>
  <c r="AC7309" i="2"/>
  <c r="AB7309" i="2"/>
  <c r="AK7309" i="2" s="1"/>
  <c r="Y7309" i="2"/>
  <c r="AB7316" i="2"/>
  <c r="AK7316" i="2" s="1"/>
  <c r="Y7316" i="2"/>
  <c r="AC7320" i="2"/>
  <c r="AB7320" i="2"/>
  <c r="AK7320" i="2" s="1"/>
  <c r="Y7320" i="2"/>
  <c r="AC7324" i="2"/>
  <c r="AB7338" i="2"/>
  <c r="AK7338" i="2" s="1"/>
  <c r="Y7338" i="2"/>
  <c r="AF7339" i="2"/>
  <c r="AC7353" i="2"/>
  <c r="AC7357" i="2"/>
  <c r="AB7357" i="2"/>
  <c r="AK7357" i="2" s="1"/>
  <c r="Y7357" i="2"/>
  <c r="Y7364" i="2"/>
  <c r="AC7368" i="2"/>
  <c r="AB7368" i="2"/>
  <c r="AK7368" i="2" s="1"/>
  <c r="Y7368" i="2"/>
  <c r="AC7375" i="2"/>
  <c r="AB7386" i="2"/>
  <c r="AK7386" i="2" s="1"/>
  <c r="Y7386" i="2"/>
  <c r="AC7390" i="2"/>
  <c r="AB7390" i="2"/>
  <c r="AK7390" i="2" s="1"/>
  <c r="AC7394" i="2"/>
  <c r="AB7405" i="2"/>
  <c r="AK7405" i="2" s="1"/>
  <c r="Y7405" i="2"/>
  <c r="AC7409" i="2"/>
  <c r="AB7412" i="2"/>
  <c r="AK7412" i="2" s="1"/>
  <c r="Y7412" i="2"/>
  <c r="AC7413" i="2"/>
  <c r="AC7420" i="2"/>
  <c r="AC7424" i="2"/>
  <c r="AB7424" i="2"/>
  <c r="AK7424" i="2" s="1"/>
  <c r="Y7424" i="2"/>
  <c r="AB7454" i="2"/>
  <c r="AK7454" i="2" s="1"/>
  <c r="Y7454" i="2"/>
  <c r="AB7462" i="2"/>
  <c r="AK7462" i="2" s="1"/>
  <c r="Y7462" i="2"/>
  <c r="AB7470" i="2"/>
  <c r="AK7470" i="2" s="1"/>
  <c r="Y7470" i="2"/>
  <c r="AC7478" i="2"/>
  <c r="AB7478" i="2"/>
  <c r="AK7478" i="2" s="1"/>
  <c r="Y7478" i="2"/>
  <c r="AC7482" i="2"/>
  <c r="AB7482" i="2"/>
  <c r="AK7482" i="2" s="1"/>
  <c r="Y7482" i="2"/>
  <c r="AC7485" i="2"/>
  <c r="AC7492" i="2"/>
  <c r="AC7500" i="2"/>
  <c r="AB7518" i="2"/>
  <c r="AK7518" i="2" s="1"/>
  <c r="Y7518" i="2"/>
  <c r="AC7526" i="2"/>
  <c r="AF7538" i="2"/>
  <c r="AC7545" i="2"/>
  <c r="AB7545" i="2"/>
  <c r="AK7545" i="2" s="1"/>
  <c r="AB7548" i="2"/>
  <c r="AK7548" i="2" s="1"/>
  <c r="Y7548" i="2"/>
  <c r="AB7560" i="2"/>
  <c r="AK7560" i="2" s="1"/>
  <c r="AB7563" i="2"/>
  <c r="AK7563" i="2" s="1"/>
  <c r="Y7563" i="2"/>
  <c r="AC7575" i="2"/>
  <c r="AB7575" i="2"/>
  <c r="AK7575" i="2" s="1"/>
  <c r="AB7582" i="2"/>
  <c r="AK7582" i="2" s="1"/>
  <c r="Y7582" i="2"/>
  <c r="AC7586" i="2"/>
  <c r="AB7586" i="2"/>
  <c r="AK7586" i="2" s="1"/>
  <c r="Y7586" i="2"/>
  <c r="AB7620" i="2"/>
  <c r="AK7620" i="2" s="1"/>
  <c r="Y7620" i="2"/>
  <c r="AC7643" i="2"/>
  <c r="AB7643" i="2"/>
  <c r="AK7643" i="2" s="1"/>
  <c r="AB7654" i="2"/>
  <c r="AK7654" i="2" s="1"/>
  <c r="Y7654" i="2"/>
  <c r="AC7666" i="2"/>
  <c r="AB7666" i="2"/>
  <c r="AK7666" i="2" s="1"/>
  <c r="Y7666" i="2"/>
  <c r="AB7669" i="2"/>
  <c r="AK7669" i="2" s="1"/>
  <c r="Y7669" i="2"/>
  <c r="Y7692" i="2"/>
  <c r="AC7732" i="2"/>
  <c r="AB7739" i="2"/>
  <c r="AK7739" i="2" s="1"/>
  <c r="Y7739" i="2"/>
  <c r="AC7747" i="2"/>
  <c r="AC7751" i="2"/>
  <c r="AB7751" i="2"/>
  <c r="AK7751" i="2" s="1"/>
  <c r="Y7758" i="2"/>
  <c r="AB7766" i="2"/>
  <c r="AK7766" i="2" s="1"/>
  <c r="Y7766" i="2"/>
  <c r="AC7774" i="2"/>
  <c r="AC7777" i="2"/>
  <c r="AC7781" i="2"/>
  <c r="AB7781" i="2"/>
  <c r="AK7781" i="2" s="1"/>
  <c r="AB7788" i="2"/>
  <c r="AK7788" i="2" s="1"/>
  <c r="Y7788" i="2"/>
  <c r="AF7790" i="2"/>
  <c r="AC7792" i="2"/>
  <c r="AB7792" i="2"/>
  <c r="AK7792" i="2" s="1"/>
  <c r="Y7792" i="2"/>
  <c r="AC7796" i="2"/>
  <c r="AC7800" i="2"/>
  <c r="AB7800" i="2"/>
  <c r="AK7800" i="2" s="1"/>
  <c r="Y7800" i="2"/>
  <c r="AC7807" i="2"/>
  <c r="AC7814" i="2"/>
  <c r="AB7814" i="2"/>
  <c r="AK7814" i="2" s="1"/>
  <c r="Y7814" i="2"/>
  <c r="AF7822" i="2"/>
  <c r="AC7825" i="2"/>
  <c r="AB7828" i="2"/>
  <c r="AK7828" i="2" s="1"/>
  <c r="Y7828" i="2"/>
  <c r="AC7828" i="2"/>
  <c r="AB7852" i="2"/>
  <c r="AK7852" i="2" s="1"/>
  <c r="Y7852" i="2"/>
  <c r="AC7859" i="2"/>
  <c r="AB7859" i="2"/>
  <c r="AK7859" i="2" s="1"/>
  <c r="Y7859" i="2"/>
  <c r="AC7862" i="2"/>
  <c r="AB7862" i="2"/>
  <c r="AK7862" i="2" s="1"/>
  <c r="Y7862" i="2"/>
  <c r="AB7926" i="2"/>
  <c r="AK7926" i="2" s="1"/>
  <c r="Y7926" i="2"/>
  <c r="AC7926" i="2"/>
  <c r="AC7955" i="2"/>
  <c r="AB7955" i="2"/>
  <c r="AK7955" i="2" s="1"/>
  <c r="Y7955" i="2"/>
  <c r="AC7987" i="2"/>
  <c r="AB7987" i="2"/>
  <c r="AK7987" i="2" s="1"/>
  <c r="Y7987" i="2"/>
  <c r="AH7990" i="2"/>
  <c r="AH7994" i="2"/>
  <c r="AF7994" i="2"/>
  <c r="AC8036" i="2"/>
  <c r="AB8036" i="2"/>
  <c r="AK8036" i="2" s="1"/>
  <c r="Y8036" i="2"/>
  <c r="AC8055" i="2"/>
  <c r="AB8055" i="2"/>
  <c r="AK8055" i="2" s="1"/>
  <c r="AC8094" i="2"/>
  <c r="AB8094" i="2"/>
  <c r="AK8094" i="2" s="1"/>
  <c r="Y8094" i="2"/>
  <c r="AB8107" i="2"/>
  <c r="AK8107" i="2" s="1"/>
  <c r="AC8107" i="2"/>
  <c r="AC8120" i="2"/>
  <c r="AB8120" i="2"/>
  <c r="AK8120" i="2" s="1"/>
  <c r="Y8120" i="2"/>
  <c r="Y8081" i="2"/>
  <c r="Y8055" i="2"/>
  <c r="Y7887" i="2"/>
  <c r="Y7855" i="2"/>
  <c r="Y7823" i="2"/>
  <c r="Y7759" i="2"/>
  <c r="Y7631" i="2"/>
  <c r="Y7503" i="2"/>
  <c r="Y7471" i="2"/>
  <c r="Y7439" i="2"/>
  <c r="Y7407" i="2"/>
  <c r="Y7375" i="2"/>
  <c r="Y7343" i="2"/>
  <c r="Y7311" i="2"/>
  <c r="Y7279" i="2"/>
  <c r="Y6939" i="2"/>
  <c r="AF6940" i="2"/>
  <c r="AF6943" i="2"/>
  <c r="AC6946" i="2"/>
  <c r="AB6946" i="2"/>
  <c r="AK6946" i="2" s="1"/>
  <c r="AF6950" i="2"/>
  <c r="AF6960" i="2"/>
  <c r="AB6973" i="2"/>
  <c r="AK6973" i="2" s="1"/>
  <c r="Y6973" i="2"/>
  <c r="AB6976" i="2"/>
  <c r="AK6976" i="2" s="1"/>
  <c r="Y6976" i="2"/>
  <c r="AF6977" i="2"/>
  <c r="AC6980" i="2"/>
  <c r="AB6980" i="2"/>
  <c r="AK6980" i="2" s="1"/>
  <c r="Y6980" i="2"/>
  <c r="AC6990" i="2"/>
  <c r="AB6990" i="2"/>
  <c r="AK6990" i="2" s="1"/>
  <c r="Y6990" i="2"/>
  <c r="AB6993" i="2"/>
  <c r="AK6993" i="2" s="1"/>
  <c r="Y6993" i="2"/>
  <c r="AC7003" i="2"/>
  <c r="AB7003" i="2"/>
  <c r="AK7003" i="2" s="1"/>
  <c r="Y7003" i="2"/>
  <c r="AF7004" i="2"/>
  <c r="AC7006" i="2"/>
  <c r="AB7006" i="2"/>
  <c r="AK7006" i="2" s="1"/>
  <c r="AC7013" i="2"/>
  <c r="AB7013" i="2"/>
  <c r="AK7013" i="2" s="1"/>
  <c r="Y7013" i="2"/>
  <c r="AB7016" i="2"/>
  <c r="AK7016" i="2" s="1"/>
  <c r="Y7016" i="2"/>
  <c r="AF7017" i="2"/>
  <c r="AB7026" i="2"/>
  <c r="AK7026" i="2" s="1"/>
  <c r="Y7026" i="2"/>
  <c r="AF7027" i="2"/>
  <c r="AF7030" i="2"/>
  <c r="AC7033" i="2"/>
  <c r="AB7033" i="2"/>
  <c r="AK7033" i="2" s="1"/>
  <c r="Y7033" i="2"/>
  <c r="AC7067" i="2"/>
  <c r="AB7067" i="2"/>
  <c r="AK7067" i="2" s="1"/>
  <c r="Y7067" i="2"/>
  <c r="AF7068" i="2"/>
  <c r="AC7070" i="2"/>
  <c r="AB7070" i="2"/>
  <c r="AK7070" i="2" s="1"/>
  <c r="Y7070" i="2"/>
  <c r="AC7077" i="2"/>
  <c r="Y7077" i="2"/>
  <c r="AB7080" i="2"/>
  <c r="AK7080" i="2" s="1"/>
  <c r="Y7080" i="2"/>
  <c r="AF7081" i="2"/>
  <c r="AB7090" i="2"/>
  <c r="AK7090" i="2" s="1"/>
  <c r="Y7090" i="2"/>
  <c r="AF7094" i="2"/>
  <c r="AC7100" i="2"/>
  <c r="AB7100" i="2"/>
  <c r="AK7100" i="2" s="1"/>
  <c r="Y7100" i="2"/>
  <c r="AC7107" i="2"/>
  <c r="AB7107" i="2"/>
  <c r="AK7107" i="2" s="1"/>
  <c r="Y7107" i="2"/>
  <c r="AB7114" i="2"/>
  <c r="AK7114" i="2" s="1"/>
  <c r="Y7114" i="2"/>
  <c r="AB7121" i="2"/>
  <c r="AK7121" i="2" s="1"/>
  <c r="Y7121" i="2"/>
  <c r="AB7124" i="2"/>
  <c r="AK7124" i="2" s="1"/>
  <c r="Y7124" i="2"/>
  <c r="AF7125" i="2"/>
  <c r="AC7128" i="2"/>
  <c r="AB7128" i="2"/>
  <c r="AK7128" i="2" s="1"/>
  <c r="Y7128" i="2"/>
  <c r="AF7132" i="2"/>
  <c r="AF7139" i="2"/>
  <c r="AC7142" i="2"/>
  <c r="AB7142" i="2"/>
  <c r="AK7142" i="2" s="1"/>
  <c r="AB7149" i="2"/>
  <c r="AK7149" i="2" s="1"/>
  <c r="Y7149" i="2"/>
  <c r="AB7156" i="2"/>
  <c r="AK7156" i="2" s="1"/>
  <c r="Y7156" i="2"/>
  <c r="AF7157" i="2"/>
  <c r="AC7160" i="2"/>
  <c r="AB7160" i="2"/>
  <c r="AK7160" i="2" s="1"/>
  <c r="Y7160" i="2"/>
  <c r="AF7167" i="2"/>
  <c r="AC7170" i="2"/>
  <c r="AB7170" i="2"/>
  <c r="AK7170" i="2" s="1"/>
  <c r="Y7170" i="2"/>
  <c r="AF7171" i="2"/>
  <c r="AB7177" i="2"/>
  <c r="AK7177" i="2" s="1"/>
  <c r="Y7177" i="2"/>
  <c r="AB7180" i="2"/>
  <c r="AK7180" i="2" s="1"/>
  <c r="Y7180" i="2"/>
  <c r="AF7181" i="2"/>
  <c r="AC7184" i="2"/>
  <c r="AB7184" i="2"/>
  <c r="AK7184" i="2" s="1"/>
  <c r="Y7184" i="2"/>
  <c r="AC7191" i="2"/>
  <c r="AC7198" i="2"/>
  <c r="AB7198" i="2"/>
  <c r="AK7198" i="2" s="1"/>
  <c r="AF7203" i="2"/>
  <c r="AB7206" i="2"/>
  <c r="AK7206" i="2" s="1"/>
  <c r="AF7211" i="2"/>
  <c r="AC7214" i="2"/>
  <c r="AC7218" i="2"/>
  <c r="AB7218" i="2"/>
  <c r="AK7218" i="2" s="1"/>
  <c r="Y7218" i="2"/>
  <c r="AB7225" i="2"/>
  <c r="AK7225" i="2" s="1"/>
  <c r="Y7225" i="2"/>
  <c r="AB7233" i="2"/>
  <c r="AK7233" i="2" s="1"/>
  <c r="Y7233" i="2"/>
  <c r="AB7241" i="2"/>
  <c r="AK7241" i="2" s="1"/>
  <c r="Y7241" i="2"/>
  <c r="AB7249" i="2"/>
  <c r="AK7249" i="2" s="1"/>
  <c r="Y7249" i="2"/>
  <c r="AB7257" i="2"/>
  <c r="AK7257" i="2" s="1"/>
  <c r="Y7257" i="2"/>
  <c r="AC7274" i="2"/>
  <c r="AB7282" i="2"/>
  <c r="AK7282" i="2" s="1"/>
  <c r="Y7282" i="2"/>
  <c r="AC7286" i="2"/>
  <c r="AB7286" i="2"/>
  <c r="AK7286" i="2" s="1"/>
  <c r="AC7290" i="2"/>
  <c r="AF7291" i="2"/>
  <c r="AC7305" i="2"/>
  <c r="AB7308" i="2"/>
  <c r="AK7308" i="2" s="1"/>
  <c r="Y7308" i="2"/>
  <c r="AF7309" i="2"/>
  <c r="AC7312" i="2"/>
  <c r="AB7312" i="2"/>
  <c r="AK7312" i="2" s="1"/>
  <c r="Y7312" i="2"/>
  <c r="AC7316" i="2"/>
  <c r="AF7320" i="2"/>
  <c r="AC7327" i="2"/>
  <c r="AC7334" i="2"/>
  <c r="AB7334" i="2"/>
  <c r="AK7334" i="2" s="1"/>
  <c r="AC7338" i="2"/>
  <c r="AC7345" i="2"/>
  <c r="AC7349" i="2"/>
  <c r="AB7349" i="2"/>
  <c r="AK7349" i="2" s="1"/>
  <c r="Y7349" i="2"/>
  <c r="AB7356" i="2"/>
  <c r="AK7356" i="2" s="1"/>
  <c r="Y7356" i="2"/>
  <c r="AF7357" i="2"/>
  <c r="AC7360" i="2"/>
  <c r="AB7360" i="2"/>
  <c r="AK7360" i="2" s="1"/>
  <c r="Y7360" i="2"/>
  <c r="AC7364" i="2"/>
  <c r="AF7368" i="2"/>
  <c r="AB7378" i="2"/>
  <c r="AK7378" i="2" s="1"/>
  <c r="Y7378" i="2"/>
  <c r="AC7382" i="2"/>
  <c r="AB7382" i="2"/>
  <c r="AK7382" i="2" s="1"/>
  <c r="AC7386" i="2"/>
  <c r="AF7387" i="2"/>
  <c r="AF7394" i="2"/>
  <c r="AB7397" i="2"/>
  <c r="AK7397" i="2" s="1"/>
  <c r="Y7397" i="2"/>
  <c r="AC7401" i="2"/>
  <c r="AB7404" i="2"/>
  <c r="AK7404" i="2" s="1"/>
  <c r="Y7404" i="2"/>
  <c r="AC7405" i="2"/>
  <c r="AC7412" i="2"/>
  <c r="AF7413" i="2"/>
  <c r="AC7416" i="2"/>
  <c r="AB7416" i="2"/>
  <c r="AK7416" i="2" s="1"/>
  <c r="Y7416" i="2"/>
  <c r="AF7424" i="2"/>
  <c r="AC7431" i="2"/>
  <c r="AC7439" i="2"/>
  <c r="AC7447" i="2"/>
  <c r="AC7454" i="2"/>
  <c r="AC7458" i="2"/>
  <c r="AB7458" i="2"/>
  <c r="AK7458" i="2" s="1"/>
  <c r="Y7458" i="2"/>
  <c r="AC7462" i="2"/>
  <c r="AC7466" i="2"/>
  <c r="AB7466" i="2"/>
  <c r="AK7466" i="2" s="1"/>
  <c r="Y7466" i="2"/>
  <c r="AC7470" i="2"/>
  <c r="AC7474" i="2"/>
  <c r="AB7474" i="2"/>
  <c r="AK7474" i="2" s="1"/>
  <c r="Y7474" i="2"/>
  <c r="AF7482" i="2"/>
  <c r="AF7492" i="2"/>
  <c r="AF7497" i="2"/>
  <c r="AB7499" i="2"/>
  <c r="AK7499" i="2" s="1"/>
  <c r="AF7500" i="2"/>
  <c r="AF7505" i="2"/>
  <c r="AC7507" i="2"/>
  <c r="AB7507" i="2"/>
  <c r="AK7507" i="2" s="1"/>
  <c r="AC7511" i="2"/>
  <c r="AC7518" i="2"/>
  <c r="AC7522" i="2"/>
  <c r="AB7522" i="2"/>
  <c r="AK7522" i="2" s="1"/>
  <c r="Y7522" i="2"/>
  <c r="AC7537" i="2"/>
  <c r="AB7537" i="2"/>
  <c r="AK7537" i="2" s="1"/>
  <c r="AB7540" i="2"/>
  <c r="AK7540" i="2" s="1"/>
  <c r="Y7540" i="2"/>
  <c r="AF7545" i="2"/>
  <c r="AC7548" i="2"/>
  <c r="AB7552" i="2"/>
  <c r="AK7552" i="2" s="1"/>
  <c r="AB7555" i="2"/>
  <c r="AK7555" i="2" s="1"/>
  <c r="Y7555" i="2"/>
  <c r="AF7556" i="2"/>
  <c r="AC7560" i="2"/>
  <c r="AC7563" i="2"/>
  <c r="AC7567" i="2"/>
  <c r="AB7567" i="2"/>
  <c r="AK7567" i="2" s="1"/>
  <c r="AB7574" i="2"/>
  <c r="AK7574" i="2" s="1"/>
  <c r="Y7574" i="2"/>
  <c r="AC7578" i="2"/>
  <c r="AB7578" i="2"/>
  <c r="AK7578" i="2" s="1"/>
  <c r="Y7578" i="2"/>
  <c r="AC7582" i="2"/>
  <c r="AF7594" i="2"/>
  <c r="AC7601" i="2"/>
  <c r="AB7601" i="2"/>
  <c r="AK7601" i="2" s="1"/>
  <c r="AB7604" i="2"/>
  <c r="AK7604" i="2" s="1"/>
  <c r="Y7604" i="2"/>
  <c r="AB7612" i="2"/>
  <c r="AK7612" i="2" s="1"/>
  <c r="Y7612" i="2"/>
  <c r="AF7613" i="2"/>
  <c r="AC7617" i="2"/>
  <c r="AC7620" i="2"/>
  <c r="AF7628" i="2"/>
  <c r="AF7633" i="2"/>
  <c r="AC7635" i="2"/>
  <c r="AB7635" i="2"/>
  <c r="AK7635" i="2" s="1"/>
  <c r="AC7639" i="2"/>
  <c r="AB7646" i="2"/>
  <c r="AK7646" i="2" s="1"/>
  <c r="Y7646" i="2"/>
  <c r="AC7654" i="2"/>
  <c r="AC7658" i="2"/>
  <c r="AB7658" i="2"/>
  <c r="AK7658" i="2" s="1"/>
  <c r="Y7658" i="2"/>
  <c r="AB7661" i="2"/>
  <c r="AK7661" i="2" s="1"/>
  <c r="Y7661" i="2"/>
  <c r="AF7666" i="2"/>
  <c r="AC7669" i="2"/>
  <c r="AC7673" i="2"/>
  <c r="AB7673" i="2"/>
  <c r="AK7673" i="2" s="1"/>
  <c r="AB7676" i="2"/>
  <c r="AK7676" i="2" s="1"/>
  <c r="Y7676" i="2"/>
  <c r="AC7681" i="2"/>
  <c r="AB7681" i="2"/>
  <c r="AK7681" i="2" s="1"/>
  <c r="AB7684" i="2"/>
  <c r="AK7684" i="2" s="1"/>
  <c r="Y7684" i="2"/>
  <c r="AC7689" i="2"/>
  <c r="AB7689" i="2"/>
  <c r="AK7689" i="2" s="1"/>
  <c r="AA7692" i="2"/>
  <c r="AB7692" i="2" s="1"/>
  <c r="AK7692" i="2" s="1"/>
  <c r="AC7697" i="2"/>
  <c r="AB7697" i="2"/>
  <c r="AK7697" i="2" s="1"/>
  <c r="AB7700" i="2"/>
  <c r="AK7700" i="2" s="1"/>
  <c r="Y7700" i="2"/>
  <c r="AC7705" i="2"/>
  <c r="AB7705" i="2"/>
  <c r="AK7705" i="2" s="1"/>
  <c r="AB7708" i="2"/>
  <c r="AK7708" i="2" s="1"/>
  <c r="Y7708" i="2"/>
  <c r="AC7713" i="2"/>
  <c r="AB7713" i="2"/>
  <c r="AK7713" i="2" s="1"/>
  <c r="AB7716" i="2"/>
  <c r="AK7716" i="2" s="1"/>
  <c r="Y7716" i="2"/>
  <c r="AC7721" i="2"/>
  <c r="AB7721" i="2"/>
  <c r="AK7721" i="2" s="1"/>
  <c r="AB7724" i="2"/>
  <c r="AK7724" i="2" s="1"/>
  <c r="Y7724" i="2"/>
  <c r="AC7728" i="2"/>
  <c r="AB7728" i="2"/>
  <c r="AK7728" i="2" s="1"/>
  <c r="AB7731" i="2"/>
  <c r="AK7731" i="2" s="1"/>
  <c r="Y7731" i="2"/>
  <c r="AC7739" i="2"/>
  <c r="AC7743" i="2"/>
  <c r="AB7743" i="2"/>
  <c r="AK7743" i="2" s="1"/>
  <c r="AF7747" i="2"/>
  <c r="AB7750" i="2"/>
  <c r="AK7750" i="2" s="1"/>
  <c r="Y7750" i="2"/>
  <c r="AF7751" i="2"/>
  <c r="AC7758" i="2"/>
  <c r="AF7762" i="2"/>
  <c r="AC7766" i="2"/>
  <c r="AC7769" i="2"/>
  <c r="AC7773" i="2"/>
  <c r="AB7773" i="2"/>
  <c r="AK7773" i="2" s="1"/>
  <c r="AF7777" i="2"/>
  <c r="AB7780" i="2"/>
  <c r="AK7780" i="2" s="1"/>
  <c r="Y7780" i="2"/>
  <c r="AF7782" i="2"/>
  <c r="AC7784" i="2"/>
  <c r="AB7784" i="2"/>
  <c r="AK7784" i="2" s="1"/>
  <c r="Y7784" i="2"/>
  <c r="AC7788" i="2"/>
  <c r="AB7795" i="2"/>
  <c r="AK7795" i="2" s="1"/>
  <c r="Y7795" i="2"/>
  <c r="AC7803" i="2"/>
  <c r="AB7803" i="2"/>
  <c r="AK7803" i="2" s="1"/>
  <c r="Y7803" i="2"/>
  <c r="AF7818" i="2"/>
  <c r="AC7821" i="2"/>
  <c r="AB7821" i="2"/>
  <c r="AK7821" i="2" s="1"/>
  <c r="AF7825" i="2"/>
  <c r="AC7838" i="2"/>
  <c r="AB7838" i="2"/>
  <c r="AK7838" i="2" s="1"/>
  <c r="Y7838" i="2"/>
  <c r="AF7849" i="2"/>
  <c r="AC7852" i="2"/>
  <c r="AF7859" i="2"/>
  <c r="AC7865" i="2"/>
  <c r="AB7868" i="2"/>
  <c r="AK7868" i="2" s="1"/>
  <c r="Y7868" i="2"/>
  <c r="AC7868" i="2"/>
  <c r="AC7887" i="2"/>
  <c r="AB7896" i="2"/>
  <c r="AK7896" i="2" s="1"/>
  <c r="AC7896" i="2"/>
  <c r="Y7896" i="2"/>
  <c r="AB7923" i="2"/>
  <c r="AK7923" i="2" s="1"/>
  <c r="Y7923" i="2"/>
  <c r="AC7923" i="2"/>
  <c r="AC7940" i="2"/>
  <c r="AB7940" i="2"/>
  <c r="AK7940" i="2" s="1"/>
  <c r="Y7940" i="2"/>
  <c r="AB7943" i="2"/>
  <c r="AK7943" i="2" s="1"/>
  <c r="AC7943" i="2"/>
  <c r="AB8001" i="2"/>
  <c r="AK8001" i="2" s="1"/>
  <c r="AC8001" i="2"/>
  <c r="AC8003" i="2"/>
  <c r="AB8003" i="2"/>
  <c r="AK8003" i="2" s="1"/>
  <c r="Y8003" i="2"/>
  <c r="AB8005" i="2"/>
  <c r="AK8005" i="2" s="1"/>
  <c r="Y8005" i="2"/>
  <c r="AC8005" i="2"/>
  <c r="AC8045" i="2"/>
  <c r="AB8045" i="2"/>
  <c r="AK8045" i="2" s="1"/>
  <c r="Y8045" i="2"/>
  <c r="AC8078" i="2"/>
  <c r="AB8078" i="2"/>
  <c r="AK8078" i="2" s="1"/>
  <c r="Y8078" i="2"/>
  <c r="AC8118" i="2"/>
  <c r="AB8118" i="2"/>
  <c r="AK8118" i="2" s="1"/>
  <c r="Y8118" i="2"/>
  <c r="Y7945" i="2"/>
  <c r="Y7913" i="2"/>
  <c r="Y7881" i="2"/>
  <c r="Y7849" i="2"/>
  <c r="Y7817" i="2"/>
  <c r="Y7785" i="2"/>
  <c r="Y7753" i="2"/>
  <c r="Y7721" i="2"/>
  <c r="Y7689" i="2"/>
  <c r="Y7657" i="2"/>
  <c r="Y7625" i="2"/>
  <c r="Y7561" i="2"/>
  <c r="Y7497" i="2"/>
  <c r="Y7465" i="2"/>
  <c r="Y7433" i="2"/>
  <c r="Y7401" i="2"/>
  <c r="Y7337" i="2"/>
  <c r="Y7305" i="2"/>
  <c r="Y7273" i="2"/>
  <c r="Y7159" i="2"/>
  <c r="AC7046" i="2"/>
  <c r="AB7046" i="2"/>
  <c r="AK7046" i="2" s="1"/>
  <c r="Y7046" i="2"/>
  <c r="AC7053" i="2"/>
  <c r="AB7053" i="2"/>
  <c r="AK7053" i="2" s="1"/>
  <c r="Y7053" i="2"/>
  <c r="Y7056" i="2"/>
  <c r="AB7066" i="2"/>
  <c r="AK7066" i="2" s="1"/>
  <c r="Y7066" i="2"/>
  <c r="AC7073" i="2"/>
  <c r="AB7073" i="2"/>
  <c r="AK7073" i="2" s="1"/>
  <c r="Y7073" i="2"/>
  <c r="AC7093" i="2"/>
  <c r="AB7093" i="2"/>
  <c r="AK7093" i="2" s="1"/>
  <c r="Y7093" i="2"/>
  <c r="AC7103" i="2"/>
  <c r="AB7103" i="2"/>
  <c r="AK7103" i="2" s="1"/>
  <c r="AB7117" i="2"/>
  <c r="AK7117" i="2" s="1"/>
  <c r="Y7117" i="2"/>
  <c r="AC7138" i="2"/>
  <c r="AB7138" i="2"/>
  <c r="AK7138" i="2" s="1"/>
  <c r="Y7138" i="2"/>
  <c r="AB7145" i="2"/>
  <c r="AK7145" i="2" s="1"/>
  <c r="Y7145" i="2"/>
  <c r="AB7166" i="2"/>
  <c r="AK7166" i="2" s="1"/>
  <c r="AB7173" i="2"/>
  <c r="AK7173" i="2" s="1"/>
  <c r="Y7173" i="2"/>
  <c r="AC7194" i="2"/>
  <c r="AB7194" i="2"/>
  <c r="AK7194" i="2" s="1"/>
  <c r="Y7194" i="2"/>
  <c r="AC7202" i="2"/>
  <c r="AB7202" i="2"/>
  <c r="AK7202" i="2" s="1"/>
  <c r="Y7202" i="2"/>
  <c r="AC7210" i="2"/>
  <c r="AB7210" i="2"/>
  <c r="AK7210" i="2" s="1"/>
  <c r="Y7210" i="2"/>
  <c r="AB7217" i="2"/>
  <c r="AK7217" i="2" s="1"/>
  <c r="Y7217" i="2"/>
  <c r="AC7221" i="2"/>
  <c r="AB7221" i="2"/>
  <c r="AK7221" i="2" s="1"/>
  <c r="Y7221" i="2"/>
  <c r="AC7229" i="2"/>
  <c r="AB7229" i="2"/>
  <c r="AK7229" i="2" s="1"/>
  <c r="Y7229" i="2"/>
  <c r="AC7237" i="2"/>
  <c r="AB7237" i="2"/>
  <c r="AK7237" i="2" s="1"/>
  <c r="Y7237" i="2"/>
  <c r="AC7245" i="2"/>
  <c r="AB7245" i="2"/>
  <c r="AK7245" i="2" s="1"/>
  <c r="Y7245" i="2"/>
  <c r="AC7253" i="2"/>
  <c r="AB7253" i="2"/>
  <c r="AK7253" i="2" s="1"/>
  <c r="Y7253" i="2"/>
  <c r="AC7261" i="2"/>
  <c r="AB7261" i="2"/>
  <c r="AK7261" i="2" s="1"/>
  <c r="Y7261" i="2"/>
  <c r="AC7269" i="2"/>
  <c r="AB7269" i="2"/>
  <c r="AK7269" i="2" s="1"/>
  <c r="Y7269" i="2"/>
  <c r="AC7278" i="2"/>
  <c r="AB7278" i="2"/>
  <c r="AK7278" i="2" s="1"/>
  <c r="AC7301" i="2"/>
  <c r="AB7301" i="2"/>
  <c r="AK7301" i="2" s="1"/>
  <c r="Y7301" i="2"/>
  <c r="AF7312" i="2"/>
  <c r="AB7330" i="2"/>
  <c r="AK7330" i="2" s="1"/>
  <c r="Y7330" i="2"/>
  <c r="AF7338" i="2"/>
  <c r="AC7341" i="2"/>
  <c r="AB7341" i="2"/>
  <c r="AK7341" i="2" s="1"/>
  <c r="Y7341" i="2"/>
  <c r="AB7348" i="2"/>
  <c r="AK7348" i="2" s="1"/>
  <c r="Y7348" i="2"/>
  <c r="AC7352" i="2"/>
  <c r="AB7352" i="2"/>
  <c r="AK7352" i="2" s="1"/>
  <c r="Y7352" i="2"/>
  <c r="AF7360" i="2"/>
  <c r="AC7374" i="2"/>
  <c r="AB7374" i="2"/>
  <c r="AK7374" i="2" s="1"/>
  <c r="AB7396" i="2"/>
  <c r="AK7396" i="2" s="1"/>
  <c r="Y7396" i="2"/>
  <c r="AC7408" i="2"/>
  <c r="AB7408" i="2"/>
  <c r="AK7408" i="2" s="1"/>
  <c r="Y7408" i="2"/>
  <c r="AB7434" i="2"/>
  <c r="AK7434" i="2" s="1"/>
  <c r="Y7434" i="2"/>
  <c r="AB7442" i="2"/>
  <c r="AK7442" i="2" s="1"/>
  <c r="Y7442" i="2"/>
  <c r="AB7450" i="2"/>
  <c r="AK7450" i="2" s="1"/>
  <c r="Y7450" i="2"/>
  <c r="AC7484" i="2"/>
  <c r="AB7484" i="2"/>
  <c r="AK7484" i="2" s="1"/>
  <c r="Y7484" i="2"/>
  <c r="AC7491" i="2"/>
  <c r="AB7491" i="2"/>
  <c r="AK7491" i="2" s="1"/>
  <c r="AB7510" i="2"/>
  <c r="AK7510" i="2" s="1"/>
  <c r="Y7510" i="2"/>
  <c r="AC7514" i="2"/>
  <c r="AB7514" i="2"/>
  <c r="AK7514" i="2" s="1"/>
  <c r="Y7514" i="2"/>
  <c r="AB7517" i="2"/>
  <c r="AK7517" i="2" s="1"/>
  <c r="Y7517" i="2"/>
  <c r="AC7529" i="2"/>
  <c r="AB7529" i="2"/>
  <c r="AK7529" i="2" s="1"/>
  <c r="AB7532" i="2"/>
  <c r="AK7532" i="2" s="1"/>
  <c r="Y7532" i="2"/>
  <c r="AB7544" i="2"/>
  <c r="AK7544" i="2" s="1"/>
  <c r="AB7547" i="2"/>
  <c r="AK7547" i="2" s="1"/>
  <c r="Y7547" i="2"/>
  <c r="AC7559" i="2"/>
  <c r="AB7559" i="2"/>
  <c r="AK7559" i="2" s="1"/>
  <c r="AB7566" i="2"/>
  <c r="AK7566" i="2" s="1"/>
  <c r="Y7566" i="2"/>
  <c r="AC7570" i="2"/>
  <c r="AB7570" i="2"/>
  <c r="AK7570" i="2" s="1"/>
  <c r="Y7570" i="2"/>
  <c r="AC7593" i="2"/>
  <c r="AB7593" i="2"/>
  <c r="AK7593" i="2" s="1"/>
  <c r="AB7596" i="2"/>
  <c r="AK7596" i="2" s="1"/>
  <c r="Y7596" i="2"/>
  <c r="AC7627" i="2"/>
  <c r="AB7627" i="2"/>
  <c r="AK7627" i="2" s="1"/>
  <c r="AB7638" i="2"/>
  <c r="AK7638" i="2" s="1"/>
  <c r="Y7638" i="2"/>
  <c r="AC7650" i="2"/>
  <c r="AB7650" i="2"/>
  <c r="AK7650" i="2" s="1"/>
  <c r="Y7650" i="2"/>
  <c r="AB7653" i="2"/>
  <c r="AK7653" i="2" s="1"/>
  <c r="Y7653" i="2"/>
  <c r="AB7668" i="2"/>
  <c r="AK7668" i="2" s="1"/>
  <c r="Y7668" i="2"/>
  <c r="AC7692" i="2"/>
  <c r="AC7735" i="2"/>
  <c r="AB7735" i="2"/>
  <c r="AK7735" i="2" s="1"/>
  <c r="AB7742" i="2"/>
  <c r="AK7742" i="2" s="1"/>
  <c r="Y7742" i="2"/>
  <c r="AC7765" i="2"/>
  <c r="AB7765" i="2"/>
  <c r="AK7765" i="2" s="1"/>
  <c r="AB7772" i="2"/>
  <c r="AK7772" i="2" s="1"/>
  <c r="Y7772" i="2"/>
  <c r="AC7776" i="2"/>
  <c r="AB7776" i="2"/>
  <c r="AK7776" i="2" s="1"/>
  <c r="Y7776" i="2"/>
  <c r="AB7787" i="2"/>
  <c r="AK7787" i="2" s="1"/>
  <c r="Y7787" i="2"/>
  <c r="AC7806" i="2"/>
  <c r="AB7806" i="2"/>
  <c r="AK7806" i="2" s="1"/>
  <c r="Y7806" i="2"/>
  <c r="AB7820" i="2"/>
  <c r="AK7820" i="2" s="1"/>
  <c r="Y7820" i="2"/>
  <c r="AC7824" i="2"/>
  <c r="AB7824" i="2"/>
  <c r="AK7824" i="2" s="1"/>
  <c r="Y7824" i="2"/>
  <c r="AC7845" i="2"/>
  <c r="AB7845" i="2"/>
  <c r="AK7845" i="2" s="1"/>
  <c r="AC7848" i="2"/>
  <c r="AB7848" i="2"/>
  <c r="AK7848" i="2" s="1"/>
  <c r="Y7848" i="2"/>
  <c r="AC7877" i="2"/>
  <c r="AB7877" i="2"/>
  <c r="AK7877" i="2" s="1"/>
  <c r="AC7880" i="2"/>
  <c r="AB7880" i="2"/>
  <c r="AK7880" i="2" s="1"/>
  <c r="Y7880" i="2"/>
  <c r="AC7901" i="2"/>
  <c r="AB7901" i="2"/>
  <c r="AK7901" i="2" s="1"/>
  <c r="Y7901" i="2"/>
  <c r="AB7904" i="2"/>
  <c r="AK7904" i="2" s="1"/>
  <c r="Y7904" i="2"/>
  <c r="AC7904" i="2"/>
  <c r="AB7937" i="2"/>
  <c r="AK7937" i="2" s="1"/>
  <c r="AC7937" i="2"/>
  <c r="AB7951" i="2"/>
  <c r="AK7951" i="2" s="1"/>
  <c r="AC7951" i="2"/>
  <c r="AC7973" i="2"/>
  <c r="AB7973" i="2"/>
  <c r="AK7973" i="2" s="1"/>
  <c r="Y7973" i="2"/>
  <c r="AB7989" i="2"/>
  <c r="AK7989" i="2" s="1"/>
  <c r="Y7989" i="2"/>
  <c r="AC7989" i="2"/>
  <c r="AH8001" i="2"/>
  <c r="AF8001" i="2"/>
  <c r="AB8037" i="2"/>
  <c r="AK8037" i="2" s="1"/>
  <c r="Y8037" i="2"/>
  <c r="AC8037" i="2"/>
  <c r="AB8091" i="2"/>
  <c r="AK8091" i="2" s="1"/>
  <c r="Y8091" i="2"/>
  <c r="AC8091" i="2"/>
  <c r="AB8121" i="2"/>
  <c r="AK8121" i="2" s="1"/>
  <c r="AC8121" i="2"/>
  <c r="AC8136" i="2"/>
  <c r="AB8136" i="2"/>
  <c r="AK8136" i="2" s="1"/>
  <c r="Y8136" i="2"/>
  <c r="AB8140" i="2"/>
  <c r="AK8140" i="2" s="1"/>
  <c r="Y8140" i="2"/>
  <c r="AC8140" i="2"/>
  <c r="AC8144" i="2"/>
  <c r="AB8144" i="2"/>
  <c r="AK8144" i="2" s="1"/>
  <c r="Y8144" i="2"/>
  <c r="Y7847" i="2"/>
  <c r="Y7815" i="2"/>
  <c r="Y7751" i="2"/>
  <c r="Y7655" i="2"/>
  <c r="Y7623" i="2"/>
  <c r="Y7591" i="2"/>
  <c r="Y7559" i="2"/>
  <c r="Y7527" i="2"/>
  <c r="Y7495" i="2"/>
  <c r="Y7463" i="2"/>
  <c r="Y7431" i="2"/>
  <c r="Y7399" i="2"/>
  <c r="Y7367" i="2"/>
  <c r="Y7335" i="2"/>
  <c r="Y7303" i="2"/>
  <c r="Y7215" i="2"/>
  <c r="Y7151" i="2"/>
  <c r="AB6955" i="2"/>
  <c r="AK6955" i="2" s="1"/>
  <c r="Y6955" i="2"/>
  <c r="AF6956" i="2"/>
  <c r="AF6959" i="2"/>
  <c r="AC6962" i="2"/>
  <c r="AB6962" i="2"/>
  <c r="AK6962" i="2" s="1"/>
  <c r="AF6966" i="2"/>
  <c r="AF6976" i="2"/>
  <c r="AB6989" i="2"/>
  <c r="AK6989" i="2" s="1"/>
  <c r="Y6989" i="2"/>
  <c r="AB6992" i="2"/>
  <c r="AK6992" i="2" s="1"/>
  <c r="Y6992" i="2"/>
  <c r="AF6993" i="2"/>
  <c r="AC6996" i="2"/>
  <c r="AB6996" i="2"/>
  <c r="AK6996" i="2" s="1"/>
  <c r="AF7016" i="2"/>
  <c r="AC7019" i="2"/>
  <c r="AB7019" i="2"/>
  <c r="AK7019" i="2" s="1"/>
  <c r="Y7019" i="2"/>
  <c r="AF7020" i="2"/>
  <c r="AC7022" i="2"/>
  <c r="AB7022" i="2"/>
  <c r="AK7022" i="2" s="1"/>
  <c r="Y7022" i="2"/>
  <c r="AC7029" i="2"/>
  <c r="AB7029" i="2"/>
  <c r="AK7029" i="2" s="1"/>
  <c r="Y7029" i="2"/>
  <c r="AB7032" i="2"/>
  <c r="AK7032" i="2" s="1"/>
  <c r="Y7032" i="2"/>
  <c r="AF7033" i="2"/>
  <c r="AB7042" i="2"/>
  <c r="AK7042" i="2" s="1"/>
  <c r="Y7042" i="2"/>
  <c r="AF7043" i="2"/>
  <c r="AF7046" i="2"/>
  <c r="AC7049" i="2"/>
  <c r="AB7049" i="2"/>
  <c r="AK7049" i="2" s="1"/>
  <c r="Y7049" i="2"/>
  <c r="AC7056" i="2"/>
  <c r="AC7066" i="2"/>
  <c r="AF7080" i="2"/>
  <c r="AC7083" i="2"/>
  <c r="AB7083" i="2"/>
  <c r="AK7083" i="2" s="1"/>
  <c r="Y7083" i="2"/>
  <c r="AF7084" i="2"/>
  <c r="AC7086" i="2"/>
  <c r="AB7086" i="2"/>
  <c r="AK7086" i="2" s="1"/>
  <c r="Y7086" i="2"/>
  <c r="AF7093" i="2"/>
  <c r="AC7096" i="2"/>
  <c r="AB7096" i="2"/>
  <c r="AK7096" i="2" s="1"/>
  <c r="Y7096" i="2"/>
  <c r="AC7099" i="2"/>
  <c r="AB7099" i="2"/>
  <c r="AK7099" i="2" s="1"/>
  <c r="Y7099" i="2"/>
  <c r="AB7106" i="2"/>
  <c r="AK7106" i="2" s="1"/>
  <c r="Y7106" i="2"/>
  <c r="AF7114" i="2"/>
  <c r="AC7117" i="2"/>
  <c r="AF7124" i="2"/>
  <c r="AC7127" i="2"/>
  <c r="AF7131" i="2"/>
  <c r="AC7134" i="2"/>
  <c r="AB7134" i="2"/>
  <c r="AK7134" i="2" s="1"/>
  <c r="AB7141" i="2"/>
  <c r="AK7141" i="2" s="1"/>
  <c r="Y7141" i="2"/>
  <c r="AC7145" i="2"/>
  <c r="AB7148" i="2"/>
  <c r="AK7148" i="2" s="1"/>
  <c r="Y7148" i="2"/>
  <c r="AF7149" i="2"/>
  <c r="AC7152" i="2"/>
  <c r="AB7152" i="2"/>
  <c r="AK7152" i="2" s="1"/>
  <c r="Y7152" i="2"/>
  <c r="AF7156" i="2"/>
  <c r="AC7159" i="2"/>
  <c r="AF7163" i="2"/>
  <c r="AC7166" i="2"/>
  <c r="AB7169" i="2"/>
  <c r="AK7169" i="2" s="1"/>
  <c r="Y7169" i="2"/>
  <c r="AC7173" i="2"/>
  <c r="AC7176" i="2"/>
  <c r="AB7176" i="2"/>
  <c r="AK7176" i="2" s="1"/>
  <c r="Y7176" i="2"/>
  <c r="AC7190" i="2"/>
  <c r="AB7190" i="2"/>
  <c r="AK7190" i="2" s="1"/>
  <c r="AB7193" i="2"/>
  <c r="AK7193" i="2" s="1"/>
  <c r="Y7193" i="2"/>
  <c r="AB7201" i="2"/>
  <c r="AK7201" i="2" s="1"/>
  <c r="Y7201" i="2"/>
  <c r="AF7202" i="2"/>
  <c r="AB7205" i="2"/>
  <c r="AK7205" i="2" s="1"/>
  <c r="Y7205" i="2"/>
  <c r="AB7209" i="2"/>
  <c r="AK7209" i="2" s="1"/>
  <c r="Y7209" i="2"/>
  <c r="AF7210" i="2"/>
  <c r="AC7213" i="2"/>
  <c r="AB7213" i="2"/>
  <c r="AK7213" i="2" s="1"/>
  <c r="Y7213" i="2"/>
  <c r="AC7217" i="2"/>
  <c r="AB7220" i="2"/>
  <c r="AK7220" i="2" s="1"/>
  <c r="Y7220" i="2"/>
  <c r="AF7221" i="2"/>
  <c r="AB7228" i="2"/>
  <c r="AK7228" i="2" s="1"/>
  <c r="Y7228" i="2"/>
  <c r="AF7229" i="2"/>
  <c r="AB7236" i="2"/>
  <c r="AK7236" i="2" s="1"/>
  <c r="Y7236" i="2"/>
  <c r="AF7237" i="2"/>
  <c r="AB7244" i="2"/>
  <c r="AK7244" i="2" s="1"/>
  <c r="Y7244" i="2"/>
  <c r="AF7245" i="2"/>
  <c r="AB7252" i="2"/>
  <c r="AK7252" i="2" s="1"/>
  <c r="Y7252" i="2"/>
  <c r="AF7253" i="2"/>
  <c r="AB7260" i="2"/>
  <c r="AK7260" i="2" s="1"/>
  <c r="Y7260" i="2"/>
  <c r="AF7261" i="2"/>
  <c r="AB7268" i="2"/>
  <c r="AK7268" i="2" s="1"/>
  <c r="Y7268" i="2"/>
  <c r="AF7269" i="2"/>
  <c r="AC7293" i="2"/>
  <c r="AB7293" i="2"/>
  <c r="AK7293" i="2" s="1"/>
  <c r="Y7293" i="2"/>
  <c r="AB7300" i="2"/>
  <c r="AK7300" i="2" s="1"/>
  <c r="Y7300" i="2"/>
  <c r="AF7301" i="2"/>
  <c r="AC7304" i="2"/>
  <c r="AB7304" i="2"/>
  <c r="AK7304" i="2" s="1"/>
  <c r="Y7304" i="2"/>
  <c r="AB7322" i="2"/>
  <c r="AK7322" i="2" s="1"/>
  <c r="Y7322" i="2"/>
  <c r="AC7326" i="2"/>
  <c r="AB7326" i="2"/>
  <c r="AK7326" i="2" s="1"/>
  <c r="AB7340" i="2"/>
  <c r="AK7340" i="2" s="1"/>
  <c r="Y7340" i="2"/>
  <c r="AC7344" i="2"/>
  <c r="AB7344" i="2"/>
  <c r="AK7344" i="2" s="1"/>
  <c r="Y7344" i="2"/>
  <c r="AC7348" i="2"/>
  <c r="AF7352" i="2"/>
  <c r="AB7370" i="2"/>
  <c r="AK7370" i="2" s="1"/>
  <c r="Y7370" i="2"/>
  <c r="AF7371" i="2"/>
  <c r="AC7389" i="2"/>
  <c r="AB7389" i="2"/>
  <c r="AK7389" i="2" s="1"/>
  <c r="Y7389" i="2"/>
  <c r="AC7400" i="2"/>
  <c r="AB7400" i="2"/>
  <c r="AK7400" i="2" s="1"/>
  <c r="Y7400" i="2"/>
  <c r="AC7415" i="2"/>
  <c r="AB7426" i="2"/>
  <c r="AK7426" i="2" s="1"/>
  <c r="Y7426" i="2"/>
  <c r="AC7430" i="2"/>
  <c r="AB7430" i="2"/>
  <c r="AK7430" i="2" s="1"/>
  <c r="AC7434" i="2"/>
  <c r="AF7435" i="2"/>
  <c r="AC7438" i="2"/>
  <c r="AB7438" i="2"/>
  <c r="AK7438" i="2" s="1"/>
  <c r="AC7442" i="2"/>
  <c r="AF7443" i="2"/>
  <c r="AC7446" i="2"/>
  <c r="AB7446" i="2"/>
  <c r="AK7446" i="2" s="1"/>
  <c r="AC7450" i="2"/>
  <c r="AF7451" i="2"/>
  <c r="AC7453" i="2"/>
  <c r="AB7453" i="2"/>
  <c r="AK7453" i="2" s="1"/>
  <c r="Y7453" i="2"/>
  <c r="AC7457" i="2"/>
  <c r="AF7458" i="2"/>
  <c r="AC7461" i="2"/>
  <c r="AB7461" i="2"/>
  <c r="AK7461" i="2" s="1"/>
  <c r="Y7461" i="2"/>
  <c r="AC7465" i="2"/>
  <c r="AF7466" i="2"/>
  <c r="AC7469" i="2"/>
  <c r="AB7469" i="2"/>
  <c r="AK7469" i="2" s="1"/>
  <c r="Y7469" i="2"/>
  <c r="AC7473" i="2"/>
  <c r="AF7474" i="2"/>
  <c r="AC7477" i="2"/>
  <c r="AB7477" i="2"/>
  <c r="AK7477" i="2" s="1"/>
  <c r="Y7477" i="2"/>
  <c r="AC7481" i="2"/>
  <c r="AF7484" i="2"/>
  <c r="AC7487" i="2"/>
  <c r="AB7494" i="2"/>
  <c r="AK7494" i="2" s="1"/>
  <c r="Y7494" i="2"/>
  <c r="AB7502" i="2"/>
  <c r="AK7502" i="2" s="1"/>
  <c r="Y7502" i="2"/>
  <c r="AC7510" i="2"/>
  <c r="AF7511" i="2"/>
  <c r="AF7514" i="2"/>
  <c r="AC7517" i="2"/>
  <c r="AB7524" i="2"/>
  <c r="AK7524" i="2" s="1"/>
  <c r="Y7524" i="2"/>
  <c r="AF7529" i="2"/>
  <c r="AC7532" i="2"/>
  <c r="AB7536" i="2"/>
  <c r="AK7536" i="2" s="1"/>
  <c r="AB7539" i="2"/>
  <c r="AK7539" i="2" s="1"/>
  <c r="Y7539" i="2"/>
  <c r="AF7540" i="2"/>
  <c r="AC7544" i="2"/>
  <c r="AC7547" i="2"/>
  <c r="AC7551" i="2"/>
  <c r="AB7551" i="2"/>
  <c r="AK7551" i="2" s="1"/>
  <c r="AB7558" i="2"/>
  <c r="AK7558" i="2" s="1"/>
  <c r="Y7558" i="2"/>
  <c r="AC7562" i="2"/>
  <c r="AB7562" i="2"/>
  <c r="AK7562" i="2" s="1"/>
  <c r="Y7562" i="2"/>
  <c r="AC7566" i="2"/>
  <c r="AC7585" i="2"/>
  <c r="AB7585" i="2"/>
  <c r="AK7585" i="2" s="1"/>
  <c r="AB7588" i="2"/>
  <c r="AK7588" i="2" s="1"/>
  <c r="Y7588" i="2"/>
  <c r="AF7593" i="2"/>
  <c r="AC7596" i="2"/>
  <c r="AB7600" i="2"/>
  <c r="AK7600" i="2" s="1"/>
  <c r="AB7603" i="2"/>
  <c r="AK7603" i="2" s="1"/>
  <c r="Y7603" i="2"/>
  <c r="AF7604" i="2"/>
  <c r="AF7612" i="2"/>
  <c r="AF7617" i="2"/>
  <c r="AC7619" i="2"/>
  <c r="AB7619" i="2"/>
  <c r="AK7619" i="2" s="1"/>
  <c r="AC7623" i="2"/>
  <c r="AB7630" i="2"/>
  <c r="AK7630" i="2" s="1"/>
  <c r="Y7630" i="2"/>
  <c r="AC7638" i="2"/>
  <c r="AC7642" i="2"/>
  <c r="AB7642" i="2"/>
  <c r="AK7642" i="2" s="1"/>
  <c r="Y7642" i="2"/>
  <c r="AB7645" i="2"/>
  <c r="AK7645" i="2" s="1"/>
  <c r="Y7645" i="2"/>
  <c r="AF7650" i="2"/>
  <c r="AC7653" i="2"/>
  <c r="AB7660" i="2"/>
  <c r="AK7660" i="2" s="1"/>
  <c r="Y7660" i="2"/>
  <c r="AF7661" i="2"/>
  <c r="AC7665" i="2"/>
  <c r="AC7668" i="2"/>
  <c r="AB7675" i="2"/>
  <c r="AK7675" i="2" s="1"/>
  <c r="AF7676" i="2"/>
  <c r="AB7683" i="2"/>
  <c r="AK7683" i="2" s="1"/>
  <c r="AF7684" i="2"/>
  <c r="AF7692" i="2"/>
  <c r="AB7699" i="2"/>
  <c r="AK7699" i="2" s="1"/>
  <c r="AF7700" i="2"/>
  <c r="AB7707" i="2"/>
  <c r="AK7707" i="2" s="1"/>
  <c r="AF7708" i="2"/>
  <c r="AB7715" i="2"/>
  <c r="AK7715" i="2" s="1"/>
  <c r="AF7716" i="2"/>
  <c r="AB7723" i="2"/>
  <c r="AK7723" i="2" s="1"/>
  <c r="AF7724" i="2"/>
  <c r="AB7734" i="2"/>
  <c r="AK7734" i="2" s="1"/>
  <c r="Y7734" i="2"/>
  <c r="AF7735" i="2"/>
  <c r="AC7742" i="2"/>
  <c r="AF7746" i="2"/>
  <c r="AC7753" i="2"/>
  <c r="AC7757" i="2"/>
  <c r="AB7757" i="2"/>
  <c r="AK7757" i="2" s="1"/>
  <c r="AF7761" i="2"/>
  <c r="AB7764" i="2"/>
  <c r="AK7764" i="2" s="1"/>
  <c r="Y7764" i="2"/>
  <c r="AF7766" i="2"/>
  <c r="AC7768" i="2"/>
  <c r="AB7768" i="2"/>
  <c r="AK7768" i="2" s="1"/>
  <c r="Y7768" i="2"/>
  <c r="AC7772" i="2"/>
  <c r="AB7779" i="2"/>
  <c r="AK7779" i="2" s="1"/>
  <c r="Y7779" i="2"/>
  <c r="AC7787" i="2"/>
  <c r="AC7791" i="2"/>
  <c r="AB7791" i="2"/>
  <c r="AK7791" i="2" s="1"/>
  <c r="AF7810" i="2"/>
  <c r="AC7813" i="2"/>
  <c r="AB7813" i="2"/>
  <c r="AK7813" i="2" s="1"/>
  <c r="AF7817" i="2"/>
  <c r="AC7820" i="2"/>
  <c r="AC7827" i="2"/>
  <c r="Y7827" i="2"/>
  <c r="AC7830" i="2"/>
  <c r="AB7830" i="2"/>
  <c r="AK7830" i="2" s="1"/>
  <c r="Y7830" i="2"/>
  <c r="AF7838" i="2"/>
  <c r="AC7841" i="2"/>
  <c r="AB7844" i="2"/>
  <c r="AK7844" i="2" s="1"/>
  <c r="Y7844" i="2"/>
  <c r="AC7851" i="2"/>
  <c r="AB7851" i="2"/>
  <c r="AK7851" i="2" s="1"/>
  <c r="Y7851" i="2"/>
  <c r="AF7855" i="2"/>
  <c r="AC7864" i="2"/>
  <c r="AB7864" i="2"/>
  <c r="AK7864" i="2" s="1"/>
  <c r="Y7864" i="2"/>
  <c r="Y7870" i="2"/>
  <c r="AF7874" i="2"/>
  <c r="AC7886" i="2"/>
  <c r="AB7886" i="2"/>
  <c r="AK7886" i="2" s="1"/>
  <c r="Y7886" i="2"/>
  <c r="AC7898" i="2"/>
  <c r="AB7898" i="2"/>
  <c r="AK7898" i="2" s="1"/>
  <c r="AF7905" i="2"/>
  <c r="AB7907" i="2"/>
  <c r="AK7907" i="2" s="1"/>
  <c r="Y7907" i="2"/>
  <c r="AC7907" i="2"/>
  <c r="AC7979" i="2"/>
  <c r="AB7979" i="2"/>
  <c r="AK7979" i="2" s="1"/>
  <c r="Y7979" i="2"/>
  <c r="AH7997" i="2"/>
  <c r="AF7997" i="2"/>
  <c r="AC8102" i="2"/>
  <c r="AB8102" i="2"/>
  <c r="AK8102" i="2" s="1"/>
  <c r="Y8102" i="2"/>
  <c r="AB8115" i="2"/>
  <c r="AK8115" i="2" s="1"/>
  <c r="AC8115" i="2"/>
  <c r="Y8001" i="2"/>
  <c r="Y7937" i="2"/>
  <c r="Y7873" i="2"/>
  <c r="Y7841" i="2"/>
  <c r="Y7809" i="2"/>
  <c r="Y7777" i="2"/>
  <c r="Y7745" i="2"/>
  <c r="Y7713" i="2"/>
  <c r="Y7681" i="2"/>
  <c r="Y7649" i="2"/>
  <c r="Y7617" i="2"/>
  <c r="Y7585" i="2"/>
  <c r="Y7553" i="2"/>
  <c r="Y7521" i="2"/>
  <c r="Y7489" i="2"/>
  <c r="Y7457" i="2"/>
  <c r="Y7393" i="2"/>
  <c r="Y7361" i="2"/>
  <c r="Y7329" i="2"/>
  <c r="Y7297" i="2"/>
  <c r="Y7265" i="2"/>
  <c r="Y7207" i="2"/>
  <c r="Y7143" i="2"/>
  <c r="AC6982" i="2"/>
  <c r="AB6982" i="2"/>
  <c r="AK6982" i="2" s="1"/>
  <c r="Y6982" i="2"/>
  <c r="AB6995" i="2"/>
  <c r="AK6995" i="2" s="1"/>
  <c r="Y6995" i="2"/>
  <c r="AF6996" i="2"/>
  <c r="AF6999" i="2"/>
  <c r="AC7005" i="2"/>
  <c r="AB7005" i="2"/>
  <c r="AK7005" i="2" s="1"/>
  <c r="Y7005" i="2"/>
  <c r="AB7008" i="2"/>
  <c r="AK7008" i="2" s="1"/>
  <c r="Y7008" i="2"/>
  <c r="Y7018" i="2"/>
  <c r="AF7019" i="2"/>
  <c r="AF7022" i="2"/>
  <c r="AC7025" i="2"/>
  <c r="AB7025" i="2"/>
  <c r="AK7025" i="2" s="1"/>
  <c r="Y7025" i="2"/>
  <c r="AF7029" i="2"/>
  <c r="AC7059" i="2"/>
  <c r="AB7059" i="2"/>
  <c r="AK7059" i="2" s="1"/>
  <c r="Y7059" i="2"/>
  <c r="AC7062" i="2"/>
  <c r="AB7062" i="2"/>
  <c r="AK7062" i="2" s="1"/>
  <c r="Y7062" i="2"/>
  <c r="AC7069" i="2"/>
  <c r="AB7069" i="2"/>
  <c r="AK7069" i="2" s="1"/>
  <c r="Y7069" i="2"/>
  <c r="Y7072" i="2"/>
  <c r="AB7082" i="2"/>
  <c r="AK7082" i="2" s="1"/>
  <c r="Y7082" i="2"/>
  <c r="AF7086" i="2"/>
  <c r="AC7089" i="2"/>
  <c r="AB7089" i="2"/>
  <c r="AK7089" i="2" s="1"/>
  <c r="Y7089" i="2"/>
  <c r="AB7109" i="2"/>
  <c r="AK7109" i="2" s="1"/>
  <c r="Y7109" i="2"/>
  <c r="AF7110" i="2"/>
  <c r="AC7113" i="2"/>
  <c r="AB7113" i="2"/>
  <c r="AK7113" i="2" s="1"/>
  <c r="AB7116" i="2"/>
  <c r="AK7116" i="2" s="1"/>
  <c r="Y7116" i="2"/>
  <c r="AF7117" i="2"/>
  <c r="AC7120" i="2"/>
  <c r="AB7120" i="2"/>
  <c r="AK7120" i="2" s="1"/>
  <c r="Y7120" i="2"/>
  <c r="AC7130" i="2"/>
  <c r="AB7130" i="2"/>
  <c r="AK7130" i="2" s="1"/>
  <c r="Y7130" i="2"/>
  <c r="AB7137" i="2"/>
  <c r="AK7137" i="2" s="1"/>
  <c r="Y7137" i="2"/>
  <c r="AF7152" i="2"/>
  <c r="AC7162" i="2"/>
  <c r="AB7162" i="2"/>
  <c r="AK7162" i="2" s="1"/>
  <c r="Y7162" i="2"/>
  <c r="AB7165" i="2"/>
  <c r="AK7165" i="2" s="1"/>
  <c r="Y7165" i="2"/>
  <c r="AC7172" i="2"/>
  <c r="AB7172" i="2"/>
  <c r="AK7172" i="2" s="1"/>
  <c r="Y7172" i="2"/>
  <c r="AF7173" i="2"/>
  <c r="AC7186" i="2"/>
  <c r="AB7186" i="2"/>
  <c r="AK7186" i="2" s="1"/>
  <c r="Y7186" i="2"/>
  <c r="AC7197" i="2"/>
  <c r="AB7197" i="2"/>
  <c r="AK7197" i="2" s="1"/>
  <c r="Y7197" i="2"/>
  <c r="AB7204" i="2"/>
  <c r="AK7204" i="2" s="1"/>
  <c r="Y7204" i="2"/>
  <c r="AB7212" i="2"/>
  <c r="AK7212" i="2" s="1"/>
  <c r="Y7212" i="2"/>
  <c r="AF7213" i="2"/>
  <c r="AC7224" i="2"/>
  <c r="AB7224" i="2"/>
  <c r="AK7224" i="2" s="1"/>
  <c r="Y7224" i="2"/>
  <c r="AC7232" i="2"/>
  <c r="AB7232" i="2"/>
  <c r="AK7232" i="2" s="1"/>
  <c r="Y7232" i="2"/>
  <c r="AC7240" i="2"/>
  <c r="AB7240" i="2"/>
  <c r="AK7240" i="2" s="1"/>
  <c r="Y7240" i="2"/>
  <c r="AC7248" i="2"/>
  <c r="AB7248" i="2"/>
  <c r="AK7248" i="2" s="1"/>
  <c r="Y7248" i="2"/>
  <c r="AC7256" i="2"/>
  <c r="AB7256" i="2"/>
  <c r="AK7256" i="2" s="1"/>
  <c r="Y7256" i="2"/>
  <c r="AC7264" i="2"/>
  <c r="AB7264" i="2"/>
  <c r="AK7264" i="2" s="1"/>
  <c r="Y7264" i="2"/>
  <c r="AC7272" i="2"/>
  <c r="AB7272" i="2"/>
  <c r="AK7272" i="2" s="1"/>
  <c r="Y7272" i="2"/>
  <c r="AC7285" i="2"/>
  <c r="AB7285" i="2"/>
  <c r="AK7285" i="2" s="1"/>
  <c r="Y7285" i="2"/>
  <c r="AB7292" i="2"/>
  <c r="AK7292" i="2" s="1"/>
  <c r="Y7292" i="2"/>
  <c r="AF7293" i="2"/>
  <c r="AC7296" i="2"/>
  <c r="AB7296" i="2"/>
  <c r="AK7296" i="2" s="1"/>
  <c r="Y7296" i="2"/>
  <c r="AF7304" i="2"/>
  <c r="AB7314" i="2"/>
  <c r="AK7314" i="2" s="1"/>
  <c r="Y7314" i="2"/>
  <c r="AC7318" i="2"/>
  <c r="AB7318" i="2"/>
  <c r="AK7318" i="2" s="1"/>
  <c r="AC7322" i="2"/>
  <c r="AF7323" i="2"/>
  <c r="AF7330" i="2"/>
  <c r="AC7333" i="2"/>
  <c r="AB7333" i="2"/>
  <c r="AK7333" i="2" s="1"/>
  <c r="Y7333" i="2"/>
  <c r="AC7340" i="2"/>
  <c r="AF7344" i="2"/>
  <c r="AB7362" i="2"/>
  <c r="AK7362" i="2" s="1"/>
  <c r="Y7362" i="2"/>
  <c r="AC7366" i="2"/>
  <c r="AB7366" i="2"/>
  <c r="AK7366" i="2" s="1"/>
  <c r="AC7370" i="2"/>
  <c r="AC7377" i="2"/>
  <c r="AC7381" i="2"/>
  <c r="AB7381" i="2"/>
  <c r="AK7381" i="2" s="1"/>
  <c r="Y7381" i="2"/>
  <c r="AB7388" i="2"/>
  <c r="AK7388" i="2" s="1"/>
  <c r="Y7388" i="2"/>
  <c r="AF7389" i="2"/>
  <c r="AC7392" i="2"/>
  <c r="AB7392" i="2"/>
  <c r="AK7392" i="2" s="1"/>
  <c r="Y7392" i="2"/>
  <c r="AF7400" i="2"/>
  <c r="AC7407" i="2"/>
  <c r="AB7418" i="2"/>
  <c r="AK7418" i="2" s="1"/>
  <c r="Y7418" i="2"/>
  <c r="AF7419" i="2"/>
  <c r="AC7422" i="2"/>
  <c r="AB7422" i="2"/>
  <c r="AK7422" i="2" s="1"/>
  <c r="AC7426" i="2"/>
  <c r="AF7461" i="2"/>
  <c r="AC7498" i="2"/>
  <c r="AB7498" i="2"/>
  <c r="AK7498" i="2" s="1"/>
  <c r="Y7498" i="2"/>
  <c r="AC7506" i="2"/>
  <c r="AB7506" i="2"/>
  <c r="AK7506" i="2" s="1"/>
  <c r="Y7506" i="2"/>
  <c r="AB7509" i="2"/>
  <c r="AK7509" i="2" s="1"/>
  <c r="Y7509" i="2"/>
  <c r="AB7516" i="2"/>
  <c r="AK7516" i="2" s="1"/>
  <c r="Y7516" i="2"/>
  <c r="AF7517" i="2"/>
  <c r="AB7528" i="2"/>
  <c r="AK7528" i="2" s="1"/>
  <c r="AB7531" i="2"/>
  <c r="AK7531" i="2" s="1"/>
  <c r="Y7531" i="2"/>
  <c r="AF7532" i="2"/>
  <c r="AC7543" i="2"/>
  <c r="AB7543" i="2"/>
  <c r="AK7543" i="2" s="1"/>
  <c r="AB7550" i="2"/>
  <c r="AK7550" i="2" s="1"/>
  <c r="Y7550" i="2"/>
  <c r="AC7554" i="2"/>
  <c r="AB7554" i="2"/>
  <c r="AK7554" i="2" s="1"/>
  <c r="Y7554" i="2"/>
  <c r="AC7577" i="2"/>
  <c r="AB7577" i="2"/>
  <c r="AK7577" i="2" s="1"/>
  <c r="AB7580" i="2"/>
  <c r="AK7580" i="2" s="1"/>
  <c r="Y7580" i="2"/>
  <c r="AF7581" i="2"/>
  <c r="AF7585" i="2"/>
  <c r="AB7592" i="2"/>
  <c r="AK7592" i="2" s="1"/>
  <c r="AB7595" i="2"/>
  <c r="AK7595" i="2" s="1"/>
  <c r="Y7595" i="2"/>
  <c r="AF7596" i="2"/>
  <c r="AC7607" i="2"/>
  <c r="AC7611" i="2"/>
  <c r="AB7611" i="2"/>
  <c r="AK7611" i="2" s="1"/>
  <c r="AB7622" i="2"/>
  <c r="AK7622" i="2" s="1"/>
  <c r="Y7622" i="2"/>
  <c r="AC7634" i="2"/>
  <c r="AB7634" i="2"/>
  <c r="AK7634" i="2" s="1"/>
  <c r="Y7634" i="2"/>
  <c r="AB7637" i="2"/>
  <c r="AK7637" i="2" s="1"/>
  <c r="Y7637" i="2"/>
  <c r="AF7642" i="2"/>
  <c r="AB7652" i="2"/>
  <c r="AK7652" i="2" s="1"/>
  <c r="Y7652" i="2"/>
  <c r="AF7653" i="2"/>
  <c r="AF7668" i="2"/>
  <c r="AC7671" i="2"/>
  <c r="AB7671" i="2"/>
  <c r="AK7671" i="2" s="1"/>
  <c r="AC7679" i="2"/>
  <c r="AB7679" i="2"/>
  <c r="AK7679" i="2" s="1"/>
  <c r="AC7687" i="2"/>
  <c r="AB7687" i="2"/>
  <c r="AK7687" i="2" s="1"/>
  <c r="AC7695" i="2"/>
  <c r="AB7695" i="2"/>
  <c r="AK7695" i="2" s="1"/>
  <c r="AC7703" i="2"/>
  <c r="AB7703" i="2"/>
  <c r="AK7703" i="2" s="1"/>
  <c r="AC7711" i="2"/>
  <c r="AC7719" i="2"/>
  <c r="AB7719" i="2"/>
  <c r="AK7719" i="2" s="1"/>
  <c r="AC7727" i="2"/>
  <c r="AB7727" i="2"/>
  <c r="AK7727" i="2" s="1"/>
  <c r="AF7738" i="2"/>
  <c r="AC7749" i="2"/>
  <c r="AB7749" i="2"/>
  <c r="AK7749" i="2" s="1"/>
  <c r="AF7753" i="2"/>
  <c r="AB7756" i="2"/>
  <c r="AK7756" i="2" s="1"/>
  <c r="Y7756" i="2"/>
  <c r="AC7760" i="2"/>
  <c r="AB7760" i="2"/>
  <c r="AK7760" i="2" s="1"/>
  <c r="Y7760" i="2"/>
  <c r="AB7771" i="2"/>
  <c r="AK7771" i="2" s="1"/>
  <c r="Y7771" i="2"/>
  <c r="AC7783" i="2"/>
  <c r="AB7783" i="2"/>
  <c r="AK7783" i="2" s="1"/>
  <c r="AF7787" i="2"/>
  <c r="AF7791" i="2"/>
  <c r="AC7798" i="2"/>
  <c r="AB7798" i="2"/>
  <c r="AK7798" i="2" s="1"/>
  <c r="Y7798" i="2"/>
  <c r="AB7812" i="2"/>
  <c r="AK7812" i="2" s="1"/>
  <c r="Y7812" i="2"/>
  <c r="AC7816" i="2"/>
  <c r="AB7816" i="2"/>
  <c r="AK7816" i="2" s="1"/>
  <c r="Y7816" i="2"/>
  <c r="AF7827" i="2"/>
  <c r="AF7834" i="2"/>
  <c r="AC7837" i="2"/>
  <c r="AB7837" i="2"/>
  <c r="AK7837" i="2" s="1"/>
  <c r="AF7841" i="2"/>
  <c r="AC7854" i="2"/>
  <c r="AB7854" i="2"/>
  <c r="AK7854" i="2" s="1"/>
  <c r="Y7854" i="2"/>
  <c r="AB7876" i="2"/>
  <c r="AK7876" i="2" s="1"/>
  <c r="Y7876" i="2"/>
  <c r="AC7916" i="2"/>
  <c r="AB7916" i="2"/>
  <c r="AK7916" i="2" s="1"/>
  <c r="Y7916" i="2"/>
  <c r="AC8075" i="2"/>
  <c r="AB8075" i="2"/>
  <c r="AK8075" i="2" s="1"/>
  <c r="Y8075" i="2"/>
  <c r="AB8133" i="2"/>
  <c r="AK8133" i="2" s="1"/>
  <c r="Y8133" i="2"/>
  <c r="AC8133" i="2"/>
  <c r="AC8137" i="2"/>
  <c r="AB8137" i="2"/>
  <c r="AK8137" i="2" s="1"/>
  <c r="Y7839" i="2"/>
  <c r="Y7807" i="2"/>
  <c r="Y7775" i="2"/>
  <c r="Y7743" i="2"/>
  <c r="Y7711" i="2"/>
  <c r="Y7679" i="2"/>
  <c r="Y7647" i="2"/>
  <c r="Y7615" i="2"/>
  <c r="Y7583" i="2"/>
  <c r="Y7551" i="2"/>
  <c r="Y7519" i="2"/>
  <c r="Y7487" i="2"/>
  <c r="Y7455" i="2"/>
  <c r="Y7423" i="2"/>
  <c r="Y7359" i="2"/>
  <c r="Y7327" i="2"/>
  <c r="Y7199" i="2"/>
  <c r="Y7006" i="2"/>
  <c r="AC7883" i="2"/>
  <c r="AB7883" i="2"/>
  <c r="AK7883" i="2" s="1"/>
  <c r="AC7890" i="2"/>
  <c r="AB7890" i="2"/>
  <c r="AK7890" i="2" s="1"/>
  <c r="AF7891" i="2"/>
  <c r="AC7893" i="2"/>
  <c r="AB7893" i="2"/>
  <c r="AK7893" i="2" s="1"/>
  <c r="AC7908" i="2"/>
  <c r="AB7908" i="2"/>
  <c r="AK7908" i="2" s="1"/>
  <c r="AF7912" i="2"/>
  <c r="AF7916" i="2"/>
  <c r="AC7930" i="2"/>
  <c r="AB7930" i="2"/>
  <c r="AK7930" i="2" s="1"/>
  <c r="AF7931" i="2"/>
  <c r="AC7933" i="2"/>
  <c r="AB7933" i="2"/>
  <c r="AK7933" i="2" s="1"/>
  <c r="AF7948" i="2"/>
  <c r="AC7962" i="2"/>
  <c r="AB7962" i="2"/>
  <c r="AK7962" i="2" s="1"/>
  <c r="AF7966" i="2"/>
  <c r="AF7973" i="2"/>
  <c r="AC7976" i="2"/>
  <c r="AB7976" i="2"/>
  <c r="AK7976" i="2" s="1"/>
  <c r="AC7994" i="2"/>
  <c r="AB7994" i="2"/>
  <c r="AK7994" i="2" s="1"/>
  <c r="AC8010" i="2"/>
  <c r="AB8010" i="2"/>
  <c r="AK8010" i="2" s="1"/>
  <c r="AC8031" i="2"/>
  <c r="AB8031" i="2"/>
  <c r="AK8031" i="2" s="1"/>
  <c r="AC8047" i="2"/>
  <c r="AB8047" i="2"/>
  <c r="AK8047" i="2" s="1"/>
  <c r="AC8057" i="2"/>
  <c r="AB8057" i="2"/>
  <c r="AK8057" i="2" s="1"/>
  <c r="AC8067" i="2"/>
  <c r="AB8067" i="2"/>
  <c r="AK8067" i="2" s="1"/>
  <c r="AC8150" i="2"/>
  <c r="AB8150" i="2"/>
  <c r="AK8150" i="2" s="1"/>
  <c r="Y8112" i="2"/>
  <c r="Y8104" i="2"/>
  <c r="Y8096" i="2"/>
  <c r="Y8088" i="2"/>
  <c r="Y8080" i="2"/>
  <c r="Y8064" i="2"/>
  <c r="Y8056" i="2"/>
  <c r="Y8032" i="2"/>
  <c r="Y8008" i="2"/>
  <c r="Y8000" i="2"/>
  <c r="Y7992" i="2"/>
  <c r="Y7976" i="2"/>
  <c r="Y7952" i="2"/>
  <c r="Y7928" i="2"/>
  <c r="Y7920" i="2"/>
  <c r="AF7858" i="2"/>
  <c r="AC7861" i="2"/>
  <c r="AB7861" i="2"/>
  <c r="AK7861" i="2" s="1"/>
  <c r="AF7865" i="2"/>
  <c r="AC7875" i="2"/>
  <c r="AB7875" i="2"/>
  <c r="AK7875" i="2" s="1"/>
  <c r="AF7900" i="2"/>
  <c r="AF7911" i="2"/>
  <c r="AC7922" i="2"/>
  <c r="AB7922" i="2"/>
  <c r="AK7922" i="2" s="1"/>
  <c r="AF7923" i="2"/>
  <c r="AC7925" i="2"/>
  <c r="AB7925" i="2"/>
  <c r="AK7925" i="2" s="1"/>
  <c r="AF7940" i="2"/>
  <c r="AF7947" i="2"/>
  <c r="AC7950" i="2"/>
  <c r="AB7950" i="2"/>
  <c r="AK7950" i="2" s="1"/>
  <c r="AC7954" i="2"/>
  <c r="AB7954" i="2"/>
  <c r="AK7954" i="2" s="1"/>
  <c r="AF7958" i="2"/>
  <c r="AF7965" i="2"/>
  <c r="AC7968" i="2"/>
  <c r="AB7968" i="2"/>
  <c r="AK7968" i="2" s="1"/>
  <c r="AC7986" i="2"/>
  <c r="AB7986" i="2"/>
  <c r="AK7986" i="2" s="1"/>
  <c r="AC7998" i="2"/>
  <c r="AB7998" i="2"/>
  <c r="AK7998" i="2" s="1"/>
  <c r="AC8040" i="2"/>
  <c r="AB8040" i="2"/>
  <c r="AK8040" i="2" s="1"/>
  <c r="AC8043" i="2"/>
  <c r="AB8043" i="2"/>
  <c r="AK8043" i="2" s="1"/>
  <c r="AC8048" i="2"/>
  <c r="AB8048" i="2"/>
  <c r="AK8048" i="2" s="1"/>
  <c r="AC8053" i="2"/>
  <c r="AB8053" i="2"/>
  <c r="AK8053" i="2" s="1"/>
  <c r="AC8077" i="2"/>
  <c r="AB8077" i="2"/>
  <c r="AK8077" i="2" s="1"/>
  <c r="AC8085" i="2"/>
  <c r="AB8085" i="2"/>
  <c r="AK8085" i="2" s="1"/>
  <c r="AC8093" i="2"/>
  <c r="AB8093" i="2"/>
  <c r="AK8093" i="2" s="1"/>
  <c r="AC8101" i="2"/>
  <c r="AB8101" i="2"/>
  <c r="AK8101" i="2" s="1"/>
  <c r="AC8109" i="2"/>
  <c r="AB8109" i="2"/>
  <c r="AK8109" i="2" s="1"/>
  <c r="AC8117" i="2"/>
  <c r="AB8117" i="2"/>
  <c r="AK8117" i="2" s="1"/>
  <c r="AC8124" i="2"/>
  <c r="AB8124" i="2"/>
  <c r="AK8124" i="2" s="1"/>
  <c r="AC8128" i="2"/>
  <c r="AB8128" i="2"/>
  <c r="AK8128" i="2" s="1"/>
  <c r="Y8150" i="2"/>
  <c r="Y8134" i="2"/>
  <c r="Y8062" i="2"/>
  <c r="Y8046" i="2"/>
  <c r="Y8038" i="2"/>
  <c r="Y7998" i="2"/>
  <c r="Y7982" i="2"/>
  <c r="Y7974" i="2"/>
  <c r="Y7966" i="2"/>
  <c r="Y7958" i="2"/>
  <c r="Y7950" i="2"/>
  <c r="Y7934" i="2"/>
  <c r="Y7910" i="2"/>
  <c r="Y7902" i="2"/>
  <c r="Y7894" i="2"/>
  <c r="AC7878" i="2"/>
  <c r="AB7878" i="2"/>
  <c r="AK7878" i="2" s="1"/>
  <c r="AC7892" i="2"/>
  <c r="AB7892" i="2"/>
  <c r="AK7892" i="2" s="1"/>
  <c r="AC7914" i="2"/>
  <c r="AB7914" i="2"/>
  <c r="AK7914" i="2" s="1"/>
  <c r="AC7932" i="2"/>
  <c r="AB7932" i="2"/>
  <c r="AK7932" i="2" s="1"/>
  <c r="AC7957" i="2"/>
  <c r="AB7957" i="2"/>
  <c r="AK7957" i="2" s="1"/>
  <c r="AC7971" i="2"/>
  <c r="AB7971" i="2"/>
  <c r="AK7971" i="2" s="1"/>
  <c r="AC7975" i="2"/>
  <c r="AF7986" i="2"/>
  <c r="AC8000" i="2"/>
  <c r="AC8051" i="2"/>
  <c r="AB8051" i="2"/>
  <c r="AK8051" i="2" s="1"/>
  <c r="AC8061" i="2"/>
  <c r="AB8061" i="2"/>
  <c r="AK8061" i="2" s="1"/>
  <c r="AC8082" i="2"/>
  <c r="AB8082" i="2"/>
  <c r="AK8082" i="2" s="1"/>
  <c r="AC8090" i="2"/>
  <c r="AB8090" i="2"/>
  <c r="AK8090" i="2" s="1"/>
  <c r="AC8098" i="2"/>
  <c r="AB8098" i="2"/>
  <c r="AK8098" i="2" s="1"/>
  <c r="AC8106" i="2"/>
  <c r="AB8106" i="2"/>
  <c r="AK8106" i="2" s="1"/>
  <c r="AC8114" i="2"/>
  <c r="AB8114" i="2"/>
  <c r="AK8114" i="2" s="1"/>
  <c r="AC8134" i="2"/>
  <c r="AC8138" i="2"/>
  <c r="AB8138" i="2"/>
  <c r="AK8138" i="2" s="1"/>
  <c r="AC8141" i="2"/>
  <c r="AC8145" i="2"/>
  <c r="AB8145" i="2"/>
  <c r="AK8145" i="2" s="1"/>
  <c r="Y8141" i="2"/>
  <c r="Y8093" i="2"/>
  <c r="Y8085" i="2"/>
  <c r="Y8077" i="2"/>
  <c r="Y8069" i="2"/>
  <c r="Y8061" i="2"/>
  <c r="Y8053" i="2"/>
  <c r="Y7997" i="2"/>
  <c r="Y7957" i="2"/>
  <c r="Y7949" i="2"/>
  <c r="Y7941" i="2"/>
  <c r="Y7933" i="2"/>
  <c r="Y7925" i="2"/>
  <c r="Y7893" i="2"/>
  <c r="AC7835" i="2"/>
  <c r="AB7835" i="2"/>
  <c r="AK7835" i="2" s="1"/>
  <c r="AF7850" i="2"/>
  <c r="AC7853" i="2"/>
  <c r="AB7853" i="2"/>
  <c r="AK7853" i="2" s="1"/>
  <c r="AF7857" i="2"/>
  <c r="AC7867" i="2"/>
  <c r="AB7867" i="2"/>
  <c r="AK7867" i="2" s="1"/>
  <c r="AC7885" i="2"/>
  <c r="AB7885" i="2"/>
  <c r="AK7885" i="2" s="1"/>
  <c r="AC7899" i="2"/>
  <c r="AC7902" i="2"/>
  <c r="AC7906" i="2"/>
  <c r="AB7906" i="2"/>
  <c r="AK7906" i="2" s="1"/>
  <c r="AC7917" i="2"/>
  <c r="AB7917" i="2"/>
  <c r="AK7917" i="2" s="1"/>
  <c r="AC7921" i="2"/>
  <c r="AC7928" i="2"/>
  <c r="AC7939" i="2"/>
  <c r="AC7942" i="2"/>
  <c r="AB7942" i="2"/>
  <c r="AK7942" i="2" s="1"/>
  <c r="AC7946" i="2"/>
  <c r="AC7949" i="2"/>
  <c r="AF7957" i="2"/>
  <c r="AC7960" i="2"/>
  <c r="AB7960" i="2"/>
  <c r="AK7960" i="2" s="1"/>
  <c r="AC7978" i="2"/>
  <c r="AB7978" i="2"/>
  <c r="AK7978" i="2" s="1"/>
  <c r="AF7982" i="2"/>
  <c r="AC8002" i="2"/>
  <c r="AB8002" i="2"/>
  <c r="AK8002" i="2" s="1"/>
  <c r="AC8041" i="2"/>
  <c r="AB8041" i="2"/>
  <c r="AK8041" i="2" s="1"/>
  <c r="AC8049" i="2"/>
  <c r="AB8049" i="2"/>
  <c r="AK8049" i="2" s="1"/>
  <c r="AC8058" i="2"/>
  <c r="AC8068" i="2"/>
  <c r="AC8079" i="2"/>
  <c r="AC8087" i="2"/>
  <c r="AC8095" i="2"/>
  <c r="AC8103" i="2"/>
  <c r="AC8111" i="2"/>
  <c r="AC8119" i="2"/>
  <c r="AC8125" i="2"/>
  <c r="AB8125" i="2"/>
  <c r="AK8125" i="2" s="1"/>
  <c r="AC8148" i="2"/>
  <c r="Y8148" i="2"/>
  <c r="Y8124" i="2"/>
  <c r="Y8116" i="2"/>
  <c r="Y8108" i="2"/>
  <c r="Y8100" i="2"/>
  <c r="Y8092" i="2"/>
  <c r="Y8084" i="2"/>
  <c r="Y8076" i="2"/>
  <c r="Y8068" i="2"/>
  <c r="Y8052" i="2"/>
  <c r="Y8044" i="2"/>
  <c r="Y7932" i="2"/>
  <c r="Y7908" i="2"/>
  <c r="Y7892" i="2"/>
  <c r="Y7884" i="2"/>
  <c r="AC7863" i="2"/>
  <c r="AF7867" i="2"/>
  <c r="AC7870" i="2"/>
  <c r="AB7870" i="2"/>
  <c r="AK7870" i="2" s="1"/>
  <c r="AF7878" i="2"/>
  <c r="AC7881" i="2"/>
  <c r="AC7888" i="2"/>
  <c r="AB7888" i="2"/>
  <c r="AK7888" i="2" s="1"/>
  <c r="AF7895" i="2"/>
  <c r="AC7909" i="2"/>
  <c r="AB7909" i="2"/>
  <c r="AK7909" i="2" s="1"/>
  <c r="AC7913" i="2"/>
  <c r="AC7924" i="2"/>
  <c r="AB7924" i="2"/>
  <c r="AK7924" i="2" s="1"/>
  <c r="AF7928" i="2"/>
  <c r="AF7935" i="2"/>
  <c r="AF7942" i="2"/>
  <c r="AF7960" i="2"/>
  <c r="AC7963" i="2"/>
  <c r="AB7963" i="2"/>
  <c r="AK7963" i="2" s="1"/>
  <c r="AF7978" i="2"/>
  <c r="AC7981" i="2"/>
  <c r="AB7981" i="2"/>
  <c r="AK7981" i="2" s="1"/>
  <c r="AC7995" i="2"/>
  <c r="AB7995" i="2"/>
  <c r="AK7995" i="2" s="1"/>
  <c r="AC8011" i="2"/>
  <c r="AB8011" i="2"/>
  <c r="AK8011" i="2" s="1"/>
  <c r="AC8035" i="2"/>
  <c r="AB8035" i="2"/>
  <c r="AK8035" i="2" s="1"/>
  <c r="AC8071" i="2"/>
  <c r="AB8071" i="2"/>
  <c r="AK8071" i="2" s="1"/>
  <c r="Y8067" i="2"/>
  <c r="Y8059" i="2"/>
  <c r="Y8051" i="2"/>
  <c r="Y8043" i="2"/>
  <c r="Y8035" i="2"/>
  <c r="Y8011" i="2"/>
  <c r="Y7995" i="2"/>
  <c r="Y7971" i="2"/>
  <c r="Y7963" i="2"/>
  <c r="Y7939" i="2"/>
  <c r="Y7931" i="2"/>
  <c r="Y7915" i="2"/>
  <c r="Y7899" i="2"/>
  <c r="Y7891" i="2"/>
  <c r="Y7883" i="2"/>
  <c r="Y7875" i="2"/>
  <c r="Y7867" i="2"/>
  <c r="Y7835" i="2"/>
  <c r="AC7945" i="2"/>
  <c r="AB7945" i="2"/>
  <c r="AK7945" i="2" s="1"/>
  <c r="AC7970" i="2"/>
  <c r="AB7970" i="2"/>
  <c r="AK7970" i="2" s="1"/>
  <c r="AF7974" i="2"/>
  <c r="AF7981" i="2"/>
  <c r="AC7984" i="2"/>
  <c r="AB7984" i="2"/>
  <c r="AK7984" i="2" s="1"/>
  <c r="AC7990" i="2"/>
  <c r="AB7990" i="2"/>
  <c r="AK7990" i="2" s="1"/>
  <c r="AC8006" i="2"/>
  <c r="AB8006" i="2"/>
  <c r="AK8006" i="2" s="1"/>
  <c r="AC8081" i="2"/>
  <c r="AB8081" i="2"/>
  <c r="AK8081" i="2" s="1"/>
  <c r="AC8089" i="2"/>
  <c r="AB8089" i="2"/>
  <c r="AK8089" i="2" s="1"/>
  <c r="AC8097" i="2"/>
  <c r="AB8097" i="2"/>
  <c r="AK8097" i="2" s="1"/>
  <c r="AC8105" i="2"/>
  <c r="AB8105" i="2"/>
  <c r="AK8105" i="2" s="1"/>
  <c r="AC8113" i="2"/>
  <c r="AB8113" i="2"/>
  <c r="AK8113" i="2" s="1"/>
  <c r="AC8126" i="2"/>
  <c r="AB8126" i="2"/>
  <c r="AK8126" i="2" s="1"/>
  <c r="AC8149" i="2"/>
  <c r="AB8149" i="2"/>
  <c r="AK8149" i="2" s="1"/>
  <c r="Y8074" i="2"/>
  <c r="Y8058" i="2"/>
  <c r="Y8042" i="2"/>
  <c r="Y8010" i="2"/>
  <c r="Y8002" i="2"/>
  <c r="Y7994" i="2"/>
  <c r="Y7986" i="2"/>
  <c r="Y7978" i="2"/>
  <c r="Y7970" i="2"/>
  <c r="Y7962" i="2"/>
  <c r="Y7954" i="2"/>
  <c r="Y7946" i="2"/>
  <c r="AC6035" i="2"/>
  <c r="AA6035" i="2"/>
  <c r="AB6035" i="2" s="1"/>
  <c r="AK6035" i="2" s="1"/>
  <c r="AF6014" i="2"/>
  <c r="AF6035" i="2"/>
  <c r="AF6039" i="2"/>
  <c r="AF6022" i="2"/>
  <c r="AF6043" i="2"/>
  <c r="AF6047" i="2"/>
  <c r="AF5958" i="2"/>
  <c r="AF6059" i="2"/>
  <c r="AF6063" i="2"/>
  <c r="AF5998" i="2"/>
  <c r="W6677" i="2"/>
  <c r="AA6774" i="2"/>
  <c r="AB6774" i="2" s="1"/>
  <c r="AK6774" i="2" s="1"/>
  <c r="AA6775" i="2"/>
  <c r="AB6775" i="2" s="1"/>
  <c r="AK6775" i="2" s="1"/>
  <c r="AA6776" i="2"/>
  <c r="AB6776" i="2" s="1"/>
  <c r="AK6776" i="2" s="1"/>
  <c r="AA6777" i="2"/>
  <c r="AA6812" i="2"/>
  <c r="AB6812" i="2" s="1"/>
  <c r="AA6830" i="2"/>
  <c r="AB6830" i="2" s="1"/>
  <c r="AK6830" i="2" s="1"/>
  <c r="X6677" i="2"/>
  <c r="AC6677" i="2" s="1"/>
  <c r="AD6677" i="2"/>
  <c r="AF6677" i="2" s="1"/>
  <c r="AA6851" i="2"/>
  <c r="AB6851" i="2" s="1"/>
  <c r="AA6757" i="2"/>
  <c r="AB6757" i="2" s="1"/>
  <c r="AK6757" i="2" s="1"/>
  <c r="AA6785" i="2"/>
  <c r="AB6785" i="2" s="1"/>
  <c r="AK6785" i="2" s="1"/>
  <c r="AA6787" i="2"/>
  <c r="AB6787" i="2" s="1"/>
  <c r="AK6787" i="2" s="1"/>
  <c r="AA6788" i="2"/>
  <c r="AA6817" i="2"/>
  <c r="AB6817" i="2" s="1"/>
  <c r="AF7479" i="2"/>
  <c r="AF7573" i="2"/>
  <c r="AF7477" i="2"/>
  <c r="AF7565" i="2"/>
  <c r="AF7771" i="2"/>
  <c r="AF7549" i="2"/>
  <c r="AF7755" i="2"/>
  <c r="AF7541" i="2"/>
  <c r="AF7605" i="2"/>
  <c r="AF7677" i="2"/>
  <c r="AF7685" i="2"/>
  <c r="AF7693" i="2"/>
  <c r="AF7701" i="2"/>
  <c r="AF7709" i="2"/>
  <c r="AF7717" i="2"/>
  <c r="AF7725" i="2"/>
  <c r="AF7739" i="2"/>
  <c r="AF7485" i="2"/>
  <c r="AF7525" i="2"/>
  <c r="AF7589" i="2"/>
  <c r="AF7731" i="2"/>
  <c r="AH7999" i="2"/>
  <c r="AF7999" i="2"/>
  <c r="AF7801" i="2"/>
  <c r="AH8003" i="2"/>
  <c r="AF8003" i="2"/>
  <c r="AA7607" i="2"/>
  <c r="AB7607" i="2" s="1"/>
  <c r="AK7607" i="2" s="1"/>
  <c r="AH7991" i="2"/>
  <c r="AF7991" i="2"/>
  <c r="AH8007" i="2"/>
  <c r="AF8007" i="2"/>
  <c r="AF7795" i="2"/>
  <c r="AF7803" i="2"/>
  <c r="AH7995" i="2"/>
  <c r="AF7995" i="2"/>
  <c r="AH8011" i="2"/>
  <c r="AF8011" i="2"/>
  <c r="AH5372" i="2"/>
  <c r="AF5372" i="2"/>
  <c r="AH5371" i="2"/>
  <c r="AF5371" i="2"/>
  <c r="X5372" i="2"/>
  <c r="AC5372" i="2" s="1"/>
  <c r="X5371" i="2"/>
  <c r="AC5371" i="2" s="1"/>
  <c r="X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C5369" i="2" s="1"/>
  <c r="W5368" i="2"/>
  <c r="AH5368" i="2"/>
  <c r="AF5368" i="2"/>
  <c r="X5368" i="2"/>
  <c r="AB5368" i="2" s="1"/>
  <c r="T3136" i="2"/>
  <c r="W5367" i="2"/>
  <c r="AF5367" i="2"/>
  <c r="X5367" i="2"/>
  <c r="AB5367" i="2" s="1"/>
  <c r="AH5367" i="2"/>
  <c r="AH5366" i="2"/>
  <c r="AF5366" i="2"/>
  <c r="X5366" i="2"/>
  <c r="AB5366" i="2" s="1"/>
  <c r="W5366" i="2"/>
  <c r="W5365" i="2"/>
  <c r="AH5365" i="2"/>
  <c r="AF5365" i="2"/>
  <c r="X5365" i="2"/>
  <c r="AB5365" i="2" s="1"/>
  <c r="J122" i="3"/>
  <c r="L122" i="3"/>
  <c r="O122" i="3" s="1"/>
  <c r="J121" i="3"/>
  <c r="L121" i="3"/>
  <c r="O121" i="3" s="1"/>
  <c r="J105" i="3"/>
  <c r="J93" i="3"/>
  <c r="J92" i="3"/>
  <c r="J91" i="3"/>
  <c r="J90" i="3"/>
  <c r="J89" i="3"/>
  <c r="J88" i="3"/>
  <c r="J87" i="3"/>
  <c r="J86" i="3"/>
  <c r="AH5364" i="2"/>
  <c r="AD5364" i="2"/>
  <c r="AF5364" i="2" s="1"/>
  <c r="X5364" i="2"/>
  <c r="AB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X5361" i="2"/>
  <c r="AC5361" i="2" s="1"/>
  <c r="W5361" i="2"/>
  <c r="AH5359" i="2"/>
  <c r="AH5360" i="2"/>
  <c r="AD5360" i="2"/>
  <c r="AF5360" i="2" s="1"/>
  <c r="X5360" i="2"/>
  <c r="AB5360" i="2" s="1"/>
  <c r="AK5360" i="2" s="1"/>
  <c r="W5360" i="2"/>
  <c r="AD5359" i="2"/>
  <c r="AF5359" i="2" s="1"/>
  <c r="X5359" i="2"/>
  <c r="AB5359" i="2" s="1"/>
  <c r="W5359" i="2"/>
  <c r="W5044" i="2"/>
  <c r="AH5358" i="2"/>
  <c r="AD5358" i="2"/>
  <c r="AF5358" i="2" s="1"/>
  <c r="X5358" i="2"/>
  <c r="AB5358" i="2" s="1"/>
  <c r="AK5358" i="2" s="1"/>
  <c r="W5358" i="2"/>
  <c r="X5044" i="2"/>
  <c r="AH5044" i="2"/>
  <c r="AD5044" i="2"/>
  <c r="AF5044" i="2" s="1"/>
  <c r="J120" i="3"/>
  <c r="L120" i="3"/>
  <c r="O120" i="3" s="1"/>
  <c r="J119" i="3"/>
  <c r="L119" i="3"/>
  <c r="O119" i="3"/>
  <c r="J118" i="3"/>
  <c r="L118" i="3"/>
  <c r="O118" i="3"/>
  <c r="J42" i="3"/>
  <c r="J33" i="3"/>
  <c r="J32" i="3"/>
  <c r="J31" i="3"/>
  <c r="J30" i="3"/>
  <c r="J28" i="3"/>
  <c r="J29" i="3"/>
  <c r="J27" i="3"/>
  <c r="J26" i="3"/>
  <c r="AH5357" i="2"/>
  <c r="X5357" i="2"/>
  <c r="AC5357" i="2" s="1"/>
  <c r="W5357" i="2"/>
  <c r="AH5356" i="2"/>
  <c r="AD5356" i="2"/>
  <c r="AF5356" i="2" s="1"/>
  <c r="X5356" i="2"/>
  <c r="AB5356" i="2" s="1"/>
  <c r="AK5356" i="2" s="1"/>
  <c r="W5356" i="2"/>
  <c r="AH5355" i="2"/>
  <c r="AD5355" i="2"/>
  <c r="AF5355" i="2" s="1"/>
  <c r="X5355" i="2"/>
  <c r="AB5355" i="2" s="1"/>
  <c r="W5355" i="2"/>
  <c r="AD5357" i="2"/>
  <c r="AF5357" i="2" s="1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AF5352" i="2" s="1"/>
  <c r="X5352" i="2"/>
  <c r="AC5352" i="2" s="1"/>
  <c r="W5352" i="2"/>
  <c r="AD5351" i="2"/>
  <c r="AF5351" i="2" s="1"/>
  <c r="X5351" i="2"/>
  <c r="AC5351" i="2" s="1"/>
  <c r="W5351" i="2"/>
  <c r="AH5350" i="2"/>
  <c r="AD5350" i="2"/>
  <c r="AF5350" i="2" s="1"/>
  <c r="X5350" i="2"/>
  <c r="W5350" i="2"/>
  <c r="AH5349" i="2"/>
  <c r="AD5349" i="2"/>
  <c r="AF5349" i="2" s="1"/>
  <c r="X5349" i="2"/>
  <c r="AB5349" i="2" s="1"/>
  <c r="W5349" i="2"/>
  <c r="AH5351" i="2"/>
  <c r="W1693" i="2"/>
  <c r="X3545" i="2"/>
  <c r="AH5347" i="2"/>
  <c r="W5348" i="2"/>
  <c r="AH5348" i="2"/>
  <c r="AD5348" i="2"/>
  <c r="AF5348" i="2" s="1"/>
  <c r="X5348" i="2"/>
  <c r="AD5347" i="2"/>
  <c r="AF5347" i="2" s="1"/>
  <c r="X5347" i="2"/>
  <c r="AB5347" i="2" s="1"/>
  <c r="W302" i="2"/>
  <c r="AH5346" i="2"/>
  <c r="AD5346" i="2"/>
  <c r="AF5346" i="2" s="1"/>
  <c r="X5346" i="2"/>
  <c r="W5346" i="2"/>
  <c r="W5347" i="2"/>
  <c r="W5345" i="2"/>
  <c r="AH5345" i="2"/>
  <c r="AD5345" i="2"/>
  <c r="AF5345" i="2" s="1"/>
  <c r="X5345" i="2"/>
  <c r="AB5345" i="2" s="1"/>
  <c r="W5344" i="2"/>
  <c r="AH5344" i="2"/>
  <c r="AD5344" i="2"/>
  <c r="AF5344" i="2" s="1"/>
  <c r="X5344" i="2"/>
  <c r="W5343" i="2"/>
  <c r="AH5343" i="2"/>
  <c r="AD5343" i="2"/>
  <c r="AF5343" i="2" s="1"/>
  <c r="X5343" i="2"/>
  <c r="AB5343" i="2" s="1"/>
  <c r="AK5343" i="2" s="1"/>
  <c r="W264" i="2"/>
  <c r="AH5342" i="2"/>
  <c r="AD5342" i="2"/>
  <c r="AF5342" i="2" s="1"/>
  <c r="X5342" i="2"/>
  <c r="AB5342" i="2" s="1"/>
  <c r="W5342" i="2"/>
  <c r="X3136" i="2"/>
  <c r="AB3136" i="2" s="1"/>
  <c r="X3407" i="2"/>
  <c r="AH1683" i="2"/>
  <c r="W5341" i="2"/>
  <c r="AH5341" i="2"/>
  <c r="AF5341" i="2"/>
  <c r="X5341" i="2"/>
  <c r="W5340" i="2"/>
  <c r="AH5340" i="2"/>
  <c r="AF5340" i="2"/>
  <c r="X5340" i="2"/>
  <c r="AH5339" i="2"/>
  <c r="X5339" i="2"/>
  <c r="AB5339" i="2" s="1"/>
  <c r="AK5339" i="2" s="1"/>
  <c r="W5339" i="2"/>
  <c r="AD5339" i="2"/>
  <c r="AF5339" i="2" s="1"/>
  <c r="W5338" i="2"/>
  <c r="AH5338" i="2"/>
  <c r="AE5338" i="2"/>
  <c r="AD5338" i="2"/>
  <c r="X5338" i="2"/>
  <c r="X2839" i="2"/>
  <c r="AB2839" i="2" s="1"/>
  <c r="V3078" i="2"/>
  <c r="V1728" i="2"/>
  <c r="X4983" i="2"/>
  <c r="AB4983" i="2" s="1"/>
  <c r="L117" i="3"/>
  <c r="O117" i="3"/>
  <c r="AF5337" i="2"/>
  <c r="X5337" i="2"/>
  <c r="X4952" i="2"/>
  <c r="X1068" i="2"/>
  <c r="AB1068" i="2" s="1"/>
  <c r="AK1068" i="2" s="1"/>
  <c r="AH5336" i="2"/>
  <c r="AD5336" i="2"/>
  <c r="AF5336" i="2" s="1"/>
  <c r="X5336" i="2"/>
  <c r="AC5336" i="2" s="1"/>
  <c r="W5336" i="2"/>
  <c r="AH5335" i="2"/>
  <c r="AE5335" i="2"/>
  <c r="AD5335" i="2"/>
  <c r="X5335" i="2"/>
  <c r="AB5335" i="2" s="1"/>
  <c r="W5335" i="2"/>
  <c r="W5334" i="2"/>
  <c r="AH5334" i="2"/>
  <c r="AE5334" i="2"/>
  <c r="AD5334" i="2"/>
  <c r="X5334" i="2"/>
  <c r="AB5334" i="2" s="1"/>
  <c r="AK5334" i="2" s="1"/>
  <c r="V2745" i="2"/>
  <c r="AD2200" i="2"/>
  <c r="O114" i="3"/>
  <c r="O115" i="3"/>
  <c r="O116" i="3"/>
  <c r="X5299" i="2"/>
  <c r="V1677" i="2"/>
  <c r="X1677" i="2"/>
  <c r="AB1677" i="2" s="1"/>
  <c r="V4688" i="2"/>
  <c r="X341" i="2"/>
  <c r="AB341" i="2" s="1"/>
  <c r="AK341" i="2" s="1"/>
  <c r="X84" i="2"/>
  <c r="AB84" i="2" s="1"/>
  <c r="AD2173" i="2"/>
  <c r="K11" i="3"/>
  <c r="AF5333" i="2"/>
  <c r="V5332" i="2"/>
  <c r="AD5332" i="2" s="1"/>
  <c r="Y5332" i="2" s="1"/>
  <c r="V5331" i="2"/>
  <c r="AD5331" i="2" s="1"/>
  <c r="Y5331" i="2" s="1"/>
  <c r="V5330" i="2"/>
  <c r="AD5330" i="2" s="1"/>
  <c r="Y5330" i="2" s="1"/>
  <c r="V5329" i="2"/>
  <c r="AD5329" i="2" s="1"/>
  <c r="Y5329" i="2" s="1"/>
  <c r="V5328" i="2"/>
  <c r="AD5328" i="2" s="1"/>
  <c r="Y5328" i="2" s="1"/>
  <c r="V5327" i="2"/>
  <c r="AD5327" i="2" s="1"/>
  <c r="Y5327" i="2" s="1"/>
  <c r="V5326" i="2"/>
  <c r="AD5326" i="2" s="1"/>
  <c r="Y5326" i="2" s="1"/>
  <c r="V5325" i="2"/>
  <c r="AD5325" i="2" s="1"/>
  <c r="Y5325" i="2" s="1"/>
  <c r="V5324" i="2"/>
  <c r="AD5324" i="2" s="1"/>
  <c r="Y5324" i="2" s="1"/>
  <c r="V5323" i="2"/>
  <c r="AD5323" i="2" s="1"/>
  <c r="Y5323" i="2" s="1"/>
  <c r="V5322" i="2"/>
  <c r="AD5322" i="2" s="1"/>
  <c r="Y5322" i="2" s="1"/>
  <c r="V5321" i="2"/>
  <c r="AD5321" i="2" s="1"/>
  <c r="Y5321" i="2" s="1"/>
  <c r="V5320" i="2"/>
  <c r="AD5320" i="2" s="1"/>
  <c r="Y5320" i="2" s="1"/>
  <c r="V5319" i="2"/>
  <c r="AD5319" i="2" s="1"/>
  <c r="Y5319" i="2" s="1"/>
  <c r="V5318" i="2"/>
  <c r="AD5318" i="2" s="1"/>
  <c r="Y5318" i="2" s="1"/>
  <c r="V5317" i="2"/>
  <c r="AD5317" i="2" s="1"/>
  <c r="Y5317" i="2" s="1"/>
  <c r="V5316" i="2"/>
  <c r="AD5316" i="2" s="1"/>
  <c r="Y5316" i="2" s="1"/>
  <c r="V5315" i="2"/>
  <c r="AD5315" i="2" s="1"/>
  <c r="Y5315" i="2" s="1"/>
  <c r="V5314" i="2"/>
  <c r="AD5314" i="2" s="1"/>
  <c r="Y5314" i="2" s="1"/>
  <c r="V5313" i="2"/>
  <c r="AD5313" i="2" s="1"/>
  <c r="Y5313" i="2" s="1"/>
  <c r="V5312" i="2"/>
  <c r="AD5312" i="2" s="1"/>
  <c r="Y5312" i="2" s="1"/>
  <c r="V5311" i="2"/>
  <c r="AD5311" i="2" s="1"/>
  <c r="Y5311" i="2" s="1"/>
  <c r="V5310" i="2"/>
  <c r="AD5310" i="2" s="1"/>
  <c r="Y5310" i="2" s="1"/>
  <c r="V5309" i="2"/>
  <c r="AD5309" i="2" s="1"/>
  <c r="Y5309" i="2" s="1"/>
  <c r="V5308" i="2"/>
  <c r="AD5308" i="2" s="1"/>
  <c r="Y5308" i="2" s="1"/>
  <c r="V5307" i="2"/>
  <c r="AD5307" i="2" s="1"/>
  <c r="Y5307" i="2" s="1"/>
  <c r="V5306" i="2"/>
  <c r="AD5306" i="2" s="1"/>
  <c r="Y5306" i="2" s="1"/>
  <c r="V5305" i="2"/>
  <c r="AD5305" i="2" s="1"/>
  <c r="Y5305" i="2" s="1"/>
  <c r="V5304" i="2"/>
  <c r="AD5304" i="2" s="1"/>
  <c r="Y5304" i="2" s="1"/>
  <c r="AF5303" i="2"/>
  <c r="X5303" i="2"/>
  <c r="AF5302" i="2"/>
  <c r="X5302" i="2"/>
  <c r="AF5301" i="2"/>
  <c r="X5301" i="2"/>
  <c r="AF5300" i="2"/>
  <c r="X5300" i="2"/>
  <c r="Y5300" i="2" s="1"/>
  <c r="AF5299" i="2"/>
  <c r="AF5298" i="2"/>
  <c r="X5298" i="2"/>
  <c r="AB5298" i="2" s="1"/>
  <c r="AK5298" i="2" s="1"/>
  <c r="W5298" i="2"/>
  <c r="AF5297" i="2"/>
  <c r="X5297" i="2"/>
  <c r="AB5297" i="2" s="1"/>
  <c r="AK5297" i="2" s="1"/>
  <c r="AF5296" i="2"/>
  <c r="X5296" i="2"/>
  <c r="Y5296" i="2" s="1"/>
  <c r="AF5295" i="2"/>
  <c r="X5295" i="2"/>
  <c r="AB5295" i="2" s="1"/>
  <c r="AK5295" i="2" s="1"/>
  <c r="AF5294" i="2"/>
  <c r="X5294" i="2"/>
  <c r="AC5294" i="2" s="1"/>
  <c r="AF5293" i="2"/>
  <c r="X5293" i="2"/>
  <c r="AF5292" i="2"/>
  <c r="X5292" i="2"/>
  <c r="Y5292" i="2" s="1"/>
  <c r="AF5291" i="2"/>
  <c r="X5291" i="2"/>
  <c r="Y5291" i="2" s="1"/>
  <c r="AF5290" i="2"/>
  <c r="X5290" i="2"/>
  <c r="AC5290" i="2" s="1"/>
  <c r="AF5289" i="2"/>
  <c r="X5289" i="2"/>
  <c r="AB5289" i="2" s="1"/>
  <c r="AK5289" i="2" s="1"/>
  <c r="AF5288" i="2"/>
  <c r="X5288" i="2"/>
  <c r="AB5288" i="2" s="1"/>
  <c r="AK5288" i="2" s="1"/>
  <c r="AF5287" i="2"/>
  <c r="X5287" i="2"/>
  <c r="AB5287" i="2" s="1"/>
  <c r="AK5287" i="2" s="1"/>
  <c r="AF5286" i="2"/>
  <c r="X5286" i="2"/>
  <c r="AF5285" i="2"/>
  <c r="X5285" i="2"/>
  <c r="AF5284" i="2"/>
  <c r="X5284" i="2"/>
  <c r="Y5284" i="2" s="1"/>
  <c r="AF5283" i="2"/>
  <c r="X5283" i="2"/>
  <c r="AF5282" i="2"/>
  <c r="X5282" i="2"/>
  <c r="AF5281" i="2"/>
  <c r="X5281" i="2"/>
  <c r="AB5281" i="2" s="1"/>
  <c r="AK5281" i="2" s="1"/>
  <c r="AF5280" i="2"/>
  <c r="X5280" i="2"/>
  <c r="AB5280" i="2" s="1"/>
  <c r="AK5280" i="2" s="1"/>
  <c r="AF5279" i="2"/>
  <c r="X5279" i="2"/>
  <c r="AF5278" i="2"/>
  <c r="X5278" i="2"/>
  <c r="AC5278" i="2" s="1"/>
  <c r="AF5277" i="2"/>
  <c r="X5277" i="2"/>
  <c r="AF5276" i="2"/>
  <c r="X5276" i="2"/>
  <c r="Y5276" i="2" s="1"/>
  <c r="AF5275" i="2"/>
  <c r="X5275" i="2"/>
  <c r="W5275" i="2"/>
  <c r="AF5274" i="2"/>
  <c r="X5274" i="2"/>
  <c r="W5274" i="2"/>
  <c r="AF5273" i="2"/>
  <c r="X5273" i="2"/>
  <c r="AB5273" i="2" s="1"/>
  <c r="AK5273" i="2" s="1"/>
  <c r="W5273" i="2"/>
  <c r="AF5272" i="2"/>
  <c r="X5272" i="2"/>
  <c r="AB5272" i="2" s="1"/>
  <c r="AK5272" i="2" s="1"/>
  <c r="W5272" i="2"/>
  <c r="AF5271" i="2"/>
  <c r="X5271" i="2"/>
  <c r="AB5271" i="2" s="1"/>
  <c r="AK5271" i="2" s="1"/>
  <c r="W5271" i="2"/>
  <c r="AF5270" i="2"/>
  <c r="X5270" i="2"/>
  <c r="W5270" i="2"/>
  <c r="AF5269" i="2"/>
  <c r="X5269" i="2"/>
  <c r="AC5269" i="2" s="1"/>
  <c r="W5269" i="2"/>
  <c r="AF5268" i="2"/>
  <c r="X5268" i="2"/>
  <c r="W5268" i="2"/>
  <c r="AF5267" i="2"/>
  <c r="X5267" i="2"/>
  <c r="AB5267" i="2" s="1"/>
  <c r="AK5267" i="2" s="1"/>
  <c r="W5267" i="2"/>
  <c r="AF5266" i="2"/>
  <c r="X5266" i="2"/>
  <c r="AB5266" i="2" s="1"/>
  <c r="AK5266" i="2" s="1"/>
  <c r="W5266" i="2"/>
  <c r="AF5265" i="2"/>
  <c r="X5265" i="2"/>
  <c r="Y5265" i="2" s="1"/>
  <c r="AF5264" i="2"/>
  <c r="X5264" i="2"/>
  <c r="W5264" i="2"/>
  <c r="AF5263" i="2"/>
  <c r="X5263" i="2"/>
  <c r="W5263" i="2"/>
  <c r="AF5262" i="2"/>
  <c r="X5262" i="2"/>
  <c r="Y5262" i="2" s="1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AB5257" i="2" s="1"/>
  <c r="AK5257" i="2" s="1"/>
  <c r="W5257" i="2"/>
  <c r="AF5256" i="2"/>
  <c r="X5256" i="2"/>
  <c r="W5256" i="2"/>
  <c r="AF5255" i="2"/>
  <c r="X5255" i="2"/>
  <c r="W5255" i="2"/>
  <c r="AF5254" i="2"/>
  <c r="X5254" i="2"/>
  <c r="Y5254" i="2" s="1"/>
  <c r="W5254" i="2"/>
  <c r="AF5253" i="2"/>
  <c r="X5253" i="2"/>
  <c r="W5253" i="2"/>
  <c r="AF5252" i="2"/>
  <c r="X5252" i="2"/>
  <c r="AB5252" i="2" s="1"/>
  <c r="AK5252" i="2" s="1"/>
  <c r="W5252" i="2"/>
  <c r="AF5251" i="2"/>
  <c r="X5251" i="2"/>
  <c r="W5251" i="2"/>
  <c r="AF5250" i="2"/>
  <c r="X5250" i="2"/>
  <c r="W5250" i="2"/>
  <c r="AF5249" i="2"/>
  <c r="X5249" i="2"/>
  <c r="AC5249" i="2" s="1"/>
  <c r="W5249" i="2"/>
  <c r="AF5248" i="2"/>
  <c r="X5248" i="2"/>
  <c r="AB5248" i="2" s="1"/>
  <c r="AK5248" i="2" s="1"/>
  <c r="W5248" i="2"/>
  <c r="AF5247" i="2"/>
  <c r="X5247" i="2"/>
  <c r="W5247" i="2"/>
  <c r="AF5246" i="2"/>
  <c r="X5246" i="2"/>
  <c r="AB5246" i="2" s="1"/>
  <c r="AK5246" i="2" s="1"/>
  <c r="W5246" i="2"/>
  <c r="AF5245" i="2"/>
  <c r="X5245" i="2"/>
  <c r="AB5245" i="2" s="1"/>
  <c r="AK5245" i="2" s="1"/>
  <c r="AF5244" i="2"/>
  <c r="X5244" i="2"/>
  <c r="AB5244" i="2" s="1"/>
  <c r="AK5244" i="2" s="1"/>
  <c r="W5244" i="2"/>
  <c r="AF5243" i="2"/>
  <c r="X5243" i="2"/>
  <c r="Y5243" i="2" s="1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AB5224" i="2" s="1"/>
  <c r="AK5224" i="2" s="1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AB5219" i="2" s="1"/>
  <c r="AK5219" i="2" s="1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AB5216" i="2" s="1"/>
  <c r="AK5216" i="2" s="1"/>
  <c r="W5216" i="2"/>
  <c r="AH5215" i="2"/>
  <c r="AD5215" i="2"/>
  <c r="AF5215" i="2" s="1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X5208" i="2"/>
  <c r="AB5208" i="2" s="1"/>
  <c r="AK5208" i="2" s="1"/>
  <c r="W5208" i="2"/>
  <c r="AH5207" i="2"/>
  <c r="AD5207" i="2"/>
  <c r="AF5207" i="2" s="1"/>
  <c r="X5207" i="2"/>
  <c r="AB5207" i="2" s="1"/>
  <c r="AK5207" i="2" s="1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AB5203" i="2" s="1"/>
  <c r="AK5203" i="2" s="1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AB5200" i="2" s="1"/>
  <c r="AK5200" i="2" s="1"/>
  <c r="W5200" i="2"/>
  <c r="AH5199" i="2"/>
  <c r="AD5199" i="2"/>
  <c r="AF5199" i="2" s="1"/>
  <c r="X5199" i="2"/>
  <c r="AB5199" i="2" s="1"/>
  <c r="AK5199" i="2" s="1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X5196" i="2"/>
  <c r="AB5196" i="2" s="1"/>
  <c r="AK5196" i="2" s="1"/>
  <c r="W5196" i="2"/>
  <c r="AH5195" i="2"/>
  <c r="AD5195" i="2"/>
  <c r="AF5195" i="2" s="1"/>
  <c r="X5195" i="2"/>
  <c r="AB5195" i="2" s="1"/>
  <c r="AK5195" i="2" s="1"/>
  <c r="W5195" i="2"/>
  <c r="AH5194" i="2"/>
  <c r="AD5194" i="2"/>
  <c r="AF5194" i="2" s="1"/>
  <c r="X5194" i="2"/>
  <c r="AH5193" i="2"/>
  <c r="AD5193" i="2"/>
  <c r="X5193" i="2"/>
  <c r="W5193" i="2"/>
  <c r="AH5192" i="2"/>
  <c r="AD5192" i="2"/>
  <c r="X5192" i="2"/>
  <c r="W5192" i="2"/>
  <c r="AH5191" i="2"/>
  <c r="AD5191" i="2"/>
  <c r="X5191" i="2"/>
  <c r="W5191" i="2"/>
  <c r="AH5190" i="2"/>
  <c r="AD5190" i="2"/>
  <c r="AF5190" i="2" s="1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H5187" i="2"/>
  <c r="AD5187" i="2"/>
  <c r="AF5187" i="2" s="1"/>
  <c r="X5187" i="2"/>
  <c r="AC5187" i="2" s="1"/>
  <c r="W5187" i="2"/>
  <c r="AH5186" i="2"/>
  <c r="AD5186" i="2"/>
  <c r="AF5186" i="2" s="1"/>
  <c r="X5186" i="2"/>
  <c r="AB5186" i="2" s="1"/>
  <c r="AK5186" i="2" s="1"/>
  <c r="W5186" i="2"/>
  <c r="AH5185" i="2"/>
  <c r="AD5185" i="2"/>
  <c r="AF5185" i="2" s="1"/>
  <c r="X5185" i="2"/>
  <c r="AC5185" i="2" s="1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AC5177" i="2" s="1"/>
  <c r="W5177" i="2"/>
  <c r="AH5176" i="2"/>
  <c r="AD5176" i="2"/>
  <c r="AF5176" i="2" s="1"/>
  <c r="X5176" i="2"/>
  <c r="W5176" i="2"/>
  <c r="AH5175" i="2"/>
  <c r="AD5175" i="2"/>
  <c r="AF5175" i="2" s="1"/>
  <c r="X5175" i="2"/>
  <c r="AB5175" i="2" s="1"/>
  <c r="AK5175" i="2" s="1"/>
  <c r="W5175" i="2"/>
  <c r="AH5174" i="2"/>
  <c r="AD5174" i="2"/>
  <c r="X5174" i="2"/>
  <c r="AB5174" i="2" s="1"/>
  <c r="AK5174" i="2" s="1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Y5171" i="2" s="1"/>
  <c r="AH5170" i="2"/>
  <c r="AD5170" i="2"/>
  <c r="AF5170" i="2" s="1"/>
  <c r="X5170" i="2"/>
  <c r="AH5169" i="2"/>
  <c r="AD5169" i="2"/>
  <c r="AF5169" i="2" s="1"/>
  <c r="X5169" i="2"/>
  <c r="AB5169" i="2" s="1"/>
  <c r="AK5169" i="2" s="1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AB5166" i="2" s="1"/>
  <c r="AK5166" i="2" s="1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B5161" i="2" s="1"/>
  <c r="AK5161" i="2" s="1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AB5142" i="2" s="1"/>
  <c r="AK5142" i="2" s="1"/>
  <c r="W5142" i="2"/>
  <c r="AH5141" i="2"/>
  <c r="AD5141" i="2"/>
  <c r="AF5141" i="2" s="1"/>
  <c r="X5141" i="2"/>
  <c r="AB5141" i="2" s="1"/>
  <c r="AK5141" i="2" s="1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AB5138" i="2" s="1"/>
  <c r="AK5138" i="2" s="1"/>
  <c r="W5138" i="2"/>
  <c r="AH5137" i="2"/>
  <c r="AD5137" i="2"/>
  <c r="AF5137" i="2" s="1"/>
  <c r="X5137" i="2"/>
  <c r="AB5137" i="2" s="1"/>
  <c r="AK5137" i="2" s="1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AB5134" i="2" s="1"/>
  <c r="AK5134" i="2" s="1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X5131" i="2"/>
  <c r="W5131" i="2"/>
  <c r="AH5130" i="2"/>
  <c r="AD5130" i="2"/>
  <c r="AF5130" i="2" s="1"/>
  <c r="X5130" i="2"/>
  <c r="AB5130" i="2" s="1"/>
  <c r="AK5130" i="2" s="1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AB5127" i="2" s="1"/>
  <c r="AK5127" i="2" s="1"/>
  <c r="W5127" i="2"/>
  <c r="AH5126" i="2"/>
  <c r="AD5126" i="2"/>
  <c r="AF5126" i="2" s="1"/>
  <c r="X5126" i="2"/>
  <c r="AB5126" i="2" s="1"/>
  <c r="AK5126" i="2" s="1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AB5123" i="2" s="1"/>
  <c r="AK5123" i="2" s="1"/>
  <c r="W5123" i="2"/>
  <c r="AH5122" i="2"/>
  <c r="AD5122" i="2"/>
  <c r="AF5122" i="2" s="1"/>
  <c r="X5122" i="2"/>
  <c r="AB5122" i="2" s="1"/>
  <c r="AK5122" i="2" s="1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X5117" i="2"/>
  <c r="AB5117" i="2" s="1"/>
  <c r="AK5117" i="2" s="1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AB5114" i="2" s="1"/>
  <c r="AK5114" i="2" s="1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AB5095" i="2" s="1"/>
  <c r="AK5095" i="2" s="1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W5086" i="2"/>
  <c r="AH5085" i="2"/>
  <c r="AD5085" i="2"/>
  <c r="AF5085" i="2" s="1"/>
  <c r="X5085" i="2"/>
  <c r="AB5085" i="2" s="1"/>
  <c r="AK5085" i="2" s="1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AB5076" i="2" s="1"/>
  <c r="AK5076" i="2" s="1"/>
  <c r="W5076" i="2"/>
  <c r="AH5075" i="2"/>
  <c r="AD5075" i="2"/>
  <c r="AF5075" i="2" s="1"/>
  <c r="X5075" i="2"/>
  <c r="AB5075" i="2" s="1"/>
  <c r="AK5075" i="2" s="1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B5071" i="2" s="1"/>
  <c r="AK5071" i="2" s="1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AB5068" i="2" s="1"/>
  <c r="AK5068" i="2" s="1"/>
  <c r="W5068" i="2"/>
  <c r="AH5067" i="2"/>
  <c r="AD5067" i="2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C5060" i="2"/>
  <c r="W5060" i="2"/>
  <c r="AH5059" i="2"/>
  <c r="AD5059" i="2"/>
  <c r="AF5059" i="2" s="1"/>
  <c r="X5059" i="2"/>
  <c r="AB5059" i="2" s="1"/>
  <c r="AK5059" i="2" s="1"/>
  <c r="W5059" i="2"/>
  <c r="AH5058" i="2"/>
  <c r="AD5058" i="2"/>
  <c r="AF5058" i="2" s="1"/>
  <c r="X5058" i="2"/>
  <c r="AB5058" i="2" s="1"/>
  <c r="AK5058" i="2" s="1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AB5055" i="2" s="1"/>
  <c r="W5055" i="2"/>
  <c r="AH5054" i="2"/>
  <c r="AD5054" i="2"/>
  <c r="AF5054" i="2" s="1"/>
  <c r="X5054" i="2"/>
  <c r="AB5054" i="2" s="1"/>
  <c r="AK5054" i="2" s="1"/>
  <c r="W5054" i="2"/>
  <c r="AH5053" i="2"/>
  <c r="AD5053" i="2"/>
  <c r="AF5053" i="2" s="1"/>
  <c r="X5053" i="2"/>
  <c r="AB5053" i="2" s="1"/>
  <c r="AK5053" i="2" s="1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AB5050" i="2" s="1"/>
  <c r="AK5050" i="2" s="1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X5047" i="2"/>
  <c r="W5047" i="2"/>
  <c r="AH5046" i="2"/>
  <c r="AD5046" i="2"/>
  <c r="AF5046" i="2" s="1"/>
  <c r="X5046" i="2"/>
  <c r="AB5046" i="2" s="1"/>
  <c r="AK5046" i="2" s="1"/>
  <c r="W5046" i="2"/>
  <c r="AH5045" i="2"/>
  <c r="AD5045" i="2"/>
  <c r="AF5045" i="2" s="1"/>
  <c r="X5045" i="2"/>
  <c r="AB5045" i="2" s="1"/>
  <c r="AK5045" i="2" s="1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AB5041" i="2" s="1"/>
  <c r="AK5041" i="2" s="1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X5038" i="2"/>
  <c r="AB5038" i="2" s="1"/>
  <c r="AK5038" i="2" s="1"/>
  <c r="W5038" i="2"/>
  <c r="AH5037" i="2"/>
  <c r="AD5037" i="2"/>
  <c r="AF5037" i="2" s="1"/>
  <c r="X5037" i="2"/>
  <c r="AB5037" i="2" s="1"/>
  <c r="AK5037" i="2" s="1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AB5034" i="2" s="1"/>
  <c r="AK5034" i="2" s="1"/>
  <c r="W5034" i="2"/>
  <c r="AH5033" i="2"/>
  <c r="AD5033" i="2"/>
  <c r="AF5033" i="2" s="1"/>
  <c r="X5033" i="2"/>
  <c r="AB5033" i="2" s="1"/>
  <c r="AK5033" i="2" s="1"/>
  <c r="W5033" i="2"/>
  <c r="AH5032" i="2"/>
  <c r="AD5032" i="2"/>
  <c r="X5032" i="2"/>
  <c r="AH5031" i="2"/>
  <c r="AD5031" i="2"/>
  <c r="X5031" i="2"/>
  <c r="W5031" i="2"/>
  <c r="AH5030" i="2"/>
  <c r="AD5030" i="2"/>
  <c r="AF5030" i="2" s="1"/>
  <c r="X5030" i="2"/>
  <c r="W5030" i="2"/>
  <c r="AH5029" i="2"/>
  <c r="AD5029" i="2"/>
  <c r="X5029" i="2"/>
  <c r="W5029" i="2"/>
  <c r="AH5028" i="2"/>
  <c r="AD5028" i="2"/>
  <c r="X5028" i="2"/>
  <c r="W5028" i="2"/>
  <c r="AH5027" i="2"/>
  <c r="AD5027" i="2"/>
  <c r="X5027" i="2"/>
  <c r="W5027" i="2"/>
  <c r="AH5026" i="2"/>
  <c r="AD5026" i="2"/>
  <c r="AF5026" i="2" s="1"/>
  <c r="X5026" i="2"/>
  <c r="W5026" i="2"/>
  <c r="AH5025" i="2"/>
  <c r="AD5025" i="2"/>
  <c r="X5025" i="2"/>
  <c r="AB5025" i="2" s="1"/>
  <c r="AK5025" i="2" s="1"/>
  <c r="W5025" i="2"/>
  <c r="AH5024" i="2"/>
  <c r="AD5024" i="2"/>
  <c r="AF5024" i="2" s="1"/>
  <c r="X5024" i="2"/>
  <c r="AB5024" i="2" s="1"/>
  <c r="AK5024" i="2" s="1"/>
  <c r="W5024" i="2"/>
  <c r="AH5023" i="2"/>
  <c r="AD5023" i="2"/>
  <c r="X5023" i="2"/>
  <c r="W5023" i="2"/>
  <c r="AH5022" i="2"/>
  <c r="AD5022" i="2"/>
  <c r="AF5022" i="2" s="1"/>
  <c r="X5022" i="2"/>
  <c r="W5022" i="2"/>
  <c r="AH5021" i="2"/>
  <c r="AD5021" i="2"/>
  <c r="X5021" i="2"/>
  <c r="W5021" i="2"/>
  <c r="AH5020" i="2"/>
  <c r="AD5020" i="2"/>
  <c r="X5020" i="2"/>
  <c r="W5020" i="2"/>
  <c r="AH5019" i="2"/>
  <c r="AD5019" i="2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AB5015" i="2" s="1"/>
  <c r="AK5015" i="2" s="1"/>
  <c r="W5015" i="2"/>
  <c r="AH5014" i="2"/>
  <c r="AD5014" i="2"/>
  <c r="AF5014" i="2" s="1"/>
  <c r="X5014" i="2"/>
  <c r="AB5014" i="2" s="1"/>
  <c r="AK5014" i="2" s="1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X5010" i="2"/>
  <c r="AB5010" i="2" s="1"/>
  <c r="AK5010" i="2" s="1"/>
  <c r="W5010" i="2"/>
  <c r="AH5009" i="2"/>
  <c r="AD5009" i="2"/>
  <c r="AF5009" i="2" s="1"/>
  <c r="X5009" i="2"/>
  <c r="AC5009" i="2" s="1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X5006" i="2"/>
  <c r="AB5006" i="2" s="1"/>
  <c r="AK5006" i="2" s="1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X5002" i="2"/>
  <c r="AB5002" i="2" s="1"/>
  <c r="AK5002" i="2" s="1"/>
  <c r="W5002" i="2"/>
  <c r="AH5001" i="2"/>
  <c r="AD5001" i="2"/>
  <c r="AF5001" i="2" s="1"/>
  <c r="X5001" i="2"/>
  <c r="AH5000" i="2"/>
  <c r="AD5000" i="2"/>
  <c r="X5000" i="2"/>
  <c r="AB5000" i="2" s="1"/>
  <c r="AK5000" i="2" s="1"/>
  <c r="W5000" i="2"/>
  <c r="AH4999" i="2"/>
  <c r="AD4999" i="2"/>
  <c r="AF4999" i="2" s="1"/>
  <c r="X4999" i="2"/>
  <c r="W4999" i="2"/>
  <c r="AH4998" i="2"/>
  <c r="AD4998" i="2"/>
  <c r="AF4998" i="2" s="1"/>
  <c r="X4998" i="2"/>
  <c r="AB4998" i="2" s="1"/>
  <c r="AK4998" i="2" s="1"/>
  <c r="W4998" i="2"/>
  <c r="AH4997" i="2"/>
  <c r="AD4997" i="2"/>
  <c r="X4997" i="2"/>
  <c r="W4997" i="2"/>
  <c r="AH4996" i="2"/>
  <c r="AD4996" i="2"/>
  <c r="X4996" i="2"/>
  <c r="AB4996" i="2" s="1"/>
  <c r="AK4996" i="2" s="1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X4993" i="2"/>
  <c r="W4993" i="2"/>
  <c r="AH4992" i="2"/>
  <c r="AD4992" i="2"/>
  <c r="X4992" i="2"/>
  <c r="AB4992" i="2" s="1"/>
  <c r="AK4992" i="2" s="1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X4989" i="2"/>
  <c r="AB4989" i="2" s="1"/>
  <c r="AK4989" i="2" s="1"/>
  <c r="W4989" i="2"/>
  <c r="AH4988" i="2"/>
  <c r="AD4988" i="2"/>
  <c r="X4988" i="2"/>
  <c r="AB4988" i="2" s="1"/>
  <c r="AK4988" i="2" s="1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X4985" i="2"/>
  <c r="W4985" i="2"/>
  <c r="AH4984" i="2"/>
  <c r="AD4984" i="2"/>
  <c r="X4984" i="2"/>
  <c r="W4984" i="2"/>
  <c r="AH4983" i="2"/>
  <c r="AD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AB4980" i="2" s="1"/>
  <c r="AK4980" i="2" s="1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AB4976" i="2" s="1"/>
  <c r="AK4976" i="2" s="1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AB4972" i="2" s="1"/>
  <c r="AK4972" i="2" s="1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X4969" i="2"/>
  <c r="AB4969" i="2" s="1"/>
  <c r="AK4969" i="2" s="1"/>
  <c r="W4969" i="2"/>
  <c r="AH4968" i="2"/>
  <c r="AD4968" i="2"/>
  <c r="AF4968" i="2" s="1"/>
  <c r="X4968" i="2"/>
  <c r="AB4968" i="2" s="1"/>
  <c r="AK4968" i="2" s="1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AB4964" i="2" s="1"/>
  <c r="AK4964" i="2" s="1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AB4960" i="2" s="1"/>
  <c r="AK4960" i="2" s="1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AB4956" i="2" s="1"/>
  <c r="AK4956" i="2" s="1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X4949" i="2"/>
  <c r="AB4949" i="2" s="1"/>
  <c r="AK4949" i="2" s="1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AC4944" i="2" s="1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AB4941" i="2" s="1"/>
  <c r="AK4941" i="2" s="1"/>
  <c r="W4941" i="2"/>
  <c r="AH4940" i="2"/>
  <c r="AD4940" i="2"/>
  <c r="AF4940" i="2" s="1"/>
  <c r="X4940" i="2"/>
  <c r="AB4940" i="2" s="1"/>
  <c r="AK4940" i="2" s="1"/>
  <c r="W4940" i="2"/>
  <c r="AH4939" i="2"/>
  <c r="AD4939" i="2"/>
  <c r="AF4939" i="2" s="1"/>
  <c r="X4939" i="2"/>
  <c r="W4939" i="2"/>
  <c r="AH4938" i="2"/>
  <c r="AD4938" i="2"/>
  <c r="AF4938" i="2" s="1"/>
  <c r="X4938" i="2"/>
  <c r="AC4938" i="2" s="1"/>
  <c r="W4938" i="2"/>
  <c r="AH4937" i="2"/>
  <c r="AD4937" i="2"/>
  <c r="AF4937" i="2" s="1"/>
  <c r="X4937" i="2"/>
  <c r="W4937" i="2"/>
  <c r="AH4936" i="2"/>
  <c r="AD4936" i="2"/>
  <c r="AF4936" i="2" s="1"/>
  <c r="X4936" i="2"/>
  <c r="Y4936" i="2" s="1"/>
  <c r="W4936" i="2"/>
  <c r="AH4935" i="2"/>
  <c r="AD4935" i="2"/>
  <c r="AF4935" i="2" s="1"/>
  <c r="X4935" i="2"/>
  <c r="W4935" i="2"/>
  <c r="AH4934" i="2"/>
  <c r="AD4934" i="2"/>
  <c r="X4934" i="2"/>
  <c r="W4934" i="2"/>
  <c r="AH4933" i="2"/>
  <c r="AD4933" i="2"/>
  <c r="AC4933" i="2"/>
  <c r="W4933" i="2"/>
  <c r="AH4932" i="2"/>
  <c r="AD4932" i="2"/>
  <c r="X4932" i="2"/>
  <c r="W4932" i="2"/>
  <c r="AH4931" i="2"/>
  <c r="AD4931" i="2"/>
  <c r="AF4931" i="2" s="1"/>
  <c r="X4931" i="2"/>
  <c r="AB4931" i="2" s="1"/>
  <c r="AK4931" i="2" s="1"/>
  <c r="W4931" i="2"/>
  <c r="AH4930" i="2"/>
  <c r="AD4930" i="2"/>
  <c r="AF4930" i="2" s="1"/>
  <c r="X4930" i="2"/>
  <c r="W4930" i="2"/>
  <c r="AH4929" i="2"/>
  <c r="AD4929" i="2"/>
  <c r="AF4929" i="2" s="1"/>
  <c r="X4929" i="2"/>
  <c r="AB4929" i="2" s="1"/>
  <c r="AK4929" i="2" s="1"/>
  <c r="W4929" i="2"/>
  <c r="AH4928" i="2"/>
  <c r="AD4928" i="2"/>
  <c r="AF4928" i="2" s="1"/>
  <c r="X4928" i="2"/>
  <c r="W4928" i="2"/>
  <c r="AH4927" i="2"/>
  <c r="AD4927" i="2"/>
  <c r="X4927" i="2"/>
  <c r="AB4927" i="2" s="1"/>
  <c r="AK4927" i="2" s="1"/>
  <c r="W4927" i="2"/>
  <c r="AH4926" i="2"/>
  <c r="AD4926" i="2"/>
  <c r="AF4926" i="2" s="1"/>
  <c r="X4926" i="2"/>
  <c r="AC4926" i="2" s="1"/>
  <c r="W4926" i="2"/>
  <c r="AH4925" i="2"/>
  <c r="AD4925" i="2"/>
  <c r="X4925" i="2"/>
  <c r="AB4925" i="2" s="1"/>
  <c r="AK4925" i="2" s="1"/>
  <c r="W4925" i="2"/>
  <c r="AH4924" i="2"/>
  <c r="AD4924" i="2"/>
  <c r="AF4924" i="2" s="1"/>
  <c r="X4924" i="2"/>
  <c r="AC4924" i="2" s="1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 s="1"/>
  <c r="AC4911" i="2"/>
  <c r="AF4910" i="2"/>
  <c r="AC4910" i="2"/>
  <c r="AE4909" i="2"/>
  <c r="AD4909" i="2"/>
  <c r="X4909" i="2"/>
  <c r="AK4909" i="2" s="1"/>
  <c r="AE4908" i="2"/>
  <c r="AD4908" i="2"/>
  <c r="X4908" i="2"/>
  <c r="W4908" i="2"/>
  <c r="AE4907" i="2"/>
  <c r="AF4907" i="2" s="1"/>
  <c r="AD4907" i="2"/>
  <c r="AH4907" i="2" s="1"/>
  <c r="X4907" i="2"/>
  <c r="AB4907" i="2" s="1"/>
  <c r="AK4907" i="2" s="1"/>
  <c r="W4907" i="2"/>
  <c r="AE4906" i="2"/>
  <c r="AD4906" i="2"/>
  <c r="AH4906" i="2" s="1"/>
  <c r="X4906" i="2"/>
  <c r="W4906" i="2"/>
  <c r="AE4905" i="2"/>
  <c r="AF4905" i="2" s="1"/>
  <c r="AD4905" i="2"/>
  <c r="AH4905" i="2" s="1"/>
  <c r="X4905" i="2"/>
  <c r="W4905" i="2"/>
  <c r="AE4904" i="2"/>
  <c r="AD4904" i="2"/>
  <c r="AH4904" i="2" s="1"/>
  <c r="X4904" i="2"/>
  <c r="W4904" i="2"/>
  <c r="AE4903" i="2"/>
  <c r="AF4903" i="2" s="1"/>
  <c r="AD4903" i="2"/>
  <c r="AH4903" i="2" s="1"/>
  <c r="X4903" i="2"/>
  <c r="AB4903" i="2" s="1"/>
  <c r="AK4903" i="2" s="1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AB4899" i="2" s="1"/>
  <c r="AK4899" i="2" s="1"/>
  <c r="W4899" i="2"/>
  <c r="AE4898" i="2"/>
  <c r="AD4898" i="2"/>
  <c r="AH4898" i="2" s="1"/>
  <c r="X4898" i="2"/>
  <c r="W4898" i="2"/>
  <c r="AE4897" i="2"/>
  <c r="AF4897" i="2" s="1"/>
  <c r="AD4897" i="2"/>
  <c r="X4897" i="2"/>
  <c r="W4897" i="2"/>
  <c r="AE4896" i="2"/>
  <c r="AD4896" i="2"/>
  <c r="AH4896" i="2" s="1"/>
  <c r="X4896" i="2"/>
  <c r="AB4896" i="2" s="1"/>
  <c r="AK4896" i="2" s="1"/>
  <c r="W4896" i="2"/>
  <c r="AE4895" i="2"/>
  <c r="AF4895" i="2" s="1"/>
  <c r="AD4895" i="2"/>
  <c r="AH4895" i="2" s="1"/>
  <c r="X4895" i="2"/>
  <c r="AB4895" i="2" s="1"/>
  <c r="AK4895" i="2" s="1"/>
  <c r="W4895" i="2"/>
  <c r="AE4894" i="2"/>
  <c r="AD4894" i="2"/>
  <c r="AH4894" i="2" s="1"/>
  <c r="X4894" i="2"/>
  <c r="W4894" i="2"/>
  <c r="AE4893" i="2"/>
  <c r="AF4893" i="2" s="1"/>
  <c r="AD4893" i="2"/>
  <c r="AH4893" i="2" s="1"/>
  <c r="X4893" i="2"/>
  <c r="W4893" i="2"/>
  <c r="AE4892" i="2"/>
  <c r="AD4892" i="2"/>
  <c r="AH4892" i="2" s="1"/>
  <c r="X4892" i="2"/>
  <c r="AB4892" i="2" s="1"/>
  <c r="AK4892" i="2" s="1"/>
  <c r="W4892" i="2"/>
  <c r="AE4891" i="2"/>
  <c r="AF4891" i="2" s="1"/>
  <c r="AD4891" i="2"/>
  <c r="X4891" i="2"/>
  <c r="W4891" i="2"/>
  <c r="AE4890" i="2"/>
  <c r="AD4890" i="2"/>
  <c r="AH4890" i="2" s="1"/>
  <c r="X4890" i="2"/>
  <c r="W4890" i="2"/>
  <c r="AE4889" i="2"/>
  <c r="AF4889" i="2" s="1"/>
  <c r="AD4889" i="2"/>
  <c r="AH4889" i="2" s="1"/>
  <c r="X4889" i="2"/>
  <c r="W4889" i="2"/>
  <c r="AE4888" i="2"/>
  <c r="AD4888" i="2"/>
  <c r="AH4888" i="2" s="1"/>
  <c r="X4888" i="2"/>
  <c r="W4888" i="2"/>
  <c r="AE4887" i="2"/>
  <c r="AF4887" i="2" s="1"/>
  <c r="AD4887" i="2"/>
  <c r="AH4887" i="2" s="1"/>
  <c r="X4887" i="2"/>
  <c r="W4887" i="2"/>
  <c r="AE4886" i="2"/>
  <c r="AD4886" i="2"/>
  <c r="AH4886" i="2" s="1"/>
  <c r="X4886" i="2"/>
  <c r="W4886" i="2"/>
  <c r="AE4885" i="2"/>
  <c r="AF4885" i="2" s="1"/>
  <c r="AD4885" i="2"/>
  <c r="AH4885" i="2" s="1"/>
  <c r="X4885" i="2"/>
  <c r="W4885" i="2"/>
  <c r="AE4884" i="2"/>
  <c r="AD4884" i="2"/>
  <c r="AH4884" i="2" s="1"/>
  <c r="X4884" i="2"/>
  <c r="W4884" i="2"/>
  <c r="AE4883" i="2"/>
  <c r="AF4883" i="2" s="1"/>
  <c r="AD4883" i="2"/>
  <c r="X4883" i="2"/>
  <c r="W4883" i="2"/>
  <c r="AE4882" i="2"/>
  <c r="AD4882" i="2"/>
  <c r="X4882" i="2"/>
  <c r="W4882" i="2"/>
  <c r="AE4881" i="2"/>
  <c r="AF4881" i="2" s="1"/>
  <c r="AD4881" i="2"/>
  <c r="AH4881" i="2" s="1"/>
  <c r="X4881" i="2"/>
  <c r="W4881" i="2"/>
  <c r="AE4880" i="2"/>
  <c r="AD4880" i="2"/>
  <c r="X4880" i="2"/>
  <c r="W4880" i="2"/>
  <c r="AE4879" i="2"/>
  <c r="AF4879" i="2" s="1"/>
  <c r="AD4879" i="2"/>
  <c r="AH4879" i="2" s="1"/>
  <c r="X4879" i="2"/>
  <c r="W4879" i="2"/>
  <c r="AE4878" i="2"/>
  <c r="AD4878" i="2"/>
  <c r="AH4878" i="2" s="1"/>
  <c r="X4878" i="2"/>
  <c r="AB4878" i="2" s="1"/>
  <c r="AK4878" i="2" s="1"/>
  <c r="W4878" i="2"/>
  <c r="AE4877" i="2"/>
  <c r="AF4877" i="2" s="1"/>
  <c r="AD4877" i="2"/>
  <c r="X4877" i="2"/>
  <c r="W4877" i="2"/>
  <c r="AE4876" i="2"/>
  <c r="AD4876" i="2"/>
  <c r="AH4876" i="2" s="1"/>
  <c r="X4876" i="2"/>
  <c r="W4876" i="2"/>
  <c r="AE4875" i="2"/>
  <c r="AF4875" i="2" s="1"/>
  <c r="AD4875" i="2"/>
  <c r="X4875" i="2"/>
  <c r="W4875" i="2"/>
  <c r="AE4874" i="2"/>
  <c r="AD4874" i="2"/>
  <c r="X4874" i="2"/>
  <c r="W4874" i="2"/>
  <c r="AE4873" i="2"/>
  <c r="AF4873" i="2" s="1"/>
  <c r="AD4873" i="2"/>
  <c r="AH4873" i="2" s="1"/>
  <c r="X4873" i="2"/>
  <c r="W4873" i="2"/>
  <c r="AE4872" i="2"/>
  <c r="AD4872" i="2"/>
  <c r="AH4872" i="2" s="1"/>
  <c r="X4872" i="2"/>
  <c r="W4872" i="2"/>
  <c r="AE4871" i="2"/>
  <c r="AF4871" i="2" s="1"/>
  <c r="AD4871" i="2"/>
  <c r="AH4871" i="2" s="1"/>
  <c r="X4871" i="2"/>
  <c r="W4871" i="2"/>
  <c r="AE4870" i="2"/>
  <c r="AD4870" i="2"/>
  <c r="AH4870" i="2" s="1"/>
  <c r="X4870" i="2"/>
  <c r="W4870" i="2"/>
  <c r="AE4869" i="2"/>
  <c r="AF4869" i="2" s="1"/>
  <c r="AD4869" i="2"/>
  <c r="AH4869" i="2" s="1"/>
  <c r="X4869" i="2"/>
  <c r="W4869" i="2"/>
  <c r="AE4868" i="2"/>
  <c r="AD4868" i="2"/>
  <c r="AH4868" i="2" s="1"/>
  <c r="X4868" i="2"/>
  <c r="W4868" i="2"/>
  <c r="AE4867" i="2"/>
  <c r="AF4867" i="2" s="1"/>
  <c r="AD4867" i="2"/>
  <c r="AH4867" i="2" s="1"/>
  <c r="X4867" i="2"/>
  <c r="W4867" i="2"/>
  <c r="AE4866" i="2"/>
  <c r="AD4866" i="2"/>
  <c r="X4866" i="2"/>
  <c r="W4866" i="2"/>
  <c r="AE4865" i="2"/>
  <c r="AF4865" i="2" s="1"/>
  <c r="AD4865" i="2"/>
  <c r="X4865" i="2"/>
  <c r="W4865" i="2"/>
  <c r="AE4864" i="2"/>
  <c r="AD4864" i="2"/>
  <c r="AH4864" i="2" s="1"/>
  <c r="X4864" i="2"/>
  <c r="W4864" i="2"/>
  <c r="AE4863" i="2"/>
  <c r="AF4863" i="2" s="1"/>
  <c r="AD4863" i="2"/>
  <c r="AH4863" i="2" s="1"/>
  <c r="X4863" i="2"/>
  <c r="W4863" i="2"/>
  <c r="AE4862" i="2"/>
  <c r="AD4862" i="2"/>
  <c r="AH4862" i="2" s="1"/>
  <c r="X4862" i="2"/>
  <c r="AB4862" i="2" s="1"/>
  <c r="AK4862" i="2" s="1"/>
  <c r="W4862" i="2"/>
  <c r="AE4861" i="2"/>
  <c r="AF4861" i="2" s="1"/>
  <c r="AD4861" i="2"/>
  <c r="AH4861" i="2" s="1"/>
  <c r="X4861" i="2"/>
  <c r="W4861" i="2"/>
  <c r="AE4860" i="2"/>
  <c r="AD4860" i="2"/>
  <c r="AH4860" i="2" s="1"/>
  <c r="X4860" i="2"/>
  <c r="W4860" i="2"/>
  <c r="AE4859" i="2"/>
  <c r="AF4859" i="2" s="1"/>
  <c r="AD4859" i="2"/>
  <c r="X4859" i="2"/>
  <c r="W4859" i="2"/>
  <c r="AE4858" i="2"/>
  <c r="AD4858" i="2"/>
  <c r="X4858" i="2"/>
  <c r="W4858" i="2"/>
  <c r="AE4857" i="2"/>
  <c r="AF4857" i="2" s="1"/>
  <c r="AD4857" i="2"/>
  <c r="X4857" i="2"/>
  <c r="W4857" i="2"/>
  <c r="AE4856" i="2"/>
  <c r="AD4856" i="2"/>
  <c r="AH4856" i="2" s="1"/>
  <c r="X4856" i="2"/>
  <c r="W4856" i="2"/>
  <c r="AE4855" i="2"/>
  <c r="AF4855" i="2" s="1"/>
  <c r="AD4855" i="2"/>
  <c r="X4855" i="2"/>
  <c r="AB4855" i="2" s="1"/>
  <c r="AK4855" i="2" s="1"/>
  <c r="W4855" i="2"/>
  <c r="AE4854" i="2"/>
  <c r="AD4854" i="2"/>
  <c r="AH4854" i="2" s="1"/>
  <c r="X4854" i="2"/>
  <c r="W4854" i="2"/>
  <c r="AE4853" i="2"/>
  <c r="AF4853" i="2" s="1"/>
  <c r="AD4853" i="2"/>
  <c r="AH4853" i="2" s="1"/>
  <c r="X4853" i="2"/>
  <c r="W4853" i="2"/>
  <c r="AE4852" i="2"/>
  <c r="AD4852" i="2"/>
  <c r="X4852" i="2"/>
  <c r="AB4852" i="2" s="1"/>
  <c r="AK4852" i="2" s="1"/>
  <c r="W4852" i="2"/>
  <c r="AE4851" i="2"/>
  <c r="AF4851" i="2" s="1"/>
  <c r="AD4851" i="2"/>
  <c r="X4851" i="2"/>
  <c r="W4851" i="2"/>
  <c r="AE4850" i="2"/>
  <c r="AD4850" i="2"/>
  <c r="X4850" i="2"/>
  <c r="W4850" i="2"/>
  <c r="AE4849" i="2"/>
  <c r="AF4849" i="2" s="1"/>
  <c r="AD4849" i="2"/>
  <c r="X4849" i="2"/>
  <c r="W4849" i="2"/>
  <c r="AE4848" i="2"/>
  <c r="AD4848" i="2"/>
  <c r="X4848" i="2"/>
  <c r="AB4848" i="2" s="1"/>
  <c r="AK4848" i="2" s="1"/>
  <c r="W4848" i="2"/>
  <c r="AE4847" i="2"/>
  <c r="AF4847" i="2" s="1"/>
  <c r="AD4847" i="2"/>
  <c r="X4847" i="2"/>
  <c r="W4847" i="2"/>
  <c r="AE4846" i="2"/>
  <c r="AD4846" i="2"/>
  <c r="AH4846" i="2" s="1"/>
  <c r="X4846" i="2"/>
  <c r="W4846" i="2"/>
  <c r="AE4845" i="2"/>
  <c r="AF4845" i="2" s="1"/>
  <c r="AD4845" i="2"/>
  <c r="AH4845" i="2" s="1"/>
  <c r="X4845" i="2"/>
  <c r="W4845" i="2"/>
  <c r="AE4844" i="2"/>
  <c r="AD4844" i="2"/>
  <c r="AH4844" i="2" s="1"/>
  <c r="X4844" i="2"/>
  <c r="W4844" i="2"/>
  <c r="AE4843" i="2"/>
  <c r="AF4843" i="2" s="1"/>
  <c r="AD4843" i="2"/>
  <c r="AH4843" i="2" s="1"/>
  <c r="X4843" i="2"/>
  <c r="W4843" i="2"/>
  <c r="AE4842" i="2"/>
  <c r="AD4842" i="2"/>
  <c r="X4842" i="2"/>
  <c r="W4842" i="2"/>
  <c r="AE4841" i="2"/>
  <c r="AF4841" i="2" s="1"/>
  <c r="AD4841" i="2"/>
  <c r="AH4841" i="2" s="1"/>
  <c r="X4841" i="2"/>
  <c r="W4841" i="2"/>
  <c r="AE4840" i="2"/>
  <c r="AD4840" i="2"/>
  <c r="AH4840" i="2" s="1"/>
  <c r="X4840" i="2"/>
  <c r="W4840" i="2"/>
  <c r="AE4839" i="2"/>
  <c r="AF4839" i="2" s="1"/>
  <c r="AD4839" i="2"/>
  <c r="AH4839" i="2" s="1"/>
  <c r="X4839" i="2"/>
  <c r="W4839" i="2"/>
  <c r="AE4838" i="2"/>
  <c r="AD4838" i="2"/>
  <c r="AH4838" i="2" s="1"/>
  <c r="X4838" i="2"/>
  <c r="W4838" i="2"/>
  <c r="AE4837" i="2"/>
  <c r="AF4837" i="2" s="1"/>
  <c r="AD4837" i="2"/>
  <c r="AH4837" i="2" s="1"/>
  <c r="X4837" i="2"/>
  <c r="W4837" i="2"/>
  <c r="AE4836" i="2"/>
  <c r="AD4836" i="2"/>
  <c r="AH4836" i="2" s="1"/>
  <c r="X4836" i="2"/>
  <c r="AB4836" i="2" s="1"/>
  <c r="AK4836" i="2" s="1"/>
  <c r="W4836" i="2"/>
  <c r="AE4835" i="2"/>
  <c r="AF4835" i="2" s="1"/>
  <c r="AD4835" i="2"/>
  <c r="AH4835" i="2" s="1"/>
  <c r="X4835" i="2"/>
  <c r="W4835" i="2"/>
  <c r="AE4834" i="2"/>
  <c r="AD4834" i="2"/>
  <c r="X4834" i="2"/>
  <c r="W4834" i="2"/>
  <c r="AE4833" i="2"/>
  <c r="AF4833" i="2" s="1"/>
  <c r="AD4833" i="2"/>
  <c r="X4833" i="2"/>
  <c r="AB4833" i="2" s="1"/>
  <c r="AK4833" i="2" s="1"/>
  <c r="W4833" i="2"/>
  <c r="AE4832" i="2"/>
  <c r="AD4832" i="2"/>
  <c r="AH4832" i="2" s="1"/>
  <c r="X4832" i="2"/>
  <c r="AB4832" i="2" s="1"/>
  <c r="AK4832" i="2" s="1"/>
  <c r="W4832" i="2"/>
  <c r="AE4831" i="2"/>
  <c r="AF4831" i="2" s="1"/>
  <c r="AD4831" i="2"/>
  <c r="AH4831" i="2" s="1"/>
  <c r="X4831" i="2"/>
  <c r="W4831" i="2"/>
  <c r="AE4830" i="2"/>
  <c r="AD4830" i="2"/>
  <c r="AH4830" i="2" s="1"/>
  <c r="X4830" i="2"/>
  <c r="AB4830" i="2" s="1"/>
  <c r="AK4830" i="2" s="1"/>
  <c r="W4830" i="2"/>
  <c r="AE4829" i="2"/>
  <c r="AF4829" i="2" s="1"/>
  <c r="AD4829" i="2"/>
  <c r="X4829" i="2"/>
  <c r="W4829" i="2"/>
  <c r="AE4828" i="2"/>
  <c r="AD4828" i="2"/>
  <c r="AH4828" i="2" s="1"/>
  <c r="X4828" i="2"/>
  <c r="W4828" i="2"/>
  <c r="AE4827" i="2"/>
  <c r="AF4827" i="2" s="1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AB4824" i="2" s="1"/>
  <c r="AK4824" i="2" s="1"/>
  <c r="W4824" i="2"/>
  <c r="AE4823" i="2"/>
  <c r="AF4823" i="2" s="1"/>
  <c r="AD4823" i="2"/>
  <c r="AH4823" i="2" s="1"/>
  <c r="X4823" i="2"/>
  <c r="AB4823" i="2" s="1"/>
  <c r="AK4823" i="2" s="1"/>
  <c r="W4823" i="2"/>
  <c r="AE4822" i="2"/>
  <c r="AD4822" i="2"/>
  <c r="X4822" i="2"/>
  <c r="W4822" i="2"/>
  <c r="AE4821" i="2"/>
  <c r="AF4821" i="2" s="1"/>
  <c r="AD4821" i="2"/>
  <c r="AH4821" i="2" s="1"/>
  <c r="X4821" i="2"/>
  <c r="W4821" i="2"/>
  <c r="AE4820" i="2"/>
  <c r="AD4820" i="2"/>
  <c r="AH4820" i="2" s="1"/>
  <c r="X4820" i="2"/>
  <c r="W4820" i="2"/>
  <c r="AE4819" i="2"/>
  <c r="AF4819" i="2" s="1"/>
  <c r="AD4819" i="2"/>
  <c r="X4819" i="2"/>
  <c r="W4819" i="2"/>
  <c r="AE4818" i="2"/>
  <c r="AD4818" i="2"/>
  <c r="AH4818" i="2" s="1"/>
  <c r="X4818" i="2"/>
  <c r="W4818" i="2"/>
  <c r="AE4817" i="2"/>
  <c r="AF4817" i="2" s="1"/>
  <c r="AD4817" i="2"/>
  <c r="X4817" i="2"/>
  <c r="W4817" i="2"/>
  <c r="AE4816" i="2"/>
  <c r="AD4816" i="2"/>
  <c r="X4816" i="2"/>
  <c r="W4816" i="2"/>
  <c r="AE4815" i="2"/>
  <c r="AF4815" i="2" s="1"/>
  <c r="AD4815" i="2"/>
  <c r="AH4815" i="2" s="1"/>
  <c r="X4815" i="2"/>
  <c r="AB4815" i="2" s="1"/>
  <c r="AK4815" i="2" s="1"/>
  <c r="AE4814" i="2"/>
  <c r="AD4814" i="2"/>
  <c r="X4814" i="2"/>
  <c r="AB4814" i="2" s="1"/>
  <c r="AK4814" i="2" s="1"/>
  <c r="W4814" i="2"/>
  <c r="AE4813" i="2"/>
  <c r="AD4813" i="2"/>
  <c r="AF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F4809" i="2" s="1"/>
  <c r="X4809" i="2"/>
  <c r="W4809" i="2"/>
  <c r="AE4808" i="2"/>
  <c r="AD4808" i="2"/>
  <c r="X4808" i="2"/>
  <c r="W4808" i="2"/>
  <c r="AE4807" i="2"/>
  <c r="AD4807" i="2"/>
  <c r="AF4807" i="2" s="1"/>
  <c r="X4807" i="2"/>
  <c r="W4807" i="2"/>
  <c r="AE4806" i="2"/>
  <c r="AD4806" i="2"/>
  <c r="X4806" i="2"/>
  <c r="W4806" i="2"/>
  <c r="AE4805" i="2"/>
  <c r="AD4805" i="2"/>
  <c r="AF4805" i="2" s="1"/>
  <c r="X4805" i="2"/>
  <c r="AK4805" i="2" s="1"/>
  <c r="W4805" i="2"/>
  <c r="AE4804" i="2"/>
  <c r="AD4804" i="2"/>
  <c r="X4804" i="2"/>
  <c r="W4804" i="2"/>
  <c r="AE4803" i="2"/>
  <c r="AD4803" i="2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F4797" i="2" s="1"/>
  <c r="X4797" i="2"/>
  <c r="W4797" i="2"/>
  <c r="AE4796" i="2"/>
  <c r="AD4796" i="2"/>
  <c r="X4796" i="2"/>
  <c r="AB4796" i="2" s="1"/>
  <c r="AK4796" i="2" s="1"/>
  <c r="W4796" i="2"/>
  <c r="AE4795" i="2"/>
  <c r="AD4795" i="2"/>
  <c r="X4795" i="2"/>
  <c r="W4795" i="2"/>
  <c r="AE4794" i="2"/>
  <c r="AD4794" i="2"/>
  <c r="AH4794" i="2" s="1"/>
  <c r="X4794" i="2"/>
  <c r="W4794" i="2"/>
  <c r="AE4793" i="2"/>
  <c r="AD4793" i="2"/>
  <c r="AF4793" i="2" s="1"/>
  <c r="X4793" i="2"/>
  <c r="W4793" i="2"/>
  <c r="AE4792" i="2"/>
  <c r="AD4792" i="2"/>
  <c r="X4792" i="2"/>
  <c r="AK4792" i="2" s="1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F4785" i="2" s="1"/>
  <c r="X4785" i="2"/>
  <c r="W4785" i="2"/>
  <c r="AE4784" i="2"/>
  <c r="AD4784" i="2"/>
  <c r="X4784" i="2"/>
  <c r="AK4784" i="2" s="1"/>
  <c r="W4784" i="2"/>
  <c r="AE4783" i="2"/>
  <c r="AD4783" i="2"/>
  <c r="AF4783" i="2" s="1"/>
  <c r="X4783" i="2"/>
  <c r="AK4783" i="2" s="1"/>
  <c r="W4783" i="2"/>
  <c r="AE4782" i="2"/>
  <c r="AD4782" i="2"/>
  <c r="X4782" i="2"/>
  <c r="W4782" i="2"/>
  <c r="AE4781" i="2"/>
  <c r="AD4781" i="2"/>
  <c r="AF4781" i="2" s="1"/>
  <c r="X4781" i="2"/>
  <c r="AE4780" i="2"/>
  <c r="AD4780" i="2"/>
  <c r="X4780" i="2"/>
  <c r="W4780" i="2"/>
  <c r="AE4779" i="2"/>
  <c r="AD4779" i="2"/>
  <c r="X4779" i="2"/>
  <c r="AB4779" i="2" s="1"/>
  <c r="AK4779" i="2" s="1"/>
  <c r="W4779" i="2"/>
  <c r="AE4778" i="2"/>
  <c r="AD4778" i="2"/>
  <c r="X4778" i="2"/>
  <c r="W4778" i="2"/>
  <c r="AE4777" i="2"/>
  <c r="AD4777" i="2"/>
  <c r="X4777" i="2"/>
  <c r="W4777" i="2"/>
  <c r="AE4776" i="2"/>
  <c r="AD4776" i="2"/>
  <c r="X4776" i="2"/>
  <c r="AB4776" i="2" s="1"/>
  <c r="AK4776" i="2" s="1"/>
  <c r="W4776" i="2"/>
  <c r="AE4775" i="2"/>
  <c r="AD4775" i="2"/>
  <c r="AH4775" i="2" s="1"/>
  <c r="X4775" i="2"/>
  <c r="AB4775" i="2" s="1"/>
  <c r="AK4775" i="2" s="1"/>
  <c r="W4775" i="2"/>
  <c r="AE4774" i="2"/>
  <c r="AD4774" i="2"/>
  <c r="X4774" i="2"/>
  <c r="AK4774" i="2" s="1"/>
  <c r="W4774" i="2"/>
  <c r="AE4773" i="2"/>
  <c r="AD4773" i="2"/>
  <c r="X4773" i="2"/>
  <c r="W4773" i="2"/>
  <c r="AE4772" i="2"/>
  <c r="AD4772" i="2"/>
  <c r="AH4772" i="2" s="1"/>
  <c r="X4772" i="2"/>
  <c r="W4772" i="2"/>
  <c r="AE4771" i="2"/>
  <c r="AD4771" i="2"/>
  <c r="X4771" i="2"/>
  <c r="AC4771" i="2" s="1"/>
  <c r="W4771" i="2"/>
  <c r="AE4770" i="2"/>
  <c r="AD4770" i="2"/>
  <c r="X4770" i="2"/>
  <c r="W4770" i="2"/>
  <c r="AE4769" i="2"/>
  <c r="AD4769" i="2"/>
  <c r="X4769" i="2"/>
  <c r="W4769" i="2"/>
  <c r="AE4768" i="2"/>
  <c r="AD4768" i="2"/>
  <c r="X4768" i="2"/>
  <c r="AB4768" i="2" s="1"/>
  <c r="AK4768" i="2" s="1"/>
  <c r="W4768" i="2"/>
  <c r="AE4767" i="2"/>
  <c r="AD4767" i="2"/>
  <c r="AH4767" i="2" s="1"/>
  <c r="X4767" i="2"/>
  <c r="AC4767" i="2" s="1"/>
  <c r="W4767" i="2"/>
  <c r="AE4766" i="2"/>
  <c r="AD4766" i="2"/>
  <c r="X4766" i="2"/>
  <c r="W4766" i="2"/>
  <c r="AE4765" i="2"/>
  <c r="AD4765" i="2"/>
  <c r="AH4765" i="2" s="1"/>
  <c r="X4765" i="2"/>
  <c r="W4765" i="2"/>
  <c r="AE4764" i="2"/>
  <c r="AD4764" i="2"/>
  <c r="X4764" i="2"/>
  <c r="AB4764" i="2" s="1"/>
  <c r="AK4764" i="2" s="1"/>
  <c r="W4764" i="2"/>
  <c r="AE4763" i="2"/>
  <c r="AD4763" i="2"/>
  <c r="X4763" i="2"/>
  <c r="AB4763" i="2" s="1"/>
  <c r="AK4763" i="2" s="1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X4760" i="2"/>
  <c r="AB4760" i="2" s="1"/>
  <c r="AK4760" i="2" s="1"/>
  <c r="W4760" i="2"/>
  <c r="AE4759" i="2"/>
  <c r="AD4759" i="2"/>
  <c r="AH4759" i="2" s="1"/>
  <c r="X4759" i="2"/>
  <c r="W4759" i="2"/>
  <c r="AE4758" i="2"/>
  <c r="AD4758" i="2"/>
  <c r="AH4758" i="2" s="1"/>
  <c r="X4758" i="2"/>
  <c r="AB4758" i="2" s="1"/>
  <c r="AK4758" i="2" s="1"/>
  <c r="W4758" i="2"/>
  <c r="AE4757" i="2"/>
  <c r="AD4757" i="2"/>
  <c r="AH4757" i="2" s="1"/>
  <c r="X4757" i="2"/>
  <c r="AC4757" i="2" s="1"/>
  <c r="W4757" i="2"/>
  <c r="AE4756" i="2"/>
  <c r="AD4756" i="2"/>
  <c r="X4756" i="2"/>
  <c r="AB4756" i="2" s="1"/>
  <c r="AK4756" i="2" s="1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X4752" i="2"/>
  <c r="AB4752" i="2" s="1"/>
  <c r="AK4752" i="2" s="1"/>
  <c r="W4752" i="2"/>
  <c r="AE4751" i="2"/>
  <c r="AD4751" i="2"/>
  <c r="AH4751" i="2" s="1"/>
  <c r="X4751" i="2"/>
  <c r="W4751" i="2"/>
  <c r="AE4750" i="2"/>
  <c r="AD4750" i="2"/>
  <c r="AH4750" i="2" s="1"/>
  <c r="X4750" i="2"/>
  <c r="W4750" i="2"/>
  <c r="AE4749" i="2"/>
  <c r="AD4749" i="2"/>
  <c r="X4749" i="2"/>
  <c r="W4749" i="2"/>
  <c r="AE4748" i="2"/>
  <c r="AD4748" i="2"/>
  <c r="X4748" i="2"/>
  <c r="AB4748" i="2" s="1"/>
  <c r="AK4748" i="2" s="1"/>
  <c r="W4748" i="2"/>
  <c r="AE4747" i="2"/>
  <c r="AD4747" i="2"/>
  <c r="X4747" i="2"/>
  <c r="AB4747" i="2" s="1"/>
  <c r="AK4747" i="2" s="1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AH4743" i="2" s="1"/>
  <c r="X4743" i="2"/>
  <c r="AB4743" i="2" s="1"/>
  <c r="AK4743" i="2" s="1"/>
  <c r="W4743" i="2"/>
  <c r="AE4742" i="2"/>
  <c r="AD4742" i="2"/>
  <c r="AH4742" i="2" s="1"/>
  <c r="X4742" i="2"/>
  <c r="AB4742" i="2" s="1"/>
  <c r="AK4742" i="2" s="1"/>
  <c r="W4742" i="2"/>
  <c r="AE4741" i="2"/>
  <c r="AD4741" i="2"/>
  <c r="X4741" i="2"/>
  <c r="W4741" i="2"/>
  <c r="AE4740" i="2"/>
  <c r="AD4740" i="2"/>
  <c r="AH4740" i="2" s="1"/>
  <c r="X4740" i="2"/>
  <c r="AB4740" i="2" s="1"/>
  <c r="AK4740" i="2" s="1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AC4737" i="2" s="1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X4734" i="2"/>
  <c r="W4734" i="2"/>
  <c r="AE4733" i="2"/>
  <c r="AD4733" i="2"/>
  <c r="AH4733" i="2" s="1"/>
  <c r="X4733" i="2"/>
  <c r="W4733" i="2"/>
  <c r="AE4732" i="2"/>
  <c r="AD4732" i="2"/>
  <c r="X4732" i="2"/>
  <c r="AB4732" i="2" s="1"/>
  <c r="AK4732" i="2" s="1"/>
  <c r="W4732" i="2"/>
  <c r="AE4731" i="2"/>
  <c r="AD4731" i="2"/>
  <c r="X4731" i="2"/>
  <c r="AB4731" i="2" s="1"/>
  <c r="AK4731" i="2" s="1"/>
  <c r="W4731" i="2"/>
  <c r="AE4730" i="2"/>
  <c r="AD4730" i="2"/>
  <c r="X4730" i="2"/>
  <c r="W4730" i="2"/>
  <c r="AE4729" i="2"/>
  <c r="AD4729" i="2"/>
  <c r="X4729" i="2"/>
  <c r="W4729" i="2"/>
  <c r="AE4728" i="2"/>
  <c r="AD4728" i="2"/>
  <c r="X4728" i="2"/>
  <c r="W4728" i="2"/>
  <c r="AE4727" i="2"/>
  <c r="AD4727" i="2"/>
  <c r="AH4727" i="2" s="1"/>
  <c r="X4727" i="2"/>
  <c r="AC4727" i="2" s="1"/>
  <c r="W4727" i="2"/>
  <c r="AE4726" i="2"/>
  <c r="AD4726" i="2"/>
  <c r="X4726" i="2"/>
  <c r="W4726" i="2"/>
  <c r="AE4725" i="2"/>
  <c r="AD4725" i="2"/>
  <c r="AH4725" i="2" s="1"/>
  <c r="X4725" i="2"/>
  <c r="Y4725" i="2" s="1"/>
  <c r="W4725" i="2"/>
  <c r="AE4724" i="2"/>
  <c r="AD4724" i="2"/>
  <c r="X4724" i="2"/>
  <c r="W4724" i="2"/>
  <c r="AE4723" i="2"/>
  <c r="AD4723" i="2"/>
  <c r="X4723" i="2"/>
  <c r="W4723" i="2"/>
  <c r="AE4722" i="2"/>
  <c r="AD4722" i="2"/>
  <c r="X4722" i="2"/>
  <c r="W4722" i="2"/>
  <c r="AE4721" i="2"/>
  <c r="AD4721" i="2"/>
  <c r="X4721" i="2"/>
  <c r="W4721" i="2"/>
  <c r="AE4720" i="2"/>
  <c r="AD4720" i="2"/>
  <c r="X4720" i="2"/>
  <c r="AB4720" i="2" s="1"/>
  <c r="AK4720" i="2" s="1"/>
  <c r="W4720" i="2"/>
  <c r="AE4719" i="2"/>
  <c r="AD4719" i="2"/>
  <c r="AH4719" i="2" s="1"/>
  <c r="X4719" i="2"/>
  <c r="W4719" i="2"/>
  <c r="AE4718" i="2"/>
  <c r="AD4718" i="2"/>
  <c r="X4718" i="2"/>
  <c r="AB4718" i="2" s="1"/>
  <c r="AK4718" i="2" s="1"/>
  <c r="W4718" i="2"/>
  <c r="AE4717" i="2"/>
  <c r="AD4717" i="2"/>
  <c r="AH4717" i="2" s="1"/>
  <c r="X4717" i="2"/>
  <c r="AC4717" i="2" s="1"/>
  <c r="W4717" i="2"/>
  <c r="AE4716" i="2"/>
  <c r="AD4716" i="2"/>
  <c r="AH4716" i="2" s="1"/>
  <c r="X4716" i="2"/>
  <c r="W4716" i="2"/>
  <c r="AE4715" i="2"/>
  <c r="AD4715" i="2"/>
  <c r="X4715" i="2"/>
  <c r="AB4715" i="2" s="1"/>
  <c r="AK4715" i="2" s="1"/>
  <c r="W4715" i="2"/>
  <c r="AE4714" i="2"/>
  <c r="AD4714" i="2"/>
  <c r="X4714" i="2"/>
  <c r="W4714" i="2"/>
  <c r="AE4713" i="2"/>
  <c r="AD4713" i="2"/>
  <c r="X4713" i="2"/>
  <c r="W4713" i="2"/>
  <c r="AE4712" i="2"/>
  <c r="AD4712" i="2"/>
  <c r="X4712" i="2"/>
  <c r="W4712" i="2"/>
  <c r="AE4711" i="2"/>
  <c r="AD4711" i="2"/>
  <c r="AH4711" i="2" s="1"/>
  <c r="X4711" i="2"/>
  <c r="AB4711" i="2" s="1"/>
  <c r="AK4711" i="2" s="1"/>
  <c r="W4711" i="2"/>
  <c r="AE4710" i="2"/>
  <c r="AD4710" i="2"/>
  <c r="X4710" i="2"/>
  <c r="AB4710" i="2" s="1"/>
  <c r="AK4710" i="2" s="1"/>
  <c r="W4710" i="2"/>
  <c r="AE4709" i="2"/>
  <c r="AD4709" i="2"/>
  <c r="AH4709" i="2" s="1"/>
  <c r="X4709" i="2"/>
  <c r="W4709" i="2"/>
  <c r="AE4708" i="2"/>
  <c r="AD4708" i="2"/>
  <c r="AH4708" i="2" s="1"/>
  <c r="X4708" i="2"/>
  <c r="AB4708" i="2" s="1"/>
  <c r="AK4708" i="2" s="1"/>
  <c r="W4708" i="2"/>
  <c r="AE4707" i="2"/>
  <c r="AD4707" i="2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X4704" i="2"/>
  <c r="AB4704" i="2" s="1"/>
  <c r="AK4704" i="2" s="1"/>
  <c r="W4704" i="2"/>
  <c r="AE4703" i="2"/>
  <c r="AD4703" i="2"/>
  <c r="AH4703" i="2" s="1"/>
  <c r="X4703" i="2"/>
  <c r="AC4703" i="2" s="1"/>
  <c r="W4703" i="2"/>
  <c r="AE4702" i="2"/>
  <c r="AD4702" i="2"/>
  <c r="X4702" i="2"/>
  <c r="AB4702" i="2" s="1"/>
  <c r="AK4702" i="2" s="1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X4699" i="2"/>
  <c r="AB4699" i="2" s="1"/>
  <c r="AK4699" i="2" s="1"/>
  <c r="W4699" i="2"/>
  <c r="AE4698" i="2"/>
  <c r="AD4698" i="2"/>
  <c r="AH4698" i="2" s="1"/>
  <c r="X4698" i="2"/>
  <c r="AC4698" i="2" s="1"/>
  <c r="W4698" i="2"/>
  <c r="AE4697" i="2"/>
  <c r="AD4697" i="2"/>
  <c r="X4697" i="2"/>
  <c r="W4697" i="2"/>
  <c r="AE4696" i="2"/>
  <c r="AD4696" i="2"/>
  <c r="X4696" i="2"/>
  <c r="AB4696" i="2" s="1"/>
  <c r="AK4696" i="2" s="1"/>
  <c r="W4696" i="2"/>
  <c r="AE4695" i="2"/>
  <c r="AD4695" i="2"/>
  <c r="AH4695" i="2" s="1"/>
  <c r="X4695" i="2"/>
  <c r="AC4695" i="2" s="1"/>
  <c r="W4695" i="2"/>
  <c r="AE4694" i="2"/>
  <c r="AD4694" i="2"/>
  <c r="X4694" i="2"/>
  <c r="AB4694" i="2" s="1"/>
  <c r="AK4694" i="2" s="1"/>
  <c r="AE4693" i="2"/>
  <c r="AD4693" i="2"/>
  <c r="X4693" i="2"/>
  <c r="W4693" i="2"/>
  <c r="AE4692" i="2"/>
  <c r="AD4692" i="2"/>
  <c r="AH4692" i="2" s="1"/>
  <c r="X4692" i="2"/>
  <c r="W4692" i="2"/>
  <c r="AE4691" i="2"/>
  <c r="AD4691" i="2"/>
  <c r="X4691" i="2"/>
  <c r="AB4691" i="2" s="1"/>
  <c r="AK4691" i="2" s="1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X4687" i="2"/>
  <c r="AB4687" i="2" s="1"/>
  <c r="AK4687" i="2" s="1"/>
  <c r="W4687" i="2"/>
  <c r="AE4686" i="2"/>
  <c r="AD4686" i="2"/>
  <c r="AH4686" i="2" s="1"/>
  <c r="X4686" i="2"/>
  <c r="T4686" i="2"/>
  <c r="W4686" i="2"/>
  <c r="AE4685" i="2"/>
  <c r="AD4685" i="2"/>
  <c r="X4685" i="2"/>
  <c r="AC4685" i="2" s="1"/>
  <c r="T4685" i="2"/>
  <c r="W4685" i="2"/>
  <c r="AE4684" i="2"/>
  <c r="AD4684" i="2"/>
  <c r="X4684" i="2"/>
  <c r="W4684" i="2"/>
  <c r="AE4683" i="2"/>
  <c r="AD4683" i="2"/>
  <c r="X4683" i="2"/>
  <c r="W4683" i="2"/>
  <c r="AE4682" i="2"/>
  <c r="AD4682" i="2"/>
  <c r="X4682" i="2"/>
  <c r="W4682" i="2"/>
  <c r="AE4681" i="2"/>
  <c r="AD4681" i="2"/>
  <c r="X4681" i="2"/>
  <c r="W4681" i="2"/>
  <c r="AE4680" i="2"/>
  <c r="AD4680" i="2"/>
  <c r="X4680" i="2"/>
  <c r="AB4680" i="2" s="1"/>
  <c r="AK4680" i="2" s="1"/>
  <c r="W4680" i="2"/>
  <c r="AE4679" i="2"/>
  <c r="AD4679" i="2"/>
  <c r="Y4679" i="2" s="1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X4676" i="2"/>
  <c r="W4676" i="2"/>
  <c r="AE4675" i="2"/>
  <c r="AD4675" i="2"/>
  <c r="AF4675" i="2" s="1"/>
  <c r="X4675" i="2"/>
  <c r="W4675" i="2"/>
  <c r="AE4674" i="2"/>
  <c r="AD4674" i="2"/>
  <c r="AH4674" i="2" s="1"/>
  <c r="X4674" i="2"/>
  <c r="W4674" i="2"/>
  <c r="AE4673" i="2"/>
  <c r="AD4673" i="2"/>
  <c r="AF4673" i="2" s="1"/>
  <c r="X4673" i="2"/>
  <c r="W4673" i="2"/>
  <c r="AE4672" i="2"/>
  <c r="AD4672" i="2"/>
  <c r="X4672" i="2"/>
  <c r="W4672" i="2"/>
  <c r="AE4671" i="2"/>
  <c r="AD4671" i="2"/>
  <c r="AF4671" i="2" s="1"/>
  <c r="X4671" i="2"/>
  <c r="W4671" i="2"/>
  <c r="AE4670" i="2"/>
  <c r="AD4670" i="2"/>
  <c r="X4670" i="2"/>
  <c r="W4670" i="2"/>
  <c r="AE4669" i="2"/>
  <c r="AD4669" i="2"/>
  <c r="AF4669" i="2" s="1"/>
  <c r="X4669" i="2"/>
  <c r="W4669" i="2"/>
  <c r="AE4668" i="2"/>
  <c r="AD4668" i="2"/>
  <c r="X4668" i="2"/>
  <c r="W4668" i="2"/>
  <c r="AE4667" i="2"/>
  <c r="AD4667" i="2"/>
  <c r="Y4667" i="2" s="1"/>
  <c r="X4667" i="2"/>
  <c r="W4667" i="2"/>
  <c r="AE4666" i="2"/>
  <c r="AD4666" i="2"/>
  <c r="AH4666" i="2" s="1"/>
  <c r="X4666" i="2"/>
  <c r="W4666" i="2"/>
  <c r="AE4665" i="2"/>
  <c r="AD4665" i="2"/>
  <c r="X4665" i="2"/>
  <c r="AK4665" i="2" s="1"/>
  <c r="AE4664" i="2"/>
  <c r="AD4664" i="2"/>
  <c r="AH4664" i="2" s="1"/>
  <c r="X4664" i="2"/>
  <c r="AB4664" i="2" s="1"/>
  <c r="AK4664" i="2" s="1"/>
  <c r="W4664" i="2"/>
  <c r="AE4663" i="2"/>
  <c r="AD4663" i="2"/>
  <c r="AH4663" i="2" s="1"/>
  <c r="X4663" i="2"/>
  <c r="W4663" i="2"/>
  <c r="AE4662" i="2"/>
  <c r="AD4662" i="2"/>
  <c r="X4662" i="2"/>
  <c r="AB4662" i="2" s="1"/>
  <c r="AK4662" i="2" s="1"/>
  <c r="W4662" i="2"/>
  <c r="AE4661" i="2"/>
  <c r="AD4661" i="2"/>
  <c r="AH4661" i="2" s="1"/>
  <c r="X4661" i="2"/>
  <c r="AC4661" i="2" s="1"/>
  <c r="W4661" i="2"/>
  <c r="AE4660" i="2"/>
  <c r="AD4660" i="2"/>
  <c r="AH4660" i="2" s="1"/>
  <c r="X4660" i="2"/>
  <c r="AC4660" i="2" s="1"/>
  <c r="W4660" i="2"/>
  <c r="AE4659" i="2"/>
  <c r="AD4659" i="2"/>
  <c r="AH4659" i="2" s="1"/>
  <c r="X4659" i="2"/>
  <c r="AC4659" i="2" s="1"/>
  <c r="W4659" i="2"/>
  <c r="AE4658" i="2"/>
  <c r="AD4658" i="2"/>
  <c r="X4658" i="2"/>
  <c r="W4658" i="2"/>
  <c r="AE4657" i="2"/>
  <c r="AD4657" i="2"/>
  <c r="AH4657" i="2" s="1"/>
  <c r="X4657" i="2"/>
  <c r="Y4657" i="2" s="1"/>
  <c r="W4657" i="2"/>
  <c r="AE4656" i="2"/>
  <c r="AD4656" i="2"/>
  <c r="X4656" i="2"/>
  <c r="AB4656" i="2" s="1"/>
  <c r="AK4656" i="2" s="1"/>
  <c r="W4656" i="2"/>
  <c r="AE4655" i="2"/>
  <c r="AD4655" i="2"/>
  <c r="AH4655" i="2" s="1"/>
  <c r="X4655" i="2"/>
  <c r="AB4655" i="2" s="1"/>
  <c r="AK4655" i="2" s="1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AC4650" i="2" s="1"/>
  <c r="W4650" i="2"/>
  <c r="AH4649" i="2"/>
  <c r="AE4649" i="2"/>
  <c r="AD4649" i="2"/>
  <c r="X4649" i="2"/>
  <c r="AB4649" i="2" s="1"/>
  <c r="AK4649" i="2" s="1"/>
  <c r="W4649" i="2"/>
  <c r="AH4648" i="2"/>
  <c r="AE4648" i="2"/>
  <c r="AF4648" i="2" s="1"/>
  <c r="AD4648" i="2"/>
  <c r="X4648" i="2"/>
  <c r="AB4648" i="2" s="1"/>
  <c r="AK4648" i="2" s="1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Y4645" i="2" s="1"/>
  <c r="X4645" i="2"/>
  <c r="AH4644" i="2"/>
  <c r="AE4644" i="2"/>
  <c r="AD4644" i="2"/>
  <c r="X4644" i="2"/>
  <c r="W4644" i="2"/>
  <c r="AH4643" i="2"/>
  <c r="AE4643" i="2"/>
  <c r="AF4643" i="2" s="1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AC4637" i="2" s="1"/>
  <c r="W4637" i="2"/>
  <c r="AH4636" i="2"/>
  <c r="AE4636" i="2"/>
  <c r="AD4636" i="2"/>
  <c r="X4636" i="2"/>
  <c r="W4636" i="2"/>
  <c r="AH4635" i="2"/>
  <c r="AE4635" i="2"/>
  <c r="AF4635" i="2" s="1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F4627" i="2" s="1"/>
  <c r="AD4627" i="2"/>
  <c r="X4627" i="2"/>
  <c r="Y4627" i="2" s="1"/>
  <c r="W4627" i="2"/>
  <c r="AH4626" i="2"/>
  <c r="AE4626" i="2"/>
  <c r="AD4626" i="2"/>
  <c r="X4626" i="2"/>
  <c r="AB4626" i="2" s="1"/>
  <c r="AK4626" i="2" s="1"/>
  <c r="W4626" i="2"/>
  <c r="AH4625" i="2"/>
  <c r="AE4625" i="2"/>
  <c r="AD4625" i="2"/>
  <c r="X4625" i="2"/>
  <c r="AB4625" i="2" s="1"/>
  <c r="AK4625" i="2" s="1"/>
  <c r="W4625" i="2"/>
  <c r="AH4624" i="2"/>
  <c r="AE4624" i="2"/>
  <c r="AD4624" i="2"/>
  <c r="Y4624" i="2" s="1"/>
  <c r="X4624" i="2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F4619" i="2" s="1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AB4617" i="2" s="1"/>
  <c r="AK4617" i="2" s="1"/>
  <c r="W4617" i="2"/>
  <c r="AH4616" i="2"/>
  <c r="AE4616" i="2"/>
  <c r="AD4616" i="2"/>
  <c r="Y4616" i="2" s="1"/>
  <c r="X4616" i="2"/>
  <c r="W4616" i="2"/>
  <c r="AH4615" i="2"/>
  <c r="AE4615" i="2"/>
  <c r="AD4615" i="2"/>
  <c r="X4615" i="2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F4611" i="2" s="1"/>
  <c r="AD4611" i="2"/>
  <c r="X4611" i="2"/>
  <c r="AB4611" i="2" s="1"/>
  <c r="AK4611" i="2" s="1"/>
  <c r="W4611" i="2"/>
  <c r="AH4610" i="2"/>
  <c r="AE4610" i="2"/>
  <c r="AD4610" i="2"/>
  <c r="X4610" i="2"/>
  <c r="AB4610" i="2" s="1"/>
  <c r="AK4610" i="2" s="1"/>
  <c r="W4610" i="2"/>
  <c r="AH4609" i="2"/>
  <c r="AE4609" i="2"/>
  <c r="AD4609" i="2"/>
  <c r="X4609" i="2"/>
  <c r="W4609" i="2"/>
  <c r="AH4608" i="2"/>
  <c r="AE4608" i="2"/>
  <c r="AD4608" i="2"/>
  <c r="Y4608" i="2" s="1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AC4605" i="2" s="1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AC4597" i="2" s="1"/>
  <c r="W4597" i="2"/>
  <c r="AH4596" i="2"/>
  <c r="AE4596" i="2"/>
  <c r="AD4596" i="2"/>
  <c r="X4596" i="2"/>
  <c r="W4596" i="2"/>
  <c r="AH4595" i="2"/>
  <c r="AE4595" i="2"/>
  <c r="AF4595" i="2" s="1"/>
  <c r="AD4595" i="2"/>
  <c r="X4595" i="2"/>
  <c r="AB4595" i="2" s="1"/>
  <c r="AK4595" i="2" s="1"/>
  <c r="W4595" i="2"/>
  <c r="AH4594" i="2"/>
  <c r="AE4594" i="2"/>
  <c r="AD4594" i="2"/>
  <c r="X4594" i="2"/>
  <c r="R76" i="3" s="1"/>
  <c r="T76" i="3" s="1"/>
  <c r="U76" i="3" s="1"/>
  <c r="V76" i="3" s="1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B4591" i="2" s="1"/>
  <c r="AK4591" i="2" s="1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AB4588" i="2" s="1"/>
  <c r="AK4588" i="2" s="1"/>
  <c r="W4588" i="2"/>
  <c r="AH4587" i="2"/>
  <c r="AE4587" i="2"/>
  <c r="AD4587" i="2"/>
  <c r="X4587" i="2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AC4585" i="2" s="1"/>
  <c r="W4585" i="2"/>
  <c r="AH4584" i="2"/>
  <c r="AE4584" i="2"/>
  <c r="AD4584" i="2"/>
  <c r="X4584" i="2"/>
  <c r="AB4584" i="2" s="1"/>
  <c r="AK4584" i="2" s="1"/>
  <c r="W4584" i="2"/>
  <c r="AH4583" i="2"/>
  <c r="AE4583" i="2"/>
  <c r="AD4583" i="2"/>
  <c r="X4583" i="2"/>
  <c r="AB4583" i="2" s="1"/>
  <c r="AK4583" i="2" s="1"/>
  <c r="W4583" i="2"/>
  <c r="AH4582" i="2"/>
  <c r="AE4582" i="2"/>
  <c r="AF4582" i="2" s="1"/>
  <c r="AD4582" i="2"/>
  <c r="X4582" i="2"/>
  <c r="Y4582" i="2" s="1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W4580" i="2"/>
  <c r="AH4579" i="2"/>
  <c r="AE4579" i="2"/>
  <c r="AD4579" i="2"/>
  <c r="Y4579" i="2" s="1"/>
  <c r="X4579" i="2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AF4577" i="2" s="1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F4574" i="2" s="1"/>
  <c r="AD4574" i="2"/>
  <c r="X4574" i="2"/>
  <c r="AB4574" i="2" s="1"/>
  <c r="AK4574" i="2" s="1"/>
  <c r="W4574" i="2"/>
  <c r="AH4573" i="2"/>
  <c r="AE4573" i="2"/>
  <c r="AD4573" i="2"/>
  <c r="X4573" i="2"/>
  <c r="AB4573" i="2" s="1"/>
  <c r="AK4573" i="2" s="1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AF4569" i="2" s="1"/>
  <c r="X4569" i="2"/>
  <c r="W4569" i="2"/>
  <c r="AH4568" i="2"/>
  <c r="AE4568" i="2"/>
  <c r="AD4568" i="2"/>
  <c r="X4568" i="2"/>
  <c r="AC4568" i="2" s="1"/>
  <c r="W4568" i="2"/>
  <c r="AH4567" i="2"/>
  <c r="AE4567" i="2"/>
  <c r="AD4567" i="2"/>
  <c r="X4567" i="2"/>
  <c r="AK4567" i="2" s="1"/>
  <c r="W4567" i="2"/>
  <c r="AH4566" i="2"/>
  <c r="AE4566" i="2"/>
  <c r="AF4566" i="2" s="1"/>
  <c r="AD4566" i="2"/>
  <c r="X4566" i="2"/>
  <c r="AC4566" i="2" s="1"/>
  <c r="W4566" i="2"/>
  <c r="AH4565" i="2"/>
  <c r="AE4565" i="2"/>
  <c r="AD4565" i="2"/>
  <c r="X4565" i="2"/>
  <c r="AB4565" i="2" s="1"/>
  <c r="AK4565" i="2" s="1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AB4559" i="2" s="1"/>
  <c r="AK4559" i="2" s="1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AF4556" i="2" s="1"/>
  <c r="X4556" i="2"/>
  <c r="W4556" i="2"/>
  <c r="AH4555" i="2"/>
  <c r="AE4555" i="2"/>
  <c r="AD4555" i="2"/>
  <c r="X4555" i="2"/>
  <c r="AC4555" i="2" s="1"/>
  <c r="W4555" i="2"/>
  <c r="AH4554" i="2"/>
  <c r="AE4554" i="2"/>
  <c r="AD4554" i="2"/>
  <c r="X4554" i="2"/>
  <c r="W4554" i="2"/>
  <c r="AH4553" i="2"/>
  <c r="AE4553" i="2"/>
  <c r="AF4553" i="2" s="1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F4548" i="2" s="1"/>
  <c r="AD4548" i="2"/>
  <c r="X4548" i="2"/>
  <c r="AC4548" i="2" s="1"/>
  <c r="W4548" i="2"/>
  <c r="AH4547" i="2"/>
  <c r="AE4547" i="2"/>
  <c r="AD4547" i="2"/>
  <c r="X4547" i="2"/>
  <c r="W4547" i="2"/>
  <c r="AH4546" i="2"/>
  <c r="AE4546" i="2"/>
  <c r="AD4546" i="2"/>
  <c r="X4546" i="2"/>
  <c r="AC4546" i="2" s="1"/>
  <c r="W4546" i="2"/>
  <c r="AH4545" i="2"/>
  <c r="AE4545" i="2"/>
  <c r="AD4545" i="2"/>
  <c r="X4545" i="2"/>
  <c r="W4545" i="2"/>
  <c r="AH4544" i="2"/>
  <c r="AE4544" i="2"/>
  <c r="AD4544" i="2"/>
  <c r="X4544" i="2"/>
  <c r="AB4544" i="2" s="1"/>
  <c r="AK4544" i="2" s="1"/>
  <c r="W4544" i="2"/>
  <c r="AH4543" i="2"/>
  <c r="AE4543" i="2"/>
  <c r="AD4543" i="2"/>
  <c r="AF4543" i="2" s="1"/>
  <c r="X4543" i="2"/>
  <c r="AC4543" i="2" s="1"/>
  <c r="AH4542" i="2"/>
  <c r="AE4542" i="2"/>
  <c r="AD4542" i="2"/>
  <c r="X4542" i="2"/>
  <c r="AB4542" i="2" s="1"/>
  <c r="AK4542" i="2" s="1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AF4538" i="2" s="1"/>
  <c r="X4538" i="2"/>
  <c r="AB4538" i="2" s="1"/>
  <c r="AK4538" i="2" s="1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F4535" i="2" s="1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AB4533" i="2" s="1"/>
  <c r="AK4533" i="2" s="1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AF4530" i="2" s="1"/>
  <c r="X4530" i="2"/>
  <c r="AC4530" i="2" s="1"/>
  <c r="W4530" i="2"/>
  <c r="AH4529" i="2"/>
  <c r="AE4529" i="2"/>
  <c r="AD4529" i="2"/>
  <c r="X4529" i="2"/>
  <c r="Y4529" i="2" s="1"/>
  <c r="W4529" i="2"/>
  <c r="AH4528" i="2"/>
  <c r="AE4528" i="2"/>
  <c r="AD4528" i="2"/>
  <c r="X4528" i="2"/>
  <c r="AK4528" i="2" s="1"/>
  <c r="W4528" i="2"/>
  <c r="AH4527" i="2"/>
  <c r="AE4527" i="2"/>
  <c r="AF4527" i="2" s="1"/>
  <c r="AD4527" i="2"/>
  <c r="X4527" i="2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F4519" i="2" s="1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W4514" i="2"/>
  <c r="AH4513" i="2"/>
  <c r="AE4513" i="2"/>
  <c r="AD4513" i="2"/>
  <c r="X4513" i="2"/>
  <c r="AC4513" i="2" s="1"/>
  <c r="W4513" i="2"/>
  <c r="AH4512" i="2"/>
  <c r="AE4512" i="2"/>
  <c r="AD4512" i="2"/>
  <c r="X4512" i="2"/>
  <c r="W4512" i="2"/>
  <c r="AH4511" i="2"/>
  <c r="AE4511" i="2"/>
  <c r="AF4511" i="2" s="1"/>
  <c r="AD4511" i="2"/>
  <c r="X4511" i="2"/>
  <c r="AB4511" i="2" s="1"/>
  <c r="AK4511" i="2" s="1"/>
  <c r="W4511" i="2"/>
  <c r="AH4510" i="2"/>
  <c r="AE4510" i="2"/>
  <c r="AD4510" i="2"/>
  <c r="X4510" i="2"/>
  <c r="AH4509" i="2"/>
  <c r="AE4509" i="2"/>
  <c r="AD4509" i="2"/>
  <c r="AF4509" i="2" s="1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AB4506" i="2" s="1"/>
  <c r="AK4506" i="2" s="1"/>
  <c r="W4506" i="2"/>
  <c r="AH4505" i="2"/>
  <c r="AE4505" i="2"/>
  <c r="AD4505" i="2"/>
  <c r="X4505" i="2"/>
  <c r="W4505" i="2"/>
  <c r="AH4504" i="2"/>
  <c r="AE4504" i="2"/>
  <c r="AF4504" i="2" s="1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F4496" i="2" s="1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AF4491" i="2" s="1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F4488" i="2" s="1"/>
  <c r="AD4488" i="2"/>
  <c r="X4488" i="2"/>
  <c r="AC4488" i="2" s="1"/>
  <c r="W4488" i="2"/>
  <c r="AH4487" i="2"/>
  <c r="AE4487" i="2"/>
  <c r="AD4487" i="2"/>
  <c r="X4487" i="2"/>
  <c r="AB4487" i="2" s="1"/>
  <c r="AK4487" i="2" s="1"/>
  <c r="W4487" i="2"/>
  <c r="AH4486" i="2"/>
  <c r="AE4486" i="2"/>
  <c r="AD4486" i="2"/>
  <c r="X4486" i="2"/>
  <c r="AB4486" i="2" s="1"/>
  <c r="AK4486" i="2" s="1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AF4483" i="2" s="1"/>
  <c r="X4483" i="2"/>
  <c r="AC4483" i="2" s="1"/>
  <c r="W4483" i="2"/>
  <c r="AH4482" i="2"/>
  <c r="AE4482" i="2"/>
  <c r="AD4482" i="2"/>
  <c r="X4482" i="2"/>
  <c r="AC4482" i="2" s="1"/>
  <c r="W4482" i="2"/>
  <c r="AH4481" i="2"/>
  <c r="AE4481" i="2"/>
  <c r="AD4481" i="2"/>
  <c r="X4481" i="2"/>
  <c r="W4481" i="2"/>
  <c r="AH4480" i="2"/>
  <c r="AE4480" i="2"/>
  <c r="AF4480" i="2" s="1"/>
  <c r="AD4480" i="2"/>
  <c r="X4480" i="2"/>
  <c r="AC4480" i="2" s="1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Y4477" i="2" s="1"/>
  <c r="X4477" i="2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AC4475" i="2" s="1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F4472" i="2" s="1"/>
  <c r="AD4472" i="2"/>
  <c r="X4472" i="2"/>
  <c r="W4472" i="2"/>
  <c r="AH4471" i="2"/>
  <c r="AE4471" i="2"/>
  <c r="AD4471" i="2"/>
  <c r="X4471" i="2"/>
  <c r="AB4471" i="2" s="1"/>
  <c r="AK4471" i="2" s="1"/>
  <c r="W4471" i="2"/>
  <c r="AH4470" i="2"/>
  <c r="AE4470" i="2"/>
  <c r="AD4470" i="2"/>
  <c r="X4470" i="2"/>
  <c r="AB4470" i="2" s="1"/>
  <c r="AK4470" i="2" s="1"/>
  <c r="W4470" i="2"/>
  <c r="AH4469" i="2"/>
  <c r="AE4469" i="2"/>
  <c r="AD4469" i="2"/>
  <c r="Y4469" i="2" s="1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AF4467" i="2" s="1"/>
  <c r="X4467" i="2"/>
  <c r="AB4467" i="2" s="1"/>
  <c r="AK4467" i="2" s="1"/>
  <c r="W4467" i="2"/>
  <c r="AH4466" i="2"/>
  <c r="AE4466" i="2"/>
  <c r="AD4466" i="2"/>
  <c r="X4466" i="2"/>
  <c r="AC4466" i="2" s="1"/>
  <c r="W4466" i="2"/>
  <c r="AH4465" i="2"/>
  <c r="AE4465" i="2"/>
  <c r="AD4465" i="2"/>
  <c r="X4465" i="2"/>
  <c r="W4465" i="2"/>
  <c r="AH4464" i="2"/>
  <c r="AE4464" i="2"/>
  <c r="AF4464" i="2" s="1"/>
  <c r="AD4464" i="2"/>
  <c r="X4464" i="2"/>
  <c r="AC4464" i="2" s="1"/>
  <c r="W4464" i="2"/>
  <c r="AH4463" i="2"/>
  <c r="AE4463" i="2"/>
  <c r="AD4463" i="2"/>
  <c r="X4463" i="2"/>
  <c r="AB4463" i="2" s="1"/>
  <c r="AK4463" i="2" s="1"/>
  <c r="W4463" i="2"/>
  <c r="AH4462" i="2"/>
  <c r="AE4462" i="2"/>
  <c r="AD4462" i="2"/>
  <c r="X4462" i="2"/>
  <c r="W4462" i="2"/>
  <c r="AH4461" i="2"/>
  <c r="AE4461" i="2"/>
  <c r="AD4461" i="2"/>
  <c r="Y4461" i="2" s="1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F4456" i="2" s="1"/>
  <c r="AD4456" i="2"/>
  <c r="X4456" i="2"/>
  <c r="AB4456" i="2" s="1"/>
  <c r="AK4456" i="2" s="1"/>
  <c r="W4456" i="2"/>
  <c r="AH4455" i="2"/>
  <c r="AE4455" i="2"/>
  <c r="AD4455" i="2"/>
  <c r="X4455" i="2"/>
  <c r="W4455" i="2"/>
  <c r="AH4454" i="2"/>
  <c r="AE4454" i="2"/>
  <c r="AD4454" i="2"/>
  <c r="X4454" i="2"/>
  <c r="AB4454" i="2" s="1"/>
  <c r="AK4454" i="2" s="1"/>
  <c r="W4454" i="2"/>
  <c r="AH4453" i="2"/>
  <c r="AE4453" i="2"/>
  <c r="AD4453" i="2"/>
  <c r="Y4453" i="2" s="1"/>
  <c r="X4453" i="2"/>
  <c r="W4453" i="2"/>
  <c r="AH4452" i="2"/>
  <c r="AE4452" i="2"/>
  <c r="AD4452" i="2"/>
  <c r="X4452" i="2"/>
  <c r="W4452" i="2"/>
  <c r="AH4451" i="2"/>
  <c r="AE4451" i="2"/>
  <c r="AD4451" i="2"/>
  <c r="AF4451" i="2" s="1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F4448" i="2" s="1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AB4446" i="2" s="1"/>
  <c r="AK4446" i="2" s="1"/>
  <c r="W4446" i="2"/>
  <c r="AH4445" i="2"/>
  <c r="AE4445" i="2"/>
  <c r="AD4445" i="2"/>
  <c r="Y4445" i="2" s="1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AF4443" i="2" s="1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Y4437" i="2" s="1"/>
  <c r="X4437" i="2"/>
  <c r="AK4437" i="2" s="1"/>
  <c r="W4437" i="2"/>
  <c r="AH4436" i="2"/>
  <c r="AE4436" i="2"/>
  <c r="AD4436" i="2"/>
  <c r="X4436" i="2"/>
  <c r="W4436" i="2"/>
  <c r="AH4435" i="2"/>
  <c r="AE4435" i="2"/>
  <c r="AD4435" i="2"/>
  <c r="AF4435" i="2" s="1"/>
  <c r="X4435" i="2"/>
  <c r="AC4435" i="2" s="1"/>
  <c r="W4435" i="2"/>
  <c r="AH4434" i="2"/>
  <c r="AE4434" i="2"/>
  <c r="AD4434" i="2"/>
  <c r="X4434" i="2"/>
  <c r="AC4434" i="2" s="1"/>
  <c r="W4434" i="2"/>
  <c r="AH4433" i="2"/>
  <c r="AE4433" i="2"/>
  <c r="AD4433" i="2"/>
  <c r="X4433" i="2"/>
  <c r="W4433" i="2"/>
  <c r="AH4432" i="2"/>
  <c r="AE4432" i="2"/>
  <c r="AF4432" i="2" s="1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AB4430" i="2" s="1"/>
  <c r="AK4430" i="2" s="1"/>
  <c r="W4430" i="2"/>
  <c r="AH4429" i="2"/>
  <c r="AE4429" i="2"/>
  <c r="AD4429" i="2"/>
  <c r="AF4429" i="2" s="1"/>
  <c r="X4429" i="2"/>
  <c r="W4429" i="2"/>
  <c r="AH4428" i="2"/>
  <c r="AE4428" i="2"/>
  <c r="AD4428" i="2"/>
  <c r="X4428" i="2"/>
  <c r="W4428" i="2"/>
  <c r="AH4427" i="2"/>
  <c r="AE4427" i="2"/>
  <c r="AD4427" i="2"/>
  <c r="AF4427" i="2" s="1"/>
  <c r="X4427" i="2"/>
  <c r="W4427" i="2"/>
  <c r="AH4426" i="2"/>
  <c r="AE4426" i="2"/>
  <c r="AD4426" i="2"/>
  <c r="X4426" i="2"/>
  <c r="AC4426" i="2" s="1"/>
  <c r="W4426" i="2"/>
  <c r="AH4425" i="2"/>
  <c r="AE4425" i="2"/>
  <c r="AD4425" i="2"/>
  <c r="X4425" i="2"/>
  <c r="AK4425" i="2" s="1"/>
  <c r="W4425" i="2"/>
  <c r="AH4424" i="2"/>
  <c r="AE4424" i="2"/>
  <c r="AF4424" i="2" s="1"/>
  <c r="AD4424" i="2"/>
  <c r="X4424" i="2"/>
  <c r="AC4424" i="2" s="1"/>
  <c r="W4424" i="2"/>
  <c r="AH4423" i="2"/>
  <c r="AE4423" i="2"/>
  <c r="AD4423" i="2"/>
  <c r="X4423" i="2"/>
  <c r="AB4423" i="2" s="1"/>
  <c r="AK4423" i="2" s="1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AF4419" i="2" s="1"/>
  <c r="X4419" i="2"/>
  <c r="W4419" i="2"/>
  <c r="AH4418" i="2"/>
  <c r="AE4418" i="2"/>
  <c r="AD4418" i="2"/>
  <c r="X4418" i="2"/>
  <c r="W4418" i="2"/>
  <c r="AH4417" i="2"/>
  <c r="AE4417" i="2"/>
  <c r="AD4417" i="2"/>
  <c r="X4417" i="2"/>
  <c r="AB4417" i="2" s="1"/>
  <c r="AK4417" i="2" s="1"/>
  <c r="W4417" i="2"/>
  <c r="AH4416" i="2"/>
  <c r="AE4416" i="2"/>
  <c r="AF4416" i="2" s="1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AF4411" i="2" s="1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F4408" i="2" s="1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AB4406" i="2" s="1"/>
  <c r="AK4406" i="2" s="1"/>
  <c r="W4406" i="2"/>
  <c r="AH4405" i="2"/>
  <c r="AE4405" i="2"/>
  <c r="AD4405" i="2"/>
  <c r="AF4405" i="2" s="1"/>
  <c r="X4405" i="2"/>
  <c r="W4405" i="2"/>
  <c r="AH4404" i="2"/>
  <c r="AE4404" i="2"/>
  <c r="AD4404" i="2"/>
  <c r="X4404" i="2"/>
  <c r="W4404" i="2"/>
  <c r="AH4403" i="2"/>
  <c r="AE4403" i="2"/>
  <c r="AD4403" i="2"/>
  <c r="AF4403" i="2" s="1"/>
  <c r="X4403" i="2"/>
  <c r="AC4403" i="2" s="1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F4400" i="2" s="1"/>
  <c r="AD4400" i="2"/>
  <c r="X4400" i="2"/>
  <c r="AC4400" i="2" s="1"/>
  <c r="W4400" i="2"/>
  <c r="AH4399" i="2"/>
  <c r="AE4399" i="2"/>
  <c r="AD4399" i="2"/>
  <c r="X4399" i="2"/>
  <c r="AB4399" i="2" s="1"/>
  <c r="AK4399" i="2" s="1"/>
  <c r="W4399" i="2"/>
  <c r="AH4398" i="2"/>
  <c r="AE4398" i="2"/>
  <c r="AD4398" i="2"/>
  <c r="X4398" i="2"/>
  <c r="AC4398" i="2" s="1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AB4395" i="2" s="1"/>
  <c r="AK4395" i="2" s="1"/>
  <c r="W4395" i="2"/>
  <c r="AH4394" i="2"/>
  <c r="AD4394" i="2"/>
  <c r="AF4394" i="2" s="1"/>
  <c r="X4394" i="2"/>
  <c r="W4394" i="2"/>
  <c r="AH4393" i="2"/>
  <c r="AE4393" i="2"/>
  <c r="AD4393" i="2"/>
  <c r="AF4393" i="2" s="1"/>
  <c r="X4393" i="2"/>
  <c r="AB4393" i="2" s="1"/>
  <c r="AK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AH4390" i="2"/>
  <c r="AE4390" i="2"/>
  <c r="AD4390" i="2"/>
  <c r="AF4390" i="2" s="1"/>
  <c r="X4390" i="2"/>
  <c r="W4390" i="2"/>
  <c r="AH4389" i="2"/>
  <c r="AE4389" i="2"/>
  <c r="AD4389" i="2"/>
  <c r="X4389" i="2"/>
  <c r="W4389" i="2"/>
  <c r="AH4388" i="2"/>
  <c r="AE4388" i="2"/>
  <c r="AD4388" i="2"/>
  <c r="AF4388" i="2" s="1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AB4386" i="2" s="1"/>
  <c r="AK4386" i="2" s="1"/>
  <c r="W4386" i="2"/>
  <c r="AH4385" i="2"/>
  <c r="AE4385" i="2"/>
  <c r="AF4385" i="2" s="1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AF4382" i="2" s="1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AB4379" i="2" s="1"/>
  <c r="AK4379" i="2" s="1"/>
  <c r="W4379" i="2"/>
  <c r="AH4378" i="2"/>
  <c r="AE4378" i="2"/>
  <c r="AD4378" i="2"/>
  <c r="X4378" i="2"/>
  <c r="W4378" i="2"/>
  <c r="AH4377" i="2"/>
  <c r="AE4377" i="2"/>
  <c r="AD4377" i="2"/>
  <c r="X4377" i="2"/>
  <c r="AC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AF4374" i="2" s="1"/>
  <c r="X4374" i="2"/>
  <c r="AB4374" i="2" s="1"/>
  <c r="AK4374" i="2" s="1"/>
  <c r="W4374" i="2"/>
  <c r="AH4373" i="2"/>
  <c r="AE4373" i="2"/>
  <c r="AD4373" i="2"/>
  <c r="X4373" i="2"/>
  <c r="W4373" i="2"/>
  <c r="AH4372" i="2"/>
  <c r="AE4372" i="2"/>
  <c r="AD4372" i="2"/>
  <c r="AF4372" i="2" s="1"/>
  <c r="X4372" i="2"/>
  <c r="W4372" i="2"/>
  <c r="AH4371" i="2"/>
  <c r="AE4371" i="2"/>
  <c r="AD4371" i="2"/>
  <c r="X4371" i="2"/>
  <c r="W4371" i="2"/>
  <c r="AH4370" i="2"/>
  <c r="AE4370" i="2"/>
  <c r="AD4370" i="2"/>
  <c r="X4370" i="2"/>
  <c r="AB4370" i="2" s="1"/>
  <c r="AK4370" i="2" s="1"/>
  <c r="W4370" i="2"/>
  <c r="AH4369" i="2"/>
  <c r="AE4369" i="2"/>
  <c r="AF4369" i="2" s="1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AF4366" i="2" s="1"/>
  <c r="X4366" i="2"/>
  <c r="W4366" i="2"/>
  <c r="AH4365" i="2"/>
  <c r="AE4365" i="2"/>
  <c r="AD4365" i="2"/>
  <c r="X4365" i="2"/>
  <c r="W4365" i="2"/>
  <c r="AH4364" i="2"/>
  <c r="AE4364" i="2"/>
  <c r="AD4364" i="2"/>
  <c r="AF4364" i="2" s="1"/>
  <c r="X4364" i="2"/>
  <c r="W4364" i="2"/>
  <c r="AH4363" i="2"/>
  <c r="AE4363" i="2"/>
  <c r="AD4363" i="2"/>
  <c r="X4363" i="2"/>
  <c r="AC4363" i="2" s="1"/>
  <c r="W4363" i="2"/>
  <c r="AH4362" i="2"/>
  <c r="AE4362" i="2"/>
  <c r="AD4362" i="2"/>
  <c r="X4362" i="2"/>
  <c r="AB4362" i="2" s="1"/>
  <c r="AK4362" i="2" s="1"/>
  <c r="W4362" i="2"/>
  <c r="AH4361" i="2"/>
  <c r="AE4361" i="2"/>
  <c r="AF4361" i="2" s="1"/>
  <c r="AD4361" i="2"/>
  <c r="X4361" i="2"/>
  <c r="W4361" i="2"/>
  <c r="AH4360" i="2"/>
  <c r="AE4360" i="2"/>
  <c r="AD4360" i="2"/>
  <c r="X4360" i="2"/>
  <c r="AB4360" i="2" s="1"/>
  <c r="AK4360" i="2" s="1"/>
  <c r="W4360" i="2"/>
  <c r="AH4359" i="2"/>
  <c r="AE4359" i="2"/>
  <c r="AD4359" i="2"/>
  <c r="X4359" i="2"/>
  <c r="W4359" i="2"/>
  <c r="AH4358" i="2"/>
  <c r="AE4358" i="2"/>
  <c r="AD4358" i="2"/>
  <c r="AF4358" i="2" s="1"/>
  <c r="X4358" i="2"/>
  <c r="AB4358" i="2" s="1"/>
  <c r="AK4358" i="2" s="1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W4354" i="2"/>
  <c r="AH4353" i="2"/>
  <c r="AE4353" i="2"/>
  <c r="AF4353" i="2" s="1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AF4350" i="2" s="1"/>
  <c r="X4350" i="2"/>
  <c r="W4350" i="2"/>
  <c r="AH4349" i="2"/>
  <c r="AE4349" i="2"/>
  <c r="AD4349" i="2"/>
  <c r="X4349" i="2"/>
  <c r="W4349" i="2"/>
  <c r="AH4348" i="2"/>
  <c r="AE4348" i="2"/>
  <c r="AD4348" i="2"/>
  <c r="AF4348" i="2" s="1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F4345" i="2" s="1"/>
  <c r="AD4345" i="2"/>
  <c r="X4345" i="2"/>
  <c r="AC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AC4342" i="2" s="1"/>
  <c r="W4342" i="2"/>
  <c r="AH4341" i="2"/>
  <c r="AE4341" i="2"/>
  <c r="AD4341" i="2"/>
  <c r="X4341" i="2"/>
  <c r="W4341" i="2"/>
  <c r="AH4340" i="2"/>
  <c r="AE4340" i="2"/>
  <c r="AF4340" i="2" s="1"/>
  <c r="AD4340" i="2"/>
  <c r="X4340" i="2"/>
  <c r="W4340" i="2"/>
  <c r="AH4339" i="2"/>
  <c r="AE4339" i="2"/>
  <c r="AD4339" i="2"/>
  <c r="X4339" i="2"/>
  <c r="AB4339" i="2" s="1"/>
  <c r="AK4339" i="2" s="1"/>
  <c r="W4339" i="2"/>
  <c r="AH4338" i="2"/>
  <c r="AE4338" i="2"/>
  <c r="AD4338" i="2"/>
  <c r="X4338" i="2"/>
  <c r="W4338" i="2"/>
  <c r="AH4337" i="2"/>
  <c r="AE4337" i="2"/>
  <c r="AD4337" i="2"/>
  <c r="Y4337" i="2" s="1"/>
  <c r="X4337" i="2"/>
  <c r="AB4337" i="2" s="1"/>
  <c r="AK4337" i="2" s="1"/>
  <c r="W4337" i="2"/>
  <c r="AH4336" i="2"/>
  <c r="AE4336" i="2"/>
  <c r="AD4336" i="2"/>
  <c r="X4336" i="2"/>
  <c r="W4336" i="2"/>
  <c r="AH4335" i="2"/>
  <c r="AE4335" i="2"/>
  <c r="AD4335" i="2"/>
  <c r="AF4335" i="2" s="1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F4332" i="2" s="1"/>
  <c r="AD4332" i="2"/>
  <c r="X4332" i="2"/>
  <c r="AC4332" i="2" s="1"/>
  <c r="W4332" i="2"/>
  <c r="AH4331" i="2"/>
  <c r="AE4331" i="2"/>
  <c r="AD4331" i="2"/>
  <c r="X4331" i="2"/>
  <c r="AB4331" i="2" s="1"/>
  <c r="AK4331" i="2" s="1"/>
  <c r="AH4330" i="2"/>
  <c r="AE4330" i="2"/>
  <c r="AD4330" i="2"/>
  <c r="AF4330" i="2" s="1"/>
  <c r="X4330" i="2"/>
  <c r="W4330" i="2"/>
  <c r="AH4329" i="2"/>
  <c r="AE4329" i="2"/>
  <c r="AD4329" i="2"/>
  <c r="X4329" i="2"/>
  <c r="W4329" i="2"/>
  <c r="AH4328" i="2"/>
  <c r="AE4328" i="2"/>
  <c r="AD4328" i="2"/>
  <c r="X4328" i="2"/>
  <c r="AB4328" i="2" s="1"/>
  <c r="AK4328" i="2" s="1"/>
  <c r="W4328" i="2"/>
  <c r="AH4327" i="2"/>
  <c r="AE4327" i="2"/>
  <c r="AF4327" i="2" s="1"/>
  <c r="AD4327" i="2"/>
  <c r="X4327" i="2"/>
  <c r="AB4327" i="2" s="1"/>
  <c r="AK4327" i="2" s="1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AF4324" i="2" s="1"/>
  <c r="X4324" i="2"/>
  <c r="W4324" i="2"/>
  <c r="AH4323" i="2"/>
  <c r="AE4323" i="2"/>
  <c r="AD4323" i="2"/>
  <c r="X4323" i="2"/>
  <c r="W4323" i="2"/>
  <c r="AH4322" i="2"/>
  <c r="AE4322" i="2"/>
  <c r="AD4322" i="2"/>
  <c r="AF4322" i="2" s="1"/>
  <c r="X4322" i="2"/>
  <c r="AC4322" i="2" s="1"/>
  <c r="W4322" i="2"/>
  <c r="AH4321" i="2"/>
  <c r="AE4321" i="2"/>
  <c r="AD4321" i="2"/>
  <c r="X4321" i="2"/>
  <c r="AB4321" i="2" s="1"/>
  <c r="AK4321" i="2" s="1"/>
  <c r="W4321" i="2"/>
  <c r="AH4320" i="2"/>
  <c r="AE4320" i="2"/>
  <c r="AD4320" i="2"/>
  <c r="X4320" i="2"/>
  <c r="Y4320" i="2" s="1"/>
  <c r="W4320" i="2"/>
  <c r="AH4319" i="2"/>
  <c r="AE4319" i="2"/>
  <c r="AF4319" i="2" s="1"/>
  <c r="AD4319" i="2"/>
  <c r="X4319" i="2"/>
  <c r="W4319" i="2"/>
  <c r="AH4318" i="2"/>
  <c r="AE4318" i="2"/>
  <c r="AD4318" i="2"/>
  <c r="Y4318" i="2" s="1"/>
  <c r="X4318" i="2"/>
  <c r="W4318" i="2"/>
  <c r="AH4317" i="2"/>
  <c r="AE4317" i="2"/>
  <c r="AD4317" i="2"/>
  <c r="X4317" i="2"/>
  <c r="W4317" i="2"/>
  <c r="AH4316" i="2"/>
  <c r="AE4316" i="2"/>
  <c r="AD4316" i="2"/>
  <c r="AF4316" i="2" s="1"/>
  <c r="X4316" i="2"/>
  <c r="W4316" i="2"/>
  <c r="AH4315" i="2"/>
  <c r="AE4315" i="2"/>
  <c r="AD4315" i="2"/>
  <c r="X4315" i="2"/>
  <c r="W4315" i="2"/>
  <c r="AH4314" i="2"/>
  <c r="AE4314" i="2"/>
  <c r="AD4314" i="2"/>
  <c r="X4314" i="2"/>
  <c r="AC4314" i="2" s="1"/>
  <c r="W4314" i="2"/>
  <c r="AH4313" i="2"/>
  <c r="AE4313" i="2"/>
  <c r="AD4313" i="2"/>
  <c r="X4313" i="2"/>
  <c r="AC4313" i="2" s="1"/>
  <c r="W4313" i="2"/>
  <c r="AH4312" i="2"/>
  <c r="AE4312" i="2"/>
  <c r="AD4312" i="2"/>
  <c r="X4312" i="2"/>
  <c r="W4312" i="2"/>
  <c r="AH4311" i="2"/>
  <c r="AE4311" i="2"/>
  <c r="AF4311" i="2" s="1"/>
  <c r="AD4311" i="2"/>
  <c r="X4311" i="2"/>
  <c r="W4311" i="2"/>
  <c r="AH4310" i="2"/>
  <c r="AE4310" i="2"/>
  <c r="AD4310" i="2"/>
  <c r="X4310" i="2"/>
  <c r="AB4310" i="2" s="1"/>
  <c r="AK4310" i="2" s="1"/>
  <c r="W4310" i="2"/>
  <c r="AH4309" i="2"/>
  <c r="AE4309" i="2"/>
  <c r="AD4309" i="2"/>
  <c r="X4309" i="2"/>
  <c r="W4309" i="2"/>
  <c r="AH4308" i="2"/>
  <c r="AE4308" i="2"/>
  <c r="AD4308" i="2"/>
  <c r="AF4308" i="2" s="1"/>
  <c r="X4308" i="2"/>
  <c r="AB4308" i="2" s="1"/>
  <c r="AK4308" i="2" s="1"/>
  <c r="W4308" i="2"/>
  <c r="AH4307" i="2"/>
  <c r="AE4307" i="2"/>
  <c r="AD4307" i="2"/>
  <c r="X4307" i="2"/>
  <c r="W4307" i="2"/>
  <c r="AH4306" i="2"/>
  <c r="AE4306" i="2"/>
  <c r="AD4306" i="2"/>
  <c r="AF4306" i="2" s="1"/>
  <c r="X4306" i="2"/>
  <c r="AB4306" i="2" s="1"/>
  <c r="AK4306" i="2" s="1"/>
  <c r="W4306" i="2"/>
  <c r="AH4305" i="2"/>
  <c r="AE4305" i="2"/>
  <c r="AD4305" i="2"/>
  <c r="X4305" i="2"/>
  <c r="AC4305" i="2" s="1"/>
  <c r="W4305" i="2"/>
  <c r="AH4304" i="2"/>
  <c r="AE4304" i="2"/>
  <c r="AD4304" i="2"/>
  <c r="X4304" i="2"/>
  <c r="W4304" i="2"/>
  <c r="AH4303" i="2"/>
  <c r="AE4303" i="2"/>
  <c r="AF4303" i="2" s="1"/>
  <c r="AD4303" i="2"/>
  <c r="X4303" i="2"/>
  <c r="W4303" i="2"/>
  <c r="AH4302" i="2"/>
  <c r="AE4302" i="2"/>
  <c r="AD4302" i="2"/>
  <c r="X4302" i="2"/>
  <c r="AB4302" i="2" s="1"/>
  <c r="AK4302" i="2" s="1"/>
  <c r="W4302" i="2"/>
  <c r="AH4301" i="2"/>
  <c r="AE4301" i="2"/>
  <c r="AD4301" i="2"/>
  <c r="X4301" i="2"/>
  <c r="W4301" i="2"/>
  <c r="AH4300" i="2"/>
  <c r="AE4300" i="2"/>
  <c r="AD4300" i="2"/>
  <c r="AF4300" i="2" s="1"/>
  <c r="X4300" i="2"/>
  <c r="W4300" i="2"/>
  <c r="AH4299" i="2"/>
  <c r="AE4299" i="2"/>
  <c r="AD4299" i="2"/>
  <c r="X4299" i="2"/>
  <c r="W4299" i="2"/>
  <c r="AH4298" i="2"/>
  <c r="AE4298" i="2"/>
  <c r="AD4298" i="2"/>
  <c r="AF4298" i="2" s="1"/>
  <c r="X4298" i="2"/>
  <c r="AB4298" i="2" s="1"/>
  <c r="AK4298" i="2" s="1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F4295" i="2" s="1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AF4292" i="2" s="1"/>
  <c r="X4292" i="2"/>
  <c r="W4292" i="2"/>
  <c r="AH4291" i="2"/>
  <c r="AE4291" i="2"/>
  <c r="AD4291" i="2"/>
  <c r="X4291" i="2"/>
  <c r="W4291" i="2"/>
  <c r="AH4290" i="2"/>
  <c r="AE4290" i="2"/>
  <c r="AD4290" i="2"/>
  <c r="AF4290" i="2" s="1"/>
  <c r="X4290" i="2"/>
  <c r="W4290" i="2"/>
  <c r="AH4289" i="2"/>
  <c r="AE4289" i="2"/>
  <c r="AD4289" i="2"/>
  <c r="X4289" i="2"/>
  <c r="W4289" i="2"/>
  <c r="AH4288" i="2"/>
  <c r="AE4288" i="2"/>
  <c r="AD4288" i="2"/>
  <c r="X4288" i="2"/>
  <c r="AB4288" i="2" s="1"/>
  <c r="AK4288" i="2" s="1"/>
  <c r="W4288" i="2"/>
  <c r="AH4287" i="2"/>
  <c r="AE4287" i="2"/>
  <c r="AF4287" i="2" s="1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AF4284" i="2" s="1"/>
  <c r="X4284" i="2"/>
  <c r="W4284" i="2"/>
  <c r="AH4283" i="2"/>
  <c r="AE4283" i="2"/>
  <c r="AD4283" i="2"/>
  <c r="X4283" i="2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F4279" i="2" s="1"/>
  <c r="AD4279" i="2"/>
  <c r="X4279" i="2"/>
  <c r="W4279" i="2"/>
  <c r="AH4278" i="2"/>
  <c r="AE4278" i="2"/>
  <c r="AD4278" i="2"/>
  <c r="X4278" i="2"/>
  <c r="AB4278" i="2" s="1"/>
  <c r="AK4278" i="2" s="1"/>
  <c r="W4278" i="2"/>
  <c r="AH4277" i="2"/>
  <c r="AE4277" i="2"/>
  <c r="AD4277" i="2"/>
  <c r="X4277" i="2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D4274" i="2"/>
  <c r="AF4274" i="2" s="1"/>
  <c r="X4274" i="2"/>
  <c r="W4274" i="2"/>
  <c r="AH4273" i="2"/>
  <c r="AE4273" i="2"/>
  <c r="AD4273" i="2"/>
  <c r="X4273" i="2"/>
  <c r="AC4273" i="2" s="1"/>
  <c r="W4273" i="2"/>
  <c r="AH4272" i="2"/>
  <c r="AE4272" i="2"/>
  <c r="AD4272" i="2"/>
  <c r="Y4272" i="2" s="1"/>
  <c r="AC4272" i="2"/>
  <c r="W4272" i="2"/>
  <c r="AH4271" i="2"/>
  <c r="AE4271" i="2"/>
  <c r="AF4271" i="2" s="1"/>
  <c r="AD4271" i="2"/>
  <c r="X4271" i="2"/>
  <c r="W4271" i="2"/>
  <c r="AH4270" i="2"/>
  <c r="AE4270" i="2"/>
  <c r="AD4270" i="2"/>
  <c r="Y4270" i="2" s="1"/>
  <c r="X4270" i="2"/>
  <c r="AB4270" i="2" s="1"/>
  <c r="AK4270" i="2" s="1"/>
  <c r="W4270" i="2"/>
  <c r="AH4269" i="2"/>
  <c r="AE4269" i="2"/>
  <c r="AD4269" i="2"/>
  <c r="X4269" i="2"/>
  <c r="W4269" i="2"/>
  <c r="AH4268" i="2"/>
  <c r="AE4268" i="2"/>
  <c r="AD4268" i="2"/>
  <c r="AF4268" i="2" s="1"/>
  <c r="X4268" i="2"/>
  <c r="W4268" i="2"/>
  <c r="AH4267" i="2"/>
  <c r="AE4267" i="2"/>
  <c r="AD4267" i="2"/>
  <c r="X4267" i="2"/>
  <c r="W4267" i="2"/>
  <c r="AH4266" i="2"/>
  <c r="AE4266" i="2"/>
  <c r="AD4266" i="2"/>
  <c r="AF4266" i="2" s="1"/>
  <c r="X4266" i="2"/>
  <c r="AC4266" i="2" s="1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AF4263" i="2" s="1"/>
  <c r="X4263" i="2"/>
  <c r="W4263" i="2"/>
  <c r="AH4262" i="2"/>
  <c r="AE4262" i="2"/>
  <c r="AD4262" i="2"/>
  <c r="X4262" i="2"/>
  <c r="W4262" i="2"/>
  <c r="AH4261" i="2"/>
  <c r="AE4261" i="2"/>
  <c r="AD4261" i="2"/>
  <c r="AF4261" i="2" s="1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F4258" i="2" s="1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AF4255" i="2" s="1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B4252" i="2" s="1"/>
  <c r="AK4252" i="2" s="1"/>
  <c r="W4252" i="2"/>
  <c r="AH4251" i="2"/>
  <c r="AE4251" i="2"/>
  <c r="AD4251" i="2"/>
  <c r="X4251" i="2"/>
  <c r="W4251" i="2"/>
  <c r="AH4250" i="2"/>
  <c r="AE4250" i="2"/>
  <c r="AF4250" i="2" s="1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AF4247" i="2" s="1"/>
  <c r="X4247" i="2"/>
  <c r="W4247" i="2"/>
  <c r="AH4246" i="2"/>
  <c r="AE4246" i="2"/>
  <c r="AD4246" i="2"/>
  <c r="X4246" i="2"/>
  <c r="W4246" i="2"/>
  <c r="AH4245" i="2"/>
  <c r="AE4245" i="2"/>
  <c r="AD4245" i="2"/>
  <c r="AF4245" i="2" s="1"/>
  <c r="X4245" i="2"/>
  <c r="AC4245" i="2" s="1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F4242" i="2" s="1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AF4239" i="2" s="1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AF4237" i="2" s="1"/>
  <c r="X4237" i="2"/>
  <c r="AC4237" i="2" s="1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F4234" i="2" s="1"/>
  <c r="AD4234" i="2"/>
  <c r="X4234" i="2"/>
  <c r="W4234" i="2"/>
  <c r="AH4233" i="2"/>
  <c r="AE4233" i="2"/>
  <c r="AD4233" i="2"/>
  <c r="X4233" i="2"/>
  <c r="AB4233" i="2" s="1"/>
  <c r="AK4233" i="2" s="1"/>
  <c r="W4233" i="2"/>
  <c r="AH4232" i="2"/>
  <c r="AE4232" i="2"/>
  <c r="AD4232" i="2"/>
  <c r="X4232" i="2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W4230" i="2"/>
  <c r="AH4229" i="2"/>
  <c r="AE4229" i="2"/>
  <c r="AD4229" i="2"/>
  <c r="AF4229" i="2" s="1"/>
  <c r="X4229" i="2"/>
  <c r="AB4229" i="2" s="1"/>
  <c r="AK4229" i="2" s="1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F4226" i="2" s="1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AF4223" i="2" s="1"/>
  <c r="X4223" i="2"/>
  <c r="AB4223" i="2" s="1"/>
  <c r="AK4223" i="2" s="1"/>
  <c r="W4223" i="2"/>
  <c r="AH4222" i="2"/>
  <c r="AE4222" i="2"/>
  <c r="AD4222" i="2"/>
  <c r="X4222" i="2"/>
  <c r="AB4222" i="2" s="1"/>
  <c r="AK4222" i="2" s="1"/>
  <c r="W4222" i="2"/>
  <c r="AH4221" i="2"/>
  <c r="AE4221" i="2"/>
  <c r="AD4221" i="2"/>
  <c r="AF4221" i="2" s="1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F4218" i="2" s="1"/>
  <c r="AD4218" i="2"/>
  <c r="X4218" i="2"/>
  <c r="AC4218" i="2" s="1"/>
  <c r="W4218" i="2"/>
  <c r="AH4217" i="2"/>
  <c r="AE4217" i="2"/>
  <c r="AD4217" i="2"/>
  <c r="Y4217" i="2" s="1"/>
  <c r="X4217" i="2"/>
  <c r="W4217" i="2"/>
  <c r="AH4216" i="2"/>
  <c r="AE4216" i="2"/>
  <c r="AD4216" i="2"/>
  <c r="X4216" i="2"/>
  <c r="W4216" i="2"/>
  <c r="AH4215" i="2"/>
  <c r="AE4215" i="2"/>
  <c r="AD4215" i="2"/>
  <c r="AF4215" i="2" s="1"/>
  <c r="X4215" i="2"/>
  <c r="AB4215" i="2" s="1"/>
  <c r="AK4215" i="2" s="1"/>
  <c r="W4215" i="2"/>
  <c r="AH4214" i="2"/>
  <c r="AE4214" i="2"/>
  <c r="AD4214" i="2"/>
  <c r="X4214" i="2"/>
  <c r="W4214" i="2"/>
  <c r="AH4213" i="2"/>
  <c r="AE4213" i="2"/>
  <c r="AD4213" i="2"/>
  <c r="AF4213" i="2" s="1"/>
  <c r="X4213" i="2"/>
  <c r="W4213" i="2"/>
  <c r="AH4212" i="2"/>
  <c r="AE4212" i="2"/>
  <c r="AD4212" i="2"/>
  <c r="X4212" i="2"/>
  <c r="AC4212" i="2" s="1"/>
  <c r="W4212" i="2"/>
  <c r="AH4211" i="2"/>
  <c r="AE4211" i="2"/>
  <c r="AD4211" i="2"/>
  <c r="X4211" i="2"/>
  <c r="W4211" i="2"/>
  <c r="AH4210" i="2"/>
  <c r="AE4210" i="2"/>
  <c r="AF4210" i="2" s="1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AF4207" i="2" s="1"/>
  <c r="X4207" i="2"/>
  <c r="AB4207" i="2" s="1"/>
  <c r="AK4207" i="2" s="1"/>
  <c r="W4207" i="2"/>
  <c r="AH4206" i="2"/>
  <c r="AE4206" i="2"/>
  <c r="AD4206" i="2"/>
  <c r="X4206" i="2"/>
  <c r="AB4206" i="2" s="1"/>
  <c r="AK4206" i="2" s="1"/>
  <c r="W4206" i="2"/>
  <c r="AH4205" i="2"/>
  <c r="AE4205" i="2"/>
  <c r="AD4205" i="2"/>
  <c r="AF4205" i="2" s="1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AB4203" i="2" s="1"/>
  <c r="AK4203" i="2" s="1"/>
  <c r="W4203" i="2"/>
  <c r="AH4202" i="2"/>
  <c r="AE4202" i="2"/>
  <c r="AF4202" i="2" s="1"/>
  <c r="AD4202" i="2"/>
  <c r="X4202" i="2"/>
  <c r="W4202" i="2"/>
  <c r="AH4201" i="2"/>
  <c r="AE4201" i="2"/>
  <c r="AD4201" i="2"/>
  <c r="X4201" i="2"/>
  <c r="AB4201" i="2" s="1"/>
  <c r="AK4201" i="2" s="1"/>
  <c r="W4201" i="2"/>
  <c r="AH4200" i="2"/>
  <c r="AE4200" i="2"/>
  <c r="AD4200" i="2"/>
  <c r="X4200" i="2"/>
  <c r="W4200" i="2"/>
  <c r="AH4199" i="2"/>
  <c r="AE4199" i="2"/>
  <c r="AD4199" i="2"/>
  <c r="AF4199" i="2" s="1"/>
  <c r="X4199" i="2"/>
  <c r="W4199" i="2"/>
  <c r="AH4198" i="2"/>
  <c r="AE4198" i="2"/>
  <c r="AD4198" i="2"/>
  <c r="X4198" i="2"/>
  <c r="W4198" i="2"/>
  <c r="AH4197" i="2"/>
  <c r="AE4197" i="2"/>
  <c r="AD4197" i="2"/>
  <c r="AF4197" i="2" s="1"/>
  <c r="X4197" i="2"/>
  <c r="AB4197" i="2" s="1"/>
  <c r="AK4197" i="2" s="1"/>
  <c r="W4197" i="2"/>
  <c r="AH4196" i="2"/>
  <c r="AE4196" i="2"/>
  <c r="AD4196" i="2"/>
  <c r="X4196" i="2"/>
  <c r="AC4196" i="2" s="1"/>
  <c r="W4196" i="2"/>
  <c r="AH4195" i="2"/>
  <c r="AE4195" i="2"/>
  <c r="AD4195" i="2"/>
  <c r="X4195" i="2"/>
  <c r="W4195" i="2"/>
  <c r="AH4194" i="2"/>
  <c r="AE4194" i="2"/>
  <c r="AF4194" i="2" s="1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AF4191" i="2" s="1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AB4188" i="2" s="1"/>
  <c r="AK4188" i="2" s="1"/>
  <c r="W4188" i="2"/>
  <c r="AH4187" i="2"/>
  <c r="AE4187" i="2"/>
  <c r="AD4187" i="2"/>
  <c r="X4187" i="2"/>
  <c r="AB4187" i="2" s="1"/>
  <c r="AK4187" i="2" s="1"/>
  <c r="W4187" i="2"/>
  <c r="AH4186" i="2"/>
  <c r="AE4186" i="2"/>
  <c r="AF4186" i="2" s="1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AF4183" i="2" s="1"/>
  <c r="X4183" i="2"/>
  <c r="W4183" i="2"/>
  <c r="AH4182" i="2"/>
  <c r="AE4182" i="2"/>
  <c r="AD4182" i="2"/>
  <c r="X4182" i="2"/>
  <c r="W4182" i="2"/>
  <c r="AH4181" i="2"/>
  <c r="AE4181" i="2"/>
  <c r="AD4181" i="2"/>
  <c r="AF4181" i="2" s="1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F4178" i="2" s="1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AF4175" i="2" s="1"/>
  <c r="X4175" i="2"/>
  <c r="W4175" i="2"/>
  <c r="AH4174" i="2"/>
  <c r="AE4174" i="2"/>
  <c r="AD4174" i="2"/>
  <c r="X4174" i="2"/>
  <c r="W4174" i="2"/>
  <c r="AH4173" i="2"/>
  <c r="AE4173" i="2"/>
  <c r="AD4173" i="2"/>
  <c r="AF4173" i="2" s="1"/>
  <c r="X4173" i="2"/>
  <c r="AC4173" i="2" s="1"/>
  <c r="W4173" i="2"/>
  <c r="AH4172" i="2"/>
  <c r="AE4172" i="2"/>
  <c r="AD4172" i="2"/>
  <c r="X4172" i="2"/>
  <c r="AC4172" i="2" s="1"/>
  <c r="W4172" i="2"/>
  <c r="AH4171" i="2"/>
  <c r="AE4171" i="2"/>
  <c r="AD4171" i="2"/>
  <c r="X4171" i="2"/>
  <c r="W4171" i="2"/>
  <c r="AH4170" i="2"/>
  <c r="AE4170" i="2"/>
  <c r="AF4170" i="2" s="1"/>
  <c r="AD4170" i="2"/>
  <c r="X4170" i="2"/>
  <c r="AB4170" i="2" s="1"/>
  <c r="AK4170" i="2" s="1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W4168" i="2"/>
  <c r="AH4167" i="2"/>
  <c r="AE4167" i="2"/>
  <c r="AD4167" i="2"/>
  <c r="AF4167" i="2" s="1"/>
  <c r="X4167" i="2"/>
  <c r="AC4167" i="2" s="1"/>
  <c r="W4167" i="2"/>
  <c r="AH4166" i="2"/>
  <c r="AE4166" i="2"/>
  <c r="AD4166" i="2"/>
  <c r="X4166" i="2"/>
  <c r="AB4166" i="2" s="1"/>
  <c r="AK4166" i="2" s="1"/>
  <c r="W4166" i="2"/>
  <c r="AH4165" i="2"/>
  <c r="AE4165" i="2"/>
  <c r="AD4165" i="2"/>
  <c r="AF4165" i="2" s="1"/>
  <c r="X4165" i="2"/>
  <c r="AB4165" i="2" s="1"/>
  <c r="AK4165" i="2" s="1"/>
  <c r="W4165" i="2"/>
  <c r="AH4164" i="2"/>
  <c r="AE4164" i="2"/>
  <c r="AD4164" i="2"/>
  <c r="X4164" i="2"/>
  <c r="W4164" i="2"/>
  <c r="AH4163" i="2"/>
  <c r="AE4163" i="2"/>
  <c r="AD4163" i="2"/>
  <c r="X4163" i="2"/>
  <c r="AB4163" i="2" s="1"/>
  <c r="AK4163" i="2" s="1"/>
  <c r="W4163" i="2"/>
  <c r="AH4162" i="2"/>
  <c r="AE4162" i="2"/>
  <c r="AF4162" i="2" s="1"/>
  <c r="AD4162" i="2"/>
  <c r="X4162" i="2"/>
  <c r="W4162" i="2"/>
  <c r="AH4161" i="2"/>
  <c r="AE4161" i="2"/>
  <c r="AD4161" i="2"/>
  <c r="Y4161" i="2" s="1"/>
  <c r="X4161" i="2"/>
  <c r="W4161" i="2"/>
  <c r="AH4160" i="2"/>
  <c r="AE4160" i="2"/>
  <c r="AD4160" i="2"/>
  <c r="X4160" i="2"/>
  <c r="AB4160" i="2" s="1"/>
  <c r="AK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AF4157" i="2" s="1"/>
  <c r="X4157" i="2"/>
  <c r="AB4157" i="2" s="1"/>
  <c r="AK4157" i="2" s="1"/>
  <c r="W4157" i="2"/>
  <c r="AH4156" i="2"/>
  <c r="AE4156" i="2"/>
  <c r="AD4156" i="2"/>
  <c r="X4156" i="2"/>
  <c r="W4156" i="2"/>
  <c r="AH4155" i="2"/>
  <c r="AE4155" i="2"/>
  <c r="AD4155" i="2"/>
  <c r="X4155" i="2"/>
  <c r="AB4155" i="2" s="1"/>
  <c r="AK4155" i="2" s="1"/>
  <c r="W4155" i="2"/>
  <c r="AH4154" i="2"/>
  <c r="AE4154" i="2"/>
  <c r="AF4154" i="2" s="1"/>
  <c r="AD4154" i="2"/>
  <c r="X4154" i="2"/>
  <c r="AC4154" i="2" s="1"/>
  <c r="W4154" i="2"/>
  <c r="AH4153" i="2"/>
  <c r="AE4153" i="2"/>
  <c r="AD4153" i="2"/>
  <c r="Y4153" i="2" s="1"/>
  <c r="X4153" i="2"/>
  <c r="W4153" i="2"/>
  <c r="AH4152" i="2"/>
  <c r="AE4152" i="2"/>
  <c r="AD4152" i="2"/>
  <c r="X4152" i="2"/>
  <c r="W4152" i="2"/>
  <c r="AH4151" i="2"/>
  <c r="AE4151" i="2"/>
  <c r="AD4151" i="2"/>
  <c r="AF4151" i="2" s="1"/>
  <c r="X4151" i="2"/>
  <c r="W4151" i="2"/>
  <c r="AH4150" i="2"/>
  <c r="AE4150" i="2"/>
  <c r="AD4150" i="2"/>
  <c r="X4150" i="2"/>
  <c r="AB4150" i="2" s="1"/>
  <c r="AK4150" i="2" s="1"/>
  <c r="W4150" i="2"/>
  <c r="AH4149" i="2"/>
  <c r="AE4149" i="2"/>
  <c r="AD4149" i="2"/>
  <c r="AF4149" i="2" s="1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F4146" i="2" s="1"/>
  <c r="AD4146" i="2"/>
  <c r="X4146" i="2"/>
  <c r="W4146" i="2"/>
  <c r="AH4145" i="2"/>
  <c r="AE4145" i="2"/>
  <c r="AD4145" i="2"/>
  <c r="X4145" i="2"/>
  <c r="AB4145" i="2" s="1"/>
  <c r="AK4145" i="2" s="1"/>
  <c r="W4145" i="2"/>
  <c r="AH4144" i="2"/>
  <c r="AE4144" i="2"/>
  <c r="AD4144" i="2"/>
  <c r="X4144" i="2"/>
  <c r="W4144" i="2"/>
  <c r="AH4143" i="2"/>
  <c r="AE4143" i="2"/>
  <c r="AD4143" i="2"/>
  <c r="AF4143" i="2" s="1"/>
  <c r="X4143" i="2"/>
  <c r="AB4143" i="2" s="1"/>
  <c r="AK4143" i="2" s="1"/>
  <c r="W4143" i="2"/>
  <c r="AH4142" i="2"/>
  <c r="AE4142" i="2"/>
  <c r="AD4142" i="2"/>
  <c r="X4142" i="2"/>
  <c r="AB4142" i="2" s="1"/>
  <c r="AK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F4138" i="2" s="1"/>
  <c r="AD4138" i="2"/>
  <c r="X4138" i="2"/>
  <c r="W4138" i="2"/>
  <c r="AH4137" i="2"/>
  <c r="AE4137" i="2"/>
  <c r="AD4137" i="2"/>
  <c r="X4137" i="2"/>
  <c r="AB4137" i="2" s="1"/>
  <c r="AK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AF4133" i="2" s="1"/>
  <c r="X4133" i="2"/>
  <c r="AB4133" i="2" s="1"/>
  <c r="AK4133" i="2" s="1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F4130" i="2" s="1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AF4127" i="2" s="1"/>
  <c r="X4127" i="2"/>
  <c r="W4127" i="2"/>
  <c r="AH4126" i="2"/>
  <c r="AE4126" i="2"/>
  <c r="AD4126" i="2"/>
  <c r="X4126" i="2"/>
  <c r="W4126" i="2"/>
  <c r="AH4125" i="2"/>
  <c r="AE4125" i="2"/>
  <c r="AD4125" i="2"/>
  <c r="AF4125" i="2" s="1"/>
  <c r="X4125" i="2"/>
  <c r="W4125" i="2"/>
  <c r="AH4124" i="2"/>
  <c r="AE4124" i="2"/>
  <c r="AD4124" i="2"/>
  <c r="X4124" i="2"/>
  <c r="AB4124" i="2" s="1"/>
  <c r="AK4124" i="2" s="1"/>
  <c r="W4124" i="2"/>
  <c r="AH4123" i="2"/>
  <c r="AE4123" i="2"/>
  <c r="AD4123" i="2"/>
  <c r="X4123" i="2"/>
  <c r="W4123" i="2"/>
  <c r="AH4122" i="2"/>
  <c r="AE4122" i="2"/>
  <c r="AF4122" i="2" s="1"/>
  <c r="AD4122" i="2"/>
  <c r="X4122" i="2"/>
  <c r="W4122" i="2"/>
  <c r="AH4121" i="2"/>
  <c r="AE4121" i="2"/>
  <c r="AD4121" i="2"/>
  <c r="Y4121" i="2" s="1"/>
  <c r="X4121" i="2"/>
  <c r="W4121" i="2"/>
  <c r="AH4120" i="2"/>
  <c r="AE4120" i="2"/>
  <c r="AD4120" i="2"/>
  <c r="X4120" i="2"/>
  <c r="W4120" i="2"/>
  <c r="AH4119" i="2"/>
  <c r="AE4119" i="2"/>
  <c r="AD4119" i="2"/>
  <c r="AF4119" i="2" s="1"/>
  <c r="X4119" i="2"/>
  <c r="W4119" i="2"/>
  <c r="AH4118" i="2"/>
  <c r="AE4118" i="2"/>
  <c r="AD4118" i="2"/>
  <c r="X4118" i="2"/>
  <c r="W4118" i="2"/>
  <c r="AH4117" i="2"/>
  <c r="AE4117" i="2"/>
  <c r="AD4117" i="2"/>
  <c r="AF4117" i="2" s="1"/>
  <c r="X4117" i="2"/>
  <c r="AB4117" i="2" s="1"/>
  <c r="AK4117" i="2" s="1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F4114" i="2" s="1"/>
  <c r="AD4114" i="2"/>
  <c r="X4114" i="2"/>
  <c r="AC4114" i="2" s="1"/>
  <c r="W4114" i="2"/>
  <c r="AH4113" i="2"/>
  <c r="AE4113" i="2"/>
  <c r="AD4113" i="2"/>
  <c r="Y4113" i="2" s="1"/>
  <c r="AC4113" i="2"/>
  <c r="W4113" i="2"/>
  <c r="AH4112" i="2"/>
  <c r="AE4112" i="2"/>
  <c r="AD4112" i="2"/>
  <c r="X4112" i="2"/>
  <c r="AB4112" i="2" s="1"/>
  <c r="AK4112" i="2" s="1"/>
  <c r="W4112" i="2"/>
  <c r="AH4111" i="2"/>
  <c r="AE4111" i="2"/>
  <c r="AD4111" i="2"/>
  <c r="AF4111" i="2" s="1"/>
  <c r="X4111" i="2"/>
  <c r="W4111" i="2"/>
  <c r="AH4110" i="2"/>
  <c r="AE4110" i="2"/>
  <c r="AD4110" i="2"/>
  <c r="X4110" i="2"/>
  <c r="AC4110" i="2" s="1"/>
  <c r="AH4109" i="2"/>
  <c r="AE4109" i="2"/>
  <c r="AF4109" i="2" s="1"/>
  <c r="AD4109" i="2"/>
  <c r="X4109" i="2"/>
  <c r="AC4109" i="2" s="1"/>
  <c r="W4109" i="2"/>
  <c r="AH4108" i="2"/>
  <c r="AE4108" i="2"/>
  <c r="AD4108" i="2"/>
  <c r="Y4108" i="2" s="1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AF4106" i="2" s="1"/>
  <c r="X4106" i="2"/>
  <c r="AC4106" i="2" s="1"/>
  <c r="W4106" i="2"/>
  <c r="AH4105" i="2"/>
  <c r="AE4105" i="2"/>
  <c r="AD4105" i="2"/>
  <c r="X4105" i="2"/>
  <c r="W4105" i="2"/>
  <c r="AH4104" i="2"/>
  <c r="AE4104" i="2"/>
  <c r="AD4104" i="2"/>
  <c r="AF4104" i="2" s="1"/>
  <c r="X4104" i="2"/>
  <c r="AB4104" i="2" s="1"/>
  <c r="AK4104" i="2" s="1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F4101" i="2" s="1"/>
  <c r="AD4101" i="2"/>
  <c r="X4101" i="2"/>
  <c r="AB4101" i="2" s="1"/>
  <c r="W4101" i="2"/>
  <c r="AH4100" i="2"/>
  <c r="AE4100" i="2"/>
  <c r="AD4100" i="2"/>
  <c r="X4100" i="2"/>
  <c r="W4100" i="2"/>
  <c r="AH4099" i="2"/>
  <c r="AE4099" i="2"/>
  <c r="AD4099" i="2"/>
  <c r="X4099" i="2"/>
  <c r="AB4099" i="2" s="1"/>
  <c r="AK4099" i="2" s="1"/>
  <c r="W4099" i="2"/>
  <c r="AH4098" i="2"/>
  <c r="AE4098" i="2"/>
  <c r="AD4098" i="2"/>
  <c r="AF4098" i="2" s="1"/>
  <c r="X4098" i="2"/>
  <c r="W4098" i="2"/>
  <c r="AH4097" i="2"/>
  <c r="AE4097" i="2"/>
  <c r="AD4097" i="2"/>
  <c r="X4097" i="2"/>
  <c r="AB4097" i="2" s="1"/>
  <c r="AK4097" i="2" s="1"/>
  <c r="W4097" i="2"/>
  <c r="AH4096" i="2"/>
  <c r="AE4096" i="2"/>
  <c r="AD4096" i="2"/>
  <c r="AF4096" i="2" s="1"/>
  <c r="X4096" i="2"/>
  <c r="AC4096" i="2" s="1"/>
  <c r="W4096" i="2"/>
  <c r="AH4095" i="2"/>
  <c r="AE4095" i="2"/>
  <c r="AD4095" i="2"/>
  <c r="X4095" i="2"/>
  <c r="W4095" i="2"/>
  <c r="AH4094" i="2"/>
  <c r="AE4094" i="2"/>
  <c r="AD4094" i="2"/>
  <c r="X4094" i="2"/>
  <c r="AB4094" i="2" s="1"/>
  <c r="AK4094" i="2" s="1"/>
  <c r="W4094" i="2"/>
  <c r="AH4093" i="2"/>
  <c r="AE4093" i="2"/>
  <c r="AF4093" i="2" s="1"/>
  <c r="AD4093" i="2"/>
  <c r="X4093" i="2"/>
  <c r="W4093" i="2"/>
  <c r="AH4092" i="2"/>
  <c r="AE4092" i="2"/>
  <c r="AD4092" i="2"/>
  <c r="X4092" i="2"/>
  <c r="AB4092" i="2" s="1"/>
  <c r="AK4092" i="2" s="1"/>
  <c r="W4092" i="2"/>
  <c r="AH4091" i="2"/>
  <c r="AE4091" i="2"/>
  <c r="AD4091" i="2"/>
  <c r="X4091" i="2"/>
  <c r="W4091" i="2"/>
  <c r="AH4090" i="2"/>
  <c r="AE4090" i="2"/>
  <c r="AD4090" i="2"/>
  <c r="AF4090" i="2" s="1"/>
  <c r="X4090" i="2"/>
  <c r="W4090" i="2"/>
  <c r="AH4089" i="2"/>
  <c r="AE4089" i="2"/>
  <c r="AD4089" i="2"/>
  <c r="X4089" i="2"/>
  <c r="AB4089" i="2" s="1"/>
  <c r="AK4089" i="2" s="1"/>
  <c r="W4089" i="2"/>
  <c r="AH4088" i="2"/>
  <c r="AE4088" i="2"/>
  <c r="AD4088" i="2"/>
  <c r="X4088" i="2"/>
  <c r="AC4088" i="2" s="1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AF4085" i="2" s="1"/>
  <c r="X4085" i="2"/>
  <c r="AH4084" i="2"/>
  <c r="AE4084" i="2"/>
  <c r="AD4084" i="2"/>
  <c r="X4084" i="2"/>
  <c r="W4084" i="2"/>
  <c r="AH4083" i="2"/>
  <c r="AE4083" i="2"/>
  <c r="AF4083" i="2" s="1"/>
  <c r="AD4083" i="2"/>
  <c r="X4083" i="2"/>
  <c r="AC4083" i="2" s="1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AF4080" i="2" s="1"/>
  <c r="X4080" i="2"/>
  <c r="W4080" i="2"/>
  <c r="AH4079" i="2"/>
  <c r="AE4079" i="2"/>
  <c r="AD4079" i="2"/>
  <c r="X4079" i="2"/>
  <c r="AC4079" i="2" s="1"/>
  <c r="W4079" i="2"/>
  <c r="AH4078" i="2"/>
  <c r="AE4078" i="2"/>
  <c r="AD4078" i="2"/>
  <c r="AF4078" i="2" s="1"/>
  <c r="X4078" i="2"/>
  <c r="AB4078" i="2" s="1"/>
  <c r="AK4078" i="2" s="1"/>
  <c r="W4078" i="2"/>
  <c r="AH4077" i="2"/>
  <c r="AE4077" i="2"/>
  <c r="AD4077" i="2"/>
  <c r="X4077" i="2"/>
  <c r="AC4077" i="2" s="1"/>
  <c r="W4077" i="2"/>
  <c r="AH4076" i="2"/>
  <c r="AE4076" i="2"/>
  <c r="AD4076" i="2"/>
  <c r="X4076" i="2"/>
  <c r="AB4076" i="2" s="1"/>
  <c r="AK4076" i="2" s="1"/>
  <c r="W4076" i="2"/>
  <c r="AH4075" i="2"/>
  <c r="AE4075" i="2"/>
  <c r="AF4075" i="2" s="1"/>
  <c r="AD4075" i="2"/>
  <c r="X4075" i="2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AF4070" i="2" s="1"/>
  <c r="X4070" i="2"/>
  <c r="AB4070" i="2" s="1"/>
  <c r="AK4070" i="2" s="1"/>
  <c r="W4070" i="2"/>
  <c r="AH4069" i="2"/>
  <c r="AE4069" i="2"/>
  <c r="AD4069" i="2"/>
  <c r="X4069" i="2"/>
  <c r="W4069" i="2"/>
  <c r="AH4068" i="2"/>
  <c r="AE4068" i="2"/>
  <c r="AD4068" i="2"/>
  <c r="X4068" i="2"/>
  <c r="AB4068" i="2" s="1"/>
  <c r="AK4068" i="2" s="1"/>
  <c r="W4068" i="2"/>
  <c r="AH4067" i="2"/>
  <c r="AE4067" i="2"/>
  <c r="AF4067" i="2" s="1"/>
  <c r="AD4067" i="2"/>
  <c r="X4067" i="2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AF4064" i="2" s="1"/>
  <c r="X4064" i="2"/>
  <c r="W4064" i="2"/>
  <c r="AH4063" i="2"/>
  <c r="AE4063" i="2"/>
  <c r="AD4063" i="2"/>
  <c r="X4063" i="2"/>
  <c r="W4063" i="2"/>
  <c r="AH4062" i="2"/>
  <c r="AE4062" i="2"/>
  <c r="AD4062" i="2"/>
  <c r="AF4062" i="2" s="1"/>
  <c r="X4062" i="2"/>
  <c r="AB4062" i="2" s="1"/>
  <c r="AK4062" i="2" s="1"/>
  <c r="W4062" i="2"/>
  <c r="AH4061" i="2"/>
  <c r="AE4061" i="2"/>
  <c r="AD4061" i="2"/>
  <c r="X4061" i="2"/>
  <c r="W4061" i="2"/>
  <c r="AH4060" i="2"/>
  <c r="AE4060" i="2"/>
  <c r="AD4060" i="2"/>
  <c r="X4060" i="2"/>
  <c r="AB4060" i="2" s="1"/>
  <c r="AK4060" i="2" s="1"/>
  <c r="W4060" i="2"/>
  <c r="AH4059" i="2"/>
  <c r="AE4059" i="2"/>
  <c r="AF4059" i="2" s="1"/>
  <c r="AD4059" i="2"/>
  <c r="X4059" i="2"/>
  <c r="W4059" i="2"/>
  <c r="AH4058" i="2"/>
  <c r="AE4058" i="2"/>
  <c r="AD4058" i="2"/>
  <c r="X4058" i="2"/>
  <c r="AB4058" i="2" s="1"/>
  <c r="AK4058" i="2" s="1"/>
  <c r="W4058" i="2"/>
  <c r="AH4057" i="2"/>
  <c r="AE4057" i="2"/>
  <c r="AD4057" i="2"/>
  <c r="X4057" i="2"/>
  <c r="W4057" i="2"/>
  <c r="AH4056" i="2"/>
  <c r="AE4056" i="2"/>
  <c r="AD4056" i="2"/>
  <c r="AF4056" i="2" s="1"/>
  <c r="X4056" i="2"/>
  <c r="W4056" i="2"/>
  <c r="AH4055" i="2"/>
  <c r="AE4055" i="2"/>
  <c r="AD4055" i="2"/>
  <c r="X4055" i="2"/>
  <c r="AB4055" i="2" s="1"/>
  <c r="AK4055" i="2" s="1"/>
  <c r="W4055" i="2"/>
  <c r="AH4054" i="2"/>
  <c r="AE4054" i="2"/>
  <c r="AD4054" i="2"/>
  <c r="AF4054" i="2" s="1"/>
  <c r="X4054" i="2"/>
  <c r="AC4054" i="2" s="1"/>
  <c r="W4054" i="2"/>
  <c r="AH4053" i="2"/>
  <c r="AE4053" i="2"/>
  <c r="AD4053" i="2"/>
  <c r="X4053" i="2"/>
  <c r="AB4053" i="2" s="1"/>
  <c r="AK4053" i="2" s="1"/>
  <c r="W4053" i="2"/>
  <c r="AH4052" i="2"/>
  <c r="AE4052" i="2"/>
  <c r="AD4052" i="2"/>
  <c r="X4052" i="2"/>
  <c r="W4052" i="2"/>
  <c r="AH4051" i="2"/>
  <c r="AE4051" i="2"/>
  <c r="AF4051" i="2" s="1"/>
  <c r="AD4051" i="2"/>
  <c r="X4051" i="2"/>
  <c r="AC4051" i="2" s="1"/>
  <c r="W4051" i="2"/>
  <c r="AH4050" i="2"/>
  <c r="AE4050" i="2"/>
  <c r="AD4050" i="2"/>
  <c r="X4050" i="2"/>
  <c r="W4050" i="2"/>
  <c r="AH4049" i="2"/>
  <c r="AE4049" i="2"/>
  <c r="AD4049" i="2"/>
  <c r="X4049" i="2"/>
  <c r="AB4049" i="2" s="1"/>
  <c r="AK4049" i="2" s="1"/>
  <c r="W4049" i="2"/>
  <c r="AH4048" i="2"/>
  <c r="AE4048" i="2"/>
  <c r="AD4048" i="2"/>
  <c r="AF4048" i="2" s="1"/>
  <c r="X4048" i="2"/>
  <c r="AC4048" i="2" s="1"/>
  <c r="W4048" i="2"/>
  <c r="AH4047" i="2"/>
  <c r="AE4047" i="2"/>
  <c r="AD4047" i="2"/>
  <c r="X4047" i="2"/>
  <c r="AB4047" i="2" s="1"/>
  <c r="AK4047" i="2" s="1"/>
  <c r="W4047" i="2"/>
  <c r="AH4046" i="2"/>
  <c r="AE4046" i="2"/>
  <c r="AD4046" i="2"/>
  <c r="AF4046" i="2" s="1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F4043" i="2" s="1"/>
  <c r="AD4043" i="2"/>
  <c r="X4043" i="2"/>
  <c r="AB4043" i="2" s="1"/>
  <c r="AK4043" i="2" s="1"/>
  <c r="W4043" i="2"/>
  <c r="AH4042" i="2"/>
  <c r="AE4042" i="2"/>
  <c r="AD4042" i="2"/>
  <c r="Y4042" i="2" s="1"/>
  <c r="X4042" i="2"/>
  <c r="AB4042" i="2" s="1"/>
  <c r="AK4042" i="2" s="1"/>
  <c r="W4042" i="2"/>
  <c r="AH4041" i="2"/>
  <c r="AE4041" i="2"/>
  <c r="AD4041" i="2"/>
  <c r="X4041" i="2"/>
  <c r="W4041" i="2"/>
  <c r="AH4040" i="2"/>
  <c r="AE4040" i="2"/>
  <c r="AD4040" i="2"/>
  <c r="AF4040" i="2" s="1"/>
  <c r="X4040" i="2"/>
  <c r="W4040" i="2"/>
  <c r="AH4039" i="2"/>
  <c r="AE4039" i="2"/>
  <c r="AD4039" i="2"/>
  <c r="X4039" i="2"/>
  <c r="W4039" i="2"/>
  <c r="AH4038" i="2"/>
  <c r="AE4038" i="2"/>
  <c r="AD4038" i="2"/>
  <c r="AF4038" i="2" s="1"/>
  <c r="X4038" i="2"/>
  <c r="W4038" i="2"/>
  <c r="AH4037" i="2"/>
  <c r="AE4037" i="2"/>
  <c r="AD4037" i="2"/>
  <c r="X4037" i="2"/>
  <c r="W4037" i="2"/>
  <c r="AH4036" i="2"/>
  <c r="AE4036" i="2"/>
  <c r="AD4036" i="2"/>
  <c r="X4036" i="2"/>
  <c r="AB4036" i="2" s="1"/>
  <c r="AK4036" i="2" s="1"/>
  <c r="W4036" i="2"/>
  <c r="AH4035" i="2"/>
  <c r="AE4035" i="2"/>
  <c r="AF4035" i="2" s="1"/>
  <c r="AD4035" i="2"/>
  <c r="X4035" i="2"/>
  <c r="AC4035" i="2" s="1"/>
  <c r="W4035" i="2"/>
  <c r="AH4034" i="2"/>
  <c r="AE4034" i="2"/>
  <c r="AD4034" i="2"/>
  <c r="X4034" i="2"/>
  <c r="W4034" i="2"/>
  <c r="AH4033" i="2"/>
  <c r="AE4033" i="2"/>
  <c r="AD4033" i="2"/>
  <c r="X4033" i="2"/>
  <c r="AB4033" i="2" s="1"/>
  <c r="AK4033" i="2" s="1"/>
  <c r="W4033" i="2"/>
  <c r="AH4032" i="2"/>
  <c r="AE4032" i="2"/>
  <c r="AD4032" i="2"/>
  <c r="AF4032" i="2" s="1"/>
  <c r="X4032" i="2"/>
  <c r="W4032" i="2"/>
  <c r="AH4031" i="2"/>
  <c r="AE4031" i="2"/>
  <c r="AD4031" i="2"/>
  <c r="X4031" i="2"/>
  <c r="AB4031" i="2" s="1"/>
  <c r="AK4031" i="2" s="1"/>
  <c r="W4031" i="2"/>
  <c r="AH4030" i="2"/>
  <c r="AE4030" i="2"/>
  <c r="AD4030" i="2"/>
  <c r="AF4030" i="2" s="1"/>
  <c r="X4030" i="2"/>
  <c r="AB4030" i="2" s="1"/>
  <c r="AK4030" i="2" s="1"/>
  <c r="W4030" i="2"/>
  <c r="AH4029" i="2"/>
  <c r="AE4029" i="2"/>
  <c r="AD4029" i="2"/>
  <c r="X4029" i="2"/>
  <c r="W4029" i="2"/>
  <c r="AH4028" i="2"/>
  <c r="AE4028" i="2"/>
  <c r="AD4028" i="2"/>
  <c r="X4028" i="2"/>
  <c r="AB4028" i="2" s="1"/>
  <c r="AK4028" i="2" s="1"/>
  <c r="W4028" i="2"/>
  <c r="AH4027" i="2"/>
  <c r="AE4027" i="2"/>
  <c r="AF4027" i="2" s="1"/>
  <c r="AD4027" i="2"/>
  <c r="X4027" i="2"/>
  <c r="AC4027" i="2" s="1"/>
  <c r="W4027" i="2"/>
  <c r="AH4026" i="2"/>
  <c r="AE4026" i="2"/>
  <c r="AD4026" i="2"/>
  <c r="X4026" i="2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AF4024" i="2" s="1"/>
  <c r="X4024" i="2"/>
  <c r="W4024" i="2"/>
  <c r="AH4023" i="2"/>
  <c r="AE4023" i="2"/>
  <c r="AD4023" i="2"/>
  <c r="X4023" i="2"/>
  <c r="AB4023" i="2" s="1"/>
  <c r="AK4023" i="2" s="1"/>
  <c r="W4023" i="2"/>
  <c r="AH4022" i="2"/>
  <c r="AE4022" i="2"/>
  <c r="AD4022" i="2"/>
  <c r="AF4022" i="2" s="1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F4019" i="2" s="1"/>
  <c r="AD4019" i="2"/>
  <c r="X4019" i="2"/>
  <c r="AC4019" i="2" s="1"/>
  <c r="W4019" i="2"/>
  <c r="AH4018" i="2"/>
  <c r="AE4018" i="2"/>
  <c r="AD4018" i="2"/>
  <c r="X4018" i="2"/>
  <c r="AB4018" i="2" s="1"/>
  <c r="AK4018" i="2" s="1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W4016" i="2"/>
  <c r="AH4015" i="2"/>
  <c r="AE4015" i="2"/>
  <c r="AD4015" i="2"/>
  <c r="X4015" i="2"/>
  <c r="AC4015" i="2" s="1"/>
  <c r="W4015" i="2"/>
  <c r="AH4014" i="2"/>
  <c r="AE4014" i="2"/>
  <c r="AD4014" i="2"/>
  <c r="AF4014" i="2" s="1"/>
  <c r="X4014" i="2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F4011" i="2" s="1"/>
  <c r="AD4011" i="2"/>
  <c r="X4011" i="2"/>
  <c r="AC4011" i="2" s="1"/>
  <c r="W4011" i="2"/>
  <c r="AH4010" i="2"/>
  <c r="AE4010" i="2"/>
  <c r="AD4010" i="2"/>
  <c r="Y4010" i="2" s="1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AF4008" i="2" s="1"/>
  <c r="X4008" i="2"/>
  <c r="W4008" i="2"/>
  <c r="AH4007" i="2"/>
  <c r="AE4007" i="2"/>
  <c r="AD4007" i="2"/>
  <c r="X4007" i="2"/>
  <c r="AB4007" i="2" s="1"/>
  <c r="AK4007" i="2" s="1"/>
  <c r="W4007" i="2"/>
  <c r="AH4006" i="2"/>
  <c r="AE4006" i="2"/>
  <c r="AD4006" i="2"/>
  <c r="AF4006" i="2" s="1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F4003" i="2" s="1"/>
  <c r="AD4003" i="2"/>
  <c r="X4003" i="2"/>
  <c r="AC4003" i="2" s="1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AF4000" i="2" s="1"/>
  <c r="X4000" i="2"/>
  <c r="W4000" i="2"/>
  <c r="AH3999" i="2"/>
  <c r="AE3999" i="2"/>
  <c r="AD3999" i="2"/>
  <c r="X3999" i="2"/>
  <c r="W3999" i="2"/>
  <c r="AH3998" i="2"/>
  <c r="AE3998" i="2"/>
  <c r="AD3998" i="2"/>
  <c r="AF3998" i="2" s="1"/>
  <c r="X3998" i="2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F3995" i="2" s="1"/>
  <c r="AD3995" i="2"/>
  <c r="X3995" i="2"/>
  <c r="AC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W3993" i="2"/>
  <c r="AH3992" i="2"/>
  <c r="AE3992" i="2"/>
  <c r="AD3992" i="2"/>
  <c r="AF3992" i="2" s="1"/>
  <c r="X3992" i="2"/>
  <c r="W3992" i="2"/>
  <c r="AH3991" i="2"/>
  <c r="AE3991" i="2"/>
  <c r="AD3991" i="2"/>
  <c r="X3991" i="2"/>
  <c r="AB3991" i="2" s="1"/>
  <c r="AK3991" i="2" s="1"/>
  <c r="W3991" i="2"/>
  <c r="AH3990" i="2"/>
  <c r="AE3990" i="2"/>
  <c r="AD3990" i="2"/>
  <c r="AF3990" i="2" s="1"/>
  <c r="X3990" i="2"/>
  <c r="AB3990" i="2" s="1"/>
  <c r="AK3990" i="2" s="1"/>
  <c r="W3990" i="2"/>
  <c r="AH3989" i="2"/>
  <c r="AE3989" i="2"/>
  <c r="AD3989" i="2"/>
  <c r="X3989" i="2"/>
  <c r="AB3989" i="2" s="1"/>
  <c r="AK3989" i="2" s="1"/>
  <c r="W3989" i="2"/>
  <c r="AH3988" i="2"/>
  <c r="AE3988" i="2"/>
  <c r="AD3988" i="2"/>
  <c r="X3988" i="2"/>
  <c r="W3988" i="2"/>
  <c r="AH3987" i="2"/>
  <c r="AE3987" i="2"/>
  <c r="AF3987" i="2" s="1"/>
  <c r="AD3987" i="2"/>
  <c r="X3987" i="2"/>
  <c r="W3987" i="2"/>
  <c r="AH3986" i="2"/>
  <c r="AE3986" i="2"/>
  <c r="AD3986" i="2"/>
  <c r="Y3986" i="2" s="1"/>
  <c r="X3986" i="2"/>
  <c r="AB3986" i="2" s="1"/>
  <c r="AK3986" i="2" s="1"/>
  <c r="W3986" i="2"/>
  <c r="AH3985" i="2"/>
  <c r="AE3985" i="2"/>
  <c r="AD3985" i="2"/>
  <c r="X3985" i="2"/>
  <c r="AB3985" i="2" s="1"/>
  <c r="AK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AF3982" i="2" s="1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F3979" i="2" s="1"/>
  <c r="AD3979" i="2"/>
  <c r="X3979" i="2"/>
  <c r="AC3979" i="2" s="1"/>
  <c r="W3979" i="2"/>
  <c r="AH3978" i="2"/>
  <c r="AE3978" i="2"/>
  <c r="AD3978" i="2"/>
  <c r="X3978" i="2"/>
  <c r="AB3978" i="2" s="1"/>
  <c r="AK3978" i="2" s="1"/>
  <c r="W3978" i="2"/>
  <c r="AH3977" i="2"/>
  <c r="AE3977" i="2"/>
  <c r="AD3977" i="2"/>
  <c r="X3977" i="2"/>
  <c r="AB3977" i="2" s="1"/>
  <c r="AK3977" i="2" s="1"/>
  <c r="W3977" i="2"/>
  <c r="AH3976" i="2"/>
  <c r="AE3976" i="2"/>
  <c r="AD3976" i="2"/>
  <c r="AF3976" i="2" s="1"/>
  <c r="X3976" i="2"/>
  <c r="W3976" i="2"/>
  <c r="AH3975" i="2"/>
  <c r="AE3975" i="2"/>
  <c r="AD3975" i="2"/>
  <c r="X3975" i="2"/>
  <c r="AB3975" i="2" s="1"/>
  <c r="AK3975" i="2" s="1"/>
  <c r="W3975" i="2"/>
  <c r="AH3974" i="2"/>
  <c r="AE3974" i="2"/>
  <c r="AD3974" i="2"/>
  <c r="AF3974" i="2" s="1"/>
  <c r="X3974" i="2"/>
  <c r="AB3974" i="2" s="1"/>
  <c r="AK3974" i="2" s="1"/>
  <c r="W3974" i="2"/>
  <c r="AH3973" i="2"/>
  <c r="AE3973" i="2"/>
  <c r="AD3973" i="2"/>
  <c r="X3973" i="2"/>
  <c r="W3973" i="2"/>
  <c r="AH3972" i="2"/>
  <c r="AE3972" i="2"/>
  <c r="AD3972" i="2"/>
  <c r="X3972" i="2"/>
  <c r="AB3972" i="2" s="1"/>
  <c r="AK3972" i="2" s="1"/>
  <c r="W3972" i="2"/>
  <c r="AH3971" i="2"/>
  <c r="AE3971" i="2"/>
  <c r="AF3971" i="2" s="1"/>
  <c r="AD3971" i="2"/>
  <c r="X3971" i="2"/>
  <c r="AC3971" i="2" s="1"/>
  <c r="W3971" i="2"/>
  <c r="AH3970" i="2"/>
  <c r="AE3970" i="2"/>
  <c r="AD3970" i="2"/>
  <c r="Y3970" i="2" s="1"/>
  <c r="X3970" i="2"/>
  <c r="W3970" i="2"/>
  <c r="AH3969" i="2"/>
  <c r="AE3969" i="2"/>
  <c r="AD3969" i="2"/>
  <c r="X3969" i="2"/>
  <c r="AB3969" i="2" s="1"/>
  <c r="AK3969" i="2" s="1"/>
  <c r="W3969" i="2"/>
  <c r="AH3968" i="2"/>
  <c r="AE3968" i="2"/>
  <c r="AD3968" i="2"/>
  <c r="AF3968" i="2" s="1"/>
  <c r="X3968" i="2"/>
  <c r="W3968" i="2"/>
  <c r="AH3967" i="2"/>
  <c r="AE3967" i="2"/>
  <c r="AD3967" i="2"/>
  <c r="X3967" i="2"/>
  <c r="AB3967" i="2" s="1"/>
  <c r="AK3967" i="2" s="1"/>
  <c r="W3967" i="2"/>
  <c r="AH3966" i="2"/>
  <c r="AE3966" i="2"/>
  <c r="AD3966" i="2"/>
  <c r="AF3966" i="2" s="1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F3963" i="2" s="1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AB3961" i="2" s="1"/>
  <c r="AK3961" i="2" s="1"/>
  <c r="W3961" i="2"/>
  <c r="AH3960" i="2"/>
  <c r="AE3960" i="2"/>
  <c r="AD3960" i="2"/>
  <c r="AF3960" i="2" s="1"/>
  <c r="X3960" i="2"/>
  <c r="W3960" i="2"/>
  <c r="AH3959" i="2"/>
  <c r="AE3959" i="2"/>
  <c r="AD3959" i="2"/>
  <c r="X3959" i="2"/>
  <c r="W3959" i="2"/>
  <c r="AH3958" i="2"/>
  <c r="AE3958" i="2"/>
  <c r="AD3958" i="2"/>
  <c r="AF3958" i="2" s="1"/>
  <c r="X3958" i="2"/>
  <c r="W3958" i="2"/>
  <c r="AH3957" i="2"/>
  <c r="AE3957" i="2"/>
  <c r="AD3957" i="2"/>
  <c r="X3957" i="2"/>
  <c r="AC3957" i="2" s="1"/>
  <c r="W3957" i="2"/>
  <c r="AH3956" i="2"/>
  <c r="AE3956" i="2"/>
  <c r="AD3956" i="2"/>
  <c r="X3956" i="2"/>
  <c r="W3956" i="2"/>
  <c r="AH3955" i="2"/>
  <c r="AE3955" i="2"/>
  <c r="AF3955" i="2" s="1"/>
  <c r="AD3955" i="2"/>
  <c r="X3955" i="2"/>
  <c r="AC3955" i="2" s="1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AF3952" i="2" s="1"/>
  <c r="X3952" i="2"/>
  <c r="W3952" i="2"/>
  <c r="AH3951" i="2"/>
  <c r="AE3951" i="2"/>
  <c r="AD3951" i="2"/>
  <c r="X3951" i="2"/>
  <c r="AB3951" i="2" s="1"/>
  <c r="AK3951" i="2" s="1"/>
  <c r="W3951" i="2"/>
  <c r="AH3950" i="2"/>
  <c r="AE3950" i="2"/>
  <c r="AD3950" i="2"/>
  <c r="X3950" i="2"/>
  <c r="AC3950" i="2" s="1"/>
  <c r="W3950" i="2"/>
  <c r="AH3949" i="2"/>
  <c r="AE3949" i="2"/>
  <c r="AD3949" i="2"/>
  <c r="X3949" i="2"/>
  <c r="W3949" i="2"/>
  <c r="AH3948" i="2"/>
  <c r="AE3948" i="2"/>
  <c r="AD3948" i="2"/>
  <c r="X3948" i="2"/>
  <c r="AB3948" i="2" s="1"/>
  <c r="AK3948" i="2" s="1"/>
  <c r="W3948" i="2"/>
  <c r="AH3947" i="2"/>
  <c r="AE3947" i="2"/>
  <c r="AF3947" i="2" s="1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3945" i="2"/>
  <c r="AE3945" i="2"/>
  <c r="AD3945" i="2"/>
  <c r="X3945" i="2"/>
  <c r="AC3945" i="2" s="1"/>
  <c r="W3945" i="2"/>
  <c r="AH3944" i="2"/>
  <c r="AE3944" i="2"/>
  <c r="AD3944" i="2"/>
  <c r="AF3944" i="2" s="1"/>
  <c r="X3944" i="2"/>
  <c r="W3944" i="2"/>
  <c r="AH3943" i="2"/>
  <c r="AE3943" i="2"/>
  <c r="AD3943" i="2"/>
  <c r="X3943" i="2"/>
  <c r="W3943" i="2"/>
  <c r="AH3942" i="2"/>
  <c r="AE3942" i="2"/>
  <c r="AD3942" i="2"/>
  <c r="X3942" i="2"/>
  <c r="AB3942" i="2" s="1"/>
  <c r="AK3942" i="2" s="1"/>
  <c r="W3942" i="2"/>
  <c r="AH3941" i="2"/>
  <c r="AE3941" i="2"/>
  <c r="AF3941" i="2" s="1"/>
  <c r="AD3941" i="2"/>
  <c r="X3941" i="2"/>
  <c r="W3941" i="2"/>
  <c r="AH3940" i="2"/>
  <c r="AE3940" i="2"/>
  <c r="AD3940" i="2"/>
  <c r="X3940" i="2"/>
  <c r="W3940" i="2"/>
  <c r="AH3939" i="2"/>
  <c r="AE3939" i="2"/>
  <c r="AF3939" i="2" s="1"/>
  <c r="AD3939" i="2"/>
  <c r="X3939" i="2"/>
  <c r="AC3939" i="2" s="1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AF3936" i="2" s="1"/>
  <c r="X3936" i="2"/>
  <c r="AB3936" i="2" s="1"/>
  <c r="AK3936" i="2" s="1"/>
  <c r="W3936" i="2"/>
  <c r="AH3935" i="2"/>
  <c r="AE3935" i="2"/>
  <c r="AD3935" i="2"/>
  <c r="X3935" i="2"/>
  <c r="W3935" i="2"/>
  <c r="AH3934" i="2"/>
  <c r="AE3934" i="2"/>
  <c r="AD3934" i="2"/>
  <c r="AF3934" i="2" s="1"/>
  <c r="X3934" i="2"/>
  <c r="AB3934" i="2" s="1"/>
  <c r="AK3934" i="2" s="1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F3931" i="2" s="1"/>
  <c r="AD3931" i="2"/>
  <c r="X3931" i="2"/>
  <c r="AC3931" i="2" s="1"/>
  <c r="W3931" i="2"/>
  <c r="AH3930" i="2"/>
  <c r="AE3930" i="2"/>
  <c r="AD3930" i="2"/>
  <c r="X3930" i="2"/>
  <c r="AB3930" i="2" s="1"/>
  <c r="AK3930" i="2" s="1"/>
  <c r="W3930" i="2"/>
  <c r="AH3929" i="2"/>
  <c r="AE3929" i="2"/>
  <c r="AD3929" i="2"/>
  <c r="X3929" i="2"/>
  <c r="AB3929" i="2" s="1"/>
  <c r="AK3929" i="2" s="1"/>
  <c r="W3929" i="2"/>
  <c r="AH3928" i="2"/>
  <c r="AE3928" i="2"/>
  <c r="AD3928" i="2"/>
  <c r="AF3928" i="2" s="1"/>
  <c r="X3928" i="2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AB3926" i="2" s="1"/>
  <c r="AK3926" i="2" s="1"/>
  <c r="W3926" i="2"/>
  <c r="AH3925" i="2"/>
  <c r="AE3925" i="2"/>
  <c r="AD3925" i="2"/>
  <c r="X3925" i="2"/>
  <c r="AB3925" i="2" s="1"/>
  <c r="AK3925" i="2" s="1"/>
  <c r="W3925" i="2"/>
  <c r="AH3924" i="2"/>
  <c r="AE3924" i="2"/>
  <c r="AD3924" i="2"/>
  <c r="X3924" i="2"/>
  <c r="AB3924" i="2" s="1"/>
  <c r="AK3924" i="2" s="1"/>
  <c r="W3924" i="2"/>
  <c r="AH3923" i="2"/>
  <c r="AE3923" i="2"/>
  <c r="AF3923" i="2" s="1"/>
  <c r="AD3923" i="2"/>
  <c r="X3923" i="2"/>
  <c r="AC3923" i="2" s="1"/>
  <c r="W3923" i="2"/>
  <c r="AH3922" i="2"/>
  <c r="AE3922" i="2"/>
  <c r="AD3922" i="2"/>
  <c r="X3922" i="2"/>
  <c r="AB3922" i="2" s="1"/>
  <c r="AK3922" i="2" s="1"/>
  <c r="W3922" i="2"/>
  <c r="AH3921" i="2"/>
  <c r="AE3921" i="2"/>
  <c r="AD3921" i="2"/>
  <c r="X3921" i="2"/>
  <c r="AB3921" i="2" s="1"/>
  <c r="AK3921" i="2" s="1"/>
  <c r="W3921" i="2"/>
  <c r="AH3920" i="2"/>
  <c r="AE3920" i="2"/>
  <c r="AD3920" i="2"/>
  <c r="AF3920" i="2" s="1"/>
  <c r="X3920" i="2"/>
  <c r="AC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B3916" i="2" s="1"/>
  <c r="AK3916" i="2" s="1"/>
  <c r="W3916" i="2"/>
  <c r="AH3915" i="2"/>
  <c r="AE3915" i="2"/>
  <c r="AF3915" i="2" s="1"/>
  <c r="AD3915" i="2"/>
  <c r="X3915" i="2"/>
  <c r="AC3915" i="2" s="1"/>
  <c r="W3915" i="2"/>
  <c r="AH3914" i="2"/>
  <c r="AE3914" i="2"/>
  <c r="AD3914" i="2"/>
  <c r="X3914" i="2"/>
  <c r="AB3914" i="2" s="1"/>
  <c r="AK3914" i="2" s="1"/>
  <c r="W3914" i="2"/>
  <c r="AH3913" i="2"/>
  <c r="AE3913" i="2"/>
  <c r="AD3913" i="2"/>
  <c r="X3913" i="2"/>
  <c r="AC3913" i="2" s="1"/>
  <c r="W3913" i="2"/>
  <c r="AH3912" i="2"/>
  <c r="AE3912" i="2"/>
  <c r="AD3912" i="2"/>
  <c r="AF3912" i="2" s="1"/>
  <c r="X3912" i="2"/>
  <c r="AB3912" i="2" s="1"/>
  <c r="AK3912" i="2" s="1"/>
  <c r="W3912" i="2"/>
  <c r="AH3911" i="2"/>
  <c r="AE3911" i="2"/>
  <c r="AD3911" i="2"/>
  <c r="X3911" i="2"/>
  <c r="AB3911" i="2" s="1"/>
  <c r="AK3911" i="2" s="1"/>
  <c r="W3911" i="2"/>
  <c r="AH3910" i="2"/>
  <c r="AE3910" i="2"/>
  <c r="AD3910" i="2"/>
  <c r="AF3910" i="2" s="1"/>
  <c r="X3910" i="2"/>
  <c r="AB3910" i="2" s="1"/>
  <c r="AK3910" i="2" s="1"/>
  <c r="W3910" i="2"/>
  <c r="AH3909" i="2"/>
  <c r="AE3909" i="2"/>
  <c r="AD3909" i="2"/>
  <c r="X3909" i="2"/>
  <c r="AB3909" i="2" s="1"/>
  <c r="AK3909" i="2" s="1"/>
  <c r="W3909" i="2"/>
  <c r="AH3908" i="2"/>
  <c r="AE3908" i="2"/>
  <c r="AD3908" i="2"/>
  <c r="X3908" i="2"/>
  <c r="W3908" i="2"/>
  <c r="AH3907" i="2"/>
  <c r="AE3907" i="2"/>
  <c r="AF3907" i="2" s="1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B3905" i="2" s="1"/>
  <c r="AK3905" i="2" s="1"/>
  <c r="W3905" i="2"/>
  <c r="AH3904" i="2"/>
  <c r="AE3904" i="2"/>
  <c r="AD3904" i="2"/>
  <c r="AF3904" i="2" s="1"/>
  <c r="X3904" i="2"/>
  <c r="W3904" i="2"/>
  <c r="AH3903" i="2"/>
  <c r="AE3903" i="2"/>
  <c r="AD3903" i="2"/>
  <c r="X3903" i="2"/>
  <c r="AB3903" i="2" s="1"/>
  <c r="AK3903" i="2" s="1"/>
  <c r="W3903" i="2"/>
  <c r="AH3902" i="2"/>
  <c r="AE3902" i="2"/>
  <c r="AD3902" i="2"/>
  <c r="X3902" i="2"/>
  <c r="AC3902" i="2" s="1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F3899" i="2" s="1"/>
  <c r="AD3899" i="2"/>
  <c r="X3899" i="2"/>
  <c r="AC3899" i="2" s="1"/>
  <c r="W3899" i="2"/>
  <c r="AH3898" i="2"/>
  <c r="AE3898" i="2"/>
  <c r="AD3898" i="2"/>
  <c r="X3898" i="2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AF3896" i="2" s="1"/>
  <c r="X3896" i="2"/>
  <c r="W3896" i="2"/>
  <c r="AH3895" i="2"/>
  <c r="AE3895" i="2"/>
  <c r="AD3895" i="2"/>
  <c r="X3895" i="2"/>
  <c r="AB3895" i="2" s="1"/>
  <c r="AK3895" i="2" s="1"/>
  <c r="W3895" i="2"/>
  <c r="AH3894" i="2"/>
  <c r="AE3894" i="2"/>
  <c r="AD3894" i="2"/>
  <c r="AF3894" i="2" s="1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F3891" i="2" s="1"/>
  <c r="AD3891" i="2"/>
  <c r="X3891" i="2"/>
  <c r="AC3891" i="2" s="1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AF3888" i="2" s="1"/>
  <c r="X3888" i="2"/>
  <c r="AB3888" i="2" s="1"/>
  <c r="AK3888" i="2" s="1"/>
  <c r="W3888" i="2"/>
  <c r="AH3887" i="2"/>
  <c r="AE3887" i="2"/>
  <c r="AD3887" i="2"/>
  <c r="X3887" i="2"/>
  <c r="AC3887" i="2" s="1"/>
  <c r="W3887" i="2"/>
  <c r="AH3886" i="2"/>
  <c r="AE3886" i="2"/>
  <c r="AD3886" i="2"/>
  <c r="AF3886" i="2" s="1"/>
  <c r="X3886" i="2"/>
  <c r="AC3886" i="2" s="1"/>
  <c r="W3886" i="2"/>
  <c r="AH3885" i="2"/>
  <c r="AE3885" i="2"/>
  <c r="AF3885" i="2" s="1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F3883" i="2" s="1"/>
  <c r="AD3883" i="2"/>
  <c r="X3883" i="2"/>
  <c r="W3883" i="2"/>
  <c r="AH3882" i="2"/>
  <c r="AE3882" i="2"/>
  <c r="AD3882" i="2"/>
  <c r="X3882" i="2"/>
  <c r="AC3882" i="2" s="1"/>
  <c r="W3882" i="2"/>
  <c r="AH3881" i="2"/>
  <c r="AE3881" i="2"/>
  <c r="AD3881" i="2"/>
  <c r="X3881" i="2"/>
  <c r="AC3881" i="2" s="1"/>
  <c r="W3881" i="2"/>
  <c r="AH3880" i="2"/>
  <c r="AE3880" i="2"/>
  <c r="AD3880" i="2"/>
  <c r="AF3880" i="2" s="1"/>
  <c r="X3880" i="2"/>
  <c r="W3880" i="2"/>
  <c r="AH3879" i="2"/>
  <c r="AE3879" i="2"/>
  <c r="AD3879" i="2"/>
  <c r="X3879" i="2"/>
  <c r="AB3879" i="2" s="1"/>
  <c r="AK3879" i="2" s="1"/>
  <c r="W3879" i="2"/>
  <c r="AH3878" i="2"/>
  <c r="AE3878" i="2"/>
  <c r="AD3878" i="2"/>
  <c r="AF3878" i="2" s="1"/>
  <c r="X3878" i="2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F3875" i="2" s="1"/>
  <c r="AD3875" i="2"/>
  <c r="X3875" i="2"/>
  <c r="W3875" i="2"/>
  <c r="AH3874" i="2"/>
  <c r="AE3874" i="2"/>
  <c r="AD3874" i="2"/>
  <c r="Y3874" i="2" s="1"/>
  <c r="X3874" i="2"/>
  <c r="AB3874" i="2" s="1"/>
  <c r="AK3874" i="2" s="1"/>
  <c r="W3874" i="2"/>
  <c r="AH3873" i="2"/>
  <c r="AE3873" i="2"/>
  <c r="AD3873" i="2"/>
  <c r="X3873" i="2"/>
  <c r="AB3873" i="2" s="1"/>
  <c r="AK3873" i="2" s="1"/>
  <c r="W3873" i="2"/>
  <c r="AH3872" i="2"/>
  <c r="AE3872" i="2"/>
  <c r="AD3872" i="2"/>
  <c r="AF3872" i="2" s="1"/>
  <c r="X3872" i="2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AF3870" i="2" s="1"/>
  <c r="X3870" i="2"/>
  <c r="AC3870" i="2" s="1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F3867" i="2" s="1"/>
  <c r="AD3867" i="2"/>
  <c r="X3867" i="2"/>
  <c r="AC3867" i="2" s="1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AF3864" i="2" s="1"/>
  <c r="X3864" i="2"/>
  <c r="W3864" i="2"/>
  <c r="AH3863" i="2"/>
  <c r="AE3863" i="2"/>
  <c r="AD3863" i="2"/>
  <c r="X3863" i="2"/>
  <c r="AB3863" i="2" s="1"/>
  <c r="AK3863" i="2" s="1"/>
  <c r="W3863" i="2"/>
  <c r="AH3862" i="2"/>
  <c r="AE3862" i="2"/>
  <c r="AD3862" i="2"/>
  <c r="AF3862" i="2" s="1"/>
  <c r="X3862" i="2"/>
  <c r="AB3862" i="2" s="1"/>
  <c r="AK3862" i="2" s="1"/>
  <c r="W3862" i="2"/>
  <c r="AH3861" i="2"/>
  <c r="AE3861" i="2"/>
  <c r="AD3861" i="2"/>
  <c r="X3861" i="2"/>
  <c r="AB3861" i="2" s="1"/>
  <c r="AK3861" i="2" s="1"/>
  <c r="W3861" i="2"/>
  <c r="AH3860" i="2"/>
  <c r="AE3860" i="2"/>
  <c r="AD3860" i="2"/>
  <c r="X3860" i="2"/>
  <c r="W3860" i="2"/>
  <c r="AH3859" i="2"/>
  <c r="AE3859" i="2"/>
  <c r="AF3859" i="2" s="1"/>
  <c r="AD3859" i="2"/>
  <c r="X3859" i="2"/>
  <c r="AC3859" i="2" s="1"/>
  <c r="W3859" i="2"/>
  <c r="AH3858" i="2"/>
  <c r="AE3858" i="2"/>
  <c r="AD3858" i="2"/>
  <c r="X3858" i="2"/>
  <c r="AB3858" i="2" s="1"/>
  <c r="AK3858" i="2" s="1"/>
  <c r="W3858" i="2"/>
  <c r="AH3857" i="2"/>
  <c r="AE3857" i="2"/>
  <c r="AD3857" i="2"/>
  <c r="X3857" i="2"/>
  <c r="AB3857" i="2" s="1"/>
  <c r="AK3857" i="2" s="1"/>
  <c r="W3857" i="2"/>
  <c r="AH3856" i="2"/>
  <c r="AE3856" i="2"/>
  <c r="AD3856" i="2"/>
  <c r="AF3856" i="2" s="1"/>
  <c r="X3856" i="2"/>
  <c r="AC3856" i="2" s="1"/>
  <c r="W3856" i="2"/>
  <c r="AH3855" i="2"/>
  <c r="AE3855" i="2"/>
  <c r="AD3855" i="2"/>
  <c r="X3855" i="2"/>
  <c r="W3855" i="2"/>
  <c r="AH3854" i="2"/>
  <c r="AE3854" i="2"/>
  <c r="AD3854" i="2"/>
  <c r="AF3854" i="2" s="1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F3851" i="2" s="1"/>
  <c r="AD3851" i="2"/>
  <c r="X3851" i="2"/>
  <c r="AB3851" i="2" s="1"/>
  <c r="AK3851" i="2" s="1"/>
  <c r="W3851" i="2"/>
  <c r="AH3850" i="2"/>
  <c r="AE3850" i="2"/>
  <c r="AD3850" i="2"/>
  <c r="X3850" i="2"/>
  <c r="AB3850" i="2" s="1"/>
  <c r="AK3850" i="2" s="1"/>
  <c r="W3850" i="2"/>
  <c r="AH3849" i="2"/>
  <c r="AE3849" i="2"/>
  <c r="AD3849" i="2"/>
  <c r="X3849" i="2"/>
  <c r="AC3849" i="2" s="1"/>
  <c r="W3849" i="2"/>
  <c r="AH3848" i="2"/>
  <c r="AE3848" i="2"/>
  <c r="AD3848" i="2"/>
  <c r="AF3848" i="2" s="1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AF3846" i="2" s="1"/>
  <c r="X3846" i="2"/>
  <c r="AB3846" i="2" s="1"/>
  <c r="AK3846" i="2" s="1"/>
  <c r="W3846" i="2"/>
  <c r="AH3845" i="2"/>
  <c r="AE3845" i="2"/>
  <c r="AD3845" i="2"/>
  <c r="X3845" i="2"/>
  <c r="AB3845" i="2" s="1"/>
  <c r="AK3845" i="2" s="1"/>
  <c r="W3845" i="2"/>
  <c r="AH3844" i="2"/>
  <c r="AE3844" i="2"/>
  <c r="AD3844" i="2"/>
  <c r="X3844" i="2"/>
  <c r="W3844" i="2"/>
  <c r="AH3843" i="2"/>
  <c r="AE3843" i="2"/>
  <c r="AF3843" i="2" s="1"/>
  <c r="AD3843" i="2"/>
  <c r="X3843" i="2"/>
  <c r="AC3843" i="2" s="1"/>
  <c r="W3843" i="2"/>
  <c r="AH3842" i="2"/>
  <c r="AE3842" i="2"/>
  <c r="AD3842" i="2"/>
  <c r="X3842" i="2"/>
  <c r="W3842" i="2"/>
  <c r="AH3841" i="2"/>
  <c r="AE3841" i="2"/>
  <c r="AD3841" i="2"/>
  <c r="X3841" i="2"/>
  <c r="AB3841" i="2" s="1"/>
  <c r="AK3841" i="2" s="1"/>
  <c r="W3841" i="2"/>
  <c r="AH3840" i="2"/>
  <c r="AE3840" i="2"/>
  <c r="AD3840" i="2"/>
  <c r="AF3840" i="2" s="1"/>
  <c r="X3840" i="2"/>
  <c r="W3840" i="2"/>
  <c r="AH3839" i="2"/>
  <c r="AE3839" i="2"/>
  <c r="AD3839" i="2"/>
  <c r="X3839" i="2"/>
  <c r="W3839" i="2"/>
  <c r="AH3838" i="2"/>
  <c r="AE3838" i="2"/>
  <c r="AD3838" i="2"/>
  <c r="AF3838" i="2" s="1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AB3833" i="2" s="1"/>
  <c r="AK3833" i="2" s="1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F3830" i="2" s="1"/>
  <c r="AD3830" i="2"/>
  <c r="X3830" i="2"/>
  <c r="AC3830" i="2" s="1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B3826" i="2" s="1"/>
  <c r="AK3826" i="2" s="1"/>
  <c r="W3826" i="2"/>
  <c r="AH3825" i="2"/>
  <c r="AE3825" i="2"/>
  <c r="AD3825" i="2"/>
  <c r="AF3825" i="2" s="1"/>
  <c r="X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F3822" i="2" s="1"/>
  <c r="AD3822" i="2"/>
  <c r="X3822" i="2"/>
  <c r="W3822" i="2"/>
  <c r="AH3821" i="2"/>
  <c r="AE3821" i="2"/>
  <c r="AD3821" i="2"/>
  <c r="Y3821" i="2" s="1"/>
  <c r="X3821" i="2"/>
  <c r="AB3821" i="2" s="1"/>
  <c r="AK3821" i="2" s="1"/>
  <c r="W3821" i="2"/>
  <c r="AH3820" i="2"/>
  <c r="AE3820" i="2"/>
  <c r="AD3820" i="2"/>
  <c r="X3820" i="2"/>
  <c r="W3820" i="2"/>
  <c r="AH3819" i="2"/>
  <c r="AE3819" i="2"/>
  <c r="AD3819" i="2"/>
  <c r="AF3819" i="2" s="1"/>
  <c r="X3819" i="2"/>
  <c r="AB3819" i="2" s="1"/>
  <c r="AK3819" i="2" s="1"/>
  <c r="W3819" i="2"/>
  <c r="AH3818" i="2"/>
  <c r="AE3818" i="2"/>
  <c r="AD3818" i="2"/>
  <c r="X3818" i="2"/>
  <c r="AC3818" i="2" s="1"/>
  <c r="W3818" i="2"/>
  <c r="AH3817" i="2"/>
  <c r="AE3817" i="2"/>
  <c r="AD3817" i="2"/>
  <c r="AF3817" i="2" s="1"/>
  <c r="X3817" i="2"/>
  <c r="AB3817" i="2" s="1"/>
  <c r="AK3817" i="2" s="1"/>
  <c r="W3817" i="2"/>
  <c r="AH3816" i="2"/>
  <c r="AE3816" i="2"/>
  <c r="AF3816" i="2" s="1"/>
  <c r="AD3816" i="2"/>
  <c r="X3816" i="2"/>
  <c r="W3816" i="2"/>
  <c r="AH3815" i="2"/>
  <c r="AE3815" i="2"/>
  <c r="AD3815" i="2"/>
  <c r="X3815" i="2"/>
  <c r="W3815" i="2"/>
  <c r="AH3814" i="2"/>
  <c r="AE3814" i="2"/>
  <c r="AF3814" i="2" s="1"/>
  <c r="AD3814" i="2"/>
  <c r="X3814" i="2"/>
  <c r="AB3814" i="2" s="1"/>
  <c r="AK3814" i="2" s="1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AF3811" i="2" s="1"/>
  <c r="X3811" i="2"/>
  <c r="W3811" i="2"/>
  <c r="AH3810" i="2"/>
  <c r="AE3810" i="2"/>
  <c r="AD3810" i="2"/>
  <c r="X3810" i="2"/>
  <c r="AB3810" i="2" s="1"/>
  <c r="AK3810" i="2" s="1"/>
  <c r="W3810" i="2"/>
  <c r="AH3809" i="2"/>
  <c r="AE3809" i="2"/>
  <c r="AD3809" i="2"/>
  <c r="AF3809" i="2" s="1"/>
  <c r="X3809" i="2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F3806" i="2" s="1"/>
  <c r="AD3806" i="2"/>
  <c r="X3806" i="2"/>
  <c r="W3806" i="2"/>
  <c r="AH3805" i="2"/>
  <c r="AE3805" i="2"/>
  <c r="AD3805" i="2"/>
  <c r="X3805" i="2"/>
  <c r="AB3805" i="2" s="1"/>
  <c r="AK3805" i="2" s="1"/>
  <c r="W3805" i="2"/>
  <c r="AH3804" i="2"/>
  <c r="AE3804" i="2"/>
  <c r="AD3804" i="2"/>
  <c r="X3804" i="2"/>
  <c r="W3804" i="2"/>
  <c r="AH3803" i="2"/>
  <c r="AE3803" i="2"/>
  <c r="AD3803" i="2"/>
  <c r="X3803" i="2"/>
  <c r="AB3803" i="2" s="1"/>
  <c r="AK3803" i="2" s="1"/>
  <c r="W3803" i="2"/>
  <c r="AH3802" i="2"/>
  <c r="AE3802" i="2"/>
  <c r="AD3802" i="2"/>
  <c r="X3802" i="2"/>
  <c r="AB3802" i="2" s="1"/>
  <c r="AK3802" i="2" s="1"/>
  <c r="W3802" i="2"/>
  <c r="AH3801" i="2"/>
  <c r="AE3801" i="2"/>
  <c r="AD3801" i="2"/>
  <c r="AF3801" i="2" s="1"/>
  <c r="X3801" i="2"/>
  <c r="AC3801" i="2" s="1"/>
  <c r="W3801" i="2"/>
  <c r="AH3800" i="2"/>
  <c r="AE3800" i="2"/>
  <c r="AD3800" i="2"/>
  <c r="X3800" i="2"/>
  <c r="AB3800" i="2" s="1"/>
  <c r="AK3800" i="2" s="1"/>
  <c r="W3800" i="2"/>
  <c r="AH3799" i="2"/>
  <c r="AE3799" i="2"/>
  <c r="AD3799" i="2"/>
  <c r="X3799" i="2"/>
  <c r="W3799" i="2"/>
  <c r="AH3798" i="2"/>
  <c r="AE3798" i="2"/>
  <c r="AF3798" i="2" s="1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AF3793" i="2" s="1"/>
  <c r="X3793" i="2"/>
  <c r="W3793" i="2"/>
  <c r="AH3792" i="2"/>
  <c r="AE3792" i="2"/>
  <c r="AD3792" i="2"/>
  <c r="X3792" i="2"/>
  <c r="W3792" i="2"/>
  <c r="AH3791" i="2"/>
  <c r="AE3791" i="2"/>
  <c r="AD3791" i="2"/>
  <c r="X3791" i="2"/>
  <c r="AB3791" i="2" s="1"/>
  <c r="AK3791" i="2" s="1"/>
  <c r="W3791" i="2"/>
  <c r="AH3790" i="2"/>
  <c r="AE3790" i="2"/>
  <c r="AF3790" i="2" s="1"/>
  <c r="AD3790" i="2"/>
  <c r="X3790" i="2"/>
  <c r="AC3790" i="2" s="1"/>
  <c r="W3790" i="2"/>
  <c r="AH3789" i="2"/>
  <c r="AE3789" i="2"/>
  <c r="AD3789" i="2"/>
  <c r="Y3789" i="2" s="1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AF3787" i="2" s="1"/>
  <c r="X3787" i="2"/>
  <c r="AC3787" i="2" s="1"/>
  <c r="W3787" i="2"/>
  <c r="AH3786" i="2"/>
  <c r="AE3786" i="2"/>
  <c r="AD3786" i="2"/>
  <c r="X3786" i="2"/>
  <c r="W3786" i="2"/>
  <c r="AH3785" i="2"/>
  <c r="AE3785" i="2"/>
  <c r="AD3785" i="2"/>
  <c r="AF3785" i="2" s="1"/>
  <c r="X3785" i="2"/>
  <c r="AB3785" i="2" s="1"/>
  <c r="AK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F3782" i="2" s="1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AF3779" i="2" s="1"/>
  <c r="X3779" i="2"/>
  <c r="W3779" i="2"/>
  <c r="AH3778" i="2"/>
  <c r="AE3778" i="2"/>
  <c r="AD3778" i="2"/>
  <c r="X3778" i="2"/>
  <c r="AB3778" i="2" s="1"/>
  <c r="AK3778" i="2" s="1"/>
  <c r="W3778" i="2"/>
  <c r="AH3777" i="2"/>
  <c r="AE3777" i="2"/>
  <c r="AD3777" i="2"/>
  <c r="AF3777" i="2" s="1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AB3775" i="2" s="1"/>
  <c r="AK3775" i="2" s="1"/>
  <c r="W3775" i="2"/>
  <c r="AH3774" i="2"/>
  <c r="AE3774" i="2"/>
  <c r="AF3774" i="2" s="1"/>
  <c r="AD3774" i="2"/>
  <c r="X3774" i="2"/>
  <c r="W3774" i="2"/>
  <c r="AH3773" i="2"/>
  <c r="AE3773" i="2"/>
  <c r="AD3773" i="2"/>
  <c r="X3773" i="2"/>
  <c r="AB3773" i="2" s="1"/>
  <c r="AK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AF3771" i="2" s="1"/>
  <c r="X3771" i="2"/>
  <c r="W3771" i="2"/>
  <c r="AH3770" i="2"/>
  <c r="AE3770" i="2"/>
  <c r="AD3770" i="2"/>
  <c r="X3770" i="2"/>
  <c r="AK3770" i="2" s="1"/>
  <c r="W3770" i="2"/>
  <c r="AH3769" i="2"/>
  <c r="AE3769" i="2"/>
  <c r="AD3769" i="2"/>
  <c r="AF3769" i="2" s="1"/>
  <c r="X3769" i="2"/>
  <c r="W3769" i="2"/>
  <c r="AH3768" i="2"/>
  <c r="AE3768" i="2"/>
  <c r="AD3768" i="2"/>
  <c r="X3768" i="2"/>
  <c r="W3768" i="2"/>
  <c r="AH3767" i="2"/>
  <c r="AE3767" i="2"/>
  <c r="AD3767" i="2"/>
  <c r="X3767" i="2"/>
  <c r="AB3767" i="2" s="1"/>
  <c r="AK3767" i="2" s="1"/>
  <c r="W3767" i="2"/>
  <c r="AH3766" i="2"/>
  <c r="AE3766" i="2"/>
  <c r="AD3766" i="2"/>
  <c r="X3766" i="2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AF3763" i="2" s="1"/>
  <c r="X3763" i="2"/>
  <c r="W3763" i="2"/>
  <c r="AH3762" i="2"/>
  <c r="AE3762" i="2"/>
  <c r="AD3762" i="2"/>
  <c r="X3762" i="2"/>
  <c r="AB3762" i="2" s="1"/>
  <c r="AK3762" i="2" s="1"/>
  <c r="W3762" i="2"/>
  <c r="AH3761" i="2"/>
  <c r="AE3761" i="2"/>
  <c r="AD3761" i="2"/>
  <c r="AF3761" i="2" s="1"/>
  <c r="X3761" i="2"/>
  <c r="AB3761" i="2" s="1"/>
  <c r="AK3761" i="2" s="1"/>
  <c r="W3761" i="2"/>
  <c r="AH3760" i="2"/>
  <c r="AE3760" i="2"/>
  <c r="AD3760" i="2"/>
  <c r="X3760" i="2"/>
  <c r="W3760" i="2"/>
  <c r="AH3759" i="2"/>
  <c r="AE3759" i="2"/>
  <c r="AD3759" i="2"/>
  <c r="X3759" i="2"/>
  <c r="AB3759" i="2" s="1"/>
  <c r="AK3759" i="2" s="1"/>
  <c r="W3759" i="2"/>
  <c r="AH3758" i="2"/>
  <c r="AE3758" i="2"/>
  <c r="AF3758" i="2" s="1"/>
  <c r="AD3758" i="2"/>
  <c r="X3758" i="2"/>
  <c r="AC3758" i="2" s="1"/>
  <c r="W3758" i="2"/>
  <c r="AH3757" i="2"/>
  <c r="AE3757" i="2"/>
  <c r="AD3757" i="2"/>
  <c r="Y3757" i="2" s="1"/>
  <c r="X3757" i="2"/>
  <c r="AB3757" i="2" s="1"/>
  <c r="AK3757" i="2" s="1"/>
  <c r="W3757" i="2"/>
  <c r="AH3756" i="2"/>
  <c r="AE3756" i="2"/>
  <c r="AD3756" i="2"/>
  <c r="X3756" i="2"/>
  <c r="W3756" i="2"/>
  <c r="AH3755" i="2"/>
  <c r="AE3755" i="2"/>
  <c r="AD3755" i="2"/>
  <c r="AF3755" i="2" s="1"/>
  <c r="X3755" i="2"/>
  <c r="W3755" i="2"/>
  <c r="AH3754" i="2"/>
  <c r="AE3754" i="2"/>
  <c r="AD3754" i="2"/>
  <c r="X3754" i="2"/>
  <c r="W3754" i="2"/>
  <c r="AH3753" i="2"/>
  <c r="AE3753" i="2"/>
  <c r="AD3753" i="2"/>
  <c r="AF3753" i="2" s="1"/>
  <c r="X3753" i="2"/>
  <c r="W3753" i="2"/>
  <c r="AH3752" i="2"/>
  <c r="AE3752" i="2"/>
  <c r="AD3752" i="2"/>
  <c r="X3752" i="2"/>
  <c r="W3752" i="2"/>
  <c r="AH3751" i="2"/>
  <c r="AE3751" i="2"/>
  <c r="AD3751" i="2"/>
  <c r="X3751" i="2"/>
  <c r="W3751" i="2"/>
  <c r="AH3750" i="2"/>
  <c r="AE3750" i="2"/>
  <c r="AF3750" i="2" s="1"/>
  <c r="AD3750" i="2"/>
  <c r="X3750" i="2"/>
  <c r="AB3750" i="2" s="1"/>
  <c r="W3750" i="2"/>
  <c r="AH3749" i="2"/>
  <c r="AE3749" i="2"/>
  <c r="AD3749" i="2"/>
  <c r="X3749" i="2"/>
  <c r="AB3749" i="2" s="1"/>
  <c r="AK3749" i="2" s="1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AF3747" i="2" s="1"/>
  <c r="X3747" i="2"/>
  <c r="AK3747" i="2" s="1"/>
  <c r="W3747" i="2"/>
  <c r="AH3746" i="2"/>
  <c r="AE3746" i="2"/>
  <c r="AD3746" i="2"/>
  <c r="X3746" i="2"/>
  <c r="AB3746" i="2" s="1"/>
  <c r="AK3746" i="2" s="1"/>
  <c r="W3746" i="2"/>
  <c r="AH3745" i="2"/>
  <c r="AE3745" i="2"/>
  <c r="AD3745" i="2"/>
  <c r="AF3745" i="2" s="1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F3742" i="2" s="1"/>
  <c r="AD3742" i="2"/>
  <c r="X3742" i="2"/>
  <c r="W3742" i="2"/>
  <c r="AH3741" i="2"/>
  <c r="AE3741" i="2"/>
  <c r="AD3741" i="2"/>
  <c r="X3741" i="2"/>
  <c r="AB3741" i="2" s="1"/>
  <c r="AK3741" i="2" s="1"/>
  <c r="W3741" i="2"/>
  <c r="AH3740" i="2"/>
  <c r="AE3740" i="2"/>
  <c r="AD3740" i="2"/>
  <c r="X3740" i="2"/>
  <c r="W3740" i="2"/>
  <c r="AH3739" i="2"/>
  <c r="AE3739" i="2"/>
  <c r="AD3739" i="2"/>
  <c r="AF3739" i="2" s="1"/>
  <c r="X3739" i="2"/>
  <c r="W3739" i="2"/>
  <c r="AH3738" i="2"/>
  <c r="AE3738" i="2"/>
  <c r="AD3738" i="2"/>
  <c r="X3738" i="2"/>
  <c r="AB3738" i="2" s="1"/>
  <c r="AK3738" i="2" s="1"/>
  <c r="W3738" i="2"/>
  <c r="AH3737" i="2"/>
  <c r="AE3737" i="2"/>
  <c r="AD3737" i="2"/>
  <c r="AF3737" i="2" s="1"/>
  <c r="X3737" i="2"/>
  <c r="W3737" i="2"/>
  <c r="AH3736" i="2"/>
  <c r="AE3736" i="2"/>
  <c r="AF3736" i="2" s="1"/>
  <c r="AD3736" i="2"/>
  <c r="X3736" i="2"/>
  <c r="AB3736" i="2" s="1"/>
  <c r="AK3736" i="2" s="1"/>
  <c r="W3736" i="2"/>
  <c r="AH3735" i="2"/>
  <c r="AE3735" i="2"/>
  <c r="AD3735" i="2"/>
  <c r="X3735" i="2"/>
  <c r="W3735" i="2"/>
  <c r="AH3734" i="2"/>
  <c r="AE3734" i="2"/>
  <c r="AF3734" i="2" s="1"/>
  <c r="AD3734" i="2"/>
  <c r="X3734" i="2"/>
  <c r="W3734" i="2"/>
  <c r="AH3733" i="2"/>
  <c r="AE3733" i="2"/>
  <c r="AD3733" i="2"/>
  <c r="X3733" i="2"/>
  <c r="AB3733" i="2" s="1"/>
  <c r="AK3733" i="2" s="1"/>
  <c r="W3733" i="2"/>
  <c r="AH3732" i="2"/>
  <c r="AE3732" i="2"/>
  <c r="AD3732" i="2"/>
  <c r="X3732" i="2"/>
  <c r="AB3732" i="2" s="1"/>
  <c r="AK3732" i="2" s="1"/>
  <c r="W3732" i="2"/>
  <c r="AH3731" i="2"/>
  <c r="AE3731" i="2"/>
  <c r="AD3731" i="2"/>
  <c r="AF3731" i="2" s="1"/>
  <c r="X3731" i="2"/>
  <c r="W3731" i="2"/>
  <c r="AH3730" i="2"/>
  <c r="AE3730" i="2"/>
  <c r="AD3730" i="2"/>
  <c r="X3730" i="2"/>
  <c r="AB3730" i="2" s="1"/>
  <c r="AK3730" i="2" s="1"/>
  <c r="W3730" i="2"/>
  <c r="AH3729" i="2"/>
  <c r="AE3729" i="2"/>
  <c r="AD3729" i="2"/>
  <c r="AF3729" i="2" s="1"/>
  <c r="X3729" i="2"/>
  <c r="AB3729" i="2" s="1"/>
  <c r="AK3729" i="2" s="1"/>
  <c r="W3729" i="2"/>
  <c r="AH3728" i="2"/>
  <c r="AE3728" i="2"/>
  <c r="AD3728" i="2"/>
  <c r="X3728" i="2"/>
  <c r="AC3728" i="2" s="1"/>
  <c r="W3728" i="2"/>
  <c r="AH3727" i="2"/>
  <c r="AE3727" i="2"/>
  <c r="AD3727" i="2"/>
  <c r="X3727" i="2"/>
  <c r="AB3727" i="2" s="1"/>
  <c r="AK3727" i="2" s="1"/>
  <c r="W3727" i="2"/>
  <c r="AH3726" i="2"/>
  <c r="AE3726" i="2"/>
  <c r="AF3726" i="2" s="1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C3724" i="2" s="1"/>
  <c r="W3724" i="2"/>
  <c r="AH3723" i="2"/>
  <c r="AE3723" i="2"/>
  <c r="AD3723" i="2"/>
  <c r="AF3723" i="2" s="1"/>
  <c r="X3723" i="2"/>
  <c r="AC3723" i="2" s="1"/>
  <c r="W3723" i="2"/>
  <c r="AH3722" i="2"/>
  <c r="AE3722" i="2"/>
  <c r="AD3722" i="2"/>
  <c r="X3722" i="2"/>
  <c r="AC3722" i="2" s="1"/>
  <c r="W3722" i="2"/>
  <c r="AH3721" i="2"/>
  <c r="AE3721" i="2"/>
  <c r="AD3721" i="2"/>
  <c r="AF3721" i="2" s="1"/>
  <c r="X3721" i="2"/>
  <c r="AB3721" i="2" s="1"/>
  <c r="AK3721" i="2" s="1"/>
  <c r="W3721" i="2"/>
  <c r="AH3720" i="2"/>
  <c r="AE3720" i="2"/>
  <c r="AD3720" i="2"/>
  <c r="X3720" i="2"/>
  <c r="W3720" i="2"/>
  <c r="AH3719" i="2"/>
  <c r="AE3719" i="2"/>
  <c r="AD3719" i="2"/>
  <c r="X3719" i="2"/>
  <c r="AB3719" i="2" s="1"/>
  <c r="AK3719" i="2" s="1"/>
  <c r="W3719" i="2"/>
  <c r="AH3718" i="2"/>
  <c r="AE3718" i="2"/>
  <c r="AF3718" i="2" s="1"/>
  <c r="AD3718" i="2"/>
  <c r="X3718" i="2"/>
  <c r="W3718" i="2"/>
  <c r="AH3717" i="2"/>
  <c r="AE3717" i="2"/>
  <c r="AD3717" i="2"/>
  <c r="X3717" i="2"/>
  <c r="AB3717" i="2" s="1"/>
  <c r="AK3717" i="2" s="1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AF3715" i="2" s="1"/>
  <c r="X3715" i="2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AF3713" i="2" s="1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F3710" i="2" s="1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AF3707" i="2" s="1"/>
  <c r="X3707" i="2"/>
  <c r="AB3707" i="2" s="1"/>
  <c r="AK3707" i="2" s="1"/>
  <c r="W3707" i="2"/>
  <c r="AH3706" i="2"/>
  <c r="AE3706" i="2"/>
  <c r="AD3706" i="2"/>
  <c r="X3706" i="2"/>
  <c r="AB3706" i="2" s="1"/>
  <c r="AK3706" i="2" s="1"/>
  <c r="W3706" i="2"/>
  <c r="AH3705" i="2"/>
  <c r="AE3705" i="2"/>
  <c r="AD3705" i="2"/>
  <c r="AF3705" i="2" s="1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AB3703" i="2" s="1"/>
  <c r="AK3703" i="2" s="1"/>
  <c r="W3703" i="2"/>
  <c r="AH3702" i="2"/>
  <c r="AE3702" i="2"/>
  <c r="AF3702" i="2" s="1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W3698" i="2"/>
  <c r="AH3697" i="2"/>
  <c r="AE3697" i="2"/>
  <c r="AD3697" i="2"/>
  <c r="AF3697" i="2" s="1"/>
  <c r="X3697" i="2"/>
  <c r="W3697" i="2"/>
  <c r="AH3696" i="2"/>
  <c r="AE3696" i="2"/>
  <c r="AF3696" i="2" s="1"/>
  <c r="AD3696" i="2"/>
  <c r="X3696" i="2"/>
  <c r="W3696" i="2"/>
  <c r="AH3695" i="2"/>
  <c r="AE3695" i="2"/>
  <c r="AD3695" i="2"/>
  <c r="X3695" i="2"/>
  <c r="AK3695" i="2" s="1"/>
  <c r="W3695" i="2"/>
  <c r="AH3694" i="2"/>
  <c r="AE3694" i="2"/>
  <c r="AF3694" i="2" s="1"/>
  <c r="AD3694" i="2"/>
  <c r="X3694" i="2"/>
  <c r="AC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W3692" i="2"/>
  <c r="AH3691" i="2"/>
  <c r="AE3691" i="2"/>
  <c r="AD3691" i="2"/>
  <c r="AF3691" i="2" s="1"/>
  <c r="X3691" i="2"/>
  <c r="W3691" i="2"/>
  <c r="AH3690" i="2"/>
  <c r="AE3690" i="2"/>
  <c r="AD3690" i="2"/>
  <c r="X3690" i="2"/>
  <c r="AK3690" i="2" s="1"/>
  <c r="W3690" i="2"/>
  <c r="AH3689" i="2"/>
  <c r="AE3689" i="2"/>
  <c r="AD3689" i="2"/>
  <c r="AF3689" i="2" s="1"/>
  <c r="X3689" i="2"/>
  <c r="W3689" i="2"/>
  <c r="AH3688" i="2"/>
  <c r="AE3688" i="2"/>
  <c r="AF3688" i="2" s="1"/>
  <c r="AD3688" i="2"/>
  <c r="X3688" i="2"/>
  <c r="W3688" i="2"/>
  <c r="AH3687" i="2"/>
  <c r="AE3687" i="2"/>
  <c r="AD3687" i="2"/>
  <c r="X3687" i="2"/>
  <c r="W3687" i="2"/>
  <c r="AH3686" i="2"/>
  <c r="AE3686" i="2"/>
  <c r="AF3686" i="2" s="1"/>
  <c r="AD3686" i="2"/>
  <c r="X3686" i="2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AF3683" i="2" s="1"/>
  <c r="X3683" i="2"/>
  <c r="W3683" i="2"/>
  <c r="AH3682" i="2"/>
  <c r="AE3682" i="2"/>
  <c r="AD3682" i="2"/>
  <c r="X3682" i="2"/>
  <c r="AB3682" i="2" s="1"/>
  <c r="AK3682" i="2" s="1"/>
  <c r="W3682" i="2"/>
  <c r="AH3681" i="2"/>
  <c r="AE3681" i="2"/>
  <c r="AD3681" i="2"/>
  <c r="AF3681" i="2" s="1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F3678" i="2" s="1"/>
  <c r="AD3678" i="2"/>
  <c r="X3678" i="2"/>
  <c r="AC3678" i="2" s="1"/>
  <c r="W3678" i="2"/>
  <c r="AH3677" i="2"/>
  <c r="AE3677" i="2"/>
  <c r="AD3677" i="2"/>
  <c r="X3677" i="2"/>
  <c r="AB3677" i="2" s="1"/>
  <c r="AK3677" i="2" s="1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AF3675" i="2" s="1"/>
  <c r="X3675" i="2"/>
  <c r="W3675" i="2"/>
  <c r="AH3674" i="2"/>
  <c r="AE3674" i="2"/>
  <c r="AD3674" i="2"/>
  <c r="X3674" i="2"/>
  <c r="AB3674" i="2" s="1"/>
  <c r="AK3674" i="2" s="1"/>
  <c r="W3674" i="2"/>
  <c r="AH3673" i="2"/>
  <c r="AE3673" i="2"/>
  <c r="AD3673" i="2"/>
  <c r="AF3673" i="2" s="1"/>
  <c r="X3673" i="2"/>
  <c r="AC3673" i="2" s="1"/>
  <c r="W3673" i="2"/>
  <c r="AH3672" i="2"/>
  <c r="AE3672" i="2"/>
  <c r="AF3672" i="2" s="1"/>
  <c r="AD3672" i="2"/>
  <c r="X3672" i="2"/>
  <c r="AB3672" i="2" s="1"/>
  <c r="AK3672" i="2" s="1"/>
  <c r="W3672" i="2"/>
  <c r="AH3671" i="2"/>
  <c r="AE3671" i="2"/>
  <c r="AD3671" i="2"/>
  <c r="X3671" i="2"/>
  <c r="AB3671" i="2" s="1"/>
  <c r="AK3671" i="2" s="1"/>
  <c r="W3671" i="2"/>
  <c r="AH3670" i="2"/>
  <c r="AE3670" i="2"/>
  <c r="AF3670" i="2" s="1"/>
  <c r="AD3670" i="2"/>
  <c r="X3670" i="2"/>
  <c r="AB3670" i="2" s="1"/>
  <c r="AK3670" i="2" s="1"/>
  <c r="W3670" i="2"/>
  <c r="AH3669" i="2"/>
  <c r="AE3669" i="2"/>
  <c r="AD3669" i="2"/>
  <c r="X3669" i="2"/>
  <c r="AB3669" i="2" s="1"/>
  <c r="AK3669" i="2" s="1"/>
  <c r="W3669" i="2"/>
  <c r="AH3668" i="2"/>
  <c r="AE3668" i="2"/>
  <c r="AD3668" i="2"/>
  <c r="X3668" i="2"/>
  <c r="AB3668" i="2" s="1"/>
  <c r="AK3668" i="2" s="1"/>
  <c r="W3668" i="2"/>
  <c r="AH3667" i="2"/>
  <c r="AE3667" i="2"/>
  <c r="AD3667" i="2"/>
  <c r="AF3667" i="2" s="1"/>
  <c r="X3667" i="2"/>
  <c r="W3667" i="2"/>
  <c r="AH3666" i="2"/>
  <c r="AE3666" i="2"/>
  <c r="AD3666" i="2"/>
  <c r="X3666" i="2"/>
  <c r="AC3666" i="2" s="1"/>
  <c r="W3666" i="2"/>
  <c r="AH3665" i="2"/>
  <c r="AE3665" i="2"/>
  <c r="AD3665" i="2"/>
  <c r="AF3665" i="2" s="1"/>
  <c r="X3665" i="2"/>
  <c r="AB3665" i="2" s="1"/>
  <c r="AK3665" i="2" s="1"/>
  <c r="W3665" i="2"/>
  <c r="AH3664" i="2"/>
  <c r="AE3664" i="2"/>
  <c r="AF3664" i="2" s="1"/>
  <c r="AD3664" i="2"/>
  <c r="X3664" i="2"/>
  <c r="W3664" i="2"/>
  <c r="AH3663" i="2"/>
  <c r="AE3663" i="2"/>
  <c r="AD3663" i="2"/>
  <c r="X3663" i="2"/>
  <c r="AB3663" i="2" s="1"/>
  <c r="AK3663" i="2" s="1"/>
  <c r="W3663" i="2"/>
  <c r="AH3662" i="2"/>
  <c r="AE3662" i="2"/>
  <c r="AF3662" i="2" s="1"/>
  <c r="AD3662" i="2"/>
  <c r="X3662" i="2"/>
  <c r="AB3662" i="2" s="1"/>
  <c r="AK3662" i="2" s="1"/>
  <c r="W3662" i="2"/>
  <c r="AH3661" i="2"/>
  <c r="AE3661" i="2"/>
  <c r="AD3661" i="2"/>
  <c r="X3661" i="2"/>
  <c r="W3661" i="2"/>
  <c r="AH3660" i="2"/>
  <c r="AE3660" i="2"/>
  <c r="AD3660" i="2"/>
  <c r="X3660" i="2"/>
  <c r="AC3660" i="2" s="1"/>
  <c r="W3660" i="2"/>
  <c r="AH3659" i="2"/>
  <c r="AE3659" i="2"/>
  <c r="AD3659" i="2"/>
  <c r="AF3659" i="2" s="1"/>
  <c r="X3659" i="2"/>
  <c r="AC3659" i="2" s="1"/>
  <c r="W3659" i="2"/>
  <c r="AH3658" i="2"/>
  <c r="AE3658" i="2"/>
  <c r="AD3658" i="2"/>
  <c r="X3658" i="2"/>
  <c r="W3658" i="2"/>
  <c r="AH3657" i="2"/>
  <c r="AE3657" i="2"/>
  <c r="AD3657" i="2"/>
  <c r="AF3657" i="2" s="1"/>
  <c r="X3657" i="2"/>
  <c r="AB3657" i="2" s="1"/>
  <c r="AK3657" i="2" s="1"/>
  <c r="W3657" i="2"/>
  <c r="AH3656" i="2"/>
  <c r="AE3656" i="2"/>
  <c r="AD3656" i="2"/>
  <c r="X3656" i="2"/>
  <c r="AB3656" i="2" s="1"/>
  <c r="AK3656" i="2" s="1"/>
  <c r="W3656" i="2"/>
  <c r="AH3655" i="2"/>
  <c r="AE3655" i="2"/>
  <c r="AD3655" i="2"/>
  <c r="X3655" i="2"/>
  <c r="W3655" i="2"/>
  <c r="AH3654" i="2"/>
  <c r="AE3654" i="2"/>
  <c r="AF3654" i="2" s="1"/>
  <c r="AD3654" i="2"/>
  <c r="X3654" i="2"/>
  <c r="W3654" i="2"/>
  <c r="AH3653" i="2"/>
  <c r="AE3653" i="2"/>
  <c r="AD3653" i="2"/>
  <c r="Y3653" i="2" s="1"/>
  <c r="X3653" i="2"/>
  <c r="AB3653" i="2" s="1"/>
  <c r="AK3653" i="2" s="1"/>
  <c r="W3653" i="2"/>
  <c r="AH3652" i="2"/>
  <c r="AE3652" i="2"/>
  <c r="AD3652" i="2"/>
  <c r="X3652" i="2"/>
  <c r="W3652" i="2"/>
  <c r="AH3651" i="2"/>
  <c r="AE3651" i="2"/>
  <c r="AD3651" i="2"/>
  <c r="AF3651" i="2" s="1"/>
  <c r="X3651" i="2"/>
  <c r="W3651" i="2"/>
  <c r="AH3650" i="2"/>
  <c r="AE3650" i="2"/>
  <c r="AD3650" i="2"/>
  <c r="X3650" i="2"/>
  <c r="AB3650" i="2" s="1"/>
  <c r="AK3650" i="2" s="1"/>
  <c r="W3650" i="2"/>
  <c r="AH3649" i="2"/>
  <c r="AE3649" i="2"/>
  <c r="AD3649" i="2"/>
  <c r="AF3649" i="2" s="1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F3646" i="2" s="1"/>
  <c r="AD3646" i="2"/>
  <c r="X3646" i="2"/>
  <c r="AC3646" i="2" s="1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AF3643" i="2" s="1"/>
  <c r="X3643" i="2"/>
  <c r="W3643" i="2"/>
  <c r="AH3642" i="2"/>
  <c r="AE3642" i="2"/>
  <c r="AD3642" i="2"/>
  <c r="X3642" i="2"/>
  <c r="AB3642" i="2" s="1"/>
  <c r="AK3642" i="2" s="1"/>
  <c r="W3642" i="2"/>
  <c r="AH3641" i="2"/>
  <c r="AE3641" i="2"/>
  <c r="AD3641" i="2"/>
  <c r="AF3641" i="2" s="1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F3638" i="2" s="1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AF3635" i="2" s="1"/>
  <c r="X3635" i="2"/>
  <c r="W3635" i="2"/>
  <c r="AH3634" i="2"/>
  <c r="AE3634" i="2"/>
  <c r="AD3634" i="2"/>
  <c r="X3634" i="2"/>
  <c r="AK3634" i="2" s="1"/>
  <c r="W3634" i="2"/>
  <c r="AH3633" i="2"/>
  <c r="AE3633" i="2"/>
  <c r="AD3633" i="2"/>
  <c r="AF3633" i="2" s="1"/>
  <c r="X3633" i="2"/>
  <c r="W3633" i="2"/>
  <c r="AH3632" i="2"/>
  <c r="AE3632" i="2"/>
  <c r="AD3632" i="2"/>
  <c r="X3632" i="2"/>
  <c r="AC3632" i="2" s="1"/>
  <c r="W3632" i="2"/>
  <c r="AH3631" i="2"/>
  <c r="AE3631" i="2"/>
  <c r="AD3631" i="2"/>
  <c r="X3631" i="2"/>
  <c r="AK3631" i="2" s="1"/>
  <c r="W3631" i="2"/>
  <c r="AH3630" i="2"/>
  <c r="AE3630" i="2"/>
  <c r="AF3630" i="2" s="1"/>
  <c r="AD3630" i="2"/>
  <c r="X3630" i="2"/>
  <c r="W3630" i="2"/>
  <c r="AH3629" i="2"/>
  <c r="AE3629" i="2"/>
  <c r="AD3629" i="2"/>
  <c r="X3629" i="2"/>
  <c r="AC3629" i="2" s="1"/>
  <c r="W3629" i="2"/>
  <c r="AH3628" i="2"/>
  <c r="AE3628" i="2"/>
  <c r="AD3628" i="2"/>
  <c r="X3628" i="2"/>
  <c r="W3628" i="2"/>
  <c r="AH3627" i="2"/>
  <c r="AE3627" i="2"/>
  <c r="AD3627" i="2"/>
  <c r="AF3627" i="2" s="1"/>
  <c r="X3627" i="2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AF3625" i="2" s="1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F3622" i="2" s="1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AB3620" i="2" s="1"/>
  <c r="AK3620" i="2" s="1"/>
  <c r="W3620" i="2"/>
  <c r="AH3619" i="2"/>
  <c r="AE3619" i="2"/>
  <c r="AD3619" i="2"/>
  <c r="AF3619" i="2" s="1"/>
  <c r="X3619" i="2"/>
  <c r="AB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AC3616" i="2" s="1"/>
  <c r="W3616" i="2"/>
  <c r="AH3615" i="2"/>
  <c r="AE3615" i="2"/>
  <c r="AD3615" i="2"/>
  <c r="X3615" i="2"/>
  <c r="AB3615" i="2" s="1"/>
  <c r="AK3615" i="2" s="1"/>
  <c r="W3615" i="2"/>
  <c r="AH3614" i="2"/>
  <c r="AE3614" i="2"/>
  <c r="AF3614" i="2" s="1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AF3611" i="2" s="1"/>
  <c r="X3611" i="2"/>
  <c r="AK3611" i="2" s="1"/>
  <c r="W3611" i="2"/>
  <c r="AH3610" i="2"/>
  <c r="AE3610" i="2"/>
  <c r="AD3610" i="2"/>
  <c r="X3610" i="2"/>
  <c r="W3610" i="2"/>
  <c r="AH3609" i="2"/>
  <c r="AE3609" i="2"/>
  <c r="AD3609" i="2"/>
  <c r="AF3609" i="2" s="1"/>
  <c r="X3609" i="2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B3607" i="2" s="1"/>
  <c r="AK3607" i="2" s="1"/>
  <c r="W3607" i="2"/>
  <c r="AH3606" i="2"/>
  <c r="AE3606" i="2"/>
  <c r="AF3606" i="2" s="1"/>
  <c r="AD3606" i="2"/>
  <c r="X3606" i="2"/>
  <c r="W3606" i="2"/>
  <c r="AH3605" i="2"/>
  <c r="AE3605" i="2"/>
  <c r="AD3605" i="2"/>
  <c r="X3605" i="2"/>
  <c r="AB3605" i="2" s="1"/>
  <c r="AK3605" i="2" s="1"/>
  <c r="W3605" i="2"/>
  <c r="AH3604" i="2"/>
  <c r="AE3604" i="2"/>
  <c r="AD3604" i="2"/>
  <c r="X3604" i="2"/>
  <c r="W3604" i="2"/>
  <c r="AH3603" i="2"/>
  <c r="AE3603" i="2"/>
  <c r="AD3603" i="2"/>
  <c r="X3603" i="2"/>
  <c r="AB3603" i="2" s="1"/>
  <c r="AK3603" i="2" s="1"/>
  <c r="W3603" i="2"/>
  <c r="AH3602" i="2"/>
  <c r="AE3602" i="2"/>
  <c r="AD3602" i="2"/>
  <c r="X3602" i="2"/>
  <c r="W3602" i="2"/>
  <c r="AH3601" i="2"/>
  <c r="AE3601" i="2"/>
  <c r="AD3601" i="2"/>
  <c r="AF3601" i="2" s="1"/>
  <c r="X3601" i="2"/>
  <c r="AC3601" i="2" s="1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F3598" i="2" s="1"/>
  <c r="AD3598" i="2"/>
  <c r="X3598" i="2"/>
  <c r="AC3598" i="2" s="1"/>
  <c r="W3598" i="2"/>
  <c r="AH3597" i="2"/>
  <c r="AE3597" i="2"/>
  <c r="AD3597" i="2"/>
  <c r="X3597" i="2"/>
  <c r="AB3597" i="2" s="1"/>
  <c r="AK3597" i="2" s="1"/>
  <c r="W3597" i="2"/>
  <c r="AH3596" i="2"/>
  <c r="AE3596" i="2"/>
  <c r="AD3596" i="2"/>
  <c r="X3596" i="2"/>
  <c r="AC3596" i="2" s="1"/>
  <c r="W3596" i="2"/>
  <c r="AH3595" i="2"/>
  <c r="AE3595" i="2"/>
  <c r="AD3595" i="2"/>
  <c r="AF3595" i="2" s="1"/>
  <c r="X3595" i="2"/>
  <c r="AC3595" i="2" s="1"/>
  <c r="W3595" i="2"/>
  <c r="AH3594" i="2"/>
  <c r="AE3594" i="2"/>
  <c r="AD3594" i="2"/>
  <c r="X3594" i="2"/>
  <c r="AC3594" i="2" s="1"/>
  <c r="W3594" i="2"/>
  <c r="AH3593" i="2"/>
  <c r="AE3593" i="2"/>
  <c r="AD3593" i="2"/>
  <c r="AF3593" i="2" s="1"/>
  <c r="X3593" i="2"/>
  <c r="AC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B3591" i="2" s="1"/>
  <c r="AK3591" i="2" s="1"/>
  <c r="W3591" i="2"/>
  <c r="AH3590" i="2"/>
  <c r="AE3590" i="2"/>
  <c r="AF3590" i="2" s="1"/>
  <c r="AD3590" i="2"/>
  <c r="X3590" i="2"/>
  <c r="AC3590" i="2" s="1"/>
  <c r="W3590" i="2"/>
  <c r="AH3589" i="2"/>
  <c r="AE3589" i="2"/>
  <c r="AD3589" i="2"/>
  <c r="X3589" i="2"/>
  <c r="AB3589" i="2" s="1"/>
  <c r="AK3589" i="2" s="1"/>
  <c r="W3589" i="2"/>
  <c r="AH3588" i="2"/>
  <c r="AE3588" i="2"/>
  <c r="AD3588" i="2"/>
  <c r="X3588" i="2"/>
  <c r="AB3588" i="2" s="1"/>
  <c r="AK3588" i="2" s="1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AC3586" i="2" s="1"/>
  <c r="W3586" i="2"/>
  <c r="AH3585" i="2"/>
  <c r="AE3585" i="2"/>
  <c r="AD3585" i="2"/>
  <c r="AF3585" i="2" s="1"/>
  <c r="X3585" i="2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F3582" i="2" s="1"/>
  <c r="AD3582" i="2"/>
  <c r="X3582" i="2"/>
  <c r="AB3582" i="2" s="1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AF3579" i="2" s="1"/>
  <c r="X3579" i="2"/>
  <c r="AB3579" i="2" s="1"/>
  <c r="AK3579" i="2" s="1"/>
  <c r="W3579" i="2"/>
  <c r="AH3578" i="2"/>
  <c r="AE3578" i="2"/>
  <c r="AD3578" i="2"/>
  <c r="X3578" i="2"/>
  <c r="AB3578" i="2" s="1"/>
  <c r="AK3578" i="2" s="1"/>
  <c r="W3578" i="2"/>
  <c r="AH3577" i="2"/>
  <c r="AE3577" i="2"/>
  <c r="AD3577" i="2"/>
  <c r="AF3577" i="2" s="1"/>
  <c r="X3577" i="2"/>
  <c r="W3577" i="2"/>
  <c r="AH3576" i="2"/>
  <c r="AE3576" i="2"/>
  <c r="AD3576" i="2"/>
  <c r="X3576" i="2"/>
  <c r="AC3576" i="2" s="1"/>
  <c r="W3576" i="2"/>
  <c r="AH3575" i="2"/>
  <c r="AE3575" i="2"/>
  <c r="AD3575" i="2"/>
  <c r="X3575" i="2"/>
  <c r="W3575" i="2"/>
  <c r="AH3574" i="2"/>
  <c r="AE3574" i="2"/>
  <c r="AF3574" i="2" s="1"/>
  <c r="AD3574" i="2"/>
  <c r="X3574" i="2"/>
  <c r="AB3574" i="2" s="1"/>
  <c r="AK3574" i="2" s="1"/>
  <c r="W3574" i="2"/>
  <c r="AH3573" i="2"/>
  <c r="AE3573" i="2"/>
  <c r="AD3573" i="2"/>
  <c r="X3573" i="2"/>
  <c r="AB3573" i="2" s="1"/>
  <c r="AK3573" i="2" s="1"/>
  <c r="AH3572" i="2"/>
  <c r="AE3572" i="2"/>
  <c r="AD3572" i="2"/>
  <c r="AF3572" i="2" s="1"/>
  <c r="X3572" i="2"/>
  <c r="W3572" i="2"/>
  <c r="AH3571" i="2"/>
  <c r="AE3571" i="2"/>
  <c r="AF3571" i="2" s="1"/>
  <c r="AD3571" i="2"/>
  <c r="X3571" i="2"/>
  <c r="AB3571" i="2" s="1"/>
  <c r="AK3571" i="2" s="1"/>
  <c r="W3571" i="2"/>
  <c r="AH3570" i="2"/>
  <c r="AE3570" i="2"/>
  <c r="AD3570" i="2"/>
  <c r="X3570" i="2"/>
  <c r="W3570" i="2"/>
  <c r="AH3569" i="2"/>
  <c r="AE3569" i="2"/>
  <c r="AF3569" i="2" s="1"/>
  <c r="AD3569" i="2"/>
  <c r="X3569" i="2"/>
  <c r="W3569" i="2"/>
  <c r="AH3568" i="2"/>
  <c r="AE3568" i="2"/>
  <c r="AD3568" i="2"/>
  <c r="X3568" i="2"/>
  <c r="AB3568" i="2" s="1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AF3566" i="2" s="1"/>
  <c r="X3566" i="2"/>
  <c r="AK3566" i="2" s="1"/>
  <c r="W3566" i="2"/>
  <c r="AH3565" i="2"/>
  <c r="AE3565" i="2"/>
  <c r="AD3565" i="2"/>
  <c r="X3565" i="2"/>
  <c r="W3565" i="2"/>
  <c r="AH3564" i="2"/>
  <c r="AE3564" i="2"/>
  <c r="AD3564" i="2"/>
  <c r="AF3564" i="2" s="1"/>
  <c r="X3564" i="2"/>
  <c r="W3564" i="2"/>
  <c r="AH3563" i="2"/>
  <c r="AE3563" i="2"/>
  <c r="AD3563" i="2"/>
  <c r="X3563" i="2"/>
  <c r="W3563" i="2"/>
  <c r="AH3562" i="2"/>
  <c r="AE3562" i="2"/>
  <c r="AD3562" i="2"/>
  <c r="X3562" i="2"/>
  <c r="AB3562" i="2" s="1"/>
  <c r="AK3562" i="2" s="1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AB3558" i="2" s="1"/>
  <c r="W3558" i="2"/>
  <c r="AH3557" i="2"/>
  <c r="AE3557" i="2"/>
  <c r="AD3557" i="2"/>
  <c r="X3557" i="2"/>
  <c r="W3557" i="2"/>
  <c r="AH3556" i="2"/>
  <c r="AE3556" i="2"/>
  <c r="AD3556" i="2"/>
  <c r="AF3556" i="2" s="1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AB3554" i="2" s="1"/>
  <c r="AK3554" i="2" s="1"/>
  <c r="W3554" i="2"/>
  <c r="AH3553" i="2"/>
  <c r="AE3553" i="2"/>
  <c r="AF3553" i="2" s="1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AF3550" i="2" s="1"/>
  <c r="X3550" i="2"/>
  <c r="AB3550" i="2" s="1"/>
  <c r="AK3550" i="2" s="1"/>
  <c r="W3550" i="2"/>
  <c r="AH3549" i="2"/>
  <c r="AE3549" i="2"/>
  <c r="AD3549" i="2"/>
  <c r="X3549" i="2"/>
  <c r="AB3549" i="2" s="1"/>
  <c r="AK3549" i="2" s="1"/>
  <c r="W3549" i="2"/>
  <c r="AH3548" i="2"/>
  <c r="AE3548" i="2"/>
  <c r="AD3548" i="2"/>
  <c r="AF3548" i="2" s="1"/>
  <c r="X3548" i="2"/>
  <c r="W3548" i="2"/>
  <c r="AH3547" i="2"/>
  <c r="AE3547" i="2"/>
  <c r="AD3547" i="2"/>
  <c r="X3547" i="2"/>
  <c r="AC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W3545" i="2"/>
  <c r="AH3544" i="2"/>
  <c r="AE3544" i="2"/>
  <c r="AD3544" i="2"/>
  <c r="X3544" i="2"/>
  <c r="AB3544" i="2" s="1"/>
  <c r="AK3544" i="2" s="1"/>
  <c r="W3544" i="2"/>
  <c r="AH3543" i="2"/>
  <c r="AE3543" i="2"/>
  <c r="AD3543" i="2"/>
  <c r="AF3543" i="2" s="1"/>
  <c r="X3543" i="2"/>
  <c r="AC3543" i="2" s="1"/>
  <c r="W3543" i="2"/>
  <c r="AH3542" i="2"/>
  <c r="AE3542" i="2"/>
  <c r="AD3542" i="2"/>
  <c r="X3542" i="2"/>
  <c r="AC3542" i="2" s="1"/>
  <c r="W3542" i="2"/>
  <c r="AH3541" i="2"/>
  <c r="AE3541" i="2"/>
  <c r="AD3541" i="2"/>
  <c r="X3541" i="2"/>
  <c r="W3541" i="2"/>
  <c r="AH3540" i="2"/>
  <c r="AE3540" i="2"/>
  <c r="AF3540" i="2" s="1"/>
  <c r="AD3540" i="2"/>
  <c r="X3540" i="2"/>
  <c r="AB3540" i="2" s="1"/>
  <c r="AK3540" i="2" s="1"/>
  <c r="W3540" i="2"/>
  <c r="AH3539" i="2"/>
  <c r="AE3539" i="2"/>
  <c r="AD3539" i="2"/>
  <c r="X3539" i="2"/>
  <c r="AB3539" i="2" s="1"/>
  <c r="AK3539" i="2" s="1"/>
  <c r="W3539" i="2"/>
  <c r="AH3538" i="2"/>
  <c r="AE3538" i="2"/>
  <c r="AD3538" i="2"/>
  <c r="X3538" i="2"/>
  <c r="W3538" i="2"/>
  <c r="AH3537" i="2"/>
  <c r="AE3537" i="2"/>
  <c r="AD3537" i="2"/>
  <c r="AF3537" i="2" s="1"/>
  <c r="X3537" i="2"/>
  <c r="W3537" i="2"/>
  <c r="AH3536" i="2"/>
  <c r="AE3536" i="2"/>
  <c r="AD3536" i="2"/>
  <c r="X3536" i="2"/>
  <c r="AB3536" i="2" s="1"/>
  <c r="AK3536" i="2" s="1"/>
  <c r="W3536" i="2"/>
  <c r="AH3535" i="2"/>
  <c r="AE3535" i="2"/>
  <c r="AD3535" i="2"/>
  <c r="AF3535" i="2" s="1"/>
  <c r="X3535" i="2"/>
  <c r="W3535" i="2"/>
  <c r="AH3534" i="2"/>
  <c r="AE3534" i="2"/>
  <c r="AD3534" i="2"/>
  <c r="X3534" i="2"/>
  <c r="AC3534" i="2" s="1"/>
  <c r="W3534" i="2"/>
  <c r="AH3533" i="2"/>
  <c r="AE3533" i="2"/>
  <c r="AD3533" i="2"/>
  <c r="X3533" i="2"/>
  <c r="AB3533" i="2" s="1"/>
  <c r="AK3533" i="2" s="1"/>
  <c r="W3533" i="2"/>
  <c r="AH3532" i="2"/>
  <c r="AE3532" i="2"/>
  <c r="AF3532" i="2" s="1"/>
  <c r="AD3532" i="2"/>
  <c r="X3532" i="2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W3530" i="2"/>
  <c r="AH3529" i="2"/>
  <c r="AE3529" i="2"/>
  <c r="AD3529" i="2"/>
  <c r="AF3529" i="2" s="1"/>
  <c r="X3529" i="2"/>
  <c r="AK3529" i="2" s="1"/>
  <c r="W3529" i="2"/>
  <c r="AH3528" i="2"/>
  <c r="AE3528" i="2"/>
  <c r="AD3528" i="2"/>
  <c r="X3528" i="2"/>
  <c r="W3528" i="2"/>
  <c r="AH3527" i="2"/>
  <c r="AE3527" i="2"/>
  <c r="AD3527" i="2"/>
  <c r="AF3527" i="2" s="1"/>
  <c r="X3527" i="2"/>
  <c r="W3527" i="2"/>
  <c r="AH3526" i="2"/>
  <c r="AE3526" i="2"/>
  <c r="AD3526" i="2"/>
  <c r="X3526" i="2"/>
  <c r="W3526" i="2"/>
  <c r="AH3525" i="2"/>
  <c r="AE3525" i="2"/>
  <c r="AD3525" i="2"/>
  <c r="X3525" i="2"/>
  <c r="AB3525" i="2" s="1"/>
  <c r="AK3525" i="2" s="1"/>
  <c r="W3525" i="2"/>
  <c r="AH3524" i="2"/>
  <c r="AE3524" i="2"/>
  <c r="AF3524" i="2" s="1"/>
  <c r="AD3524" i="2"/>
  <c r="X3524" i="2"/>
  <c r="AB3524" i="2" s="1"/>
  <c r="AK3524" i="2" s="1"/>
  <c r="W3524" i="2"/>
  <c r="AH3523" i="2"/>
  <c r="AE3523" i="2"/>
  <c r="AD3523" i="2"/>
  <c r="AF3523" i="2" s="1"/>
  <c r="X3523" i="2"/>
  <c r="W3523" i="2"/>
  <c r="AH3522" i="2"/>
  <c r="AE3522" i="2"/>
  <c r="AD3522" i="2"/>
  <c r="X3522" i="2"/>
  <c r="AB3522" i="2" s="1"/>
  <c r="AK3522" i="2" s="1"/>
  <c r="W3522" i="2"/>
  <c r="AH3521" i="2"/>
  <c r="AE3521" i="2"/>
  <c r="AD3521" i="2"/>
  <c r="AF3521" i="2" s="1"/>
  <c r="X3521" i="2"/>
  <c r="AB3521" i="2" s="1"/>
  <c r="AK3521" i="2" s="1"/>
  <c r="W3521" i="2"/>
  <c r="AH3520" i="2"/>
  <c r="AE3520" i="2"/>
  <c r="AD3520" i="2"/>
  <c r="X3520" i="2"/>
  <c r="W3520" i="2"/>
  <c r="AH3519" i="2"/>
  <c r="AE3519" i="2"/>
  <c r="AD3519" i="2"/>
  <c r="AF3519" i="2" s="1"/>
  <c r="X3519" i="2"/>
  <c r="AB3519" i="2" s="1"/>
  <c r="AK3519" i="2" s="1"/>
  <c r="W3519" i="2"/>
  <c r="AH3518" i="2"/>
  <c r="AE3518" i="2"/>
  <c r="AD3518" i="2"/>
  <c r="X3518" i="2"/>
  <c r="AC3518" i="2" s="1"/>
  <c r="W3518" i="2"/>
  <c r="AH3517" i="2"/>
  <c r="AE3517" i="2"/>
  <c r="AD3517" i="2"/>
  <c r="X3517" i="2"/>
  <c r="AB3517" i="2" s="1"/>
  <c r="AK3517" i="2" s="1"/>
  <c r="W3517" i="2"/>
  <c r="AH3516" i="2"/>
  <c r="AE3516" i="2"/>
  <c r="AF3516" i="2" s="1"/>
  <c r="AD3516" i="2"/>
  <c r="X3516" i="2"/>
  <c r="AB3516" i="2" s="1"/>
  <c r="AK3516" i="2" s="1"/>
  <c r="W3516" i="2"/>
  <c r="AH3515" i="2"/>
  <c r="AE3515" i="2"/>
  <c r="AD3515" i="2"/>
  <c r="X3515" i="2"/>
  <c r="W3515" i="2"/>
  <c r="AH3514" i="2"/>
  <c r="AE3514" i="2"/>
  <c r="AD3514" i="2"/>
  <c r="X3514" i="2"/>
  <c r="AB3514" i="2" s="1"/>
  <c r="AK3514" i="2" s="1"/>
  <c r="W3514" i="2"/>
  <c r="AH3513" i="2"/>
  <c r="AE3513" i="2"/>
  <c r="AD3513" i="2"/>
  <c r="X3513" i="2"/>
  <c r="AB3513" i="2" s="1"/>
  <c r="AK3513" i="2" s="1"/>
  <c r="W3513" i="2"/>
  <c r="AH3512" i="2"/>
  <c r="AE3512" i="2"/>
  <c r="AD3512" i="2"/>
  <c r="X3512" i="2"/>
  <c r="AB3512" i="2" s="1"/>
  <c r="AK3512" i="2" s="1"/>
  <c r="W3512" i="2"/>
  <c r="AH3511" i="2"/>
  <c r="AE3511" i="2"/>
  <c r="AD3511" i="2"/>
  <c r="AF3511" i="2" s="1"/>
  <c r="X3511" i="2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W3509" i="2"/>
  <c r="AH3508" i="2"/>
  <c r="AE3508" i="2"/>
  <c r="AF3508" i="2" s="1"/>
  <c r="AD3508" i="2"/>
  <c r="X3508" i="2"/>
  <c r="AB3508" i="2" s="1"/>
  <c r="AK3508" i="2" s="1"/>
  <c r="W3508" i="2"/>
  <c r="AH3507" i="2"/>
  <c r="AE3507" i="2"/>
  <c r="AD3507" i="2"/>
  <c r="X3507" i="2"/>
  <c r="AB3507" i="2" s="1"/>
  <c r="AK3507" i="2" s="1"/>
  <c r="W3507" i="2"/>
  <c r="AH3506" i="2"/>
  <c r="AE3506" i="2"/>
  <c r="AD3506" i="2"/>
  <c r="X3506" i="2"/>
  <c r="AB3506" i="2" s="1"/>
  <c r="AK3506" i="2" s="1"/>
  <c r="W3506" i="2"/>
  <c r="AH3505" i="2"/>
  <c r="AE3505" i="2"/>
  <c r="AD3505" i="2"/>
  <c r="AF3505" i="2" s="1"/>
  <c r="X3505" i="2"/>
  <c r="AB3505" i="2" s="1"/>
  <c r="AK3505" i="2" s="1"/>
  <c r="W3505" i="2"/>
  <c r="AH3504" i="2"/>
  <c r="AE3504" i="2"/>
  <c r="AD3504" i="2"/>
  <c r="X3504" i="2"/>
  <c r="AB3504" i="2" s="1"/>
  <c r="AK3504" i="2" s="1"/>
  <c r="W3504" i="2"/>
  <c r="AH3503" i="2"/>
  <c r="AE3503" i="2"/>
  <c r="AD3503" i="2"/>
  <c r="AF3503" i="2" s="1"/>
  <c r="X3503" i="2"/>
  <c r="AC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B3501" i="2" s="1"/>
  <c r="AK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AC3498" i="2" s="1"/>
  <c r="W3498" i="2"/>
  <c r="AH3497" i="2"/>
  <c r="AE3497" i="2"/>
  <c r="AD3497" i="2"/>
  <c r="AF3497" i="2" s="1"/>
  <c r="X3497" i="2"/>
  <c r="AB3497" i="2" s="1"/>
  <c r="AK3497" i="2" s="1"/>
  <c r="W3497" i="2"/>
  <c r="AH3496" i="2"/>
  <c r="AE3496" i="2"/>
  <c r="AD3496" i="2"/>
  <c r="X3496" i="2"/>
  <c r="AB3496" i="2" s="1"/>
  <c r="AK3496" i="2" s="1"/>
  <c r="W3496" i="2"/>
  <c r="AH3495" i="2"/>
  <c r="AE3495" i="2"/>
  <c r="AD3495" i="2"/>
  <c r="X3495" i="2"/>
  <c r="W3495" i="2"/>
  <c r="AH3494" i="2"/>
  <c r="AE3494" i="2"/>
  <c r="AD3494" i="2"/>
  <c r="X3494" i="2"/>
  <c r="AB3494" i="2" s="1"/>
  <c r="AK3494" i="2" s="1"/>
  <c r="W3494" i="2"/>
  <c r="AH3493" i="2"/>
  <c r="AE3493" i="2"/>
  <c r="AD3493" i="2"/>
  <c r="X3493" i="2"/>
  <c r="AB3493" i="2" s="1"/>
  <c r="AK3493" i="2" s="1"/>
  <c r="W3493" i="2"/>
  <c r="AH3492" i="2"/>
  <c r="AE3492" i="2"/>
  <c r="AD3492" i="2"/>
  <c r="X3492" i="2"/>
  <c r="W3492" i="2"/>
  <c r="AH3491" i="2"/>
  <c r="AE3491" i="2"/>
  <c r="AD3491" i="2"/>
  <c r="AF3491" i="2" s="1"/>
  <c r="X3491" i="2"/>
  <c r="AB3491" i="2" s="1"/>
  <c r="AK3491" i="2" s="1"/>
  <c r="W3491" i="2"/>
  <c r="AH3490" i="2"/>
  <c r="AE3490" i="2"/>
  <c r="AD3490" i="2"/>
  <c r="X3490" i="2"/>
  <c r="AB3490" i="2" s="1"/>
  <c r="AK3490" i="2" s="1"/>
  <c r="W3490" i="2"/>
  <c r="AH3489" i="2"/>
  <c r="AE3489" i="2"/>
  <c r="AD3489" i="2"/>
  <c r="AF3489" i="2" s="1"/>
  <c r="X3489" i="2"/>
  <c r="AB3489" i="2" s="1"/>
  <c r="AK3489" i="2" s="1"/>
  <c r="W3489" i="2"/>
  <c r="AH3488" i="2"/>
  <c r="AE3488" i="2"/>
  <c r="AD3488" i="2"/>
  <c r="X3488" i="2"/>
  <c r="W3488" i="2"/>
  <c r="AH3487" i="2"/>
  <c r="AE3487" i="2"/>
  <c r="AD3487" i="2"/>
  <c r="AF3487" i="2" s="1"/>
  <c r="X3487" i="2"/>
  <c r="AC3487" i="2" s="1"/>
  <c r="W3487" i="2"/>
  <c r="AH3486" i="2"/>
  <c r="AE3486" i="2"/>
  <c r="AD3486" i="2"/>
  <c r="X3486" i="2"/>
  <c r="AB3486" i="2" s="1"/>
  <c r="AK3486" i="2" s="1"/>
  <c r="W3486" i="2"/>
  <c r="AH3485" i="2"/>
  <c r="AE3485" i="2"/>
  <c r="AD3485" i="2"/>
  <c r="X3485" i="2"/>
  <c r="AB3485" i="2" s="1"/>
  <c r="AK3485" i="2" s="1"/>
  <c r="W3485" i="2"/>
  <c r="AH3484" i="2"/>
  <c r="AE3484" i="2"/>
  <c r="AF3484" i="2" s="1"/>
  <c r="AD3484" i="2"/>
  <c r="X3484" i="2"/>
  <c r="AC3484" i="2" s="1"/>
  <c r="W3484" i="2"/>
  <c r="AH3483" i="2"/>
  <c r="AE3483" i="2"/>
  <c r="AD3483" i="2"/>
  <c r="AF3483" i="2" s="1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B3480" i="2" s="1"/>
  <c r="AK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W3478" i="2"/>
  <c r="AH3477" i="2"/>
  <c r="AE3477" i="2"/>
  <c r="AD3477" i="2"/>
  <c r="X3477" i="2"/>
  <c r="AB3477" i="2" s="1"/>
  <c r="AK3477" i="2" s="1"/>
  <c r="W3477" i="2"/>
  <c r="AH3476" i="2"/>
  <c r="AE3476" i="2"/>
  <c r="AF3476" i="2" s="1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AF3473" i="2" s="1"/>
  <c r="X3473" i="2"/>
  <c r="AB3473" i="2" s="1"/>
  <c r="AK3473" i="2" s="1"/>
  <c r="W3473" i="2"/>
  <c r="AH3472" i="2"/>
  <c r="AE3472" i="2"/>
  <c r="AD3472" i="2"/>
  <c r="X3472" i="2"/>
  <c r="AB3472" i="2" s="1"/>
  <c r="AK3472" i="2" s="1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AB3469" i="2" s="1"/>
  <c r="AK3469" i="2" s="1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AF3465" i="2" s="1"/>
  <c r="X3465" i="2"/>
  <c r="W3465" i="2"/>
  <c r="AH3464" i="2"/>
  <c r="AE3464" i="2"/>
  <c r="AD3464" i="2"/>
  <c r="X3464" i="2"/>
  <c r="AB3464" i="2" s="1"/>
  <c r="AK3464" i="2" s="1"/>
  <c r="W3464" i="2"/>
  <c r="AH3463" i="2"/>
  <c r="AE3463" i="2"/>
  <c r="AD3463" i="2"/>
  <c r="X3463" i="2"/>
  <c r="W3463" i="2"/>
  <c r="AH3462" i="2"/>
  <c r="AE3462" i="2"/>
  <c r="AF3462" i="2" s="1"/>
  <c r="AD3462" i="2"/>
  <c r="X3462" i="2"/>
  <c r="W3462" i="2"/>
  <c r="AH3461" i="2"/>
  <c r="AE3461" i="2"/>
  <c r="AD3461" i="2"/>
  <c r="X3461" i="2"/>
  <c r="AB3461" i="2" s="1"/>
  <c r="AK3461" i="2" s="1"/>
  <c r="W3461" i="2"/>
  <c r="AH3460" i="2"/>
  <c r="AE3460" i="2"/>
  <c r="AF3460" i="2" s="1"/>
  <c r="AD3460" i="2"/>
  <c r="X3460" i="2"/>
  <c r="AB3460" i="2" s="1"/>
  <c r="AK3460" i="2" s="1"/>
  <c r="W3460" i="2"/>
  <c r="AH3459" i="2"/>
  <c r="AE3459" i="2"/>
  <c r="AD3459" i="2"/>
  <c r="X3459" i="2"/>
  <c r="W3459" i="2"/>
  <c r="AH3458" i="2"/>
  <c r="AE3458" i="2"/>
  <c r="AD3458" i="2"/>
  <c r="X3458" i="2"/>
  <c r="AB3458" i="2" s="1"/>
  <c r="AK3458" i="2" s="1"/>
  <c r="W3458" i="2"/>
  <c r="AH3457" i="2"/>
  <c r="AE3457" i="2"/>
  <c r="AD3457" i="2"/>
  <c r="X3457" i="2"/>
  <c r="AB3457" i="2" s="1"/>
  <c r="AK3457" i="2" s="1"/>
  <c r="W3457" i="2"/>
  <c r="AH3456" i="2"/>
  <c r="AE3456" i="2"/>
  <c r="AD3456" i="2"/>
  <c r="X3456" i="2"/>
  <c r="W3456" i="2"/>
  <c r="AH3455" i="2"/>
  <c r="AE3455" i="2"/>
  <c r="AD3455" i="2"/>
  <c r="AF3455" i="2" s="1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W3451" i="2"/>
  <c r="AH3450" i="2"/>
  <c r="AE3450" i="2"/>
  <c r="AD3450" i="2"/>
  <c r="X3450" i="2"/>
  <c r="AB3450" i="2" s="1"/>
  <c r="AK3450" i="2" s="1"/>
  <c r="W3450" i="2"/>
  <c r="AH3449" i="2"/>
  <c r="AE3449" i="2"/>
  <c r="AD3449" i="2"/>
  <c r="X3449" i="2"/>
  <c r="AB3449" i="2" s="1"/>
  <c r="AK3449" i="2" s="1"/>
  <c r="W3449" i="2"/>
  <c r="AH3448" i="2"/>
  <c r="AE3448" i="2"/>
  <c r="AD3448" i="2"/>
  <c r="X3448" i="2"/>
  <c r="Y3448" i="2" s="1"/>
  <c r="W3448" i="2"/>
  <c r="AH3447" i="2"/>
  <c r="AE3447" i="2"/>
  <c r="AD3447" i="2"/>
  <c r="AF3447" i="2" s="1"/>
  <c r="X3447" i="2"/>
  <c r="W3447" i="2"/>
  <c r="AH3446" i="2"/>
  <c r="AE3446" i="2"/>
  <c r="AD3446" i="2"/>
  <c r="X3446" i="2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AB3444" i="2" s="1"/>
  <c r="AK3444" i="2" s="1"/>
  <c r="W3444" i="2"/>
  <c r="AH3443" i="2"/>
  <c r="AE3443" i="2"/>
  <c r="AD3443" i="2"/>
  <c r="AF3443" i="2" s="1"/>
  <c r="X3443" i="2"/>
  <c r="AK3443" i="2" s="1"/>
  <c r="W3443" i="2"/>
  <c r="AH3442" i="2"/>
  <c r="AE3442" i="2"/>
  <c r="AD3442" i="2"/>
  <c r="X3442" i="2"/>
  <c r="W3442" i="2"/>
  <c r="AH3441" i="2"/>
  <c r="AE3441" i="2"/>
  <c r="AD3441" i="2"/>
  <c r="AF3441" i="2" s="1"/>
  <c r="X3441" i="2"/>
  <c r="AB3441" i="2" s="1"/>
  <c r="AK3441" i="2" s="1"/>
  <c r="W3441" i="2"/>
  <c r="AH3440" i="2"/>
  <c r="AE3440" i="2"/>
  <c r="AD3440" i="2"/>
  <c r="X3440" i="2"/>
  <c r="AB3440" i="2" s="1"/>
  <c r="AK3440" i="2" s="1"/>
  <c r="W3440" i="2"/>
  <c r="AH3439" i="2"/>
  <c r="AE3439" i="2"/>
  <c r="AD3439" i="2"/>
  <c r="AF3439" i="2" s="1"/>
  <c r="X3439" i="2"/>
  <c r="W3439" i="2"/>
  <c r="AH3438" i="2"/>
  <c r="AE3438" i="2"/>
  <c r="AD3438" i="2"/>
  <c r="X3438" i="2"/>
  <c r="W3438" i="2"/>
  <c r="AH3437" i="2"/>
  <c r="AE3437" i="2"/>
  <c r="AD3437" i="2"/>
  <c r="X3437" i="2"/>
  <c r="AB3437" i="2" s="1"/>
  <c r="AK3437" i="2" s="1"/>
  <c r="W3437" i="2"/>
  <c r="AH3436" i="2"/>
  <c r="AE3436" i="2"/>
  <c r="AD3436" i="2"/>
  <c r="X3436" i="2"/>
  <c r="AB3436" i="2" s="1"/>
  <c r="AK3436" i="2" s="1"/>
  <c r="W3436" i="2"/>
  <c r="AH3435" i="2"/>
  <c r="AE3435" i="2"/>
  <c r="AD3435" i="2"/>
  <c r="Y3435" i="2" s="1"/>
  <c r="X3435" i="2"/>
  <c r="AB3435" i="2" s="1"/>
  <c r="AK3435" i="2" s="1"/>
  <c r="W3435" i="2"/>
  <c r="AH3434" i="2"/>
  <c r="AE3434" i="2"/>
  <c r="AD3434" i="2"/>
  <c r="X3434" i="2"/>
  <c r="W3434" i="2"/>
  <c r="AH3433" i="2"/>
  <c r="AE3433" i="2"/>
  <c r="AD3433" i="2"/>
  <c r="AF3433" i="2" s="1"/>
  <c r="X3433" i="2"/>
  <c r="AB3433" i="2" s="1"/>
  <c r="AK3433" i="2" s="1"/>
  <c r="W3433" i="2"/>
  <c r="AH3432" i="2"/>
  <c r="AE3432" i="2"/>
  <c r="AD3432" i="2"/>
  <c r="X3432" i="2"/>
  <c r="AB3432" i="2" s="1"/>
  <c r="AK3432" i="2" s="1"/>
  <c r="W3432" i="2"/>
  <c r="AH3431" i="2"/>
  <c r="AE3431" i="2"/>
  <c r="AD3431" i="2"/>
  <c r="AF3431" i="2" s="1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F3426" i="2" s="1"/>
  <c r="X3426" i="2"/>
  <c r="AC3426" i="2" s="1"/>
  <c r="W3426" i="2"/>
  <c r="AH3425" i="2"/>
  <c r="AE3425" i="2"/>
  <c r="AF3425" i="2" s="1"/>
  <c r="X3425" i="2"/>
  <c r="AB3425" i="2" s="1"/>
  <c r="AK3425" i="2" s="1"/>
  <c r="W3425" i="2"/>
  <c r="AH3424" i="2"/>
  <c r="AE3424" i="2"/>
  <c r="AF3424" i="2" s="1"/>
  <c r="X3424" i="2"/>
  <c r="AB3424" i="2" s="1"/>
  <c r="AK3424" i="2" s="1"/>
  <c r="W3424" i="2"/>
  <c r="AH3423" i="2"/>
  <c r="AE3423" i="2"/>
  <c r="AF3423" i="2" s="1"/>
  <c r="X3423" i="2"/>
  <c r="Y3423" i="2" s="1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AC3420" i="2" s="1"/>
  <c r="W3420" i="2"/>
  <c r="AH3419" i="2"/>
  <c r="AE3419" i="2"/>
  <c r="AF3419" i="2" s="1"/>
  <c r="X3419" i="2"/>
  <c r="AB3419" i="2" s="1"/>
  <c r="AK3419" i="2" s="1"/>
  <c r="W3419" i="2"/>
  <c r="AH3418" i="2"/>
  <c r="AE3418" i="2"/>
  <c r="AF3418" i="2" s="1"/>
  <c r="X3418" i="2"/>
  <c r="AC3418" i="2" s="1"/>
  <c r="W3418" i="2"/>
  <c r="AH3417" i="2"/>
  <c r="AE3417" i="2"/>
  <c r="AF3417" i="2" s="1"/>
  <c r="X3417" i="2"/>
  <c r="AC3417" i="2" s="1"/>
  <c r="W3417" i="2"/>
  <c r="AH3416" i="2"/>
  <c r="AE3416" i="2"/>
  <c r="AF3416" i="2" s="1"/>
  <c r="X3416" i="2"/>
  <c r="AC3416" i="2" s="1"/>
  <c r="W3416" i="2"/>
  <c r="AH3415" i="2"/>
  <c r="AE3415" i="2"/>
  <c r="AF3415" i="2" s="1"/>
  <c r="X3415" i="2"/>
  <c r="W3415" i="2"/>
  <c r="AH3414" i="2"/>
  <c r="AE3414" i="2"/>
  <c r="AF3414" i="2" s="1"/>
  <c r="X3414" i="2"/>
  <c r="AC3414" i="2" s="1"/>
  <c r="W3414" i="2"/>
  <c r="AH3413" i="2"/>
  <c r="AE3413" i="2"/>
  <c r="AF3413" i="2" s="1"/>
  <c r="X3413" i="2"/>
  <c r="Y3413" i="2" s="1"/>
  <c r="W3413" i="2"/>
  <c r="AH3412" i="2"/>
  <c r="AE3412" i="2"/>
  <c r="AF3412" i="2" s="1"/>
  <c r="X3412" i="2"/>
  <c r="AC3412" i="2" s="1"/>
  <c r="W3412" i="2"/>
  <c r="AH3411" i="2"/>
  <c r="AE3411" i="2"/>
  <c r="AF3411" i="2" s="1"/>
  <c r="X3411" i="2"/>
  <c r="W3411" i="2"/>
  <c r="AH3410" i="2"/>
  <c r="AE3410" i="2"/>
  <c r="AF3410" i="2" s="1"/>
  <c r="X3410" i="2"/>
  <c r="AC3410" i="2" s="1"/>
  <c r="W3410" i="2"/>
  <c r="AH3409" i="2"/>
  <c r="AE3409" i="2"/>
  <c r="AF3409" i="2" s="1"/>
  <c r="X3409" i="2"/>
  <c r="AC3409" i="2" s="1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AC3406" i="2" s="1"/>
  <c r="W3406" i="2"/>
  <c r="AE3405" i="2"/>
  <c r="AD3405" i="2"/>
  <c r="X3405" i="2"/>
  <c r="AB3405" i="2" s="1"/>
  <c r="AK3405" i="2" s="1"/>
  <c r="W3405" i="2"/>
  <c r="AE3404" i="2"/>
  <c r="AD3404" i="2"/>
  <c r="AH3404" i="2" s="1"/>
  <c r="X3404" i="2"/>
  <c r="W3404" i="2"/>
  <c r="AE3403" i="2"/>
  <c r="AD3403" i="2"/>
  <c r="X3403" i="2"/>
  <c r="W3403" i="2"/>
  <c r="AE3402" i="2"/>
  <c r="AD3402" i="2"/>
  <c r="AH3402" i="2" s="1"/>
  <c r="X3402" i="2"/>
  <c r="W3402" i="2"/>
  <c r="AE3401" i="2"/>
  <c r="AD3401" i="2"/>
  <c r="X3401" i="2"/>
  <c r="AB3401" i="2" s="1"/>
  <c r="AK3401" i="2" s="1"/>
  <c r="W3401" i="2"/>
  <c r="AE3400" i="2"/>
  <c r="AD3400" i="2"/>
  <c r="AH3400" i="2" s="1"/>
  <c r="X3400" i="2"/>
  <c r="AC3400" i="2" s="1"/>
  <c r="W3400" i="2"/>
  <c r="AE3399" i="2"/>
  <c r="AD3399" i="2"/>
  <c r="X3399" i="2"/>
  <c r="AC3399" i="2" s="1"/>
  <c r="W3399" i="2"/>
  <c r="AE3398" i="2"/>
  <c r="AD3398" i="2"/>
  <c r="AH3398" i="2" s="1"/>
  <c r="X3398" i="2"/>
  <c r="W3398" i="2"/>
  <c r="AE3397" i="2"/>
  <c r="AD3397" i="2"/>
  <c r="AH3397" i="2" s="1"/>
  <c r="X3397" i="2"/>
  <c r="AC3397" i="2" s="1"/>
  <c r="W3397" i="2"/>
  <c r="AE3396" i="2"/>
  <c r="AD3396" i="2"/>
  <c r="X3396" i="2"/>
  <c r="W3396" i="2"/>
  <c r="AE3395" i="2"/>
  <c r="AD3395" i="2"/>
  <c r="X3395" i="2"/>
  <c r="W3395" i="2"/>
  <c r="AE3394" i="2"/>
  <c r="AD3394" i="2"/>
  <c r="AH3394" i="2" s="1"/>
  <c r="X3394" i="2"/>
  <c r="W3394" i="2"/>
  <c r="AE3393" i="2"/>
  <c r="AD3393" i="2"/>
  <c r="X3393" i="2"/>
  <c r="AA3393" i="2" s="1"/>
  <c r="AB3393" i="2" s="1"/>
  <c r="AK3393" i="2" s="1"/>
  <c r="W3393" i="2"/>
  <c r="AE3392" i="2"/>
  <c r="AD3392" i="2"/>
  <c r="AH3392" i="2" s="1"/>
  <c r="X3392" i="2"/>
  <c r="AB3392" i="2" s="1"/>
  <c r="AK3392" i="2" s="1"/>
  <c r="W3392" i="2"/>
  <c r="AE3391" i="2"/>
  <c r="AD3391" i="2"/>
  <c r="AH3391" i="2" s="1"/>
  <c r="X3391" i="2"/>
  <c r="AB3391" i="2" s="1"/>
  <c r="AK3391" i="2" s="1"/>
  <c r="W3391" i="2"/>
  <c r="AE3390" i="2"/>
  <c r="AF3390" i="2" s="1"/>
  <c r="AD3390" i="2"/>
  <c r="AH3390" i="2" s="1"/>
  <c r="X3390" i="2"/>
  <c r="W3390" i="2"/>
  <c r="AE3389" i="2"/>
  <c r="AD3389" i="2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X3385" i="2"/>
  <c r="AB3385" i="2" s="1"/>
  <c r="AK3385" i="2" s="1"/>
  <c r="W3385" i="2"/>
  <c r="AE3384" i="2"/>
  <c r="AD3384" i="2"/>
  <c r="AH3384" i="2" s="1"/>
  <c r="X3384" i="2"/>
  <c r="W3384" i="2"/>
  <c r="AE3383" i="2"/>
  <c r="AD3383" i="2"/>
  <c r="AH3383" i="2" s="1"/>
  <c r="X3383" i="2"/>
  <c r="AC3383" i="2" s="1"/>
  <c r="W3383" i="2"/>
  <c r="AE3382" i="2"/>
  <c r="AD3382" i="2"/>
  <c r="X3382" i="2"/>
  <c r="W3382" i="2"/>
  <c r="AE3381" i="2"/>
  <c r="AD3381" i="2"/>
  <c r="X3381" i="2"/>
  <c r="W3381" i="2"/>
  <c r="AE3380" i="2"/>
  <c r="AD3380" i="2"/>
  <c r="AH3380" i="2" s="1"/>
  <c r="X3380" i="2"/>
  <c r="W3380" i="2"/>
  <c r="AE3379" i="2"/>
  <c r="AD3379" i="2"/>
  <c r="X3379" i="2"/>
  <c r="AB3379" i="2" s="1"/>
  <c r="AK3379" i="2" s="1"/>
  <c r="W3379" i="2"/>
  <c r="AE3378" i="2"/>
  <c r="AD3378" i="2"/>
  <c r="AH3378" i="2" s="1"/>
  <c r="X3378" i="2"/>
  <c r="W3378" i="2"/>
  <c r="AE3377" i="2"/>
  <c r="AD3377" i="2"/>
  <c r="AH3377" i="2" s="1"/>
  <c r="X3377" i="2"/>
  <c r="AB3377" i="2" s="1"/>
  <c r="AK3377" i="2" s="1"/>
  <c r="W3377" i="2"/>
  <c r="AE3376" i="2"/>
  <c r="AD3376" i="2"/>
  <c r="AH3376" i="2" s="1"/>
  <c r="X3376" i="2"/>
  <c r="AB3376" i="2" s="1"/>
  <c r="AK3376" i="2" s="1"/>
  <c r="W3376" i="2"/>
  <c r="AE3375" i="2"/>
  <c r="AD3375" i="2"/>
  <c r="X3375" i="2"/>
  <c r="AB3375" i="2" s="1"/>
  <c r="AK3375" i="2" s="1"/>
  <c r="W3375" i="2"/>
  <c r="AE3374" i="2"/>
  <c r="AD3374" i="2"/>
  <c r="AH3374" i="2" s="1"/>
  <c r="X3374" i="2"/>
  <c r="AC3374" i="2" s="1"/>
  <c r="W3374" i="2"/>
  <c r="AE3373" i="2"/>
  <c r="AD3373" i="2"/>
  <c r="AH3373" i="2" s="1"/>
  <c r="X3373" i="2"/>
  <c r="AB3373" i="2" s="1"/>
  <c r="AK3373" i="2" s="1"/>
  <c r="W3373" i="2"/>
  <c r="AE3372" i="2"/>
  <c r="AD3372" i="2"/>
  <c r="X3372" i="2"/>
  <c r="W3372" i="2"/>
  <c r="AE3371" i="2"/>
  <c r="AD3371" i="2"/>
  <c r="X3371" i="2"/>
  <c r="AB3371" i="2" s="1"/>
  <c r="AK3371" i="2" s="1"/>
  <c r="W3371" i="2"/>
  <c r="AE3370" i="2"/>
  <c r="AD3370" i="2"/>
  <c r="X3370" i="2"/>
  <c r="W3370" i="2"/>
  <c r="AE3369" i="2"/>
  <c r="AD3369" i="2"/>
  <c r="X3369" i="2"/>
  <c r="W3369" i="2"/>
  <c r="AE3368" i="2"/>
  <c r="AD3368" i="2"/>
  <c r="X3368" i="2"/>
  <c r="W3368" i="2"/>
  <c r="AE3367" i="2"/>
  <c r="AD3367" i="2"/>
  <c r="AH3367" i="2" s="1"/>
  <c r="X3367" i="2"/>
  <c r="AB3367" i="2" s="1"/>
  <c r="AK3367" i="2" s="1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F3364" i="2" s="1"/>
  <c r="AD3364" i="2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AB3361" i="2" s="1"/>
  <c r="AK3361" i="2" s="1"/>
  <c r="W3361" i="2"/>
  <c r="AE3360" i="2"/>
  <c r="AF3360" i="2" s="1"/>
  <c r="AD3360" i="2"/>
  <c r="X3360" i="2"/>
  <c r="W3360" i="2"/>
  <c r="AE3359" i="2"/>
  <c r="AD3359" i="2"/>
  <c r="X3359" i="2"/>
  <c r="AB3359" i="2" s="1"/>
  <c r="AK3359" i="2" s="1"/>
  <c r="W3359" i="2"/>
  <c r="AE3358" i="2"/>
  <c r="AF3358" i="2" s="1"/>
  <c r="AD3358" i="2"/>
  <c r="X3358" i="2"/>
  <c r="W3358" i="2"/>
  <c r="AE3357" i="2"/>
  <c r="AD3357" i="2"/>
  <c r="AH3357" i="2" s="1"/>
  <c r="X3357" i="2"/>
  <c r="AB3357" i="2" s="1"/>
  <c r="AK3357" i="2" s="1"/>
  <c r="W3357" i="2"/>
  <c r="AE3356" i="2"/>
  <c r="AD3356" i="2"/>
  <c r="X3356" i="2"/>
  <c r="W3356" i="2"/>
  <c r="AE3355" i="2"/>
  <c r="AD3355" i="2"/>
  <c r="X3355" i="2"/>
  <c r="AB3355" i="2" s="1"/>
  <c r="AK3355" i="2" s="1"/>
  <c r="W3355" i="2"/>
  <c r="AE3354" i="2"/>
  <c r="AD3354" i="2"/>
  <c r="X3354" i="2"/>
  <c r="W3354" i="2"/>
  <c r="AE3353" i="2"/>
  <c r="AD3353" i="2"/>
  <c r="AH3353" i="2" s="1"/>
  <c r="X3353" i="2"/>
  <c r="AC3353" i="2" s="1"/>
  <c r="W3353" i="2"/>
  <c r="AE3352" i="2"/>
  <c r="AF3352" i="2" s="1"/>
  <c r="AD3352" i="2"/>
  <c r="AH3352" i="2" s="1"/>
  <c r="X3352" i="2"/>
  <c r="AC3352" i="2" s="1"/>
  <c r="W3352" i="2"/>
  <c r="AE3351" i="2"/>
  <c r="AD3351" i="2"/>
  <c r="AH3351" i="2" s="1"/>
  <c r="X3351" i="2"/>
  <c r="AB3351" i="2" s="1"/>
  <c r="AK3351" i="2" s="1"/>
  <c r="W3351" i="2"/>
  <c r="AE3350" i="2"/>
  <c r="AD3350" i="2"/>
  <c r="AH3350" i="2" s="1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X3347" i="2"/>
  <c r="AB3347" i="2" s="1"/>
  <c r="AK3347" i="2" s="1"/>
  <c r="W3347" i="2"/>
  <c r="AE3346" i="2"/>
  <c r="AD3346" i="2"/>
  <c r="AH3346" i="2" s="1"/>
  <c r="X3346" i="2"/>
  <c r="W3346" i="2"/>
  <c r="AE3345" i="2"/>
  <c r="AD3345" i="2"/>
  <c r="AH3345" i="2" s="1"/>
  <c r="X3345" i="2"/>
  <c r="AA3345" i="2" s="1"/>
  <c r="AB3345" i="2" s="1"/>
  <c r="AK3345" i="2" s="1"/>
  <c r="W3345" i="2"/>
  <c r="AE3344" i="2"/>
  <c r="AD3344" i="2"/>
  <c r="X3344" i="2"/>
  <c r="AC3344" i="2" s="1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AB3341" i="2" s="1"/>
  <c r="AK3341" i="2" s="1"/>
  <c r="W3341" i="2"/>
  <c r="AE3340" i="2"/>
  <c r="AD3340" i="2"/>
  <c r="X3340" i="2"/>
  <c r="W3340" i="2"/>
  <c r="AE3339" i="2"/>
  <c r="AD3339" i="2"/>
  <c r="AH3339" i="2" s="1"/>
  <c r="X3339" i="2"/>
  <c r="AB3339" i="2" s="1"/>
  <c r="AK3339" i="2" s="1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AA3335" i="2" s="1"/>
  <c r="AB3335" i="2" s="1"/>
  <c r="W3335" i="2"/>
  <c r="AE3334" i="2"/>
  <c r="AD3334" i="2"/>
  <c r="AH3334" i="2" s="1"/>
  <c r="X3334" i="2"/>
  <c r="W3334" i="2"/>
  <c r="AE3333" i="2"/>
  <c r="AD3333" i="2"/>
  <c r="AH3333" i="2" s="1"/>
  <c r="X3333" i="2"/>
  <c r="AA3333" i="2" s="1"/>
  <c r="AB3333" i="2" s="1"/>
  <c r="W3333" i="2"/>
  <c r="AE3332" i="2"/>
  <c r="AD3332" i="2"/>
  <c r="AH3332" i="2" s="1"/>
  <c r="X3332" i="2"/>
  <c r="AC3332" i="2" s="1"/>
  <c r="W3332" i="2"/>
  <c r="AE3331" i="2"/>
  <c r="AD3331" i="2"/>
  <c r="AH3331" i="2" s="1"/>
  <c r="X3331" i="2"/>
  <c r="W3331" i="2"/>
  <c r="AE3330" i="2"/>
  <c r="AD3330" i="2"/>
  <c r="X3330" i="2"/>
  <c r="AC3330" i="2" s="1"/>
  <c r="W3330" i="2"/>
  <c r="AE3329" i="2"/>
  <c r="AD3329" i="2"/>
  <c r="AH3329" i="2" s="1"/>
  <c r="X3329" i="2"/>
  <c r="AA3329" i="2" s="1"/>
  <c r="AB3329" i="2" s="1"/>
  <c r="AK3329" i="2" s="1"/>
  <c r="W3329" i="2"/>
  <c r="AE3328" i="2"/>
  <c r="AD3328" i="2"/>
  <c r="AH3328" i="2" s="1"/>
  <c r="X3328" i="2"/>
  <c r="AB3328" i="2" s="1"/>
  <c r="AK3328" i="2" s="1"/>
  <c r="W3328" i="2"/>
  <c r="AE3327" i="2"/>
  <c r="AD3327" i="2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F3324" i="2" s="1"/>
  <c r="AD3324" i="2"/>
  <c r="X3324" i="2"/>
  <c r="W3324" i="2"/>
  <c r="AE3323" i="2"/>
  <c r="AD3323" i="2"/>
  <c r="AH3323" i="2" s="1"/>
  <c r="X3323" i="2"/>
  <c r="W3323" i="2"/>
  <c r="AE3322" i="2"/>
  <c r="AF3322" i="2" s="1"/>
  <c r="AD3322" i="2"/>
  <c r="AH3322" i="2" s="1"/>
  <c r="X3322" i="2"/>
  <c r="W3322" i="2"/>
  <c r="AE3321" i="2"/>
  <c r="AD3321" i="2"/>
  <c r="AH3321" i="2" s="1"/>
  <c r="X3321" i="2"/>
  <c r="W3321" i="2"/>
  <c r="AE3320" i="2"/>
  <c r="AF3320" i="2" s="1"/>
  <c r="AD3320" i="2"/>
  <c r="X3320" i="2"/>
  <c r="W3320" i="2"/>
  <c r="AE3319" i="2"/>
  <c r="AD3319" i="2"/>
  <c r="X3319" i="2"/>
  <c r="W3319" i="2"/>
  <c r="AE3318" i="2"/>
  <c r="AD3318" i="2"/>
  <c r="AH3318" i="2" s="1"/>
  <c r="X3318" i="2"/>
  <c r="W3318" i="2"/>
  <c r="AE3317" i="2"/>
  <c r="AD3317" i="2"/>
  <c r="AH3317" i="2" s="1"/>
  <c r="X3317" i="2"/>
  <c r="W3317" i="2"/>
  <c r="AE3316" i="2"/>
  <c r="AF3316" i="2" s="1"/>
  <c r="AD3316" i="2"/>
  <c r="AH3316" i="2" s="1"/>
  <c r="X3316" i="2"/>
  <c r="W3316" i="2"/>
  <c r="AE3315" i="2"/>
  <c r="AD3315" i="2"/>
  <c r="AH3315" i="2" s="1"/>
  <c r="X3315" i="2"/>
  <c r="W3315" i="2"/>
  <c r="AE3314" i="2"/>
  <c r="AF3314" i="2" s="1"/>
  <c r="AD3314" i="2"/>
  <c r="AH3314" i="2" s="1"/>
  <c r="X3314" i="2"/>
  <c r="W3314" i="2"/>
  <c r="AE3313" i="2"/>
  <c r="AD3313" i="2"/>
  <c r="AH3313" i="2" s="1"/>
  <c r="X3313" i="2"/>
  <c r="AB3313" i="2" s="1"/>
  <c r="AK3313" i="2" s="1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AH3309" i="2" s="1"/>
  <c r="X3309" i="2"/>
  <c r="AB3309" i="2" s="1"/>
  <c r="AK3309" i="2" s="1"/>
  <c r="W3309" i="2"/>
  <c r="AE3308" i="2"/>
  <c r="AD3308" i="2"/>
  <c r="AH3308" i="2" s="1"/>
  <c r="X3308" i="2"/>
  <c r="W3308" i="2"/>
  <c r="AE3307" i="2"/>
  <c r="AD3307" i="2"/>
  <c r="AH3307" i="2" s="1"/>
  <c r="X3307" i="2"/>
  <c r="AC3307" i="2" s="1"/>
  <c r="W3307" i="2"/>
  <c r="AE3306" i="2"/>
  <c r="AD3306" i="2"/>
  <c r="X3306" i="2"/>
  <c r="AC3306" i="2" s="1"/>
  <c r="W3306" i="2"/>
  <c r="AE3305" i="2"/>
  <c r="AD3305" i="2"/>
  <c r="X3305" i="2"/>
  <c r="AC3305" i="2" s="1"/>
  <c r="W3305" i="2"/>
  <c r="AE3304" i="2"/>
  <c r="AD3304" i="2"/>
  <c r="X3304" i="2"/>
  <c r="AC3304" i="2" s="1"/>
  <c r="W3304" i="2"/>
  <c r="AE3303" i="2"/>
  <c r="AD3303" i="2"/>
  <c r="AH3303" i="2" s="1"/>
  <c r="X3303" i="2"/>
  <c r="AB3303" i="2" s="1"/>
  <c r="AK3303" i="2" s="1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AC3298" i="2" s="1"/>
  <c r="W3298" i="2"/>
  <c r="AH3297" i="2"/>
  <c r="AE3297" i="2"/>
  <c r="AF3297" i="2" s="1"/>
  <c r="X3297" i="2"/>
  <c r="AC3297" i="2" s="1"/>
  <c r="W3297" i="2"/>
  <c r="AH3296" i="2"/>
  <c r="AE3296" i="2"/>
  <c r="AF3296" i="2" s="1"/>
  <c r="X3296" i="2"/>
  <c r="AC3296" i="2" s="1"/>
  <c r="W3296" i="2"/>
  <c r="AH3295" i="2"/>
  <c r="AE3295" i="2"/>
  <c r="AF3295" i="2" s="1"/>
  <c r="X3295" i="2"/>
  <c r="W3295" i="2"/>
  <c r="AH3294" i="2"/>
  <c r="AE3294" i="2"/>
  <c r="AF3294" i="2" s="1"/>
  <c r="X3294" i="2"/>
  <c r="Y3294" i="2" s="1"/>
  <c r="W3294" i="2"/>
  <c r="AH3293" i="2"/>
  <c r="AE3293" i="2"/>
  <c r="AF3293" i="2" s="1"/>
  <c r="X3293" i="2"/>
  <c r="AB3293" i="2" s="1"/>
  <c r="AK3293" i="2" s="1"/>
  <c r="W3293" i="2"/>
  <c r="AH3292" i="2"/>
  <c r="AE3292" i="2"/>
  <c r="AF3292" i="2" s="1"/>
  <c r="X3292" i="2"/>
  <c r="AC3292" i="2" s="1"/>
  <c r="W3292" i="2"/>
  <c r="AH3291" i="2"/>
  <c r="AE3291" i="2"/>
  <c r="AF3291" i="2" s="1"/>
  <c r="X3291" i="2"/>
  <c r="Y3291" i="2" s="1"/>
  <c r="W3291" i="2"/>
  <c r="AH3290" i="2"/>
  <c r="AE3290" i="2"/>
  <c r="AF3290" i="2" s="1"/>
  <c r="X3290" i="2"/>
  <c r="AC3290" i="2" s="1"/>
  <c r="W3290" i="2"/>
  <c r="AH3289" i="2"/>
  <c r="AE3289" i="2"/>
  <c r="AF3289" i="2" s="1"/>
  <c r="X3289" i="2"/>
  <c r="AB3289" i="2" s="1"/>
  <c r="AK3289" i="2" s="1"/>
  <c r="W3289" i="2"/>
  <c r="AH3288" i="2"/>
  <c r="AE3288" i="2"/>
  <c r="AF3288" i="2" s="1"/>
  <c r="X3288" i="2"/>
  <c r="W3288" i="2"/>
  <c r="AH3287" i="2"/>
  <c r="AE3287" i="2"/>
  <c r="AF3287" i="2" s="1"/>
  <c r="X3287" i="2"/>
  <c r="Y3287" i="2" s="1"/>
  <c r="W3287" i="2"/>
  <c r="AH3286" i="2"/>
  <c r="AE3286" i="2"/>
  <c r="AF3286" i="2" s="1"/>
  <c r="X3286" i="2"/>
  <c r="AC3286" i="2" s="1"/>
  <c r="W3286" i="2"/>
  <c r="AH3285" i="2"/>
  <c r="AE3285" i="2"/>
  <c r="AF3285" i="2" s="1"/>
  <c r="X3285" i="2"/>
  <c r="AB3285" i="2" s="1"/>
  <c r="AK3285" i="2" s="1"/>
  <c r="W3285" i="2"/>
  <c r="AH3284" i="2"/>
  <c r="AE3284" i="2"/>
  <c r="AF3284" i="2" s="1"/>
  <c r="X3284" i="2"/>
  <c r="W3284" i="2"/>
  <c r="AH3283" i="2"/>
  <c r="AE3283" i="2"/>
  <c r="AF3283" i="2" s="1"/>
  <c r="X3283" i="2"/>
  <c r="AB3283" i="2" s="1"/>
  <c r="AK3283" i="2" s="1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AC3280" i="2" s="1"/>
  <c r="W3280" i="2"/>
  <c r="AH3279" i="2"/>
  <c r="AE3279" i="2"/>
  <c r="AF3279" i="2" s="1"/>
  <c r="X3279" i="2"/>
  <c r="Y3279" i="2" s="1"/>
  <c r="W3279" i="2"/>
  <c r="AH3278" i="2"/>
  <c r="AE3278" i="2"/>
  <c r="AF3278" i="2" s="1"/>
  <c r="X3278" i="2"/>
  <c r="AC3278" i="2" s="1"/>
  <c r="W3278" i="2"/>
  <c r="AH3277" i="2"/>
  <c r="AE3277" i="2"/>
  <c r="AF3277" i="2" s="1"/>
  <c r="X3277" i="2"/>
  <c r="AB3277" i="2" s="1"/>
  <c r="AK3277" i="2" s="1"/>
  <c r="W3277" i="2"/>
  <c r="AH3276" i="2"/>
  <c r="AE3276" i="2"/>
  <c r="AF3276" i="2" s="1"/>
  <c r="X3276" i="2"/>
  <c r="W3276" i="2"/>
  <c r="AH3275" i="2"/>
  <c r="AE3275" i="2"/>
  <c r="AF3275" i="2" s="1"/>
  <c r="X3275" i="2"/>
  <c r="Y3275" i="2" s="1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Y3271" i="2" s="1"/>
  <c r="W3271" i="2"/>
  <c r="AH3270" i="2"/>
  <c r="AE3270" i="2"/>
  <c r="AF3270" i="2" s="1"/>
  <c r="X3270" i="2"/>
  <c r="AC3270" i="2" s="1"/>
  <c r="W3270" i="2"/>
  <c r="AH3269" i="2"/>
  <c r="AE3269" i="2"/>
  <c r="AF3269" i="2" s="1"/>
  <c r="X3269" i="2"/>
  <c r="AB3269" i="2" s="1"/>
  <c r="AK3269" i="2" s="1"/>
  <c r="W3269" i="2"/>
  <c r="AH3268" i="2"/>
  <c r="AE3268" i="2"/>
  <c r="AF3268" i="2" s="1"/>
  <c r="X3268" i="2"/>
  <c r="AC3268" i="2" s="1"/>
  <c r="W3268" i="2"/>
  <c r="AH3267" i="2"/>
  <c r="AE3267" i="2"/>
  <c r="AF3267" i="2" s="1"/>
  <c r="X3267" i="2"/>
  <c r="Y3267" i="2" s="1"/>
  <c r="W3267" i="2"/>
  <c r="AH3266" i="2"/>
  <c r="AE3266" i="2"/>
  <c r="AF3266" i="2" s="1"/>
  <c r="X3266" i="2"/>
  <c r="AC3266" i="2" s="1"/>
  <c r="W3266" i="2"/>
  <c r="AH3265" i="2"/>
  <c r="AE3265" i="2"/>
  <c r="AF3265" i="2" s="1"/>
  <c r="X3265" i="2"/>
  <c r="AB3265" i="2" s="1"/>
  <c r="AK3265" i="2" s="1"/>
  <c r="W3265" i="2"/>
  <c r="AH3264" i="2"/>
  <c r="AE3264" i="2"/>
  <c r="AF3264" i="2" s="1"/>
  <c r="X3264" i="2"/>
  <c r="W3264" i="2"/>
  <c r="AH3263" i="2"/>
  <c r="AE3263" i="2"/>
  <c r="AF3263" i="2" s="1"/>
  <c r="X3263" i="2"/>
  <c r="AB3263" i="2" s="1"/>
  <c r="AK3263" i="2" s="1"/>
  <c r="W3263" i="2"/>
  <c r="AH3262" i="2"/>
  <c r="AE3262" i="2"/>
  <c r="AF3262" i="2" s="1"/>
  <c r="X3262" i="2"/>
  <c r="AB3262" i="2" s="1"/>
  <c r="AK3262" i="2" s="1"/>
  <c r="W3262" i="2"/>
  <c r="AH3261" i="2"/>
  <c r="AE3261" i="2"/>
  <c r="AF3261" i="2" s="1"/>
  <c r="X3261" i="2"/>
  <c r="AB3261" i="2" s="1"/>
  <c r="AK3261" i="2" s="1"/>
  <c r="W3261" i="2"/>
  <c r="AH3260" i="2"/>
  <c r="AE3260" i="2"/>
  <c r="AF3260" i="2" s="1"/>
  <c r="X3260" i="2"/>
  <c r="W3260" i="2"/>
  <c r="AH3259" i="2"/>
  <c r="AE3259" i="2"/>
  <c r="AF3259" i="2" s="1"/>
  <c r="X3259" i="2"/>
  <c r="AB3259" i="2" s="1"/>
  <c r="AK3259" i="2" s="1"/>
  <c r="W3259" i="2"/>
  <c r="AH3258" i="2"/>
  <c r="AE3258" i="2"/>
  <c r="AF3258" i="2" s="1"/>
  <c r="X3258" i="2"/>
  <c r="W3258" i="2"/>
  <c r="AH3257" i="2"/>
  <c r="AE3257" i="2"/>
  <c r="AF3257" i="2" s="1"/>
  <c r="X3257" i="2"/>
  <c r="AC3257" i="2" s="1"/>
  <c r="W3257" i="2"/>
  <c r="AH3256" i="2"/>
  <c r="AE3256" i="2"/>
  <c r="AF3256" i="2" s="1"/>
  <c r="X3256" i="2"/>
  <c r="AC3256" i="2" s="1"/>
  <c r="W3256" i="2"/>
  <c r="AH3255" i="2"/>
  <c r="AE3255" i="2"/>
  <c r="AF3255" i="2" s="1"/>
  <c r="X3255" i="2"/>
  <c r="AB3255" i="2" s="1"/>
  <c r="AK3255" i="2" s="1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Y3249" i="2" s="1"/>
  <c r="W3249" i="2"/>
  <c r="AH3248" i="2"/>
  <c r="AE3248" i="2"/>
  <c r="AF3248" i="2" s="1"/>
  <c r="X3248" i="2"/>
  <c r="W3248" i="2"/>
  <c r="AH3247" i="2"/>
  <c r="AE3247" i="2"/>
  <c r="AF3247" i="2" s="1"/>
  <c r="X3247" i="2"/>
  <c r="AB3247" i="2" s="1"/>
  <c r="AK3247" i="2" s="1"/>
  <c r="W3247" i="2"/>
  <c r="AH3246" i="2"/>
  <c r="AE3246" i="2"/>
  <c r="AF3246" i="2" s="1"/>
  <c r="X3246" i="2"/>
  <c r="W3246" i="2"/>
  <c r="AH3245" i="2"/>
  <c r="AE3245" i="2"/>
  <c r="AF3245" i="2" s="1"/>
  <c r="X3245" i="2"/>
  <c r="AB3245" i="2" s="1"/>
  <c r="AK3245" i="2" s="1"/>
  <c r="W3245" i="2"/>
  <c r="AH3244" i="2"/>
  <c r="AE3244" i="2"/>
  <c r="AF3244" i="2" s="1"/>
  <c r="X3244" i="2"/>
  <c r="AC3244" i="2" s="1"/>
  <c r="W3244" i="2"/>
  <c r="AH3243" i="2"/>
  <c r="AE3243" i="2"/>
  <c r="AF3243" i="2" s="1"/>
  <c r="X3243" i="2"/>
  <c r="AB3243" i="2" s="1"/>
  <c r="AK3243" i="2" s="1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AC3238" i="2" s="1"/>
  <c r="W3238" i="2"/>
  <c r="AH3237" i="2"/>
  <c r="AE3237" i="2"/>
  <c r="AF3237" i="2" s="1"/>
  <c r="X3237" i="2"/>
  <c r="AB3237" i="2" s="1"/>
  <c r="AK3237" i="2" s="1"/>
  <c r="W3237" i="2"/>
  <c r="AH3236" i="2"/>
  <c r="AE3236" i="2"/>
  <c r="AF3236" i="2" s="1"/>
  <c r="X3236" i="2"/>
  <c r="AB3236" i="2" s="1"/>
  <c r="AK3236" i="2" s="1"/>
  <c r="W3236" i="2"/>
  <c r="AH3235" i="2"/>
  <c r="AE3235" i="2"/>
  <c r="AF3235" i="2" s="1"/>
  <c r="X3235" i="2"/>
  <c r="AB3235" i="2" s="1"/>
  <c r="AK3235" i="2" s="1"/>
  <c r="W3235" i="2"/>
  <c r="AH3234" i="2"/>
  <c r="AE3234" i="2"/>
  <c r="AF3234" i="2" s="1"/>
  <c r="X3234" i="2"/>
  <c r="W3234" i="2"/>
  <c r="AH3233" i="2"/>
  <c r="AE3233" i="2"/>
  <c r="AF3233" i="2" s="1"/>
  <c r="X3233" i="2"/>
  <c r="AB3233" i="2" s="1"/>
  <c r="AK3233" i="2" s="1"/>
  <c r="W3233" i="2"/>
  <c r="AH3232" i="2"/>
  <c r="AE3232" i="2"/>
  <c r="AF3232" i="2" s="1"/>
  <c r="X3232" i="2"/>
  <c r="W3232" i="2"/>
  <c r="AH3231" i="2"/>
  <c r="AE3231" i="2"/>
  <c r="AF3231" i="2" s="1"/>
  <c r="X3231" i="2"/>
  <c r="Y3231" i="2" s="1"/>
  <c r="W3231" i="2"/>
  <c r="AH3230" i="2"/>
  <c r="AE3230" i="2"/>
  <c r="AF3230" i="2" s="1"/>
  <c r="X3230" i="2"/>
  <c r="W3230" i="2"/>
  <c r="AH3229" i="2"/>
  <c r="AE3229" i="2"/>
  <c r="AF3229" i="2" s="1"/>
  <c r="X3229" i="2"/>
  <c r="AB3229" i="2" s="1"/>
  <c r="AK3229" i="2" s="1"/>
  <c r="W3229" i="2"/>
  <c r="AH3228" i="2"/>
  <c r="AE3228" i="2"/>
  <c r="AF3228" i="2" s="1"/>
  <c r="X3228" i="2"/>
  <c r="AC3228" i="2" s="1"/>
  <c r="W3228" i="2"/>
  <c r="AH3227" i="2"/>
  <c r="AE3227" i="2"/>
  <c r="AF3227" i="2" s="1"/>
  <c r="X3227" i="2"/>
  <c r="W3227" i="2"/>
  <c r="AH3226" i="2"/>
  <c r="AE3226" i="2"/>
  <c r="AF3226" i="2" s="1"/>
  <c r="X3226" i="2"/>
  <c r="AB3226" i="2" s="1"/>
  <c r="AK3226" i="2" s="1"/>
  <c r="W3226" i="2"/>
  <c r="AH3225" i="2"/>
  <c r="AE3225" i="2"/>
  <c r="AF3225" i="2" s="1"/>
  <c r="X3225" i="2"/>
  <c r="AB3225" i="2" s="1"/>
  <c r="AK3225" i="2" s="1"/>
  <c r="W3225" i="2"/>
  <c r="AH3224" i="2"/>
  <c r="AE3224" i="2"/>
  <c r="AF3224" i="2" s="1"/>
  <c r="X3224" i="2"/>
  <c r="W3224" i="2"/>
  <c r="AH3223" i="2"/>
  <c r="AE3223" i="2"/>
  <c r="AF3223" i="2" s="1"/>
  <c r="X3223" i="2"/>
  <c r="AB3223" i="2" s="1"/>
  <c r="AK3223" i="2" s="1"/>
  <c r="W3223" i="2"/>
  <c r="AH3222" i="2"/>
  <c r="AE3222" i="2"/>
  <c r="AF3222" i="2" s="1"/>
  <c r="X3222" i="2"/>
  <c r="W3222" i="2"/>
  <c r="AH3221" i="2"/>
  <c r="AE3221" i="2"/>
  <c r="AF3221" i="2" s="1"/>
  <c r="X3221" i="2"/>
  <c r="AB3221" i="2" s="1"/>
  <c r="AK3221" i="2" s="1"/>
  <c r="W3221" i="2"/>
  <c r="AH3220" i="2"/>
  <c r="AE3220" i="2"/>
  <c r="AF3220" i="2" s="1"/>
  <c r="X3220" i="2"/>
  <c r="Y3220" i="2" s="1"/>
  <c r="W3220" i="2"/>
  <c r="AH3219" i="2"/>
  <c r="AE3219" i="2"/>
  <c r="AF3219" i="2" s="1"/>
  <c r="X3219" i="2"/>
  <c r="AB3219" i="2" s="1"/>
  <c r="AK3219" i="2" s="1"/>
  <c r="W3219" i="2"/>
  <c r="AH3218" i="2"/>
  <c r="AE3218" i="2"/>
  <c r="AF3218" i="2" s="1"/>
  <c r="X3218" i="2"/>
  <c r="AC3218" i="2" s="1"/>
  <c r="W3218" i="2"/>
  <c r="AH3217" i="2"/>
  <c r="AE3217" i="2"/>
  <c r="AF3217" i="2" s="1"/>
  <c r="X3217" i="2"/>
  <c r="Y3217" i="2" s="1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Y3211" i="2" s="1"/>
  <c r="W3211" i="2"/>
  <c r="AH3210" i="2"/>
  <c r="AE3210" i="2"/>
  <c r="AF3210" i="2" s="1"/>
  <c r="X3210" i="2"/>
  <c r="W3210" i="2"/>
  <c r="AH3209" i="2"/>
  <c r="AE3209" i="2"/>
  <c r="AF3209" i="2" s="1"/>
  <c r="X3209" i="2"/>
  <c r="Y3209" i="2" s="1"/>
  <c r="W3209" i="2"/>
  <c r="AH3208" i="2"/>
  <c r="AE3208" i="2"/>
  <c r="AF3208" i="2" s="1"/>
  <c r="X3208" i="2"/>
  <c r="AC3208" i="2" s="1"/>
  <c r="W3208" i="2"/>
  <c r="AH3207" i="2"/>
  <c r="AE3207" i="2"/>
  <c r="AF3207" i="2" s="1"/>
  <c r="X3207" i="2"/>
  <c r="W3207" i="2"/>
  <c r="AH3206" i="2"/>
  <c r="AE3206" i="2"/>
  <c r="AF3206" i="2" s="1"/>
  <c r="X3206" i="2"/>
  <c r="AC3206" i="2" s="1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AB3203" i="2" s="1"/>
  <c r="AK3203" i="2" s="1"/>
  <c r="W3203" i="2"/>
  <c r="AH3202" i="2"/>
  <c r="AE3202" i="2"/>
  <c r="AF3202" i="2" s="1"/>
  <c r="X3202" i="2"/>
  <c r="AC3202" i="2" s="1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AB3199" i="2" s="1"/>
  <c r="AK3199" i="2" s="1"/>
  <c r="W3199" i="2"/>
  <c r="AH3198" i="2"/>
  <c r="AE3198" i="2"/>
  <c r="AF3198" i="2" s="1"/>
  <c r="X3198" i="2"/>
  <c r="W3198" i="2"/>
  <c r="AH3197" i="2"/>
  <c r="AE3197" i="2"/>
  <c r="AF3197" i="2" s="1"/>
  <c r="X3197" i="2"/>
  <c r="Y3197" i="2" s="1"/>
  <c r="W3197" i="2"/>
  <c r="AH3196" i="2"/>
  <c r="AE3196" i="2"/>
  <c r="AF3196" i="2" s="1"/>
  <c r="X3196" i="2"/>
  <c r="W3196" i="2"/>
  <c r="AH3195" i="2"/>
  <c r="AE3195" i="2"/>
  <c r="AF3195" i="2" s="1"/>
  <c r="X3195" i="2"/>
  <c r="Y3195" i="2" s="1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AC3192" i="2" s="1"/>
  <c r="W3192" i="2"/>
  <c r="AH3191" i="2"/>
  <c r="AE3191" i="2"/>
  <c r="AF3191" i="2" s="1"/>
  <c r="X3191" i="2"/>
  <c r="AB3191" i="2" s="1"/>
  <c r="AK3191" i="2" s="1"/>
  <c r="W3191" i="2"/>
  <c r="AH3190" i="2"/>
  <c r="AE3190" i="2"/>
  <c r="AF3190" i="2" s="1"/>
  <c r="X3190" i="2"/>
  <c r="AC3190" i="2" s="1"/>
  <c r="W3190" i="2"/>
  <c r="AH3189" i="2"/>
  <c r="AE3189" i="2"/>
  <c r="AF3189" i="2" s="1"/>
  <c r="X3189" i="2"/>
  <c r="AB3189" i="2" s="1"/>
  <c r="AK3189" i="2" s="1"/>
  <c r="W3189" i="2"/>
  <c r="AH3188" i="2"/>
  <c r="AE3188" i="2"/>
  <c r="AF3188" i="2" s="1"/>
  <c r="X3188" i="2"/>
  <c r="Y3188" i="2" s="1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Y3185" i="2" s="1"/>
  <c r="W3185" i="2"/>
  <c r="AH3184" i="2"/>
  <c r="AE3184" i="2"/>
  <c r="AF3184" i="2" s="1"/>
  <c r="X3184" i="2"/>
  <c r="AC3184" i="2" s="1"/>
  <c r="W3184" i="2"/>
  <c r="AH3183" i="2"/>
  <c r="AE3183" i="2"/>
  <c r="AF3183" i="2" s="1"/>
  <c r="X3183" i="2"/>
  <c r="Y3183" i="2" s="1"/>
  <c r="W3183" i="2"/>
  <c r="AH3182" i="2"/>
  <c r="AE3182" i="2"/>
  <c r="AF3182" i="2" s="1"/>
  <c r="X3182" i="2"/>
  <c r="AC3182" i="2" s="1"/>
  <c r="W3182" i="2"/>
  <c r="AH3181" i="2"/>
  <c r="AE3181" i="2"/>
  <c r="AF3181" i="2" s="1"/>
  <c r="X3181" i="2"/>
  <c r="AB3181" i="2" s="1"/>
  <c r="AK3181" i="2" s="1"/>
  <c r="W3181" i="2"/>
  <c r="AH3180" i="2"/>
  <c r="AE3180" i="2"/>
  <c r="AF3180" i="2" s="1"/>
  <c r="X3180" i="2"/>
  <c r="AC3180" i="2" s="1"/>
  <c r="W3180" i="2"/>
  <c r="AH3179" i="2"/>
  <c r="AE3179" i="2"/>
  <c r="AF3179" i="2" s="1"/>
  <c r="X3179" i="2"/>
  <c r="AB3179" i="2" s="1"/>
  <c r="AK3179" i="2" s="1"/>
  <c r="W3179" i="2"/>
  <c r="AH3178" i="2"/>
  <c r="AE3178" i="2"/>
  <c r="AF3178" i="2" s="1"/>
  <c r="X3178" i="2"/>
  <c r="AC3178" i="2" s="1"/>
  <c r="W3178" i="2"/>
  <c r="AH3177" i="2"/>
  <c r="AE3177" i="2"/>
  <c r="AF3177" i="2" s="1"/>
  <c r="X3177" i="2"/>
  <c r="AB3177" i="2" s="1"/>
  <c r="AK3177" i="2" s="1"/>
  <c r="W3177" i="2"/>
  <c r="AH3176" i="2"/>
  <c r="AE3176" i="2"/>
  <c r="AF3176" i="2" s="1"/>
  <c r="X3176" i="2"/>
  <c r="AC3176" i="2" s="1"/>
  <c r="W3176" i="2"/>
  <c r="AH3175" i="2"/>
  <c r="AE3175" i="2"/>
  <c r="AF3175" i="2" s="1"/>
  <c r="X3175" i="2"/>
  <c r="AB3175" i="2" s="1"/>
  <c r="AK3175" i="2" s="1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AB3172" i="2" s="1"/>
  <c r="AK3172" i="2" s="1"/>
  <c r="W3172" i="2"/>
  <c r="AH3171" i="2"/>
  <c r="AE3171" i="2"/>
  <c r="AF3171" i="2" s="1"/>
  <c r="X3171" i="2"/>
  <c r="W3171" i="2"/>
  <c r="AH3170" i="2"/>
  <c r="AE3170" i="2"/>
  <c r="AF3170" i="2" s="1"/>
  <c r="X3170" i="2"/>
  <c r="AC3170" i="2" s="1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Y3167" i="2" s="1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AB3163" i="2" s="1"/>
  <c r="AK3163" i="2" s="1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Y3159" i="2" s="1"/>
  <c r="W3159" i="2"/>
  <c r="AH3158" i="2"/>
  <c r="AE3158" i="2"/>
  <c r="AF3158" i="2" s="1"/>
  <c r="X3158" i="2"/>
  <c r="AC3158" i="2" s="1"/>
  <c r="W3158" i="2"/>
  <c r="AH3157" i="2"/>
  <c r="AE3157" i="2"/>
  <c r="AF3157" i="2" s="1"/>
  <c r="X3157" i="2"/>
  <c r="AB3157" i="2" s="1"/>
  <c r="AK3157" i="2" s="1"/>
  <c r="W3157" i="2"/>
  <c r="AH3156" i="2"/>
  <c r="AE3156" i="2"/>
  <c r="AF3156" i="2" s="1"/>
  <c r="X3156" i="2"/>
  <c r="W3156" i="2"/>
  <c r="AH3155" i="2"/>
  <c r="AE3155" i="2"/>
  <c r="AF3155" i="2" s="1"/>
  <c r="X3155" i="2"/>
  <c r="Y3155" i="2" s="1"/>
  <c r="W3155" i="2"/>
  <c r="AH3154" i="2"/>
  <c r="AE3154" i="2"/>
  <c r="AF3154" i="2" s="1"/>
  <c r="X3154" i="2"/>
  <c r="AC3154" i="2" s="1"/>
  <c r="W3154" i="2"/>
  <c r="AH3153" i="2"/>
  <c r="AE3153" i="2"/>
  <c r="AF3153" i="2" s="1"/>
  <c r="X3153" i="2"/>
  <c r="AB3153" i="2" s="1"/>
  <c r="AK3153" i="2" s="1"/>
  <c r="W3153" i="2"/>
  <c r="AH3152" i="2"/>
  <c r="AE3152" i="2"/>
  <c r="AF3152" i="2" s="1"/>
  <c r="X3152" i="2"/>
  <c r="Y3152" i="2" s="1"/>
  <c r="W3152" i="2"/>
  <c r="AH3151" i="2"/>
  <c r="AE3151" i="2"/>
  <c r="AF3151" i="2" s="1"/>
  <c r="X3151" i="2"/>
  <c r="AB3151" i="2" s="1"/>
  <c r="AK3151" i="2" s="1"/>
  <c r="W3151" i="2"/>
  <c r="AH3150" i="2"/>
  <c r="AE3150" i="2"/>
  <c r="AF3150" i="2" s="1"/>
  <c r="X3150" i="2"/>
  <c r="W3150" i="2"/>
  <c r="AH3149" i="2"/>
  <c r="AE3149" i="2"/>
  <c r="AF3149" i="2" s="1"/>
  <c r="X3149" i="2"/>
  <c r="AB3149" i="2" s="1"/>
  <c r="AK3149" i="2" s="1"/>
  <c r="W3149" i="2"/>
  <c r="AH3148" i="2"/>
  <c r="AE3148" i="2"/>
  <c r="AF3148" i="2" s="1"/>
  <c r="X3148" i="2"/>
  <c r="AC3148" i="2" s="1"/>
  <c r="W3148" i="2"/>
  <c r="AH3147" i="2"/>
  <c r="AE3147" i="2"/>
  <c r="AF3147" i="2" s="1"/>
  <c r="X3147" i="2"/>
  <c r="AB3147" i="2" s="1"/>
  <c r="AK3147" i="2" s="1"/>
  <c r="W3147" i="2"/>
  <c r="AH3146" i="2"/>
  <c r="AE3146" i="2"/>
  <c r="AF3146" i="2" s="1"/>
  <c r="X3146" i="2"/>
  <c r="AC3146" i="2" s="1"/>
  <c r="W3146" i="2"/>
  <c r="AH3145" i="2"/>
  <c r="AE3145" i="2"/>
  <c r="AF3145" i="2" s="1"/>
  <c r="X3145" i="2"/>
  <c r="AB3145" i="2" s="1"/>
  <c r="AK3145" i="2" s="1"/>
  <c r="W3145" i="2"/>
  <c r="AH3144" i="2"/>
  <c r="AE3144" i="2"/>
  <c r="AF3144" i="2" s="1"/>
  <c r="X3144" i="2"/>
  <c r="AC3144" i="2" s="1"/>
  <c r="W3144" i="2"/>
  <c r="AH3143" i="2"/>
  <c r="AE3143" i="2"/>
  <c r="AF3143" i="2" s="1"/>
  <c r="X3143" i="2"/>
  <c r="Y3143" i="2" s="1"/>
  <c r="W3143" i="2"/>
  <c r="AH3142" i="2"/>
  <c r="AE3142" i="2"/>
  <c r="AF3142" i="2" s="1"/>
  <c r="X3142" i="2"/>
  <c r="AC3142" i="2" s="1"/>
  <c r="W3142" i="2"/>
  <c r="AH3141" i="2"/>
  <c r="AE3141" i="2"/>
  <c r="AF3141" i="2" s="1"/>
  <c r="X3141" i="2"/>
  <c r="AB3141" i="2" s="1"/>
  <c r="AK3141" i="2" s="1"/>
  <c r="W3141" i="2"/>
  <c r="AH3140" i="2"/>
  <c r="AE3140" i="2"/>
  <c r="AF3140" i="2" s="1"/>
  <c r="X3140" i="2"/>
  <c r="AB3140" i="2" s="1"/>
  <c r="AK3140" i="2" s="1"/>
  <c r="W3140" i="2"/>
  <c r="AH3139" i="2"/>
  <c r="AE3139" i="2"/>
  <c r="AF3139" i="2" s="1"/>
  <c r="X3139" i="2"/>
  <c r="Y3139" i="2" s="1"/>
  <c r="W3139" i="2"/>
  <c r="AH3138" i="2"/>
  <c r="AE3138" i="2"/>
  <c r="AF3138" i="2" s="1"/>
  <c r="X3138" i="2"/>
  <c r="AC3138" i="2" s="1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AC3135" i="2" s="1"/>
  <c r="W3135" i="2"/>
  <c r="AH3134" i="2"/>
  <c r="AE3134" i="2"/>
  <c r="AF3134" i="2" s="1"/>
  <c r="X3134" i="2"/>
  <c r="Y3134" i="2" s="1"/>
  <c r="W3134" i="2"/>
  <c r="AH3133" i="2"/>
  <c r="AE3133" i="2"/>
  <c r="AF3133" i="2" s="1"/>
  <c r="X3133" i="2"/>
  <c r="AB3133" i="2" s="1"/>
  <c r="AK3133" i="2" s="1"/>
  <c r="W3133" i="2"/>
  <c r="AH3132" i="2"/>
  <c r="AE3132" i="2"/>
  <c r="AF3132" i="2" s="1"/>
  <c r="X3132" i="2"/>
  <c r="AB3132" i="2" s="1"/>
  <c r="AK3132" i="2" s="1"/>
  <c r="W3132" i="2"/>
  <c r="AH3131" i="2"/>
  <c r="AE3131" i="2"/>
  <c r="AF3131" i="2" s="1"/>
  <c r="X3131" i="2"/>
  <c r="AH3130" i="2"/>
  <c r="AE3130" i="2"/>
  <c r="AF3130" i="2" s="1"/>
  <c r="X3130" i="2"/>
  <c r="AC3130" i="2" s="1"/>
  <c r="W3130" i="2"/>
  <c r="AH3129" i="2"/>
  <c r="AE3129" i="2"/>
  <c r="AF3129" i="2" s="1"/>
  <c r="X3129" i="2"/>
  <c r="AC3129" i="2" s="1"/>
  <c r="W3129" i="2"/>
  <c r="AH3128" i="2"/>
  <c r="AE3128" i="2"/>
  <c r="AF3128" i="2" s="1"/>
  <c r="X3128" i="2"/>
  <c r="W3128" i="2"/>
  <c r="AH3127" i="2"/>
  <c r="AE3127" i="2"/>
  <c r="AF3127" i="2" s="1"/>
  <c r="X3127" i="2"/>
  <c r="Y3127" i="2" s="1"/>
  <c r="W3127" i="2"/>
  <c r="AH3126" i="2"/>
  <c r="AE3126" i="2"/>
  <c r="AF3126" i="2" s="1"/>
  <c r="X3126" i="2"/>
  <c r="AC3126" i="2" s="1"/>
  <c r="W3126" i="2"/>
  <c r="AH3125" i="2"/>
  <c r="AE3125" i="2"/>
  <c r="AF3125" i="2" s="1"/>
  <c r="X3125" i="2"/>
  <c r="Y3125" i="2" s="1"/>
  <c r="W3125" i="2"/>
  <c r="AH3124" i="2"/>
  <c r="AE3124" i="2"/>
  <c r="AF3124" i="2" s="1"/>
  <c r="X3124" i="2"/>
  <c r="W3124" i="2"/>
  <c r="AH3123" i="2"/>
  <c r="AE3123" i="2"/>
  <c r="AF3123" i="2" s="1"/>
  <c r="X3123" i="2"/>
  <c r="AC3123" i="2" s="1"/>
  <c r="W3123" i="2"/>
  <c r="AH3122" i="2"/>
  <c r="AE3122" i="2"/>
  <c r="AF3122" i="2" s="1"/>
  <c r="X3122" i="2"/>
  <c r="AC3122" i="2" s="1"/>
  <c r="W3122" i="2"/>
  <c r="AH3121" i="2"/>
  <c r="AE3121" i="2"/>
  <c r="AF3121" i="2" s="1"/>
  <c r="X3121" i="2"/>
  <c r="Y3121" i="2" s="1"/>
  <c r="W3121" i="2"/>
  <c r="AH3120" i="2"/>
  <c r="AE3120" i="2"/>
  <c r="AF3120" i="2" s="1"/>
  <c r="X3120" i="2"/>
  <c r="Y3120" i="2" s="1"/>
  <c r="W3120" i="2"/>
  <c r="AH3119" i="2"/>
  <c r="AE3119" i="2"/>
  <c r="AF3119" i="2" s="1"/>
  <c r="X3119" i="2"/>
  <c r="AC3119" i="2" s="1"/>
  <c r="W3119" i="2"/>
  <c r="AH3118" i="2"/>
  <c r="AE3118" i="2"/>
  <c r="AF3118" i="2" s="1"/>
  <c r="X3118" i="2"/>
  <c r="W3118" i="2"/>
  <c r="AH3117" i="2"/>
  <c r="AE3117" i="2"/>
  <c r="AF3117" i="2" s="1"/>
  <c r="X3117" i="2"/>
  <c r="AC3117" i="2" s="1"/>
  <c r="W3117" i="2"/>
  <c r="AH3116" i="2"/>
  <c r="AE3116" i="2"/>
  <c r="AF3116" i="2" s="1"/>
  <c r="X3116" i="2"/>
  <c r="AC3116" i="2" s="1"/>
  <c r="W3116" i="2"/>
  <c r="AH3115" i="2"/>
  <c r="AE3115" i="2"/>
  <c r="AF3115" i="2" s="1"/>
  <c r="X3115" i="2"/>
  <c r="Y3115" i="2" s="1"/>
  <c r="W3115" i="2"/>
  <c r="AH3114" i="2"/>
  <c r="AE3114" i="2"/>
  <c r="AF3114" i="2" s="1"/>
  <c r="X3114" i="2"/>
  <c r="Y3114" i="2" s="1"/>
  <c r="W3114" i="2"/>
  <c r="AH3113" i="2"/>
  <c r="AE3113" i="2"/>
  <c r="AF3113" i="2" s="1"/>
  <c r="X3113" i="2"/>
  <c r="AC3113" i="2" s="1"/>
  <c r="W3113" i="2"/>
  <c r="AH3112" i="2"/>
  <c r="AE3112" i="2"/>
  <c r="AF3112" i="2" s="1"/>
  <c r="X3112" i="2"/>
  <c r="AC3112" i="2" s="1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AC3108" i="2" s="1"/>
  <c r="W3108" i="2"/>
  <c r="AH3107" i="2"/>
  <c r="AE3107" i="2"/>
  <c r="AF3107" i="2" s="1"/>
  <c r="X3107" i="2"/>
  <c r="W3107" i="2"/>
  <c r="AH3106" i="2"/>
  <c r="AE3106" i="2"/>
  <c r="AF3106" i="2" s="1"/>
  <c r="X3106" i="2"/>
  <c r="AC3106" i="2" s="1"/>
  <c r="W3106" i="2"/>
  <c r="AH3105" i="2"/>
  <c r="AE3105" i="2"/>
  <c r="AF3105" i="2" s="1"/>
  <c r="X3105" i="2"/>
  <c r="AB3105" i="2" s="1"/>
  <c r="AK3105" i="2" s="1"/>
  <c r="W3105" i="2"/>
  <c r="AH3104" i="2"/>
  <c r="AE3104" i="2"/>
  <c r="AF3104" i="2" s="1"/>
  <c r="X3104" i="2"/>
  <c r="W3104" i="2"/>
  <c r="AH3103" i="2"/>
  <c r="AE3103" i="2"/>
  <c r="AF3103" i="2" s="1"/>
  <c r="X3103" i="2"/>
  <c r="AC3103" i="2" s="1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AC3097" i="2" s="1"/>
  <c r="W3097" i="2"/>
  <c r="AH3096" i="2"/>
  <c r="AE3096" i="2"/>
  <c r="AF3096" i="2" s="1"/>
  <c r="X3096" i="2"/>
  <c r="AB3096" i="2" s="1"/>
  <c r="AK3096" i="2" s="1"/>
  <c r="U3096" i="2"/>
  <c r="W3096" i="2"/>
  <c r="AH3095" i="2"/>
  <c r="AE3095" i="2"/>
  <c r="AF3095" i="2" s="1"/>
  <c r="X3095" i="2"/>
  <c r="AC3095" i="2" s="1"/>
  <c r="W3095" i="2"/>
  <c r="AH3094" i="2"/>
  <c r="AE3094" i="2"/>
  <c r="AF3094" i="2" s="1"/>
  <c r="X3094" i="2"/>
  <c r="AB3094" i="2" s="1"/>
  <c r="AK3094" i="2" s="1"/>
  <c r="W3094" i="2"/>
  <c r="AH3093" i="2"/>
  <c r="AE3093" i="2"/>
  <c r="AF3093" i="2" s="1"/>
  <c r="X3093" i="2"/>
  <c r="AC3093" i="2" s="1"/>
  <c r="W3093" i="2"/>
  <c r="AH3092" i="2"/>
  <c r="AE3092" i="2"/>
  <c r="AF3092" i="2" s="1"/>
  <c r="X3092" i="2"/>
  <c r="AB3092" i="2" s="1"/>
  <c r="AK3092" i="2" s="1"/>
  <c r="W3092" i="2"/>
  <c r="AH3091" i="2"/>
  <c r="AE3091" i="2"/>
  <c r="AF3091" i="2" s="1"/>
  <c r="X3091" i="2"/>
  <c r="AC3091" i="2" s="1"/>
  <c r="W3091" i="2"/>
  <c r="AH3090" i="2"/>
  <c r="AE3090" i="2"/>
  <c r="AF3090" i="2" s="1"/>
  <c r="X3090" i="2"/>
  <c r="AB3090" i="2" s="1"/>
  <c r="AK3090" i="2" s="1"/>
  <c r="W3090" i="2"/>
  <c r="AH3089" i="2"/>
  <c r="AE3089" i="2"/>
  <c r="AF3089" i="2" s="1"/>
  <c r="X3089" i="2"/>
  <c r="Y3089" i="2" s="1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Y3086" i="2" s="1"/>
  <c r="W3086" i="2"/>
  <c r="AH3085" i="2"/>
  <c r="AE3085" i="2"/>
  <c r="AF3085" i="2" s="1"/>
  <c r="X3085" i="2"/>
  <c r="AC3085" i="2" s="1"/>
  <c r="W3085" i="2"/>
  <c r="AH3084" i="2"/>
  <c r="AE3084" i="2"/>
  <c r="AF3084" i="2" s="1"/>
  <c r="X3084" i="2"/>
  <c r="AB3084" i="2" s="1"/>
  <c r="AK3084" i="2" s="1"/>
  <c r="W3084" i="2"/>
  <c r="AH3083" i="2"/>
  <c r="AE3083" i="2"/>
  <c r="AF3083" i="2" s="1"/>
  <c r="X3083" i="2"/>
  <c r="W3083" i="2"/>
  <c r="AH3082" i="2"/>
  <c r="AE3082" i="2"/>
  <c r="AF3082" i="2" s="1"/>
  <c r="X3082" i="2"/>
  <c r="AB3082" i="2" s="1"/>
  <c r="AK3082" i="2" s="1"/>
  <c r="W3082" i="2"/>
  <c r="AH3081" i="2"/>
  <c r="AE3081" i="2"/>
  <c r="AF3081" i="2" s="1"/>
  <c r="X3081" i="2"/>
  <c r="AB3081" i="2" s="1"/>
  <c r="W3081" i="2"/>
  <c r="AH3080" i="2"/>
  <c r="AE3080" i="2"/>
  <c r="AF3080" i="2" s="1"/>
  <c r="X3080" i="2"/>
  <c r="AB3080" i="2" s="1"/>
  <c r="AK3080" i="2" s="1"/>
  <c r="W3080" i="2"/>
  <c r="AH3079" i="2"/>
  <c r="AE3079" i="2"/>
  <c r="AF3079" i="2" s="1"/>
  <c r="X3079" i="2"/>
  <c r="AC3079" i="2" s="1"/>
  <c r="W3079" i="2"/>
  <c r="AH3078" i="2"/>
  <c r="AF3078" i="2"/>
  <c r="X3078" i="2"/>
  <c r="AB3078" i="2" s="1"/>
  <c r="AK3078" i="2" s="1"/>
  <c r="W3078" i="2"/>
  <c r="AH3077" i="2"/>
  <c r="AE3077" i="2"/>
  <c r="AF3077" i="2" s="1"/>
  <c r="X3077" i="2"/>
  <c r="AC3077" i="2" s="1"/>
  <c r="W3077" i="2"/>
  <c r="AH3076" i="2"/>
  <c r="AE3076" i="2"/>
  <c r="AF3076" i="2" s="1"/>
  <c r="X3076" i="2"/>
  <c r="AC3076" i="2" s="1"/>
  <c r="W3076" i="2"/>
  <c r="AH3075" i="2"/>
  <c r="AE3075" i="2"/>
  <c r="AF3075" i="2" s="1"/>
  <c r="X3075" i="2"/>
  <c r="AC3075" i="2" s="1"/>
  <c r="W3075" i="2"/>
  <c r="AH3074" i="2"/>
  <c r="AE3074" i="2"/>
  <c r="AF3074" i="2" s="1"/>
  <c r="X3074" i="2"/>
  <c r="AB3074" i="2" s="1"/>
  <c r="AK3074" i="2" s="1"/>
  <c r="W3074" i="2"/>
  <c r="AH3073" i="2"/>
  <c r="AE3073" i="2"/>
  <c r="AF3073" i="2" s="1"/>
  <c r="X3073" i="2"/>
  <c r="AC3073" i="2" s="1"/>
  <c r="W3073" i="2"/>
  <c r="AH3072" i="2"/>
  <c r="AE3072" i="2"/>
  <c r="AF3072" i="2" s="1"/>
  <c r="X3072" i="2"/>
  <c r="AB3072" i="2" s="1"/>
  <c r="AK3072" i="2" s="1"/>
  <c r="W3072" i="2"/>
  <c r="AH3071" i="2"/>
  <c r="AE3071" i="2"/>
  <c r="AF3071" i="2" s="1"/>
  <c r="X3071" i="2"/>
  <c r="AC3071" i="2" s="1"/>
  <c r="W3071" i="2"/>
  <c r="AH3070" i="2"/>
  <c r="AE3070" i="2"/>
  <c r="AF3070" i="2" s="1"/>
  <c r="X3070" i="2"/>
  <c r="Y3070" i="2" s="1"/>
  <c r="W3070" i="2"/>
  <c r="AH3069" i="2"/>
  <c r="AE3069" i="2"/>
  <c r="AF3069" i="2" s="1"/>
  <c r="X3069" i="2"/>
  <c r="Y3069" i="2" s="1"/>
  <c r="W3069" i="2"/>
  <c r="AH3068" i="2"/>
  <c r="AE3068" i="2"/>
  <c r="AF3068" i="2" s="1"/>
  <c r="X3068" i="2"/>
  <c r="Y3068" i="2" s="1"/>
  <c r="W3068" i="2"/>
  <c r="AH3067" i="2"/>
  <c r="AE3067" i="2"/>
  <c r="AF3067" i="2" s="1"/>
  <c r="X3067" i="2"/>
  <c r="W3067" i="2"/>
  <c r="AH3066" i="2"/>
  <c r="AE3066" i="2"/>
  <c r="AF3066" i="2" s="1"/>
  <c r="X3066" i="2"/>
  <c r="AC3066" i="2" s="1"/>
  <c r="W3066" i="2"/>
  <c r="AH3065" i="2"/>
  <c r="AE3065" i="2"/>
  <c r="AF3065" i="2" s="1"/>
  <c r="X3065" i="2"/>
  <c r="AB3065" i="2" s="1"/>
  <c r="AK3065" i="2" s="1"/>
  <c r="W3065" i="2"/>
  <c r="AH3064" i="2"/>
  <c r="AE3064" i="2"/>
  <c r="AF3064" i="2" s="1"/>
  <c r="X3064" i="2"/>
  <c r="AB3064" i="2" s="1"/>
  <c r="AK3064" i="2" s="1"/>
  <c r="W3064" i="2"/>
  <c r="AH3063" i="2"/>
  <c r="AE3063" i="2"/>
  <c r="AF3063" i="2" s="1"/>
  <c r="X3063" i="2"/>
  <c r="AC3063" i="2" s="1"/>
  <c r="W3063" i="2"/>
  <c r="AH3062" i="2"/>
  <c r="AE3062" i="2"/>
  <c r="AF3062" i="2" s="1"/>
  <c r="X3062" i="2"/>
  <c r="Y3062" i="2" s="1"/>
  <c r="W3062" i="2"/>
  <c r="AH3061" i="2"/>
  <c r="AE3061" i="2"/>
  <c r="AF3061" i="2" s="1"/>
  <c r="X3061" i="2"/>
  <c r="AB3061" i="2" s="1"/>
  <c r="AK3061" i="2" s="1"/>
  <c r="W3061" i="2"/>
  <c r="AH3060" i="2"/>
  <c r="AE3060" i="2"/>
  <c r="AF3060" i="2" s="1"/>
  <c r="X3060" i="2"/>
  <c r="AC3060" i="2" s="1"/>
  <c r="W3060" i="2"/>
  <c r="AH3059" i="2"/>
  <c r="AE3059" i="2"/>
  <c r="AF3059" i="2" s="1"/>
  <c r="X3059" i="2"/>
  <c r="W3059" i="2"/>
  <c r="AH3058" i="2"/>
  <c r="AE3058" i="2"/>
  <c r="AF3058" i="2" s="1"/>
  <c r="X3058" i="2"/>
  <c r="AB3058" i="2" s="1"/>
  <c r="AK3058" i="2" s="1"/>
  <c r="W3058" i="2"/>
  <c r="AH3057" i="2"/>
  <c r="AE3057" i="2"/>
  <c r="AF3057" i="2" s="1"/>
  <c r="X3057" i="2"/>
  <c r="W3057" i="2"/>
  <c r="AH3056" i="2"/>
  <c r="AE3056" i="2"/>
  <c r="AF3056" i="2" s="1"/>
  <c r="X3056" i="2"/>
  <c r="AB3056" i="2" s="1"/>
  <c r="AK3056" i="2" s="1"/>
  <c r="W3056" i="2"/>
  <c r="AH3055" i="2"/>
  <c r="AE3055" i="2"/>
  <c r="AF3055" i="2" s="1"/>
  <c r="X3055" i="2"/>
  <c r="W3055" i="2"/>
  <c r="AH3054" i="2"/>
  <c r="AE3054" i="2"/>
  <c r="AF3054" i="2" s="1"/>
  <c r="X3054" i="2"/>
  <c r="AC3054" i="2" s="1"/>
  <c r="W3054" i="2"/>
  <c r="AH3053" i="2"/>
  <c r="AE3053" i="2"/>
  <c r="AF3053" i="2" s="1"/>
  <c r="X3053" i="2"/>
  <c r="Y3053" i="2" s="1"/>
  <c r="W3053" i="2"/>
  <c r="AH3052" i="2"/>
  <c r="AE3052" i="2"/>
  <c r="AF3052" i="2" s="1"/>
  <c r="X3052" i="2"/>
  <c r="Y3052" i="2" s="1"/>
  <c r="W3052" i="2"/>
  <c r="AH3051" i="2"/>
  <c r="AE3051" i="2"/>
  <c r="AF3051" i="2" s="1"/>
  <c r="X3051" i="2"/>
  <c r="AB3051" i="2" s="1"/>
  <c r="AK3051" i="2" s="1"/>
  <c r="AH3050" i="2"/>
  <c r="AE3050" i="2"/>
  <c r="AF3050" i="2" s="1"/>
  <c r="X3050" i="2"/>
  <c r="AC3050" i="2" s="1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AB3046" i="2" s="1"/>
  <c r="AK3046" i="2" s="1"/>
  <c r="W3046" i="2"/>
  <c r="AH3045" i="2"/>
  <c r="AE3045" i="2"/>
  <c r="AF3045" i="2" s="1"/>
  <c r="X3045" i="2"/>
  <c r="AC3045" i="2" s="1"/>
  <c r="W3045" i="2"/>
  <c r="AH3044" i="2"/>
  <c r="AE3044" i="2"/>
  <c r="AF3044" i="2" s="1"/>
  <c r="X3044" i="2"/>
  <c r="AB3044" i="2" s="1"/>
  <c r="AK3044" i="2" s="1"/>
  <c r="W3044" i="2"/>
  <c r="AH3043" i="2"/>
  <c r="AE3043" i="2"/>
  <c r="AF3043" i="2" s="1"/>
  <c r="X3043" i="2"/>
  <c r="Y3043" i="2" s="1"/>
  <c r="W3043" i="2"/>
  <c r="AH3042" i="2"/>
  <c r="AE3042" i="2"/>
  <c r="AF3042" i="2" s="1"/>
  <c r="X3042" i="2"/>
  <c r="AB3042" i="2" s="1"/>
  <c r="AK3042" i="2" s="1"/>
  <c r="W3042" i="2"/>
  <c r="AH3041" i="2"/>
  <c r="AE3041" i="2"/>
  <c r="AF3041" i="2" s="1"/>
  <c r="X3041" i="2"/>
  <c r="AB3041" i="2" s="1"/>
  <c r="AK3041" i="2" s="1"/>
  <c r="W3041" i="2"/>
  <c r="AH3040" i="2"/>
  <c r="AE3040" i="2"/>
  <c r="AF3040" i="2" s="1"/>
  <c r="X3040" i="2"/>
  <c r="W3040" i="2"/>
  <c r="AH3039" i="2"/>
  <c r="AE3039" i="2"/>
  <c r="AF3039" i="2" s="1"/>
  <c r="X3039" i="2"/>
  <c r="AC3039" i="2" s="1"/>
  <c r="W3039" i="2"/>
  <c r="AH3038" i="2"/>
  <c r="AE3038" i="2"/>
  <c r="AF3038" i="2" s="1"/>
  <c r="X3038" i="2"/>
  <c r="W3038" i="2"/>
  <c r="AH3037" i="2"/>
  <c r="AE3037" i="2"/>
  <c r="AF3037" i="2" s="1"/>
  <c r="X3037" i="2"/>
  <c r="AC3037" i="2" s="1"/>
  <c r="AH3036" i="2"/>
  <c r="AE3036" i="2"/>
  <c r="AF3036" i="2" s="1"/>
  <c r="X3036" i="2"/>
  <c r="AC3036" i="2" s="1"/>
  <c r="W3036" i="2"/>
  <c r="AH3035" i="2"/>
  <c r="AE3035" i="2"/>
  <c r="AF3035" i="2" s="1"/>
  <c r="X3035" i="2"/>
  <c r="AC3035" i="2" s="1"/>
  <c r="W3035" i="2"/>
  <c r="AH3034" i="2"/>
  <c r="AE3034" i="2"/>
  <c r="AF3034" i="2" s="1"/>
  <c r="X3034" i="2"/>
  <c r="Y3034" i="2" s="1"/>
  <c r="W3034" i="2"/>
  <c r="AH3033" i="2"/>
  <c r="AE3033" i="2"/>
  <c r="AF3033" i="2" s="1"/>
  <c r="X3033" i="2"/>
  <c r="AH3032" i="2"/>
  <c r="AE3032" i="2"/>
  <c r="AF3032" i="2" s="1"/>
  <c r="X3032" i="2"/>
  <c r="AC3032" i="2" s="1"/>
  <c r="W3032" i="2"/>
  <c r="AH3031" i="2"/>
  <c r="AE3031" i="2"/>
  <c r="AF3031" i="2" s="1"/>
  <c r="X3031" i="2"/>
  <c r="AC3031" i="2" s="1"/>
  <c r="W3031" i="2"/>
  <c r="AH3030" i="2"/>
  <c r="AE3030" i="2"/>
  <c r="AF3030" i="2" s="1"/>
  <c r="X3030" i="2"/>
  <c r="AB3030" i="2" s="1"/>
  <c r="W3030" i="2"/>
  <c r="AH3029" i="2"/>
  <c r="AE3029" i="2"/>
  <c r="AF3029" i="2" s="1"/>
  <c r="X3029" i="2"/>
  <c r="AC3029" i="2" s="1"/>
  <c r="W3029" i="2"/>
  <c r="AH3028" i="2"/>
  <c r="AE3028" i="2"/>
  <c r="AF3028" i="2" s="1"/>
  <c r="X3028" i="2"/>
  <c r="AC3028" i="2" s="1"/>
  <c r="W3028" i="2"/>
  <c r="AH3027" i="2"/>
  <c r="AE3027" i="2"/>
  <c r="AF3027" i="2" s="1"/>
  <c r="X3027" i="2"/>
  <c r="AC3027" i="2" s="1"/>
  <c r="W3027" i="2"/>
  <c r="AH3026" i="2"/>
  <c r="AE3026" i="2"/>
  <c r="AF3026" i="2" s="1"/>
  <c r="X3026" i="2"/>
  <c r="AC3026" i="2" s="1"/>
  <c r="W3026" i="2"/>
  <c r="AH3025" i="2"/>
  <c r="AE3025" i="2"/>
  <c r="AF3025" i="2" s="1"/>
  <c r="X3025" i="2"/>
  <c r="AC3025" i="2" s="1"/>
  <c r="W3025" i="2"/>
  <c r="AH3024" i="2"/>
  <c r="AE3024" i="2"/>
  <c r="AF3024" i="2" s="1"/>
  <c r="X3024" i="2"/>
  <c r="AC3024" i="2" s="1"/>
  <c r="W3024" i="2"/>
  <c r="AH3023" i="2"/>
  <c r="AE3023" i="2"/>
  <c r="AF3023" i="2" s="1"/>
  <c r="X3023" i="2"/>
  <c r="AC3023" i="2" s="1"/>
  <c r="W3023" i="2"/>
  <c r="AH3022" i="2"/>
  <c r="AE3022" i="2"/>
  <c r="AF3022" i="2" s="1"/>
  <c r="X3022" i="2"/>
  <c r="Y3022" i="2" s="1"/>
  <c r="W3022" i="2"/>
  <c r="AH3021" i="2"/>
  <c r="AE3021" i="2"/>
  <c r="AF3021" i="2" s="1"/>
  <c r="X3021" i="2"/>
  <c r="AC3021" i="2" s="1"/>
  <c r="W3021" i="2"/>
  <c r="AH3020" i="2"/>
  <c r="AE3020" i="2"/>
  <c r="AF3020" i="2" s="1"/>
  <c r="X3020" i="2"/>
  <c r="W3020" i="2"/>
  <c r="AH3019" i="2"/>
  <c r="AE3019" i="2"/>
  <c r="AF3019" i="2" s="1"/>
  <c r="X3019" i="2"/>
  <c r="AC3019" i="2" s="1"/>
  <c r="W3019" i="2"/>
  <c r="AH3018" i="2"/>
  <c r="AE3018" i="2"/>
  <c r="AF3018" i="2" s="1"/>
  <c r="X3018" i="2"/>
  <c r="AC3018" i="2" s="1"/>
  <c r="W3018" i="2"/>
  <c r="AH3017" i="2"/>
  <c r="AE3017" i="2"/>
  <c r="AD3017" i="2"/>
  <c r="X3017" i="2"/>
  <c r="AB3017" i="2" s="1"/>
  <c r="AK3017" i="2" s="1"/>
  <c r="W3017" i="2"/>
  <c r="AH3016" i="2"/>
  <c r="AE3016" i="2"/>
  <c r="AD3016" i="2"/>
  <c r="X3016" i="2"/>
  <c r="AB3016" i="2" s="1"/>
  <c r="AK3016" i="2" s="1"/>
  <c r="W3016" i="2"/>
  <c r="AH3015" i="2"/>
  <c r="AE3015" i="2"/>
  <c r="AD3015" i="2"/>
  <c r="X3015" i="2"/>
  <c r="AC3015" i="2" s="1"/>
  <c r="W3015" i="2"/>
  <c r="AH3014" i="2"/>
  <c r="AE3014" i="2"/>
  <c r="AD3014" i="2"/>
  <c r="AF3014" i="2" s="1"/>
  <c r="X3014" i="2"/>
  <c r="W3014" i="2"/>
  <c r="AH3013" i="2"/>
  <c r="AE3013" i="2"/>
  <c r="AD3013" i="2"/>
  <c r="X3013" i="2"/>
  <c r="W3013" i="2"/>
  <c r="AH3012" i="2"/>
  <c r="AE3012" i="2"/>
  <c r="AD3012" i="2"/>
  <c r="X3012" i="2"/>
  <c r="AB3012" i="2" s="1"/>
  <c r="AK3012" i="2" s="1"/>
  <c r="W3012" i="2"/>
  <c r="AH3011" i="2"/>
  <c r="AE3011" i="2"/>
  <c r="AD3011" i="2"/>
  <c r="X3011" i="2"/>
  <c r="AB3011" i="2" s="1"/>
  <c r="AK3011" i="2" s="1"/>
  <c r="W3011" i="2"/>
  <c r="AH3010" i="2"/>
  <c r="AE3010" i="2"/>
  <c r="AD3010" i="2"/>
  <c r="AF3010" i="2" s="1"/>
  <c r="X3010" i="2"/>
  <c r="W3010" i="2"/>
  <c r="AH3009" i="2"/>
  <c r="AE3009" i="2"/>
  <c r="AD3009" i="2"/>
  <c r="X3009" i="2"/>
  <c r="AC3009" i="2" s="1"/>
  <c r="W3009" i="2"/>
  <c r="AH3008" i="2"/>
  <c r="AE3008" i="2"/>
  <c r="AD3008" i="2"/>
  <c r="X3008" i="2"/>
  <c r="AB3008" i="2" s="1"/>
  <c r="AK3008" i="2" s="1"/>
  <c r="W3008" i="2"/>
  <c r="AH3007" i="2"/>
  <c r="AE3007" i="2"/>
  <c r="AD3007" i="2"/>
  <c r="X3007" i="2"/>
  <c r="AC3007" i="2" s="1"/>
  <c r="W3007" i="2"/>
  <c r="AH3006" i="2"/>
  <c r="AE3006" i="2"/>
  <c r="AD3006" i="2"/>
  <c r="X3006" i="2"/>
  <c r="AB3006" i="2" s="1"/>
  <c r="AK3006" i="2" s="1"/>
  <c r="W3006" i="2"/>
  <c r="AH3005" i="2"/>
  <c r="AE3005" i="2"/>
  <c r="AD3005" i="2"/>
  <c r="X3005" i="2"/>
  <c r="AK3005" i="2" s="1"/>
  <c r="W3005" i="2"/>
  <c r="AH3004" i="2"/>
  <c r="AE3004" i="2"/>
  <c r="AD3004" i="2"/>
  <c r="X3004" i="2"/>
  <c r="AB3004" i="2" s="1"/>
  <c r="AK3004" i="2" s="1"/>
  <c r="W3004" i="2"/>
  <c r="AH3003" i="2"/>
  <c r="AE3003" i="2"/>
  <c r="AD3003" i="2"/>
  <c r="X3003" i="2"/>
  <c r="AC3003" i="2" s="1"/>
  <c r="W3003" i="2"/>
  <c r="AH3002" i="2"/>
  <c r="AE3002" i="2"/>
  <c r="AD3002" i="2"/>
  <c r="AF3002" i="2" s="1"/>
  <c r="X3002" i="2"/>
  <c r="AB3002" i="2" s="1"/>
  <c r="AK3002" i="2" s="1"/>
  <c r="W3002" i="2"/>
  <c r="AH3001" i="2"/>
  <c r="AE3001" i="2"/>
  <c r="AF3001" i="2" s="1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AB2999" i="2" s="1"/>
  <c r="AK2999" i="2" s="1"/>
  <c r="W2999" i="2"/>
  <c r="AH2998" i="2"/>
  <c r="AE2998" i="2"/>
  <c r="AD2998" i="2"/>
  <c r="AF2998" i="2" s="1"/>
  <c r="X2998" i="2"/>
  <c r="W2998" i="2"/>
  <c r="AH2997" i="2"/>
  <c r="AE2997" i="2"/>
  <c r="AD2997" i="2"/>
  <c r="X2997" i="2"/>
  <c r="AC2997" i="2" s="1"/>
  <c r="W2997" i="2"/>
  <c r="AH2996" i="2"/>
  <c r="AE2996" i="2"/>
  <c r="AD2996" i="2"/>
  <c r="X2996" i="2"/>
  <c r="AC2996" i="2" s="1"/>
  <c r="W2996" i="2"/>
  <c r="AH2995" i="2"/>
  <c r="AE2995" i="2"/>
  <c r="AD2995" i="2"/>
  <c r="X2995" i="2"/>
  <c r="AB2995" i="2" s="1"/>
  <c r="AK2995" i="2" s="1"/>
  <c r="W2995" i="2"/>
  <c r="AH2994" i="2"/>
  <c r="AE2994" i="2"/>
  <c r="AD2994" i="2"/>
  <c r="AF2994" i="2" s="1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F2991" i="2" s="1"/>
  <c r="AD2991" i="2"/>
  <c r="X2991" i="2"/>
  <c r="AC2991" i="2" s="1"/>
  <c r="W2991" i="2"/>
  <c r="AH2990" i="2"/>
  <c r="AE2990" i="2"/>
  <c r="AD2990" i="2"/>
  <c r="AF2990" i="2" s="1"/>
  <c r="X2990" i="2"/>
  <c r="W2990" i="2"/>
  <c r="AH2989" i="2"/>
  <c r="AE2989" i="2"/>
  <c r="AD2989" i="2"/>
  <c r="X2989" i="2"/>
  <c r="W2989" i="2"/>
  <c r="AH2988" i="2"/>
  <c r="AE2988" i="2"/>
  <c r="AD2988" i="2"/>
  <c r="AF2988" i="2" s="1"/>
  <c r="X2988" i="2"/>
  <c r="AB2988" i="2" s="1"/>
  <c r="W2988" i="2"/>
  <c r="AH2987" i="2"/>
  <c r="AE2987" i="2"/>
  <c r="AD2987" i="2"/>
  <c r="X2987" i="2"/>
  <c r="W2987" i="2"/>
  <c r="AH2986" i="2"/>
  <c r="AE2986" i="2"/>
  <c r="AD2986" i="2"/>
  <c r="AF2986" i="2" s="1"/>
  <c r="X2986" i="2"/>
  <c r="AC2986" i="2" s="1"/>
  <c r="W2986" i="2"/>
  <c r="AH2985" i="2"/>
  <c r="AE2985" i="2"/>
  <c r="AD2985" i="2"/>
  <c r="X2985" i="2"/>
  <c r="AB2985" i="2" s="1"/>
  <c r="AK2985" i="2" s="1"/>
  <c r="W2985" i="2"/>
  <c r="AH2984" i="2"/>
  <c r="AE2984" i="2"/>
  <c r="AD2984" i="2"/>
  <c r="X2984" i="2"/>
  <c r="AB2984" i="2" s="1"/>
  <c r="AK2984" i="2" s="1"/>
  <c r="W2984" i="2"/>
  <c r="AH2983" i="2"/>
  <c r="AE2983" i="2"/>
  <c r="AD2983" i="2"/>
  <c r="X2983" i="2"/>
  <c r="AC2983" i="2" s="1"/>
  <c r="W2983" i="2"/>
  <c r="AH2982" i="2"/>
  <c r="AE2982" i="2"/>
  <c r="AD2982" i="2"/>
  <c r="AF2982" i="2" s="1"/>
  <c r="X2982" i="2"/>
  <c r="AC2982" i="2" s="1"/>
  <c r="W2982" i="2"/>
  <c r="AH2981" i="2"/>
  <c r="AE2981" i="2"/>
  <c r="AD2981" i="2"/>
  <c r="X2981" i="2"/>
  <c r="W2981" i="2"/>
  <c r="AH2980" i="2"/>
  <c r="AE2980" i="2"/>
  <c r="AD2980" i="2"/>
  <c r="X2980" i="2"/>
  <c r="AB2980" i="2" s="1"/>
  <c r="AK2980" i="2" s="1"/>
  <c r="W2980" i="2"/>
  <c r="AH2979" i="2"/>
  <c r="AE2979" i="2"/>
  <c r="AD2979" i="2"/>
  <c r="X2979" i="2"/>
  <c r="W2979" i="2"/>
  <c r="AH2978" i="2"/>
  <c r="AE2978" i="2"/>
  <c r="AD2978" i="2"/>
  <c r="AF2978" i="2" s="1"/>
  <c r="X2978" i="2"/>
  <c r="AB2978" i="2" s="1"/>
  <c r="AK2978" i="2" s="1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AB2975" i="2" s="1"/>
  <c r="AK2975" i="2" s="1"/>
  <c r="W2975" i="2"/>
  <c r="AH2974" i="2"/>
  <c r="AE2974" i="2"/>
  <c r="AD2974" i="2"/>
  <c r="X2974" i="2"/>
  <c r="W2974" i="2"/>
  <c r="AH2973" i="2"/>
  <c r="AE2973" i="2"/>
  <c r="AD2973" i="2"/>
  <c r="X2973" i="2"/>
  <c r="AB2973" i="2" s="1"/>
  <c r="AK2973" i="2" s="1"/>
  <c r="W2973" i="2"/>
  <c r="AH2972" i="2"/>
  <c r="AE2972" i="2"/>
  <c r="AD2972" i="2"/>
  <c r="X2972" i="2"/>
  <c r="W2972" i="2"/>
  <c r="AH2971" i="2"/>
  <c r="AE2971" i="2"/>
  <c r="AD2971" i="2"/>
  <c r="X2971" i="2"/>
  <c r="W2971" i="2"/>
  <c r="AH2970" i="2"/>
  <c r="AE2970" i="2"/>
  <c r="AD2970" i="2"/>
  <c r="AF2970" i="2" s="1"/>
  <c r="X2970" i="2"/>
  <c r="AB2970" i="2" s="1"/>
  <c r="AK2970" i="2" s="1"/>
  <c r="W2970" i="2"/>
  <c r="AH2969" i="2"/>
  <c r="AE2969" i="2"/>
  <c r="AD2969" i="2"/>
  <c r="X2969" i="2"/>
  <c r="AC2969" i="2" s="1"/>
  <c r="W2969" i="2"/>
  <c r="AH2968" i="2"/>
  <c r="AE2968" i="2"/>
  <c r="AD2968" i="2"/>
  <c r="X2968" i="2"/>
  <c r="AB2968" i="2" s="1"/>
  <c r="AK2968" i="2" s="1"/>
  <c r="W2968" i="2"/>
  <c r="AH2967" i="2"/>
  <c r="AE2967" i="2"/>
  <c r="AD2967" i="2"/>
  <c r="X2967" i="2"/>
  <c r="AC2967" i="2" s="1"/>
  <c r="W2967" i="2"/>
  <c r="AH2966" i="2"/>
  <c r="AE2966" i="2"/>
  <c r="AD2966" i="2"/>
  <c r="X2966" i="2"/>
  <c r="W2966" i="2"/>
  <c r="AH2965" i="2"/>
  <c r="AE2965" i="2"/>
  <c r="AD2965" i="2"/>
  <c r="X2965" i="2"/>
  <c r="AB2965" i="2" s="1"/>
  <c r="AK2965" i="2" s="1"/>
  <c r="W2965" i="2"/>
  <c r="AH2964" i="2"/>
  <c r="AE2964" i="2"/>
  <c r="AD2964" i="2"/>
  <c r="X2964" i="2"/>
  <c r="AB2964" i="2" s="1"/>
  <c r="AK2964" i="2" s="1"/>
  <c r="W2964" i="2"/>
  <c r="AH2963" i="2"/>
  <c r="AE2963" i="2"/>
  <c r="AD2963" i="2"/>
  <c r="X2963" i="2"/>
  <c r="AC2963" i="2" s="1"/>
  <c r="W2963" i="2"/>
  <c r="AH2962" i="2"/>
  <c r="AE2962" i="2"/>
  <c r="AD2962" i="2"/>
  <c r="AF2962" i="2" s="1"/>
  <c r="X2962" i="2"/>
  <c r="AB2962" i="2" s="1"/>
  <c r="AK2962" i="2" s="1"/>
  <c r="W2962" i="2"/>
  <c r="AH2961" i="2"/>
  <c r="AE2961" i="2"/>
  <c r="AF2961" i="2" s="1"/>
  <c r="AD2961" i="2"/>
  <c r="X2961" i="2"/>
  <c r="W2961" i="2"/>
  <c r="AH2960" i="2"/>
  <c r="AE2960" i="2"/>
  <c r="AD2960" i="2"/>
  <c r="X2960" i="2"/>
  <c r="AB2960" i="2" s="1"/>
  <c r="AK2960" i="2" s="1"/>
  <c r="W2960" i="2"/>
  <c r="AH2959" i="2"/>
  <c r="AE2959" i="2"/>
  <c r="AD2959" i="2"/>
  <c r="X2959" i="2"/>
  <c r="AC2959" i="2" s="1"/>
  <c r="W2959" i="2"/>
  <c r="AH2958" i="2"/>
  <c r="AE2958" i="2"/>
  <c r="AD2958" i="2"/>
  <c r="X2958" i="2"/>
  <c r="AB2958" i="2" s="1"/>
  <c r="AK2958" i="2" s="1"/>
  <c r="W2958" i="2"/>
  <c r="AH2957" i="2"/>
  <c r="AE2957" i="2"/>
  <c r="AD2957" i="2"/>
  <c r="X2957" i="2"/>
  <c r="W2957" i="2"/>
  <c r="AH2956" i="2"/>
  <c r="AE2956" i="2"/>
  <c r="AD2956" i="2"/>
  <c r="X2956" i="2"/>
  <c r="AB2956" i="2" s="1"/>
  <c r="AK2956" i="2" s="1"/>
  <c r="W2956" i="2"/>
  <c r="AH2955" i="2"/>
  <c r="AE2955" i="2"/>
  <c r="AD2955" i="2"/>
  <c r="AF2955" i="2" s="1"/>
  <c r="X2955" i="2"/>
  <c r="AB2955" i="2" s="1"/>
  <c r="AK2955" i="2" s="1"/>
  <c r="W2955" i="2"/>
  <c r="AH2954" i="2"/>
  <c r="AE2954" i="2"/>
  <c r="AD2954" i="2"/>
  <c r="AF2954" i="2" s="1"/>
  <c r="X2954" i="2"/>
  <c r="AK2954" i="2" s="1"/>
  <c r="W2954" i="2"/>
  <c r="AH2953" i="2"/>
  <c r="AE2953" i="2"/>
  <c r="AD2953" i="2"/>
  <c r="X2953" i="2"/>
  <c r="AC2953" i="2" s="1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AC2949" i="2" s="1"/>
  <c r="W2949" i="2"/>
  <c r="AH2948" i="2"/>
  <c r="AE2948" i="2"/>
  <c r="AD2948" i="2"/>
  <c r="X2948" i="2"/>
  <c r="W2948" i="2"/>
  <c r="AH2947" i="2"/>
  <c r="AE2947" i="2"/>
  <c r="AD2947" i="2"/>
  <c r="X2947" i="2"/>
  <c r="AC2947" i="2" s="1"/>
  <c r="W2947" i="2"/>
  <c r="AH2946" i="2"/>
  <c r="AE2946" i="2"/>
  <c r="AD2946" i="2"/>
  <c r="AF2946" i="2" s="1"/>
  <c r="X2946" i="2"/>
  <c r="AC2946" i="2" s="1"/>
  <c r="W2946" i="2"/>
  <c r="AH2945" i="2"/>
  <c r="AE2945" i="2"/>
  <c r="AD2945" i="2"/>
  <c r="X2945" i="2"/>
  <c r="AB2945" i="2" s="1"/>
  <c r="AK2945" i="2" s="1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AB2941" i="2" s="1"/>
  <c r="W2941" i="2"/>
  <c r="AH2940" i="2"/>
  <c r="AE2940" i="2"/>
  <c r="AD2940" i="2"/>
  <c r="X2940" i="2"/>
  <c r="AC2940" i="2" s="1"/>
  <c r="W2940" i="2"/>
  <c r="AH2939" i="2"/>
  <c r="AE2939" i="2"/>
  <c r="AD2939" i="2"/>
  <c r="X2939" i="2"/>
  <c r="AC2939" i="2" s="1"/>
  <c r="W2939" i="2"/>
  <c r="AH2938" i="2"/>
  <c r="AE2938" i="2"/>
  <c r="AD2938" i="2"/>
  <c r="AF2938" i="2" s="1"/>
  <c r="X2938" i="2"/>
  <c r="AC2938" i="2" s="1"/>
  <c r="W2938" i="2"/>
  <c r="AH2937" i="2"/>
  <c r="AE2937" i="2"/>
  <c r="AD2937" i="2"/>
  <c r="X2937" i="2"/>
  <c r="W2937" i="2"/>
  <c r="AH2936" i="2"/>
  <c r="AE2936" i="2"/>
  <c r="AD2936" i="2"/>
  <c r="X2936" i="2"/>
  <c r="AB2936" i="2" s="1"/>
  <c r="AK2936" i="2" s="1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AB2933" i="2" s="1"/>
  <c r="W2933" i="2"/>
  <c r="AH2932" i="2"/>
  <c r="AE2932" i="2"/>
  <c r="AD2932" i="2"/>
  <c r="X2932" i="2"/>
  <c r="AB2932" i="2" s="1"/>
  <c r="AK2932" i="2" s="1"/>
  <c r="W2932" i="2"/>
  <c r="AH2931" i="2"/>
  <c r="AE2931" i="2"/>
  <c r="AD2931" i="2"/>
  <c r="AF2931" i="2" s="1"/>
  <c r="X2931" i="2"/>
  <c r="AB2931" i="2" s="1"/>
  <c r="AK2931" i="2" s="1"/>
  <c r="W2931" i="2"/>
  <c r="AH2930" i="2"/>
  <c r="AE2930" i="2"/>
  <c r="AD2930" i="2"/>
  <c r="AF2930" i="2" s="1"/>
  <c r="X2930" i="2"/>
  <c r="AB2930" i="2" s="1"/>
  <c r="AK2930" i="2" s="1"/>
  <c r="W2930" i="2"/>
  <c r="AH2929" i="2"/>
  <c r="AE2929" i="2"/>
  <c r="AD2929" i="2"/>
  <c r="X2929" i="2"/>
  <c r="W2929" i="2"/>
  <c r="AH2928" i="2"/>
  <c r="AE2928" i="2"/>
  <c r="AD2928" i="2"/>
  <c r="X2928" i="2"/>
  <c r="AB2928" i="2" s="1"/>
  <c r="AK2928" i="2" s="1"/>
  <c r="W2928" i="2"/>
  <c r="AH2927" i="2"/>
  <c r="AE2927" i="2"/>
  <c r="AD2927" i="2"/>
  <c r="X2927" i="2"/>
  <c r="AB2927" i="2" s="1"/>
  <c r="AK2927" i="2" s="1"/>
  <c r="W2927" i="2"/>
  <c r="AH2926" i="2"/>
  <c r="AE2926" i="2"/>
  <c r="AD2926" i="2"/>
  <c r="X2926" i="2"/>
  <c r="AC2926" i="2" s="1"/>
  <c r="W2926" i="2"/>
  <c r="AH2925" i="2"/>
  <c r="AE2925" i="2"/>
  <c r="AD2925" i="2"/>
  <c r="X2925" i="2"/>
  <c r="W2925" i="2"/>
  <c r="AH2924" i="2"/>
  <c r="AE2924" i="2"/>
  <c r="AD2924" i="2"/>
  <c r="X2924" i="2"/>
  <c r="AB2924" i="2" s="1"/>
  <c r="W2924" i="2"/>
  <c r="AH2923" i="2"/>
  <c r="AE2923" i="2"/>
  <c r="AD2923" i="2"/>
  <c r="X2923" i="2"/>
  <c r="AB2923" i="2" s="1"/>
  <c r="AK2923" i="2" s="1"/>
  <c r="W2923" i="2"/>
  <c r="AH2922" i="2"/>
  <c r="AE2922" i="2"/>
  <c r="AD2922" i="2"/>
  <c r="X2922" i="2"/>
  <c r="W2922" i="2"/>
  <c r="AH2921" i="2"/>
  <c r="AE2921" i="2"/>
  <c r="AF2921" i="2" s="1"/>
  <c r="AD2921" i="2"/>
  <c r="X2921" i="2"/>
  <c r="AB2921" i="2" s="1"/>
  <c r="AK2921" i="2" s="1"/>
  <c r="W2921" i="2"/>
  <c r="AH2920" i="2"/>
  <c r="AE2920" i="2"/>
  <c r="AD2920" i="2"/>
  <c r="X2920" i="2"/>
  <c r="AB2920" i="2" s="1"/>
  <c r="AK2920" i="2" s="1"/>
  <c r="W2920" i="2"/>
  <c r="AH2919" i="2"/>
  <c r="AE2919" i="2"/>
  <c r="AD2919" i="2"/>
  <c r="X2919" i="2"/>
  <c r="W2919" i="2"/>
  <c r="AH2918" i="2"/>
  <c r="AE2918" i="2"/>
  <c r="AD2918" i="2"/>
  <c r="X2918" i="2"/>
  <c r="AC2918" i="2" s="1"/>
  <c r="W2918" i="2"/>
  <c r="AH2917" i="2"/>
  <c r="AE2917" i="2"/>
  <c r="AD2917" i="2"/>
  <c r="X2917" i="2"/>
  <c r="W2917" i="2"/>
  <c r="AH2916" i="2"/>
  <c r="AE2916" i="2"/>
  <c r="AD2916" i="2"/>
  <c r="X2916" i="2"/>
  <c r="AB2916" i="2" s="1"/>
  <c r="AK2916" i="2" s="1"/>
  <c r="W2916" i="2"/>
  <c r="AH2915" i="2"/>
  <c r="AE2915" i="2"/>
  <c r="AD2915" i="2"/>
  <c r="X2915" i="2"/>
  <c r="W2915" i="2"/>
  <c r="AH2914" i="2"/>
  <c r="AE2914" i="2"/>
  <c r="AD2914" i="2"/>
  <c r="AF2914" i="2" s="1"/>
  <c r="X2914" i="2"/>
  <c r="AB2914" i="2" s="1"/>
  <c r="AK2914" i="2" s="1"/>
  <c r="W2914" i="2"/>
  <c r="AH2913" i="2"/>
  <c r="AE2913" i="2"/>
  <c r="AD2913" i="2"/>
  <c r="X2913" i="2"/>
  <c r="W2913" i="2"/>
  <c r="AH2912" i="2"/>
  <c r="AE2912" i="2"/>
  <c r="AD2912" i="2"/>
  <c r="X2912" i="2"/>
  <c r="AC2912" i="2" s="1"/>
  <c r="W2912" i="2"/>
  <c r="AH2911" i="2"/>
  <c r="AE2911" i="2"/>
  <c r="AF2911" i="2" s="1"/>
  <c r="AD2911" i="2"/>
  <c r="X2911" i="2"/>
  <c r="AB2911" i="2" s="1"/>
  <c r="AK2911" i="2" s="1"/>
  <c r="W2911" i="2"/>
  <c r="AH2910" i="2"/>
  <c r="AE2910" i="2"/>
  <c r="AD2910" i="2"/>
  <c r="X2910" i="2"/>
  <c r="AC2910" i="2" s="1"/>
  <c r="W2910" i="2"/>
  <c r="AH2909" i="2"/>
  <c r="AE2909" i="2"/>
  <c r="AD2909" i="2"/>
  <c r="X2909" i="2"/>
  <c r="AB2909" i="2" s="1"/>
  <c r="W2909" i="2"/>
  <c r="AH2908" i="2"/>
  <c r="AE2908" i="2"/>
  <c r="AD2908" i="2"/>
  <c r="X2908" i="2"/>
  <c r="W2908" i="2"/>
  <c r="AH2907" i="2"/>
  <c r="AE2907" i="2"/>
  <c r="AD2907" i="2"/>
  <c r="X2907" i="2"/>
  <c r="AB2907" i="2" s="1"/>
  <c r="W2907" i="2"/>
  <c r="AH2906" i="2"/>
  <c r="AE2906" i="2"/>
  <c r="AD2906" i="2"/>
  <c r="X2906" i="2"/>
  <c r="AC2906" i="2" s="1"/>
  <c r="W2906" i="2"/>
  <c r="AH2905" i="2"/>
  <c r="AE2905" i="2"/>
  <c r="AD2905" i="2"/>
  <c r="X2905" i="2"/>
  <c r="W2905" i="2"/>
  <c r="AH2904" i="2"/>
  <c r="AE2904" i="2"/>
  <c r="AD2904" i="2"/>
  <c r="X2904" i="2"/>
  <c r="AB2904" i="2" s="1"/>
  <c r="AK2904" i="2" s="1"/>
  <c r="W2904" i="2"/>
  <c r="AH2903" i="2"/>
  <c r="AE2903" i="2"/>
  <c r="AD2903" i="2"/>
  <c r="X2903" i="2"/>
  <c r="AB2903" i="2" s="1"/>
  <c r="AK2903" i="2" s="1"/>
  <c r="W2903" i="2"/>
  <c r="AH2902" i="2"/>
  <c r="AE2902" i="2"/>
  <c r="AD2902" i="2"/>
  <c r="X2902" i="2"/>
  <c r="W2902" i="2"/>
  <c r="AH2901" i="2"/>
  <c r="AE2901" i="2"/>
  <c r="AD2901" i="2"/>
  <c r="X2901" i="2"/>
  <c r="AB2901" i="2" s="1"/>
  <c r="AK2901" i="2" s="1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AF2898" i="2" s="1"/>
  <c r="X2898" i="2"/>
  <c r="AB2898" i="2" s="1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F2895" i="2" s="1"/>
  <c r="AD2895" i="2"/>
  <c r="X2895" i="2"/>
  <c r="W2895" i="2"/>
  <c r="AH2894" i="2"/>
  <c r="AE2894" i="2"/>
  <c r="AD2894" i="2"/>
  <c r="X2894" i="2"/>
  <c r="AC2894" i="2" s="1"/>
  <c r="W2894" i="2"/>
  <c r="AH2893" i="2"/>
  <c r="AE2893" i="2"/>
  <c r="AD2893" i="2"/>
  <c r="X2893" i="2"/>
  <c r="AB2893" i="2" s="1"/>
  <c r="AK2893" i="2" s="1"/>
  <c r="W2893" i="2"/>
  <c r="AH2892" i="2"/>
  <c r="AE2892" i="2"/>
  <c r="AD2892" i="2"/>
  <c r="X2892" i="2"/>
  <c r="W2892" i="2"/>
  <c r="AH2891" i="2"/>
  <c r="AE2891" i="2"/>
  <c r="AD2891" i="2"/>
  <c r="X2891" i="2"/>
  <c r="AB2891" i="2" s="1"/>
  <c r="AK2891" i="2" s="1"/>
  <c r="W2891" i="2"/>
  <c r="AH2890" i="2"/>
  <c r="AE2890" i="2"/>
  <c r="AD2890" i="2"/>
  <c r="X2890" i="2"/>
  <c r="AB2890" i="2" s="1"/>
  <c r="AK2890" i="2" s="1"/>
  <c r="W2890" i="2"/>
  <c r="AH2889" i="2"/>
  <c r="AE2889" i="2"/>
  <c r="AD2889" i="2"/>
  <c r="X2889" i="2"/>
  <c r="W2889" i="2"/>
  <c r="AH2888" i="2"/>
  <c r="AE2888" i="2"/>
  <c r="AD2888" i="2"/>
  <c r="X2888" i="2"/>
  <c r="AB2888" i="2" s="1"/>
  <c r="AK2888" i="2" s="1"/>
  <c r="W2888" i="2"/>
  <c r="AH2887" i="2"/>
  <c r="AE2887" i="2"/>
  <c r="AD2887" i="2"/>
  <c r="X2887" i="2"/>
  <c r="W2887" i="2"/>
  <c r="AH2886" i="2"/>
  <c r="AE2886" i="2"/>
  <c r="AD2886" i="2"/>
  <c r="X2886" i="2"/>
  <c r="AC2886" i="2" s="1"/>
  <c r="W2886" i="2"/>
  <c r="AH2885" i="2"/>
  <c r="AE2885" i="2"/>
  <c r="AD2885" i="2"/>
  <c r="X2885" i="2"/>
  <c r="W2885" i="2"/>
  <c r="AH2884" i="2"/>
  <c r="AE2884" i="2"/>
  <c r="AD2884" i="2"/>
  <c r="X2884" i="2"/>
  <c r="AB2884" i="2" s="1"/>
  <c r="AK2884" i="2" s="1"/>
  <c r="W2884" i="2"/>
  <c r="AH2883" i="2"/>
  <c r="AE2883" i="2"/>
  <c r="AD2883" i="2"/>
  <c r="X2883" i="2"/>
  <c r="AB2883" i="2" s="1"/>
  <c r="AK2883" i="2" s="1"/>
  <c r="W2883" i="2"/>
  <c r="AH2882" i="2"/>
  <c r="AE2882" i="2"/>
  <c r="AD2882" i="2"/>
  <c r="AF2882" i="2" s="1"/>
  <c r="X2882" i="2"/>
  <c r="AC2882" i="2" s="1"/>
  <c r="W2882" i="2"/>
  <c r="AH2881" i="2"/>
  <c r="AE2881" i="2"/>
  <c r="AD2881" i="2"/>
  <c r="X2881" i="2"/>
  <c r="W2881" i="2"/>
  <c r="AH2880" i="2"/>
  <c r="AE2880" i="2"/>
  <c r="AD2880" i="2"/>
  <c r="X2880" i="2"/>
  <c r="AB2880" i="2" s="1"/>
  <c r="AK2880" i="2" s="1"/>
  <c r="W2880" i="2"/>
  <c r="AH2879" i="2"/>
  <c r="AE2879" i="2"/>
  <c r="AD2879" i="2"/>
  <c r="X2879" i="2"/>
  <c r="AC2879" i="2" s="1"/>
  <c r="W2879" i="2"/>
  <c r="AH2878" i="2"/>
  <c r="AE2878" i="2"/>
  <c r="AD2878" i="2"/>
  <c r="X2878" i="2"/>
  <c r="AC2878" i="2" s="1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AB2875" i="2" s="1"/>
  <c r="AK2875" i="2" s="1"/>
  <c r="W2875" i="2"/>
  <c r="AH2874" i="2"/>
  <c r="AE2874" i="2"/>
  <c r="AD2874" i="2"/>
  <c r="AF2874" i="2" s="1"/>
  <c r="X2874" i="2"/>
  <c r="W2874" i="2"/>
  <c r="AH2873" i="2"/>
  <c r="AE2873" i="2"/>
  <c r="AD2873" i="2"/>
  <c r="X2873" i="2"/>
  <c r="AB2873" i="2" s="1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C2871" i="2" s="1"/>
  <c r="W2871" i="2"/>
  <c r="AH2870" i="2"/>
  <c r="AE2870" i="2"/>
  <c r="AD2870" i="2"/>
  <c r="X2870" i="2"/>
  <c r="W2870" i="2"/>
  <c r="AH2869" i="2"/>
  <c r="AE2869" i="2"/>
  <c r="AD2869" i="2"/>
  <c r="X2869" i="2"/>
  <c r="AB2869" i="2" s="1"/>
  <c r="W2869" i="2"/>
  <c r="AH2868" i="2"/>
  <c r="AE2868" i="2"/>
  <c r="AD2868" i="2"/>
  <c r="X2868" i="2"/>
  <c r="AB2868" i="2" s="1"/>
  <c r="AK2868" i="2" s="1"/>
  <c r="W2868" i="2"/>
  <c r="AH2867" i="2"/>
  <c r="AE2867" i="2"/>
  <c r="AD2867" i="2"/>
  <c r="AF2867" i="2" s="1"/>
  <c r="X2867" i="2"/>
  <c r="AB2867" i="2" s="1"/>
  <c r="AK2867" i="2" s="1"/>
  <c r="W2867" i="2"/>
  <c r="AH2866" i="2"/>
  <c r="AE2866" i="2"/>
  <c r="AD2866" i="2"/>
  <c r="AF2866" i="2" s="1"/>
  <c r="X2866" i="2"/>
  <c r="W2866" i="2"/>
  <c r="AH2865" i="2"/>
  <c r="AE2865" i="2"/>
  <c r="AD2865" i="2"/>
  <c r="X2865" i="2"/>
  <c r="W2865" i="2"/>
  <c r="AH2864" i="2"/>
  <c r="AE2864" i="2"/>
  <c r="AD2864" i="2"/>
  <c r="X2864" i="2"/>
  <c r="AC2864" i="2" s="1"/>
  <c r="W2864" i="2"/>
  <c r="AH2863" i="2"/>
  <c r="AE2863" i="2"/>
  <c r="AD2863" i="2"/>
  <c r="X2863" i="2"/>
  <c r="W2863" i="2"/>
  <c r="AH2862" i="2"/>
  <c r="AE2862" i="2"/>
  <c r="AD2862" i="2"/>
  <c r="X2862" i="2"/>
  <c r="AC2862" i="2" s="1"/>
  <c r="W2862" i="2"/>
  <c r="AH2861" i="2"/>
  <c r="AE2861" i="2"/>
  <c r="AD2861" i="2"/>
  <c r="X2861" i="2"/>
  <c r="AC2861" i="2" s="1"/>
  <c r="W2861" i="2"/>
  <c r="AH2860" i="2"/>
  <c r="AE2860" i="2"/>
  <c r="AD2860" i="2"/>
  <c r="X2860" i="2"/>
  <c r="AC2860" i="2" s="1"/>
  <c r="W2860" i="2"/>
  <c r="AH2859" i="2"/>
  <c r="AE2859" i="2"/>
  <c r="AD2859" i="2"/>
  <c r="X2859" i="2"/>
  <c r="AB2859" i="2" s="1"/>
  <c r="AK2859" i="2" s="1"/>
  <c r="W2859" i="2"/>
  <c r="AH2858" i="2"/>
  <c r="AE2858" i="2"/>
  <c r="AD2858" i="2"/>
  <c r="AF2858" i="2" s="1"/>
  <c r="X2858" i="2"/>
  <c r="AC2858" i="2" s="1"/>
  <c r="W2858" i="2"/>
  <c r="AH2857" i="2"/>
  <c r="AE2857" i="2"/>
  <c r="AD2857" i="2"/>
  <c r="X2857" i="2"/>
  <c r="AC2857" i="2" s="1"/>
  <c r="W2857" i="2"/>
  <c r="AH2856" i="2"/>
  <c r="AE2856" i="2"/>
  <c r="AD2856" i="2"/>
  <c r="X2856" i="2"/>
  <c r="AB2856" i="2" s="1"/>
  <c r="AK2856" i="2" s="1"/>
  <c r="W2856" i="2"/>
  <c r="AH2855" i="2"/>
  <c r="AE2855" i="2"/>
  <c r="AD2855" i="2"/>
  <c r="X2855" i="2"/>
  <c r="W2855" i="2"/>
  <c r="AH2854" i="2"/>
  <c r="AE2854" i="2"/>
  <c r="AD2854" i="2"/>
  <c r="X2854" i="2"/>
  <c r="AC2854" i="2" s="1"/>
  <c r="T2854" i="2"/>
  <c r="W2854" i="2"/>
  <c r="AH2853" i="2"/>
  <c r="AE2853" i="2"/>
  <c r="AD2853" i="2"/>
  <c r="X2853" i="2"/>
  <c r="T2853" i="2"/>
  <c r="W2853" i="2"/>
  <c r="AH2852" i="2"/>
  <c r="AE2852" i="2"/>
  <c r="AD2852" i="2"/>
  <c r="AF2852" i="2" s="1"/>
  <c r="X2852" i="2"/>
  <c r="AC2852" i="2" s="1"/>
  <c r="T2852" i="2"/>
  <c r="W2852" i="2"/>
  <c r="AH2851" i="2"/>
  <c r="AE2851" i="2"/>
  <c r="AD2851" i="2"/>
  <c r="X2851" i="2"/>
  <c r="AC2851" i="2" s="1"/>
  <c r="T2851" i="2"/>
  <c r="W2851" i="2"/>
  <c r="AH2850" i="2"/>
  <c r="AE2850" i="2"/>
  <c r="AD2850" i="2"/>
  <c r="X2850" i="2"/>
  <c r="AB2850" i="2" s="1"/>
  <c r="T2850" i="2"/>
  <c r="W2850" i="2"/>
  <c r="AH2849" i="2"/>
  <c r="AE2849" i="2"/>
  <c r="AD2849" i="2"/>
  <c r="X2849" i="2"/>
  <c r="T2849" i="2"/>
  <c r="W2849" i="2"/>
  <c r="AH2848" i="2"/>
  <c r="AE2848" i="2"/>
  <c r="AD2848" i="2"/>
  <c r="AF2848" i="2" s="1"/>
  <c r="X2848" i="2"/>
  <c r="W2848" i="2"/>
  <c r="AH2847" i="2"/>
  <c r="AE2847" i="2"/>
  <c r="AD2847" i="2"/>
  <c r="X2847" i="2"/>
  <c r="W2847" i="2"/>
  <c r="AH2846" i="2"/>
  <c r="AE2846" i="2"/>
  <c r="AD2846" i="2"/>
  <c r="X2846" i="2"/>
  <c r="AB2846" i="2" s="1"/>
  <c r="AK2846" i="2" s="1"/>
  <c r="W2846" i="2"/>
  <c r="AH2845" i="2"/>
  <c r="AE2845" i="2"/>
  <c r="AD2845" i="2"/>
  <c r="X2845" i="2"/>
  <c r="AC2845" i="2" s="1"/>
  <c r="W2845" i="2"/>
  <c r="AH2844" i="2"/>
  <c r="AE2844" i="2"/>
  <c r="AD2844" i="2"/>
  <c r="X2844" i="2"/>
  <c r="W2844" i="2"/>
  <c r="AH2843" i="2"/>
  <c r="AE2843" i="2"/>
  <c r="AD2843" i="2"/>
  <c r="X2843" i="2"/>
  <c r="AC2843" i="2" s="1"/>
  <c r="W2843" i="2"/>
  <c r="AH2842" i="2"/>
  <c r="AE2842" i="2"/>
  <c r="AD2842" i="2"/>
  <c r="X2842" i="2"/>
  <c r="AC2842" i="2" s="1"/>
  <c r="W2842" i="2"/>
  <c r="AH2841" i="2"/>
  <c r="AE2841" i="2"/>
  <c r="AD2841" i="2"/>
  <c r="X2841" i="2"/>
  <c r="AB2841" i="2" s="1"/>
  <c r="AK2841" i="2" s="1"/>
  <c r="W2841" i="2"/>
  <c r="AH2840" i="2"/>
  <c r="AE2840" i="2"/>
  <c r="AD2840" i="2"/>
  <c r="AF2840" i="2" s="1"/>
  <c r="X2840" i="2"/>
  <c r="W2840" i="2"/>
  <c r="AH2839" i="2"/>
  <c r="AE2839" i="2"/>
  <c r="AD2839" i="2"/>
  <c r="Y2839" i="2" s="1"/>
  <c r="AC2839" i="2"/>
  <c r="W2839" i="2"/>
  <c r="AH2838" i="2"/>
  <c r="AE2838" i="2"/>
  <c r="AD2838" i="2"/>
  <c r="X2838" i="2"/>
  <c r="AB2838" i="2" s="1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AB2835" i="2" s="1"/>
  <c r="AK2835" i="2" s="1"/>
  <c r="W2835" i="2"/>
  <c r="AH2834" i="2"/>
  <c r="AE2834" i="2"/>
  <c r="AD2834" i="2"/>
  <c r="X2834" i="2"/>
  <c r="AB2834" i="2" s="1"/>
  <c r="AK2834" i="2" s="1"/>
  <c r="W2834" i="2"/>
  <c r="AH2833" i="2"/>
  <c r="AE2833" i="2"/>
  <c r="AD2833" i="2"/>
  <c r="X2833" i="2"/>
  <c r="W2833" i="2"/>
  <c r="AH2832" i="2"/>
  <c r="AE2832" i="2"/>
  <c r="AD2832" i="2"/>
  <c r="AF2832" i="2" s="1"/>
  <c r="X2832" i="2"/>
  <c r="AC2832" i="2" s="1"/>
  <c r="W2832" i="2"/>
  <c r="AH2831" i="2"/>
  <c r="AE2831" i="2"/>
  <c r="AD2831" i="2"/>
  <c r="X2831" i="2"/>
  <c r="AB2831" i="2" s="1"/>
  <c r="W2831" i="2"/>
  <c r="AH2830" i="2"/>
  <c r="AE2830" i="2"/>
  <c r="AD2830" i="2"/>
  <c r="X2830" i="2"/>
  <c r="AB2830" i="2" s="1"/>
  <c r="W2830" i="2"/>
  <c r="AH2829" i="2"/>
  <c r="AE2829" i="2"/>
  <c r="AD2829" i="2"/>
  <c r="X2829" i="2"/>
  <c r="W2829" i="2"/>
  <c r="AH2828" i="2"/>
  <c r="AE2828" i="2"/>
  <c r="AD2828" i="2"/>
  <c r="X2828" i="2"/>
  <c r="AC2828" i="2" s="1"/>
  <c r="W2828" i="2"/>
  <c r="AH2827" i="2"/>
  <c r="AE2827" i="2"/>
  <c r="AD2827" i="2"/>
  <c r="X2827" i="2"/>
  <c r="AC2827" i="2" s="1"/>
  <c r="W2827" i="2"/>
  <c r="AH2826" i="2"/>
  <c r="AE2826" i="2"/>
  <c r="AD2826" i="2"/>
  <c r="X2826" i="2"/>
  <c r="AC2826" i="2" s="1"/>
  <c r="W2826" i="2"/>
  <c r="AH2825" i="2"/>
  <c r="AE2825" i="2"/>
  <c r="AD2825" i="2"/>
  <c r="X2825" i="2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AB2822" i="2" s="1"/>
  <c r="W2822" i="2"/>
  <c r="AH2821" i="2"/>
  <c r="AE2821" i="2"/>
  <c r="AD2821" i="2"/>
  <c r="X2821" i="2"/>
  <c r="AC2821" i="2" s="1"/>
  <c r="W2821" i="2"/>
  <c r="AH2820" i="2"/>
  <c r="AE2820" i="2"/>
  <c r="AD2820" i="2"/>
  <c r="X2820" i="2"/>
  <c r="AC2820" i="2" s="1"/>
  <c r="W2820" i="2"/>
  <c r="AH2819" i="2"/>
  <c r="AE2819" i="2"/>
  <c r="AD2819" i="2"/>
  <c r="X2819" i="2"/>
  <c r="AB2819" i="2" s="1"/>
  <c r="W2819" i="2"/>
  <c r="AH2818" i="2"/>
  <c r="AE2818" i="2"/>
  <c r="AD2818" i="2"/>
  <c r="X2818" i="2"/>
  <c r="AC2818" i="2" s="1"/>
  <c r="W2818" i="2"/>
  <c r="AH2817" i="2"/>
  <c r="AE2817" i="2"/>
  <c r="AD2817" i="2"/>
  <c r="X2817" i="2"/>
  <c r="AB2817" i="2" s="1"/>
  <c r="AK2817" i="2" s="1"/>
  <c r="W2817" i="2"/>
  <c r="AH2816" i="2"/>
  <c r="AE2816" i="2"/>
  <c r="AD2816" i="2"/>
  <c r="AF2816" i="2" s="1"/>
  <c r="X2816" i="2"/>
  <c r="AC2816" i="2" s="1"/>
  <c r="W2816" i="2"/>
  <c r="AH2815" i="2"/>
  <c r="AE2815" i="2"/>
  <c r="AD2815" i="2"/>
  <c r="X2815" i="2"/>
  <c r="AB2815" i="2" s="1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AC2812" i="2" s="1"/>
  <c r="W2812" i="2"/>
  <c r="AH2811" i="2"/>
  <c r="AE2811" i="2"/>
  <c r="AD2811" i="2"/>
  <c r="X2811" i="2"/>
  <c r="AB2811" i="2" s="1"/>
  <c r="AK2811" i="2" s="1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AF2808" i="2" s="1"/>
  <c r="X2808" i="2"/>
  <c r="W2808" i="2"/>
  <c r="AH2807" i="2"/>
  <c r="AE2807" i="2"/>
  <c r="AD2807" i="2"/>
  <c r="X2807" i="2"/>
  <c r="AC2807" i="2" s="1"/>
  <c r="W2807" i="2"/>
  <c r="AH2806" i="2"/>
  <c r="AE2806" i="2"/>
  <c r="AD2806" i="2"/>
  <c r="X2806" i="2"/>
  <c r="AC2806" i="2" s="1"/>
  <c r="W2806" i="2"/>
  <c r="AH2805" i="2"/>
  <c r="AE2805" i="2"/>
  <c r="AD2805" i="2"/>
  <c r="X2805" i="2"/>
  <c r="AC2805" i="2" s="1"/>
  <c r="W2805" i="2"/>
  <c r="AH2804" i="2"/>
  <c r="AE2804" i="2"/>
  <c r="AD2804" i="2"/>
  <c r="X2804" i="2"/>
  <c r="AB2804" i="2" s="1"/>
  <c r="W2804" i="2"/>
  <c r="AH2803" i="2"/>
  <c r="AE2803" i="2"/>
  <c r="AD2803" i="2"/>
  <c r="X2803" i="2"/>
  <c r="AB2803" i="2" s="1"/>
  <c r="W2803" i="2"/>
  <c r="AH2802" i="2"/>
  <c r="AE2802" i="2"/>
  <c r="AD2802" i="2"/>
  <c r="AF2802" i="2" s="1"/>
  <c r="X2802" i="2"/>
  <c r="W2802" i="2"/>
  <c r="AH2801" i="2"/>
  <c r="AE2801" i="2"/>
  <c r="AD2801" i="2"/>
  <c r="X2801" i="2"/>
  <c r="AB2801" i="2" s="1"/>
  <c r="AK2801" i="2" s="1"/>
  <c r="W2801" i="2"/>
  <c r="AH2800" i="2"/>
  <c r="AE2800" i="2"/>
  <c r="AD2800" i="2"/>
  <c r="AF2800" i="2" s="1"/>
  <c r="X2800" i="2"/>
  <c r="W2800" i="2"/>
  <c r="AH2799" i="2"/>
  <c r="AE2799" i="2"/>
  <c r="AD2799" i="2"/>
  <c r="X2799" i="2"/>
  <c r="AC2799" i="2" s="1"/>
  <c r="W2799" i="2"/>
  <c r="AH2798" i="2"/>
  <c r="AE2798" i="2"/>
  <c r="AD2798" i="2"/>
  <c r="X2798" i="2"/>
  <c r="AB2798" i="2" s="1"/>
  <c r="W2798" i="2"/>
  <c r="AH2797" i="2"/>
  <c r="AE2797" i="2"/>
  <c r="AD2797" i="2"/>
  <c r="X2797" i="2"/>
  <c r="AC2797" i="2" s="1"/>
  <c r="W2797" i="2"/>
  <c r="AH2796" i="2"/>
  <c r="AE2796" i="2"/>
  <c r="AD2796" i="2"/>
  <c r="X2796" i="2"/>
  <c r="AC2796" i="2" s="1"/>
  <c r="W2796" i="2"/>
  <c r="AH2795" i="2"/>
  <c r="AE2795" i="2"/>
  <c r="AD2795" i="2"/>
  <c r="X2795" i="2"/>
  <c r="AB2795" i="2" s="1"/>
  <c r="W2795" i="2"/>
  <c r="AH2794" i="2"/>
  <c r="AE2794" i="2"/>
  <c r="AD2794" i="2"/>
  <c r="X2794" i="2"/>
  <c r="AB2794" i="2" s="1"/>
  <c r="W2794" i="2"/>
  <c r="AH2793" i="2"/>
  <c r="AE2793" i="2"/>
  <c r="AD2793" i="2"/>
  <c r="X2793" i="2"/>
  <c r="AB2793" i="2" s="1"/>
  <c r="AK2793" i="2" s="1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AC2790" i="2" s="1"/>
  <c r="W2790" i="2"/>
  <c r="AH2789" i="2"/>
  <c r="AE2789" i="2"/>
  <c r="AD2789" i="2"/>
  <c r="X2789" i="2"/>
  <c r="W2789" i="2"/>
  <c r="AD2788" i="2"/>
  <c r="AF2788" i="2" s="1"/>
  <c r="X2788" i="2"/>
  <c r="AC2788" i="2" s="1"/>
  <c r="W2788" i="2"/>
  <c r="AD2787" i="2"/>
  <c r="AH2787" i="2" s="1"/>
  <c r="X2787" i="2"/>
  <c r="AB2787" i="2" s="1"/>
  <c r="AK2787" i="2" s="1"/>
  <c r="W2787" i="2"/>
  <c r="AD2786" i="2"/>
  <c r="X2786" i="2"/>
  <c r="W2786" i="2"/>
  <c r="AD2785" i="2"/>
  <c r="AH2785" i="2" s="1"/>
  <c r="X2785" i="2"/>
  <c r="AB2785" i="2" s="1"/>
  <c r="AK2785" i="2" s="1"/>
  <c r="W2785" i="2"/>
  <c r="AD2784" i="2"/>
  <c r="X2784" i="2"/>
  <c r="AB2784" i="2" s="1"/>
  <c r="AK2784" i="2" s="1"/>
  <c r="W2784" i="2"/>
  <c r="AD2783" i="2"/>
  <c r="AF2783" i="2" s="1"/>
  <c r="X2783" i="2"/>
  <c r="AC2783" i="2" s="1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Y2780" i="2" s="1"/>
  <c r="W2780" i="2"/>
  <c r="AF2779" i="2"/>
  <c r="X2779" i="2"/>
  <c r="Y2779" i="2" s="1"/>
  <c r="W2779" i="2"/>
  <c r="AF2778" i="2"/>
  <c r="X2778" i="2"/>
  <c r="AC2778" i="2" s="1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AC2774" i="2" s="1"/>
  <c r="W2774" i="2"/>
  <c r="AF2773" i="2"/>
  <c r="X2773" i="2"/>
  <c r="AB2773" i="2" s="1"/>
  <c r="W2773" i="2"/>
  <c r="AF2772" i="2"/>
  <c r="X2772" i="2"/>
  <c r="Y2772" i="2" s="1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Y2767" i="2" s="1"/>
  <c r="W2767" i="2"/>
  <c r="AF2766" i="2"/>
  <c r="X2766" i="2"/>
  <c r="AC2766" i="2" s="1"/>
  <c r="W2766" i="2"/>
  <c r="AF2765" i="2"/>
  <c r="X2765" i="2"/>
  <c r="W2765" i="2"/>
  <c r="AD2764" i="2"/>
  <c r="AF2764" i="2" s="1"/>
  <c r="X2764" i="2"/>
  <c r="AB2764" i="2" s="1"/>
  <c r="AK2764" i="2" s="1"/>
  <c r="W2764" i="2"/>
  <c r="AD2763" i="2"/>
  <c r="X2763" i="2"/>
  <c r="W2763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5" i="3"/>
  <c r="O105" i="3" s="1"/>
  <c r="L104" i="3"/>
  <c r="O104" i="3"/>
  <c r="L103" i="3"/>
  <c r="O103" i="3"/>
  <c r="L102" i="3"/>
  <c r="L101" i="3"/>
  <c r="L100" i="3"/>
  <c r="T99" i="3"/>
  <c r="U99" i="3"/>
  <c r="V99" i="3" s="1"/>
  <c r="L98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AB4913" i="2"/>
  <c r="AK4913" i="2" s="1"/>
  <c r="Y4611" i="2"/>
  <c r="AB4627" i="2"/>
  <c r="AK4627" i="2" s="1"/>
  <c r="AB4781" i="2"/>
  <c r="AK4781" i="2" s="1"/>
  <c r="AB4785" i="2"/>
  <c r="AK4785" i="2" s="1"/>
  <c r="AB4787" i="2"/>
  <c r="AK4787" i="2" s="1"/>
  <c r="AB4789" i="2"/>
  <c r="AK4789" i="2" s="1"/>
  <c r="AB4791" i="2"/>
  <c r="AK4791" i="2" s="1"/>
  <c r="AB4793" i="2"/>
  <c r="AK4793" i="2" s="1"/>
  <c r="AB4795" i="2"/>
  <c r="AK4795" i="2" s="1"/>
  <c r="AB4797" i="2"/>
  <c r="AK4797" i="2" s="1"/>
  <c r="AB4799" i="2"/>
  <c r="AK4799" i="2" s="1"/>
  <c r="AB4801" i="2"/>
  <c r="AK4801" i="2" s="1"/>
  <c r="AB4803" i="2"/>
  <c r="AK4803" i="2" s="1"/>
  <c r="AB4807" i="2"/>
  <c r="AK4807" i="2" s="1"/>
  <c r="AB4809" i="2"/>
  <c r="AK4809" i="2" s="1"/>
  <c r="AB4811" i="2"/>
  <c r="AK4811" i="2" s="1"/>
  <c r="AB5017" i="2"/>
  <c r="AK5017" i="2" s="1"/>
  <c r="AB5019" i="2"/>
  <c r="AK5019" i="2" s="1"/>
  <c r="AB5021" i="2"/>
  <c r="AK5021" i="2" s="1"/>
  <c r="AB5023" i="2"/>
  <c r="AK5023" i="2" s="1"/>
  <c r="AB5027" i="2"/>
  <c r="AK5027" i="2" s="1"/>
  <c r="AB5029" i="2"/>
  <c r="AK5029" i="2" s="1"/>
  <c r="AB5031" i="2"/>
  <c r="AK5031" i="2" s="1"/>
  <c r="AF5060" i="2"/>
  <c r="Y5060" i="2"/>
  <c r="AB5189" i="2"/>
  <c r="AK5189" i="2" s="1"/>
  <c r="AB5191" i="2"/>
  <c r="AK5191" i="2" s="1"/>
  <c r="AB5193" i="2"/>
  <c r="AK5193" i="2" s="1"/>
  <c r="Y5244" i="2"/>
  <c r="AB5247" i="2"/>
  <c r="AK5247" i="2" s="1"/>
  <c r="Y5247" i="2"/>
  <c r="AB5255" i="2"/>
  <c r="AK5255" i="2" s="1"/>
  <c r="Y5255" i="2"/>
  <c r="AB5263" i="2"/>
  <c r="AK5263" i="2" s="1"/>
  <c r="Y5263" i="2"/>
  <c r="Y5266" i="2"/>
  <c r="AB5274" i="2"/>
  <c r="AK5274" i="2" s="1"/>
  <c r="Y5274" i="2"/>
  <c r="AB4040" i="2"/>
  <c r="AK4040" i="2" s="1"/>
  <c r="AB4080" i="2"/>
  <c r="AK4080" i="2" s="1"/>
  <c r="AB4284" i="2"/>
  <c r="AK4284" i="2" s="1"/>
  <c r="AB4397" i="2"/>
  <c r="AK4397" i="2" s="1"/>
  <c r="AB4405" i="2"/>
  <c r="AK4405" i="2" s="1"/>
  <c r="AB4413" i="2"/>
  <c r="AK4413" i="2" s="1"/>
  <c r="AB4421" i="2"/>
  <c r="AK4421" i="2" s="1"/>
  <c r="AB4429" i="2"/>
  <c r="AK4429" i="2" s="1"/>
  <c r="AB4445" i="2"/>
  <c r="AK4445" i="2" s="1"/>
  <c r="AB4453" i="2"/>
  <c r="AK4453" i="2" s="1"/>
  <c r="AB4461" i="2"/>
  <c r="AK4461" i="2" s="1"/>
  <c r="AB4469" i="2"/>
  <c r="AK4469" i="2" s="1"/>
  <c r="AB4477" i="2"/>
  <c r="AK4477" i="2" s="1"/>
  <c r="AB4485" i="2"/>
  <c r="AK4485" i="2" s="1"/>
  <c r="AB4493" i="2"/>
  <c r="AK4493" i="2" s="1"/>
  <c r="AB4501" i="2"/>
  <c r="AK4501" i="2" s="1"/>
  <c r="AB4516" i="2"/>
  <c r="AK4516" i="2" s="1"/>
  <c r="AB4524" i="2"/>
  <c r="AK4524" i="2" s="1"/>
  <c r="AB4532" i="2"/>
  <c r="AK4532" i="2" s="1"/>
  <c r="AB4540" i="2"/>
  <c r="AK4540" i="2" s="1"/>
  <c r="AB4545" i="2"/>
  <c r="AK4545" i="2" s="1"/>
  <c r="AB4550" i="2"/>
  <c r="AK4550" i="2" s="1"/>
  <c r="AB4558" i="2"/>
  <c r="AK4558" i="2" s="1"/>
  <c r="AB4563" i="2"/>
  <c r="AK4563" i="2" s="1"/>
  <c r="AB4571" i="2"/>
  <c r="AK4571" i="2" s="1"/>
  <c r="AB4579" i="2"/>
  <c r="AK4579" i="2" s="1"/>
  <c r="AB4587" i="2"/>
  <c r="AK4587" i="2" s="1"/>
  <c r="AB4592" i="2"/>
  <c r="AK4592" i="2" s="1"/>
  <c r="AB4600" i="2"/>
  <c r="AK4600" i="2" s="1"/>
  <c r="AB4608" i="2"/>
  <c r="AK4608" i="2" s="1"/>
  <c r="AB4616" i="2"/>
  <c r="AK4616" i="2" s="1"/>
  <c r="AB4624" i="2"/>
  <c r="AK4624" i="2" s="1"/>
  <c r="AB4632" i="2"/>
  <c r="AK4632" i="2" s="1"/>
  <c r="AB4640" i="2"/>
  <c r="AK4640" i="2" s="1"/>
  <c r="AB4645" i="2"/>
  <c r="AK4645" i="2" s="1"/>
  <c r="AB4653" i="2"/>
  <c r="AK4653" i="2" s="1"/>
  <c r="AB4667" i="2"/>
  <c r="AK4667" i="2" s="1"/>
  <c r="AB4669" i="2"/>
  <c r="AK4669" i="2" s="1"/>
  <c r="AB4671" i="2"/>
  <c r="AK4671" i="2" s="1"/>
  <c r="AB4673" i="2"/>
  <c r="AK4673" i="2" s="1"/>
  <c r="AB4675" i="2"/>
  <c r="AK4675" i="2" s="1"/>
  <c r="AB4677" i="2"/>
  <c r="AK4677" i="2" s="1"/>
  <c r="AB4679" i="2"/>
  <c r="AK4679" i="2" s="1"/>
  <c r="AB4681" i="2"/>
  <c r="AK4681" i="2" s="1"/>
  <c r="AB4683" i="2"/>
  <c r="AK4683" i="2" s="1"/>
  <c r="AB4737" i="2"/>
  <c r="AK4737" i="2" s="1"/>
  <c r="Y4005" i="2"/>
  <c r="AB4689" i="2"/>
  <c r="AK4689" i="2" s="1"/>
  <c r="AB4693" i="2"/>
  <c r="AK4693" i="2" s="1"/>
  <c r="Y4693" i="2"/>
  <c r="AB4985" i="2"/>
  <c r="AK4985" i="2" s="1"/>
  <c r="AB4987" i="2"/>
  <c r="AK4987" i="2" s="1"/>
  <c r="Y4987" i="2"/>
  <c r="AB4991" i="2"/>
  <c r="AK4991" i="2" s="1"/>
  <c r="AB4993" i="2"/>
  <c r="AK4993" i="2" s="1"/>
  <c r="AB4995" i="2"/>
  <c r="AK4995" i="2" s="1"/>
  <c r="Y4995" i="2"/>
  <c r="AB4997" i="2"/>
  <c r="AK4997" i="2" s="1"/>
  <c r="AB4999" i="2"/>
  <c r="AK4999" i="2" s="1"/>
  <c r="Y5242" i="2"/>
  <c r="Y5245" i="2"/>
  <c r="AB5253" i="2"/>
  <c r="AK5253" i="2" s="1"/>
  <c r="Y5253" i="2"/>
  <c r="AB5261" i="2"/>
  <c r="AK5261" i="2" s="1"/>
  <c r="Y5261" i="2"/>
  <c r="Y5272" i="2"/>
  <c r="Y5298" i="2"/>
  <c r="AB3661" i="2"/>
  <c r="AK3661" i="2" s="1"/>
  <c r="AB3829" i="2"/>
  <c r="AK3829" i="2" s="1"/>
  <c r="Y3850" i="2"/>
  <c r="AB3890" i="2"/>
  <c r="AK3890" i="2" s="1"/>
  <c r="Y3930" i="2"/>
  <c r="AB3938" i="2"/>
  <c r="AK3938" i="2" s="1"/>
  <c r="AB3954" i="2"/>
  <c r="AK3954" i="2" s="1"/>
  <c r="AB3962" i="2"/>
  <c r="AK3962" i="2" s="1"/>
  <c r="Y3962" i="2"/>
  <c r="AB3970" i="2"/>
  <c r="AK3970" i="2" s="1"/>
  <c r="Y3994" i="2"/>
  <c r="AB4002" i="2"/>
  <c r="AK4002" i="2" s="1"/>
  <c r="Y4002" i="2"/>
  <c r="AB4026" i="2"/>
  <c r="AK4026" i="2" s="1"/>
  <c r="AB4034" i="2"/>
  <c r="AK4034" i="2" s="1"/>
  <c r="Y4034" i="2"/>
  <c r="AB4050" i="2"/>
  <c r="AK4050" i="2" s="1"/>
  <c r="Y4058" i="2"/>
  <c r="Y4066" i="2"/>
  <c r="Y4074" i="2"/>
  <c r="AB4082" i="2"/>
  <c r="AK4082" i="2" s="1"/>
  <c r="Y4082" i="2"/>
  <c r="AB4100" i="2"/>
  <c r="AK4100" i="2" s="1"/>
  <c r="AB4121" i="2"/>
  <c r="AK4121" i="2" s="1"/>
  <c r="AB4129" i="2"/>
  <c r="AK4129" i="2" s="1"/>
  <c r="Y4137" i="2"/>
  <c r="AB4153" i="2"/>
  <c r="AK4153" i="2" s="1"/>
  <c r="AB4161" i="2"/>
  <c r="AK4161" i="2" s="1"/>
  <c r="AB4177" i="2"/>
  <c r="AK4177" i="2" s="1"/>
  <c r="AB4185" i="2"/>
  <c r="AK4185" i="2" s="1"/>
  <c r="Y4185" i="2"/>
  <c r="AB4193" i="2"/>
  <c r="AK4193" i="2" s="1"/>
  <c r="Y4193" i="2"/>
  <c r="AB4209" i="2"/>
  <c r="AK4209" i="2" s="1"/>
  <c r="AB4217" i="2"/>
  <c r="AK4217" i="2" s="1"/>
  <c r="AB4225" i="2"/>
  <c r="AK4225" i="2" s="1"/>
  <c r="Y4225" i="2"/>
  <c r="AB4241" i="2"/>
  <c r="AK4241" i="2" s="1"/>
  <c r="AB4249" i="2"/>
  <c r="AK4249" i="2" s="1"/>
  <c r="Y4249" i="2"/>
  <c r="AB4257" i="2"/>
  <c r="AK4257" i="2" s="1"/>
  <c r="Y4257" i="2"/>
  <c r="Y4278" i="2"/>
  <c r="AB4286" i="2"/>
  <c r="AK4286" i="2" s="1"/>
  <c r="Y4286" i="2"/>
  <c r="AB4294" i="2"/>
  <c r="AK4294" i="2" s="1"/>
  <c r="Y4302" i="2"/>
  <c r="Y4310" i="2"/>
  <c r="AB4318" i="2"/>
  <c r="AK4318" i="2" s="1"/>
  <c r="AB4326" i="2"/>
  <c r="AK4326" i="2" s="1"/>
  <c r="Y4331" i="2"/>
  <c r="Y4339" i="2"/>
  <c r="AB4344" i="2"/>
  <c r="AK4344" i="2" s="1"/>
  <c r="Y4344" i="2"/>
  <c r="Y4352" i="2"/>
  <c r="AB4368" i="2"/>
  <c r="AK4368" i="2" s="1"/>
  <c r="AB4376" i="2"/>
  <c r="AK4376" i="2" s="1"/>
  <c r="Y4376" i="2"/>
  <c r="AB4384" i="2"/>
  <c r="AK4384" i="2" s="1"/>
  <c r="Y4384" i="2"/>
  <c r="AB4415" i="2"/>
  <c r="AK4415" i="2" s="1"/>
  <c r="AB4431" i="2"/>
  <c r="AK4431" i="2" s="1"/>
  <c r="AB4439" i="2"/>
  <c r="AK4439" i="2" s="1"/>
  <c r="AB4447" i="2"/>
  <c r="AK4447" i="2" s="1"/>
  <c r="AB4455" i="2"/>
  <c r="AK4455" i="2" s="1"/>
  <c r="AB4479" i="2"/>
  <c r="AK4479" i="2" s="1"/>
  <c r="AB4495" i="2"/>
  <c r="AK4495" i="2" s="1"/>
  <c r="AB4503" i="2"/>
  <c r="AK4503" i="2" s="1"/>
  <c r="AB4508" i="2"/>
  <c r="AK4508" i="2" s="1"/>
  <c r="AB4510" i="2"/>
  <c r="AK4510" i="2" s="1"/>
  <c r="AB4534" i="2"/>
  <c r="AK4534" i="2" s="1"/>
  <c r="Y4542" i="2"/>
  <c r="AB4547" i="2"/>
  <c r="AK4547" i="2" s="1"/>
  <c r="AB4552" i="2"/>
  <c r="AK4552" i="2" s="1"/>
  <c r="AB4560" i="2"/>
  <c r="AK4560" i="2" s="1"/>
  <c r="Y4573" i="2"/>
  <c r="AB4589" i="2"/>
  <c r="AK4589" i="2" s="1"/>
  <c r="AB4594" i="2"/>
  <c r="AK4594" i="2" s="1"/>
  <c r="AB4602" i="2"/>
  <c r="AK4602" i="2" s="1"/>
  <c r="Y4602" i="2"/>
  <c r="AB4618" i="2"/>
  <c r="AK4618" i="2" s="1"/>
  <c r="AB4634" i="2"/>
  <c r="AK4634" i="2" s="1"/>
  <c r="AB4642" i="2"/>
  <c r="AK4642" i="2" s="1"/>
  <c r="Y4642" i="2"/>
  <c r="AB4647" i="2"/>
  <c r="AK4647" i="2" s="1"/>
  <c r="AB4816" i="2"/>
  <c r="AK4816" i="2" s="1"/>
  <c r="AB4820" i="2"/>
  <c r="AK4820" i="2" s="1"/>
  <c r="Y4820" i="2"/>
  <c r="Y4824" i="2"/>
  <c r="AB4826" i="2"/>
  <c r="AK4826" i="2" s="1"/>
  <c r="Y4832" i="2"/>
  <c r="AB4834" i="2"/>
  <c r="AK4834" i="2" s="1"/>
  <c r="Y4834" i="2"/>
  <c r="Y4836" i="2"/>
  <c r="AB4842" i="2"/>
  <c r="AK4842" i="2" s="1"/>
  <c r="AB4844" i="2"/>
  <c r="AK4844" i="2" s="1"/>
  <c r="Y4844" i="2"/>
  <c r="AB4846" i="2"/>
  <c r="AK4846" i="2" s="1"/>
  <c r="Y4848" i="2"/>
  <c r="AB4854" i="2"/>
  <c r="AK4854" i="2" s="1"/>
  <c r="Y4854" i="2"/>
  <c r="AB4860" i="2"/>
  <c r="AK4860" i="2" s="1"/>
  <c r="Y4862" i="2"/>
  <c r="AB4864" i="2"/>
  <c r="AK4864" i="2" s="1"/>
  <c r="AB4868" i="2"/>
  <c r="AK4868" i="2" s="1"/>
  <c r="Y4868" i="2"/>
  <c r="AB4870" i="2"/>
  <c r="AK4870" i="2" s="1"/>
  <c r="Y4874" i="2"/>
  <c r="Y4878" i="2"/>
  <c r="AB4880" i="2"/>
  <c r="AK4880" i="2" s="1"/>
  <c r="AB4882" i="2"/>
  <c r="AK4882" i="2" s="1"/>
  <c r="AB4886" i="2"/>
  <c r="AK4886" i="2" s="1"/>
  <c r="AB4888" i="2"/>
  <c r="AK4888" i="2" s="1"/>
  <c r="Y4888" i="2"/>
  <c r="AB4890" i="2"/>
  <c r="AK4890" i="2" s="1"/>
  <c r="Y4892" i="2"/>
  <c r="AB4898" i="2"/>
  <c r="AK4898" i="2" s="1"/>
  <c r="AB4900" i="2"/>
  <c r="AK4900" i="2" s="1"/>
  <c r="Y4900" i="2"/>
  <c r="AB4902" i="2"/>
  <c r="AK4902" i="2" s="1"/>
  <c r="Y4902" i="2"/>
  <c r="AB4908" i="2"/>
  <c r="AK4908" i="2" s="1"/>
  <c r="AB4955" i="2"/>
  <c r="AK4955" i="2" s="1"/>
  <c r="Y4955" i="2"/>
  <c r="AB4957" i="2"/>
  <c r="AK4957" i="2" s="1"/>
  <c r="Y4957" i="2"/>
  <c r="AB4963" i="2"/>
  <c r="AK4963" i="2" s="1"/>
  <c r="Y4963" i="2"/>
  <c r="AB4965" i="2"/>
  <c r="AK4965" i="2" s="1"/>
  <c r="AB4967" i="2"/>
  <c r="AK4967" i="2" s="1"/>
  <c r="AB4973" i="2"/>
  <c r="AK4973" i="2" s="1"/>
  <c r="Y4973" i="2"/>
  <c r="AB4975" i="2"/>
  <c r="AK4975" i="2" s="1"/>
  <c r="AB4977" i="2"/>
  <c r="AK4977" i="2" s="1"/>
  <c r="AB4979" i="2"/>
  <c r="AK4979" i="2" s="1"/>
  <c r="AF4983" i="2"/>
  <c r="AB5032" i="2"/>
  <c r="AK5032" i="2" s="1"/>
  <c r="Y5034" i="2"/>
  <c r="AB5036" i="2"/>
  <c r="AK5036" i="2" s="1"/>
  <c r="Y5036" i="2"/>
  <c r="AB5042" i="2"/>
  <c r="AK5042" i="2" s="1"/>
  <c r="Y5045" i="2"/>
  <c r="AB5047" i="2"/>
  <c r="AK5047" i="2" s="1"/>
  <c r="AB5049" i="2"/>
  <c r="AK5049" i="2" s="1"/>
  <c r="AB5051" i="2"/>
  <c r="AK5051" i="2" s="1"/>
  <c r="Y5053" i="2"/>
  <c r="Y5055" i="2"/>
  <c r="AB5057" i="2"/>
  <c r="AK5057" i="2" s="1"/>
  <c r="Y5059" i="2"/>
  <c r="AB5061" i="2"/>
  <c r="AK5061" i="2" s="1"/>
  <c r="AB5065" i="2"/>
  <c r="AK5065" i="2" s="1"/>
  <c r="AB5067" i="2"/>
  <c r="AK5067" i="2" s="1"/>
  <c r="AB5069" i="2"/>
  <c r="AK5069" i="2" s="1"/>
  <c r="Y5069" i="2"/>
  <c r="Y5075" i="2"/>
  <c r="AB5077" i="2"/>
  <c r="AK5077" i="2" s="1"/>
  <c r="Y5077" i="2"/>
  <c r="AB5079" i="2"/>
  <c r="AK5079" i="2" s="1"/>
  <c r="Y5079" i="2"/>
  <c r="AB5081" i="2"/>
  <c r="AK5081" i="2" s="1"/>
  <c r="Y5085" i="2"/>
  <c r="Y5087" i="2"/>
  <c r="AB5089" i="2"/>
  <c r="AK5089" i="2" s="1"/>
  <c r="AB5091" i="2"/>
  <c r="AK5091" i="2" s="1"/>
  <c r="AB5093" i="2"/>
  <c r="AK5093" i="2" s="1"/>
  <c r="Y5095" i="2"/>
  <c r="AB5097" i="2"/>
  <c r="AK5097" i="2" s="1"/>
  <c r="AB5099" i="2"/>
  <c r="AK5099" i="2" s="1"/>
  <c r="AB5103" i="2"/>
  <c r="AK5103" i="2" s="1"/>
  <c r="Y5103" i="2"/>
  <c r="Y5107" i="2"/>
  <c r="AB5109" i="2"/>
  <c r="AK5109" i="2" s="1"/>
  <c r="Y5109" i="2"/>
  <c r="Y5111" i="2"/>
  <c r="AB5113" i="2"/>
  <c r="AK5113" i="2" s="1"/>
  <c r="AB5119" i="2"/>
  <c r="AK5119" i="2" s="1"/>
  <c r="AB5121" i="2"/>
  <c r="AK5121" i="2" s="1"/>
  <c r="Y5121" i="2"/>
  <c r="Y5123" i="2"/>
  <c r="AB5125" i="2"/>
  <c r="AK5125" i="2" s="1"/>
  <c r="Y5127" i="2"/>
  <c r="AB5131" i="2"/>
  <c r="AK5131" i="2" s="1"/>
  <c r="AB5133" i="2"/>
  <c r="AK5133" i="2" s="1"/>
  <c r="Y5133" i="2"/>
  <c r="Y5137" i="2"/>
  <c r="AB5139" i="2"/>
  <c r="AK5139" i="2" s="1"/>
  <c r="Y5139" i="2"/>
  <c r="Y5141" i="2"/>
  <c r="AB5143" i="2"/>
  <c r="AK5143" i="2" s="1"/>
  <c r="AB5147" i="2"/>
  <c r="AK5147" i="2" s="1"/>
  <c r="Y5147" i="2"/>
  <c r="AB5149" i="2"/>
  <c r="AK5149" i="2" s="1"/>
  <c r="Y5149" i="2"/>
  <c r="AB5151" i="2"/>
  <c r="AK5151" i="2" s="1"/>
  <c r="Y5155" i="2"/>
  <c r="AB5157" i="2"/>
  <c r="AK5157" i="2" s="1"/>
  <c r="Y5157" i="2"/>
  <c r="AB5159" i="2"/>
  <c r="AK5159" i="2" s="1"/>
  <c r="Y5159" i="2"/>
  <c r="Y5161" i="2"/>
  <c r="AB5165" i="2"/>
  <c r="AK5165" i="2" s="1"/>
  <c r="AB5167" i="2"/>
  <c r="AK5167" i="2" s="1"/>
  <c r="Y5167" i="2"/>
  <c r="Y5169" i="2"/>
  <c r="AB5194" i="2"/>
  <c r="AK5194" i="2" s="1"/>
  <c r="AB5198" i="2"/>
  <c r="AK5198" i="2" s="1"/>
  <c r="Y5198" i="2"/>
  <c r="Y5200" i="2"/>
  <c r="AB5202" i="2"/>
  <c r="AK5202" i="2" s="1"/>
  <c r="Y5202" i="2"/>
  <c r="AB5206" i="2"/>
  <c r="AK5206" i="2" s="1"/>
  <c r="Y5206" i="2"/>
  <c r="AB5210" i="2"/>
  <c r="AK5210" i="2" s="1"/>
  <c r="Y5210" i="2"/>
  <c r="AB5212" i="2"/>
  <c r="AK5212" i="2" s="1"/>
  <c r="Y5214" i="2"/>
  <c r="Y5216" i="2"/>
  <c r="AB5218" i="2"/>
  <c r="AK5218" i="2" s="1"/>
  <c r="Y5218" i="2"/>
  <c r="AB5220" i="2"/>
  <c r="AK5220" i="2" s="1"/>
  <c r="Y5220" i="2"/>
  <c r="Y5224" i="2"/>
  <c r="AB5226" i="2"/>
  <c r="AK5226" i="2" s="1"/>
  <c r="Y5226" i="2"/>
  <c r="AB5228" i="2"/>
  <c r="AK5228" i="2" s="1"/>
  <c r="Y5228" i="2"/>
  <c r="AB5230" i="2"/>
  <c r="AK5230" i="2" s="1"/>
  <c r="AB5234" i="2"/>
  <c r="AK5234" i="2" s="1"/>
  <c r="Y5234" i="2"/>
  <c r="AB5236" i="2"/>
  <c r="AK5236" i="2" s="1"/>
  <c r="Y5236" i="2"/>
  <c r="AB5238" i="2"/>
  <c r="AK5238" i="2" s="1"/>
  <c r="Y5238" i="2"/>
  <c r="Y5248" i="2"/>
  <c r="AB5256" i="2"/>
  <c r="AK5256" i="2" s="1"/>
  <c r="Y5256" i="2"/>
  <c r="AB5264" i="2"/>
  <c r="AK5264" i="2" s="1"/>
  <c r="Y5264" i="2"/>
  <c r="Y5267" i="2"/>
  <c r="AB5279" i="2"/>
  <c r="AK5279" i="2" s="1"/>
  <c r="Y5279" i="2"/>
  <c r="AB5283" i="2"/>
  <c r="AK5283" i="2" s="1"/>
  <c r="Y5283" i="2"/>
  <c r="Y5287" i="2"/>
  <c r="AB5291" i="2"/>
  <c r="AK5291" i="2" s="1"/>
  <c r="Y5295" i="2"/>
  <c r="AB5303" i="2"/>
  <c r="AK5303" i="2" s="1"/>
  <c r="Y5303" i="2"/>
  <c r="AB3448" i="2"/>
  <c r="AK3448" i="2" s="1"/>
  <c r="AB3528" i="2"/>
  <c r="AK3528" i="2" s="1"/>
  <c r="AB3602" i="2"/>
  <c r="AK3602" i="2" s="1"/>
  <c r="AB3658" i="2"/>
  <c r="AK3658" i="2" s="1"/>
  <c r="Y3770" i="2"/>
  <c r="AB3794" i="2"/>
  <c r="AK3794" i="2" s="1"/>
  <c r="AB3818" i="2"/>
  <c r="AK3818" i="2" s="1"/>
  <c r="AB3839" i="2"/>
  <c r="AK3839" i="2" s="1"/>
  <c r="AB3887" i="2"/>
  <c r="AK3887" i="2" s="1"/>
  <c r="AB3919" i="2"/>
  <c r="AK3919" i="2" s="1"/>
  <c r="AB3935" i="2"/>
  <c r="AK3935" i="2" s="1"/>
  <c r="AB3943" i="2"/>
  <c r="AK3943" i="2" s="1"/>
  <c r="AB3959" i="2"/>
  <c r="AK3959" i="2" s="1"/>
  <c r="AB3983" i="2"/>
  <c r="AK3983" i="2" s="1"/>
  <c r="AB3999" i="2"/>
  <c r="AK3999" i="2" s="1"/>
  <c r="Y4007" i="2"/>
  <c r="AB4015" i="2"/>
  <c r="AK4015" i="2" s="1"/>
  <c r="AB4039" i="2"/>
  <c r="AK4039" i="2" s="1"/>
  <c r="AB4063" i="2"/>
  <c r="AK4063" i="2" s="1"/>
  <c r="AB4071" i="2"/>
  <c r="AK4071" i="2" s="1"/>
  <c r="AB4079" i="2"/>
  <c r="AK4079" i="2" s="1"/>
  <c r="AB4110" i="2"/>
  <c r="AK4110" i="2" s="1"/>
  <c r="AB4118" i="2"/>
  <c r="AK4118" i="2" s="1"/>
  <c r="AB4126" i="2"/>
  <c r="AK4126" i="2" s="1"/>
  <c r="AB4158" i="2"/>
  <c r="AK4158" i="2" s="1"/>
  <c r="AB4174" i="2"/>
  <c r="AK4174" i="2" s="1"/>
  <c r="AB4182" i="2"/>
  <c r="AK4182" i="2" s="1"/>
  <c r="AB4190" i="2"/>
  <c r="AK4190" i="2" s="1"/>
  <c r="AB4198" i="2"/>
  <c r="AK4198" i="2" s="1"/>
  <c r="AB4214" i="2"/>
  <c r="AK4214" i="2" s="1"/>
  <c r="AB4230" i="2"/>
  <c r="AK4230" i="2" s="1"/>
  <c r="AB4238" i="2"/>
  <c r="AK4238" i="2" s="1"/>
  <c r="Y4238" i="2"/>
  <c r="AB4246" i="2"/>
  <c r="AK4246" i="2" s="1"/>
  <c r="AB4254" i="2"/>
  <c r="AK4254" i="2" s="1"/>
  <c r="AB4275" i="2"/>
  <c r="AK4275" i="2" s="1"/>
  <c r="AB4283" i="2"/>
  <c r="AK4283" i="2" s="1"/>
  <c r="AB4291" i="2"/>
  <c r="AK4291" i="2" s="1"/>
  <c r="Y4291" i="2"/>
  <c r="AB4299" i="2"/>
  <c r="AK4299" i="2" s="1"/>
  <c r="AB4307" i="2"/>
  <c r="AK4307" i="2" s="1"/>
  <c r="Y4307" i="2"/>
  <c r="AB4315" i="2"/>
  <c r="AK4315" i="2" s="1"/>
  <c r="AB4323" i="2"/>
  <c r="AK4323" i="2" s="1"/>
  <c r="AB4336" i="2"/>
  <c r="AK4336" i="2" s="1"/>
  <c r="AB4349" i="2"/>
  <c r="AK4349" i="2" s="1"/>
  <c r="AB4357" i="2"/>
  <c r="AK4357" i="2" s="1"/>
  <c r="AB4365" i="2"/>
  <c r="AK4365" i="2" s="1"/>
  <c r="Y4365" i="2"/>
  <c r="AB4373" i="2"/>
  <c r="AK4373" i="2" s="1"/>
  <c r="AB4381" i="2"/>
  <c r="AK4381" i="2" s="1"/>
  <c r="AB4389" i="2"/>
  <c r="AK4389" i="2" s="1"/>
  <c r="AB4394" i="2"/>
  <c r="AK4394" i="2" s="1"/>
  <c r="Y4394" i="2"/>
  <c r="AB4404" i="2"/>
  <c r="AK4404" i="2" s="1"/>
  <c r="Y4404" i="2"/>
  <c r="Y4444" i="2"/>
  <c r="AB4452" i="2"/>
  <c r="AK4452" i="2" s="1"/>
  <c r="Y4476" i="2"/>
  <c r="AB4523" i="2"/>
  <c r="AK4523" i="2" s="1"/>
  <c r="AB4531" i="2"/>
  <c r="AK4531" i="2" s="1"/>
  <c r="Y4544" i="2"/>
  <c r="Y4562" i="2"/>
  <c r="Y4591" i="2"/>
  <c r="AB4599" i="2"/>
  <c r="AK4599" i="2" s="1"/>
  <c r="AB4631" i="2"/>
  <c r="AK4631" i="2" s="1"/>
  <c r="Y4631" i="2"/>
  <c r="AB4639" i="2"/>
  <c r="AK4639" i="2" s="1"/>
  <c r="AB4782" i="2"/>
  <c r="AK4782" i="2" s="1"/>
  <c r="AB4786" i="2"/>
  <c r="AK4786" i="2" s="1"/>
  <c r="AB4788" i="2"/>
  <c r="AK4788" i="2" s="1"/>
  <c r="AB4790" i="2"/>
  <c r="AK4790" i="2" s="1"/>
  <c r="AB4794" i="2"/>
  <c r="AK4794" i="2" s="1"/>
  <c r="AB4798" i="2"/>
  <c r="AK4798" i="2" s="1"/>
  <c r="AB4800" i="2"/>
  <c r="AK4800" i="2" s="1"/>
  <c r="AB4802" i="2"/>
  <c r="AK4802" i="2" s="1"/>
  <c r="AB4804" i="2"/>
  <c r="AK4804" i="2" s="1"/>
  <c r="AB4806" i="2"/>
  <c r="AK4806" i="2" s="1"/>
  <c r="AB4808" i="2"/>
  <c r="AK4808" i="2" s="1"/>
  <c r="AB4810" i="2"/>
  <c r="AK4810" i="2" s="1"/>
  <c r="AB4953" i="2"/>
  <c r="AK4953" i="2" s="1"/>
  <c r="Y4953" i="2"/>
  <c r="AB5016" i="2"/>
  <c r="AK5016" i="2" s="1"/>
  <c r="AB5018" i="2"/>
  <c r="AK5018" i="2" s="1"/>
  <c r="Y5018" i="2"/>
  <c r="AB5020" i="2"/>
  <c r="AK5020" i="2" s="1"/>
  <c r="AB5022" i="2"/>
  <c r="AK5022" i="2" s="1"/>
  <c r="AB5026" i="2"/>
  <c r="AK5026" i="2" s="1"/>
  <c r="Y5026" i="2"/>
  <c r="AB5028" i="2"/>
  <c r="AK5028" i="2" s="1"/>
  <c r="AB5030" i="2"/>
  <c r="AK5030" i="2" s="1"/>
  <c r="Y5030" i="2"/>
  <c r="AB5188" i="2"/>
  <c r="AK5188" i="2" s="1"/>
  <c r="Y5188" i="2"/>
  <c r="AB5192" i="2"/>
  <c r="AK5192" i="2" s="1"/>
  <c r="AB5251" i="2"/>
  <c r="AK5251" i="2" s="1"/>
  <c r="Y5251" i="2"/>
  <c r="AB5259" i="2"/>
  <c r="AK5259" i="2" s="1"/>
  <c r="Y5259" i="2"/>
  <c r="AB5270" i="2"/>
  <c r="AK5270" i="2" s="1"/>
  <c r="Y5270" i="2"/>
  <c r="AB4086" i="2"/>
  <c r="AK4086" i="2" s="1"/>
  <c r="AB4179" i="2"/>
  <c r="AK4179" i="2" s="1"/>
  <c r="Y4187" i="2"/>
  <c r="AB4235" i="2"/>
  <c r="AK4235" i="2" s="1"/>
  <c r="Y4235" i="2"/>
  <c r="AB4280" i="2"/>
  <c r="AK4280" i="2" s="1"/>
  <c r="AB4320" i="2"/>
  <c r="AK4320" i="2" s="1"/>
  <c r="Y4328" i="2"/>
  <c r="AB4333" i="2"/>
  <c r="AK4333" i="2" s="1"/>
  <c r="Y4370" i="2"/>
  <c r="AB4378" i="2"/>
  <c r="AK4378" i="2" s="1"/>
  <c r="Y4386" i="2"/>
  <c r="AB4401" i="2"/>
  <c r="AK4401" i="2" s="1"/>
  <c r="AB4409" i="2"/>
  <c r="AK4409" i="2" s="1"/>
  <c r="AB4433" i="2"/>
  <c r="AK4433" i="2" s="1"/>
  <c r="AB4449" i="2"/>
  <c r="AK4449" i="2" s="1"/>
  <c r="AB4457" i="2"/>
  <c r="AK4457" i="2" s="1"/>
  <c r="AB4465" i="2"/>
  <c r="AK4465" i="2" s="1"/>
  <c r="AB4473" i="2"/>
  <c r="AK4473" i="2" s="1"/>
  <c r="AB4481" i="2"/>
  <c r="AK4481" i="2" s="1"/>
  <c r="AB4489" i="2"/>
  <c r="AK4489" i="2" s="1"/>
  <c r="AB4505" i="2"/>
  <c r="AK4505" i="2" s="1"/>
  <c r="AB4512" i="2"/>
  <c r="AK4512" i="2" s="1"/>
  <c r="AB4520" i="2"/>
  <c r="AK4520" i="2" s="1"/>
  <c r="AB4536" i="2"/>
  <c r="AK4536" i="2" s="1"/>
  <c r="AB4549" i="2"/>
  <c r="AK4549" i="2" s="1"/>
  <c r="AB4554" i="2"/>
  <c r="AK4554" i="2" s="1"/>
  <c r="AB4575" i="2"/>
  <c r="AK4575" i="2" s="1"/>
  <c r="AB4596" i="2"/>
  <c r="AK4596" i="2" s="1"/>
  <c r="AB4604" i="2"/>
  <c r="AK4604" i="2" s="1"/>
  <c r="AB4612" i="2"/>
  <c r="AK4612" i="2" s="1"/>
  <c r="AB4620" i="2"/>
  <c r="AK4620" i="2" s="1"/>
  <c r="AB4628" i="2"/>
  <c r="AK4628" i="2" s="1"/>
  <c r="AB4636" i="2"/>
  <c r="AK4636" i="2" s="1"/>
  <c r="AB4644" i="2"/>
  <c r="AK4644" i="2" s="1"/>
  <c r="AB4666" i="2"/>
  <c r="AK4666" i="2" s="1"/>
  <c r="AB4668" i="2"/>
  <c r="AK4668" i="2" s="1"/>
  <c r="AB4670" i="2"/>
  <c r="AK4670" i="2" s="1"/>
  <c r="AB4672" i="2"/>
  <c r="AK4672" i="2" s="1"/>
  <c r="AB4674" i="2"/>
  <c r="AK4674" i="2" s="1"/>
  <c r="AB4676" i="2"/>
  <c r="AK4676" i="2" s="1"/>
  <c r="AB4678" i="2"/>
  <c r="AK4678" i="2" s="1"/>
  <c r="AB4682" i="2"/>
  <c r="AK4682" i="2" s="1"/>
  <c r="AB4684" i="2"/>
  <c r="AK4684" i="2" s="1"/>
  <c r="AB4923" i="2"/>
  <c r="AK4923" i="2" s="1"/>
  <c r="AB4937" i="2"/>
  <c r="AK4937" i="2" s="1"/>
  <c r="AB4945" i="2"/>
  <c r="AK4945" i="2" s="1"/>
  <c r="AB4951" i="2"/>
  <c r="AK4951" i="2" s="1"/>
  <c r="AB5012" i="2"/>
  <c r="AK5012" i="2" s="1"/>
  <c r="AB5172" i="2"/>
  <c r="AK5172" i="2" s="1"/>
  <c r="AB5180" i="2"/>
  <c r="AK5180" i="2" s="1"/>
  <c r="AB5182" i="2"/>
  <c r="AK5182" i="2" s="1"/>
  <c r="AB5184" i="2"/>
  <c r="AK5184" i="2" s="1"/>
  <c r="AB5243" i="2"/>
  <c r="AK5243" i="2" s="1"/>
  <c r="AB5254" i="2"/>
  <c r="AK5254" i="2" s="1"/>
  <c r="AB5262" i="2"/>
  <c r="AK5262" i="2" s="1"/>
  <c r="AB5265" i="2"/>
  <c r="AK5265" i="2" s="1"/>
  <c r="Y5273" i="2"/>
  <c r="Y5280" i="2"/>
  <c r="AB5284" i="2"/>
  <c r="AK5284" i="2" s="1"/>
  <c r="Y5288" i="2"/>
  <c r="AB5296" i="2"/>
  <c r="AK5296" i="2" s="1"/>
  <c r="AB3000" i="2"/>
  <c r="AK3000" i="2" s="1"/>
  <c r="Y3145" i="2"/>
  <c r="AB3167" i="2"/>
  <c r="AK3167" i="2" s="1"/>
  <c r="AB3217" i="2"/>
  <c r="AK3217" i="2" s="1"/>
  <c r="AB3231" i="2"/>
  <c r="AK3231" i="2" s="1"/>
  <c r="AB3287" i="2"/>
  <c r="AK3287" i="2" s="1"/>
  <c r="AB3291" i="2"/>
  <c r="AK3291" i="2" s="1"/>
  <c r="AB3389" i="2"/>
  <c r="AK3389" i="2" s="1"/>
  <c r="AB3442" i="2"/>
  <c r="AK3442" i="2" s="1"/>
  <c r="AB3474" i="2"/>
  <c r="AK3474" i="2" s="1"/>
  <c r="AB3538" i="2"/>
  <c r="AK3538" i="2" s="1"/>
  <c r="AB3551" i="2"/>
  <c r="AK3551" i="2" s="1"/>
  <c r="AB3604" i="2"/>
  <c r="AK3604" i="2" s="1"/>
  <c r="AB3652" i="2"/>
  <c r="AK3652" i="2" s="1"/>
  <c r="AB3660" i="2"/>
  <c r="AK3660" i="2" s="1"/>
  <c r="AB3740" i="2"/>
  <c r="AK3740" i="2" s="1"/>
  <c r="AB3780" i="2"/>
  <c r="AK3780" i="2" s="1"/>
  <c r="AB3796" i="2"/>
  <c r="AK3796" i="2" s="1"/>
  <c r="AB3804" i="2"/>
  <c r="AK3804" i="2" s="1"/>
  <c r="AB3828" i="2"/>
  <c r="AK3828" i="2" s="1"/>
  <c r="AB3849" i="2"/>
  <c r="AK3849" i="2" s="1"/>
  <c r="AB3865" i="2"/>
  <c r="AK3865" i="2" s="1"/>
  <c r="AB3881" i="2"/>
  <c r="AK3881" i="2" s="1"/>
  <c r="AB3889" i="2"/>
  <c r="AK3889" i="2" s="1"/>
  <c r="AB3913" i="2"/>
  <c r="AK3913" i="2" s="1"/>
  <c r="AB3937" i="2"/>
  <c r="AK3937" i="2" s="1"/>
  <c r="AB3945" i="2"/>
  <c r="AK3945" i="2" s="1"/>
  <c r="AB3953" i="2"/>
  <c r="AK3953" i="2" s="1"/>
  <c r="AB3993" i="2"/>
  <c r="AK3993" i="2" s="1"/>
  <c r="AB4001" i="2"/>
  <c r="AK4001" i="2" s="1"/>
  <c r="AB4009" i="2"/>
  <c r="AK4009" i="2" s="1"/>
  <c r="AB4041" i="2"/>
  <c r="AK4041" i="2" s="1"/>
  <c r="AB4057" i="2"/>
  <c r="AK4057" i="2" s="1"/>
  <c r="AB4065" i="2"/>
  <c r="AK4065" i="2" s="1"/>
  <c r="AB4073" i="2"/>
  <c r="AK4073" i="2" s="1"/>
  <c r="AB4081" i="2"/>
  <c r="AK4081" i="2" s="1"/>
  <c r="AB4091" i="2"/>
  <c r="AK4091" i="2" s="1"/>
  <c r="AB4107" i="2"/>
  <c r="AK4107" i="2" s="1"/>
  <c r="AB4120" i="2"/>
  <c r="AK4120" i="2" s="1"/>
  <c r="AB4128" i="2"/>
  <c r="AK4128" i="2" s="1"/>
  <c r="AB4136" i="2"/>
  <c r="AK4136" i="2" s="1"/>
  <c r="AB4144" i="2"/>
  <c r="AK4144" i="2" s="1"/>
  <c r="AB4152" i="2"/>
  <c r="AK4152" i="2" s="1"/>
  <c r="AB4168" i="2"/>
  <c r="AK4168" i="2" s="1"/>
  <c r="AB4176" i="2"/>
  <c r="AK4176" i="2" s="1"/>
  <c r="AB4184" i="2"/>
  <c r="AK4184" i="2" s="1"/>
  <c r="AB4192" i="2"/>
  <c r="AK4192" i="2" s="1"/>
  <c r="AB4200" i="2"/>
  <c r="AK4200" i="2" s="1"/>
  <c r="AB4208" i="2"/>
  <c r="AK4208" i="2" s="1"/>
  <c r="AB4216" i="2"/>
  <c r="AK4216" i="2" s="1"/>
  <c r="AB4224" i="2"/>
  <c r="AK4224" i="2" s="1"/>
  <c r="AB4232" i="2"/>
  <c r="AK4232" i="2" s="1"/>
  <c r="AB4240" i="2"/>
  <c r="AK4240" i="2" s="1"/>
  <c r="AB4248" i="2"/>
  <c r="AK4248" i="2" s="1"/>
  <c r="AB4269" i="2"/>
  <c r="AK4269" i="2" s="1"/>
  <c r="AB4277" i="2"/>
  <c r="AK4277" i="2" s="1"/>
  <c r="AB4285" i="2"/>
  <c r="AK4285" i="2" s="1"/>
  <c r="AB4293" i="2"/>
  <c r="AK4293" i="2" s="1"/>
  <c r="AB4301" i="2"/>
  <c r="AK4301" i="2" s="1"/>
  <c r="AB4309" i="2"/>
  <c r="AK4309" i="2" s="1"/>
  <c r="AB4317" i="2"/>
  <c r="AK4317" i="2" s="1"/>
  <c r="AB4325" i="2"/>
  <c r="AK4325" i="2" s="1"/>
  <c r="AB4338" i="2"/>
  <c r="AK4338" i="2" s="1"/>
  <c r="AB4343" i="2"/>
  <c r="AK4343" i="2" s="1"/>
  <c r="AB4351" i="2"/>
  <c r="AK4351" i="2" s="1"/>
  <c r="AB4359" i="2"/>
  <c r="AK4359" i="2" s="1"/>
  <c r="AB4367" i="2"/>
  <c r="AK4367" i="2" s="1"/>
  <c r="AB4375" i="2"/>
  <c r="AK4375" i="2" s="1"/>
  <c r="AB4383" i="2"/>
  <c r="AK4383" i="2" s="1"/>
  <c r="Y4815" i="2"/>
  <c r="AB4817" i="2"/>
  <c r="AK4817" i="2" s="1"/>
  <c r="AB4819" i="2"/>
  <c r="AK4819" i="2" s="1"/>
  <c r="Y4819" i="2"/>
  <c r="AB4821" i="2"/>
  <c r="AK4821" i="2" s="1"/>
  <c r="Y4823" i="2"/>
  <c r="AB4825" i="2"/>
  <c r="AK4825" i="2" s="1"/>
  <c r="AB4827" i="2"/>
  <c r="AK4827" i="2" s="1"/>
  <c r="Y4827" i="2"/>
  <c r="AB4829" i="2"/>
  <c r="AK4829" i="2" s="1"/>
  <c r="AB4831" i="2"/>
  <c r="AK4831" i="2" s="1"/>
  <c r="Y4831" i="2"/>
  <c r="AB4835" i="2"/>
  <c r="AK4835" i="2" s="1"/>
  <c r="Y4835" i="2"/>
  <c r="AB4837" i="2"/>
  <c r="AK4837" i="2" s="1"/>
  <c r="AB4839" i="2"/>
  <c r="AK4839" i="2" s="1"/>
  <c r="Y4839" i="2"/>
  <c r="AB4841" i="2"/>
  <c r="AK4841" i="2" s="1"/>
  <c r="AB4843" i="2"/>
  <c r="AK4843" i="2" s="1"/>
  <c r="AB4845" i="2"/>
  <c r="AK4845" i="2" s="1"/>
  <c r="AB4847" i="2"/>
  <c r="AK4847" i="2" s="1"/>
  <c r="Y4847" i="2"/>
  <c r="AB4849" i="2"/>
  <c r="AK4849" i="2" s="1"/>
  <c r="AB4851" i="2"/>
  <c r="AK4851" i="2" s="1"/>
  <c r="Y4851" i="2"/>
  <c r="AB4853" i="2"/>
  <c r="AK4853" i="2" s="1"/>
  <c r="Y4855" i="2"/>
  <c r="AB4857" i="2"/>
  <c r="AK4857" i="2" s="1"/>
  <c r="AB4859" i="2"/>
  <c r="AK4859" i="2" s="1"/>
  <c r="Y4859" i="2"/>
  <c r="AB4861" i="2"/>
  <c r="AK4861" i="2" s="1"/>
  <c r="AB4863" i="2"/>
  <c r="AK4863" i="2" s="1"/>
  <c r="Y4863" i="2"/>
  <c r="AB4865" i="2"/>
  <c r="AK4865" i="2" s="1"/>
  <c r="AB4867" i="2"/>
  <c r="AK4867" i="2" s="1"/>
  <c r="Y4867" i="2"/>
  <c r="AB4869" i="2"/>
  <c r="AK4869" i="2" s="1"/>
  <c r="AB4871" i="2"/>
  <c r="AK4871" i="2" s="1"/>
  <c r="Y4871" i="2"/>
  <c r="AB4873" i="2"/>
  <c r="AK4873" i="2" s="1"/>
  <c r="AB4875" i="2"/>
  <c r="AK4875" i="2" s="1"/>
  <c r="Y4875" i="2"/>
  <c r="AB4877" i="2"/>
  <c r="AK4877" i="2" s="1"/>
  <c r="AB4879" i="2"/>
  <c r="AK4879" i="2" s="1"/>
  <c r="Y4879" i="2"/>
  <c r="AB4881" i="2"/>
  <c r="AK4881" i="2" s="1"/>
  <c r="AB4883" i="2"/>
  <c r="AK4883" i="2" s="1"/>
  <c r="Y4883" i="2"/>
  <c r="AB4885" i="2"/>
  <c r="AK4885" i="2" s="1"/>
  <c r="AB4887" i="2"/>
  <c r="AK4887" i="2" s="1"/>
  <c r="Y4887" i="2"/>
  <c r="AB4889" i="2"/>
  <c r="AK4889" i="2" s="1"/>
  <c r="AB4891" i="2"/>
  <c r="AK4891" i="2" s="1"/>
  <c r="Y4891" i="2"/>
  <c r="Y4893" i="2"/>
  <c r="Y4895" i="2"/>
  <c r="AB4897" i="2"/>
  <c r="AK4897" i="2" s="1"/>
  <c r="Y4897" i="2"/>
  <c r="Y4899" i="2"/>
  <c r="AB4901" i="2"/>
  <c r="AK4901" i="2" s="1"/>
  <c r="Y4901" i="2"/>
  <c r="Y4903" i="2"/>
  <c r="AB4905" i="2"/>
  <c r="AK4905" i="2" s="1"/>
  <c r="Y4905" i="2"/>
  <c r="Y4907" i="2"/>
  <c r="AB4954" i="2"/>
  <c r="AK4954" i="2" s="1"/>
  <c r="Y4954" i="2"/>
  <c r="Y4956" i="2"/>
  <c r="AB4958" i="2"/>
  <c r="AK4958" i="2" s="1"/>
  <c r="Y4958" i="2"/>
  <c r="Y4960" i="2"/>
  <c r="AB4962" i="2"/>
  <c r="AK4962" i="2" s="1"/>
  <c r="Y4962" i="2"/>
  <c r="Y4964" i="2"/>
  <c r="AB4966" i="2"/>
  <c r="AK4966" i="2" s="1"/>
  <c r="Y4966" i="2"/>
  <c r="Y4968" i="2"/>
  <c r="AB4970" i="2"/>
  <c r="AK4970" i="2" s="1"/>
  <c r="Y4970" i="2"/>
  <c r="Y4972" i="2"/>
  <c r="AB4974" i="2"/>
  <c r="AK4974" i="2" s="1"/>
  <c r="Y4974" i="2"/>
  <c r="Y4976" i="2"/>
  <c r="AB4978" i="2"/>
  <c r="AK4978" i="2" s="1"/>
  <c r="Y4978" i="2"/>
  <c r="Y4980" i="2"/>
  <c r="AB4982" i="2"/>
  <c r="AK4982" i="2" s="1"/>
  <c r="Y4982" i="2"/>
  <c r="Y5033" i="2"/>
  <c r="AB5035" i="2"/>
  <c r="AK5035" i="2" s="1"/>
  <c r="Y5035" i="2"/>
  <c r="Y5037" i="2"/>
  <c r="AB5039" i="2"/>
  <c r="AK5039" i="2" s="1"/>
  <c r="Y5039" i="2"/>
  <c r="Y5041" i="2"/>
  <c r="AB5043" i="2"/>
  <c r="AK5043" i="2" s="1"/>
  <c r="Y5043" i="2"/>
  <c r="Y5046" i="2"/>
  <c r="AB5048" i="2"/>
  <c r="AK5048" i="2" s="1"/>
  <c r="Y5048" i="2"/>
  <c r="Y5050" i="2"/>
  <c r="AB5052" i="2"/>
  <c r="AK5052" i="2" s="1"/>
  <c r="Y5052" i="2"/>
  <c r="Y5054" i="2"/>
  <c r="AB5056" i="2"/>
  <c r="AK5056" i="2" s="1"/>
  <c r="Y5056" i="2"/>
  <c r="Y5058" i="2"/>
  <c r="AB5062" i="2"/>
  <c r="AK5062" i="2" s="1"/>
  <c r="Y5062" i="2"/>
  <c r="Y5064" i="2"/>
  <c r="AB5066" i="2"/>
  <c r="AK5066" i="2" s="1"/>
  <c r="Y5066" i="2"/>
  <c r="Y5068" i="2"/>
  <c r="AB5070" i="2"/>
  <c r="AK5070" i="2" s="1"/>
  <c r="Y5070" i="2"/>
  <c r="Y5072" i="2"/>
  <c r="AB5074" i="2"/>
  <c r="AK5074" i="2" s="1"/>
  <c r="Y5074" i="2"/>
  <c r="Y5076" i="2"/>
  <c r="AB5078" i="2"/>
  <c r="AK5078" i="2" s="1"/>
  <c r="Y5078" i="2"/>
  <c r="Y5080" i="2"/>
  <c r="AB5082" i="2"/>
  <c r="AK5082" i="2" s="1"/>
  <c r="Y5082" i="2"/>
  <c r="Y5084" i="2"/>
  <c r="AB5086" i="2"/>
  <c r="AK5086" i="2" s="1"/>
  <c r="Y5086" i="2"/>
  <c r="AB5090" i="2"/>
  <c r="AK5090" i="2" s="1"/>
  <c r="Y5090" i="2"/>
  <c r="AB5092" i="2"/>
  <c r="AK5092" i="2" s="1"/>
  <c r="AB5094" i="2"/>
  <c r="AK5094" i="2" s="1"/>
  <c r="Y5094" i="2"/>
  <c r="AB5096" i="2"/>
  <c r="AK5096" i="2" s="1"/>
  <c r="AB5098" i="2"/>
  <c r="AK5098" i="2" s="1"/>
  <c r="Y5098" i="2"/>
  <c r="AB5100" i="2"/>
  <c r="AK5100" i="2" s="1"/>
  <c r="Y5102" i="2"/>
  <c r="AB5104" i="2"/>
  <c r="AK5104" i="2" s="1"/>
  <c r="Y5104" i="2"/>
  <c r="Y5106" i="2"/>
  <c r="AB5108" i="2"/>
  <c r="AK5108" i="2" s="1"/>
  <c r="Y5108" i="2"/>
  <c r="Y5110" i="2"/>
  <c r="AB5112" i="2"/>
  <c r="AK5112" i="2" s="1"/>
  <c r="Y5112" i="2"/>
  <c r="Y5114" i="2"/>
  <c r="AB5116" i="2"/>
  <c r="AK5116" i="2" s="1"/>
  <c r="Y5116" i="2"/>
  <c r="Y5118" i="2"/>
  <c r="AB5120" i="2"/>
  <c r="AK5120" i="2" s="1"/>
  <c r="Y5120" i="2"/>
  <c r="Y5122" i="2"/>
  <c r="AB5124" i="2"/>
  <c r="AK5124" i="2" s="1"/>
  <c r="Y5124" i="2"/>
  <c r="Y5126" i="2"/>
  <c r="AB5128" i="2"/>
  <c r="AK5128" i="2" s="1"/>
  <c r="Y5128" i="2"/>
  <c r="Y5130" i="2"/>
  <c r="AB5132" i="2"/>
  <c r="AK5132" i="2" s="1"/>
  <c r="Y5132" i="2"/>
  <c r="Y5134" i="2"/>
  <c r="AB5136" i="2"/>
  <c r="AK5136" i="2" s="1"/>
  <c r="Y5136" i="2"/>
  <c r="Y5138" i="2"/>
  <c r="AB5140" i="2"/>
  <c r="AK5140" i="2" s="1"/>
  <c r="Y5140" i="2"/>
  <c r="Y5142" i="2"/>
  <c r="AB5144" i="2"/>
  <c r="AK5144" i="2" s="1"/>
  <c r="Y5144" i="2"/>
  <c r="Y5146" i="2"/>
  <c r="AB5148" i="2"/>
  <c r="AK5148" i="2" s="1"/>
  <c r="Y5148" i="2"/>
  <c r="Y5150" i="2"/>
  <c r="AB5152" i="2"/>
  <c r="AK5152" i="2" s="1"/>
  <c r="Y5152" i="2"/>
  <c r="Y5154" i="2"/>
  <c r="AB5156" i="2"/>
  <c r="AK5156" i="2" s="1"/>
  <c r="Y5156" i="2"/>
  <c r="Y5158" i="2"/>
  <c r="AB5160" i="2"/>
  <c r="AK5160" i="2" s="1"/>
  <c r="Y5160" i="2"/>
  <c r="Y5162" i="2"/>
  <c r="AB5164" i="2"/>
  <c r="AK5164" i="2" s="1"/>
  <c r="Y5164" i="2"/>
  <c r="Y5166" i="2"/>
  <c r="AB5168" i="2"/>
  <c r="AK5168" i="2" s="1"/>
  <c r="Y5168" i="2"/>
  <c r="Y5195" i="2"/>
  <c r="AB5197" i="2"/>
  <c r="AK5197" i="2" s="1"/>
  <c r="Y5197" i="2"/>
  <c r="Y5199" i="2"/>
  <c r="AB5201" i="2"/>
  <c r="AK5201" i="2" s="1"/>
  <c r="Y5201" i="2"/>
  <c r="Y5203" i="2"/>
  <c r="AB5205" i="2"/>
  <c r="AK5205" i="2" s="1"/>
  <c r="Y5205" i="2"/>
  <c r="Y5207" i="2"/>
  <c r="AB5209" i="2"/>
  <c r="AK5209" i="2" s="1"/>
  <c r="Y5209" i="2"/>
  <c r="Y5211" i="2"/>
  <c r="AB5213" i="2"/>
  <c r="AK5213" i="2" s="1"/>
  <c r="Y5213" i="2"/>
  <c r="Y5215" i="2"/>
  <c r="AB5217" i="2"/>
  <c r="AK5217" i="2" s="1"/>
  <c r="Y5217" i="2"/>
  <c r="Y5219" i="2"/>
  <c r="AB5221" i="2"/>
  <c r="AK5221" i="2" s="1"/>
  <c r="Y5221" i="2"/>
  <c r="Y5223" i="2"/>
  <c r="AB5225" i="2"/>
  <c r="AK5225" i="2" s="1"/>
  <c r="Y5225" i="2"/>
  <c r="Y5227" i="2"/>
  <c r="AB5229" i="2"/>
  <c r="AK5229" i="2" s="1"/>
  <c r="Y5229" i="2"/>
  <c r="Y5231" i="2"/>
  <c r="AB5233" i="2"/>
  <c r="AK5233" i="2" s="1"/>
  <c r="Y5233" i="2"/>
  <c r="Y5235" i="2"/>
  <c r="AB5237" i="2"/>
  <c r="AK5237" i="2" s="1"/>
  <c r="Y5237" i="2"/>
  <c r="Y5239" i="2"/>
  <c r="AB5241" i="2"/>
  <c r="AK5241" i="2" s="1"/>
  <c r="Y5241" i="2"/>
  <c r="Y5252" i="2"/>
  <c r="AB5260" i="2"/>
  <c r="AK5260" i="2" s="1"/>
  <c r="Y5260" i="2"/>
  <c r="Y5271" i="2"/>
  <c r="AB5277" i="2"/>
  <c r="AK5277" i="2" s="1"/>
  <c r="Y5277" i="2"/>
  <c r="Y5281" i="2"/>
  <c r="AB5285" i="2"/>
  <c r="AK5285" i="2" s="1"/>
  <c r="Y5285" i="2"/>
  <c r="Y5289" i="2"/>
  <c r="AB5293" i="2"/>
  <c r="AK5293" i="2" s="1"/>
  <c r="Y5293" i="2"/>
  <c r="Y5297" i="2"/>
  <c r="AB5301" i="2"/>
  <c r="AK5301" i="2" s="1"/>
  <c r="Y5301" i="2"/>
  <c r="R82" i="3"/>
  <c r="T82" i="3" s="1"/>
  <c r="U82" i="3" s="1"/>
  <c r="V82" i="3" s="1"/>
  <c r="R110" i="3"/>
  <c r="T110" i="3" s="1"/>
  <c r="U110" i="3" s="1"/>
  <c r="V110" i="3" s="1"/>
  <c r="R105" i="3"/>
  <c r="T105" i="3" s="1"/>
  <c r="U105" i="3" s="1"/>
  <c r="V105" i="3" s="1"/>
  <c r="R104" i="3"/>
  <c r="T104" i="3" s="1"/>
  <c r="U104" i="3" s="1"/>
  <c r="V104" i="3" s="1"/>
  <c r="R70" i="3"/>
  <c r="T70" i="3" s="1"/>
  <c r="U70" i="3" s="1"/>
  <c r="V70" i="3" s="1"/>
  <c r="R87" i="3"/>
  <c r="T87" i="3" s="1"/>
  <c r="U87" i="3" s="1"/>
  <c r="V87" i="3" s="1"/>
  <c r="R98" i="3"/>
  <c r="T98" i="3" s="1"/>
  <c r="U98" i="3" s="1"/>
  <c r="V98" i="3" s="1"/>
  <c r="R100" i="3"/>
  <c r="T100" i="3" s="1"/>
  <c r="U100" i="3" s="1"/>
  <c r="V100" i="3" s="1"/>
  <c r="AC3157" i="2"/>
  <c r="AC3177" i="2"/>
  <c r="AC3199" i="2"/>
  <c r="AC3219" i="2"/>
  <c r="AC3237" i="2"/>
  <c r="AC3279" i="2"/>
  <c r="AC3289" i="2"/>
  <c r="AC3315" i="2"/>
  <c r="AC3339" i="2"/>
  <c r="AC3355" i="2"/>
  <c r="AC3377" i="2"/>
  <c r="AC3385" i="2"/>
  <c r="AC3389" i="2"/>
  <c r="AC3401" i="2"/>
  <c r="AC3405" i="2"/>
  <c r="AC3407" i="2"/>
  <c r="AC3461" i="2"/>
  <c r="AC3650" i="2"/>
  <c r="AC3690" i="2"/>
  <c r="AC3706" i="2"/>
  <c r="AC3738" i="2"/>
  <c r="AC3746" i="2"/>
  <c r="AC3762" i="2"/>
  <c r="AC3778" i="2"/>
  <c r="AC3794" i="2"/>
  <c r="AC3802" i="2"/>
  <c r="AC3826" i="2"/>
  <c r="AC3839" i="2"/>
  <c r="AC3847" i="2"/>
  <c r="AC3863" i="2"/>
  <c r="AC3871" i="2"/>
  <c r="AC3879" i="2"/>
  <c r="AC3895" i="2"/>
  <c r="AC3903" i="2"/>
  <c r="AC3911" i="2"/>
  <c r="AC3927" i="2"/>
  <c r="AC3935" i="2"/>
  <c r="AC3943" i="2"/>
  <c r="AC3959" i="2"/>
  <c r="AC3967" i="2"/>
  <c r="AC3975" i="2"/>
  <c r="AC3991" i="2"/>
  <c r="AC3999" i="2"/>
  <c r="AC4007" i="2"/>
  <c r="AC4023" i="2"/>
  <c r="AC4031" i="2"/>
  <c r="AC4039" i="2"/>
  <c r="AC4055" i="2"/>
  <c r="AC4063" i="2"/>
  <c r="AC4071" i="2"/>
  <c r="AC4089" i="2"/>
  <c r="AC4097" i="2"/>
  <c r="AC4105" i="2"/>
  <c r="AC4118" i="2"/>
  <c r="AC4126" i="2"/>
  <c r="AC4134" i="2"/>
  <c r="AC4142" i="2"/>
  <c r="AC4150" i="2"/>
  <c r="AC4158" i="2"/>
  <c r="AC4166" i="2"/>
  <c r="AC4174" i="2"/>
  <c r="AC4182" i="2"/>
  <c r="AC4190" i="2"/>
  <c r="AC4198" i="2"/>
  <c r="AC4206" i="2"/>
  <c r="AC4214" i="2"/>
  <c r="AC4222" i="2"/>
  <c r="AC4230" i="2"/>
  <c r="AC4238" i="2"/>
  <c r="AC4246" i="2"/>
  <c r="AC4254" i="2"/>
  <c r="AC4275" i="2"/>
  <c r="AC4283" i="2"/>
  <c r="AC4291" i="2"/>
  <c r="AC4299" i="2"/>
  <c r="AC4307" i="2"/>
  <c r="AC4315" i="2"/>
  <c r="AC4323" i="2"/>
  <c r="AC4336" i="2"/>
  <c r="AC4349" i="2"/>
  <c r="AC4357" i="2"/>
  <c r="AC4365" i="2"/>
  <c r="AC4373" i="2"/>
  <c r="AC4381" i="2"/>
  <c r="AC4389" i="2"/>
  <c r="AC4394" i="2"/>
  <c r="AC4396" i="2"/>
  <c r="AC4404" i="2"/>
  <c r="AC4412" i="2"/>
  <c r="AC4420" i="2"/>
  <c r="AC4428" i="2"/>
  <c r="AC4436" i="2"/>
  <c r="AC4444" i="2"/>
  <c r="AC4452" i="2"/>
  <c r="AC4460" i="2"/>
  <c r="AC4468" i="2"/>
  <c r="AC4476" i="2"/>
  <c r="AC4484" i="2"/>
  <c r="AC4492" i="2"/>
  <c r="AC4500" i="2"/>
  <c r="AC4515" i="2"/>
  <c r="AC4523" i="2"/>
  <c r="AC4531" i="2"/>
  <c r="AC4539" i="2"/>
  <c r="AC4544" i="2"/>
  <c r="AC4557" i="2"/>
  <c r="AC4562" i="2"/>
  <c r="AC4570" i="2"/>
  <c r="AC4578" i="2"/>
  <c r="AC4586" i="2"/>
  <c r="AC4591" i="2"/>
  <c r="AC4599" i="2"/>
  <c r="AC4607" i="2"/>
  <c r="AC4615" i="2"/>
  <c r="AC4623" i="2"/>
  <c r="AC4631" i="2"/>
  <c r="AC4639" i="2"/>
  <c r="AC4652" i="2"/>
  <c r="AC3141" i="2"/>
  <c r="AC3151" i="2"/>
  <c r="AC3169" i="2"/>
  <c r="AC3191" i="2"/>
  <c r="AC3211" i="2"/>
  <c r="AC3251" i="2"/>
  <c r="AC3261" i="2"/>
  <c r="AC3271" i="2"/>
  <c r="AC3303" i="2"/>
  <c r="AC3313" i="2"/>
  <c r="AC3373" i="2"/>
  <c r="AC3477" i="2"/>
  <c r="AC3578" i="2"/>
  <c r="AC3658" i="2"/>
  <c r="AC3714" i="2"/>
  <c r="AC2859" i="2"/>
  <c r="AC3145" i="2"/>
  <c r="AC3155" i="2"/>
  <c r="AC3195" i="2"/>
  <c r="AC3217" i="2"/>
  <c r="AC3231" i="2"/>
  <c r="AC3263" i="2"/>
  <c r="AC3275" i="2"/>
  <c r="AA3317" i="2"/>
  <c r="AB3317" i="2" s="1"/>
  <c r="AK3317" i="2" s="1"/>
  <c r="AC3327" i="2"/>
  <c r="AC3347" i="2"/>
  <c r="AC3429" i="2"/>
  <c r="AC3437" i="2"/>
  <c r="AC3541" i="2"/>
  <c r="AC3626" i="2"/>
  <c r="AC2822" i="2"/>
  <c r="AC2856" i="2"/>
  <c r="AC2888" i="2"/>
  <c r="AC2992" i="2"/>
  <c r="AC3008" i="2"/>
  <c r="AC3016" i="2"/>
  <c r="AC3143" i="2"/>
  <c r="AC3153" i="2"/>
  <c r="AC3163" i="2"/>
  <c r="AC3193" i="2"/>
  <c r="AC3203" i="2"/>
  <c r="AC3245" i="2"/>
  <c r="AC3267" i="2"/>
  <c r="AC3277" i="2"/>
  <c r="AC3309" i="2"/>
  <c r="AC3319" i="2"/>
  <c r="AC3493" i="2"/>
  <c r="AC3501" i="2"/>
  <c r="AC3509" i="2"/>
  <c r="AC3517" i="2"/>
  <c r="AC3634" i="2"/>
  <c r="AC3642" i="2"/>
  <c r="AC2830" i="2"/>
  <c r="AC2853" i="2"/>
  <c r="AC2896" i="2"/>
  <c r="AC2767" i="2"/>
  <c r="AC2811" i="2"/>
  <c r="AC2885" i="2"/>
  <c r="AC2933" i="2"/>
  <c r="AC2941" i="2"/>
  <c r="AC2965" i="2"/>
  <c r="AC2981" i="2"/>
  <c r="AC3149" i="2"/>
  <c r="AC3159" i="2"/>
  <c r="AC3181" i="2"/>
  <c r="AC3197" i="2"/>
  <c r="AC3215" i="2"/>
  <c r="AC3249" i="2"/>
  <c r="AC3259" i="2"/>
  <c r="AC3269" i="2"/>
  <c r="AC3301" i="2"/>
  <c r="AC3331" i="2"/>
  <c r="AC3365" i="2"/>
  <c r="AC3375" i="2"/>
  <c r="AC3379" i="2"/>
  <c r="AC3391" i="2"/>
  <c r="AA3395" i="2"/>
  <c r="AB3395" i="2" s="1"/>
  <c r="AK3395" i="2" s="1"/>
  <c r="AC3445" i="2"/>
  <c r="AC3485" i="2"/>
  <c r="AC3525" i="2"/>
  <c r="AC3602" i="2"/>
  <c r="AC3682" i="2"/>
  <c r="AC2764" i="2"/>
  <c r="AC2780" i="2"/>
  <c r="AC2798" i="2"/>
  <c r="AC2846" i="2"/>
  <c r="AC2849" i="2"/>
  <c r="AC2928" i="2"/>
  <c r="AC2952" i="2"/>
  <c r="AC2976" i="2"/>
  <c r="AC2984" i="2"/>
  <c r="AC2775" i="2"/>
  <c r="AC2819" i="2"/>
  <c r="AC2877" i="2"/>
  <c r="AC2973" i="2"/>
  <c r="AC2989" i="2"/>
  <c r="AC3005" i="2"/>
  <c r="AC2784" i="2"/>
  <c r="AC2892" i="2"/>
  <c r="AC2900" i="2"/>
  <c r="AC2908" i="2"/>
  <c r="AC4816" i="2"/>
  <c r="AC4818" i="2"/>
  <c r="AC4820" i="2"/>
  <c r="AC4822" i="2"/>
  <c r="AC4824" i="2"/>
  <c r="AC4826" i="2"/>
  <c r="AC4828" i="2"/>
  <c r="AC4830" i="2"/>
  <c r="AC4832" i="2"/>
  <c r="AC4834" i="2"/>
  <c r="AC4836" i="2"/>
  <c r="AC4838" i="2"/>
  <c r="AC4840" i="2"/>
  <c r="AC4842" i="2"/>
  <c r="AC4844" i="2"/>
  <c r="AC4846" i="2"/>
  <c r="AC4848" i="2"/>
  <c r="AC4850" i="2"/>
  <c r="AC4852" i="2"/>
  <c r="AC4854" i="2"/>
  <c r="AC4856" i="2"/>
  <c r="AC4858" i="2"/>
  <c r="AC4860" i="2"/>
  <c r="AC4862" i="2"/>
  <c r="AC4864" i="2"/>
  <c r="AC4866" i="2"/>
  <c r="AC4868" i="2"/>
  <c r="AC4870" i="2"/>
  <c r="AC5033" i="2"/>
  <c r="AC5035" i="2"/>
  <c r="AC5037" i="2"/>
  <c r="AC5039" i="2"/>
  <c r="AC5041" i="2"/>
  <c r="AC5043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2" i="2"/>
  <c r="AC5245" i="2"/>
  <c r="AC5253" i="2"/>
  <c r="AC5261" i="2"/>
  <c r="AC5272" i="2"/>
  <c r="AC5298" i="2"/>
  <c r="AC3442" i="2"/>
  <c r="AC3450" i="2"/>
  <c r="AC3474" i="2"/>
  <c r="AC3482" i="2"/>
  <c r="AC3490" i="2"/>
  <c r="AC3514" i="2"/>
  <c r="AC3522" i="2"/>
  <c r="AC3538" i="2"/>
  <c r="AC3546" i="2"/>
  <c r="AC3554" i="2"/>
  <c r="AC3562" i="2"/>
  <c r="AC3570" i="2"/>
  <c r="AC3575" i="2"/>
  <c r="AC3583" i="2"/>
  <c r="AC3591" i="2"/>
  <c r="AC3599" i="2"/>
  <c r="AC3607" i="2"/>
  <c r="AC3615" i="2"/>
  <c r="AC3623" i="2"/>
  <c r="AC3631" i="2"/>
  <c r="AC3639" i="2"/>
  <c r="AC3647" i="2"/>
  <c r="AC3655" i="2"/>
  <c r="AC3663" i="2"/>
  <c r="AC3671" i="2"/>
  <c r="AC3679" i="2"/>
  <c r="AC3687" i="2"/>
  <c r="AC3695" i="2"/>
  <c r="AC3703" i="2"/>
  <c r="AC3711" i="2"/>
  <c r="AC3719" i="2"/>
  <c r="AC3727" i="2"/>
  <c r="AC3735" i="2"/>
  <c r="AC3743" i="2"/>
  <c r="AC3751" i="2"/>
  <c r="AC3759" i="2"/>
  <c r="AC3767" i="2"/>
  <c r="AC3775" i="2"/>
  <c r="AC3783" i="2"/>
  <c r="AC3791" i="2"/>
  <c r="AC3799" i="2"/>
  <c r="AC3807" i="2"/>
  <c r="AC3815" i="2"/>
  <c r="AC3823" i="2"/>
  <c r="AC3831" i="2"/>
  <c r="AC3836" i="2"/>
  <c r="AC3844" i="2"/>
  <c r="AC3852" i="2"/>
  <c r="AC3860" i="2"/>
  <c r="AC3868" i="2"/>
  <c r="AC3876" i="2"/>
  <c r="AC3884" i="2"/>
  <c r="AC3892" i="2"/>
  <c r="AC3900" i="2"/>
  <c r="AC3908" i="2"/>
  <c r="AC3916" i="2"/>
  <c r="AC3924" i="2"/>
  <c r="AC3932" i="2"/>
  <c r="AC3940" i="2"/>
  <c r="AC3948" i="2"/>
  <c r="AC3956" i="2"/>
  <c r="AC3964" i="2"/>
  <c r="AC3972" i="2"/>
  <c r="AC3980" i="2"/>
  <c r="AC3988" i="2"/>
  <c r="AC3996" i="2"/>
  <c r="AC4004" i="2"/>
  <c r="AC4012" i="2"/>
  <c r="AC4020" i="2"/>
  <c r="AC4028" i="2"/>
  <c r="AC4036" i="2"/>
  <c r="AC4044" i="2"/>
  <c r="AC4052" i="2"/>
  <c r="AC4060" i="2"/>
  <c r="AC4068" i="2"/>
  <c r="AC4076" i="2"/>
  <c r="AC4084" i="2"/>
  <c r="AC4086" i="2"/>
  <c r="AC4094" i="2"/>
  <c r="AC4102" i="2"/>
  <c r="AC4115" i="2"/>
  <c r="AC4123" i="2"/>
  <c r="AC4131" i="2"/>
  <c r="AC4139" i="2"/>
  <c r="AC4147" i="2"/>
  <c r="AC4155" i="2"/>
  <c r="AC4163" i="2"/>
  <c r="AC4171" i="2"/>
  <c r="AC4179" i="2"/>
  <c r="AC4187" i="2"/>
  <c r="AC4195" i="2"/>
  <c r="AC4203" i="2"/>
  <c r="AC4211" i="2"/>
  <c r="AC4219" i="2"/>
  <c r="AC4227" i="2"/>
  <c r="AC4235" i="2"/>
  <c r="AC4243" i="2"/>
  <c r="AC4251" i="2"/>
  <c r="AC4259" i="2"/>
  <c r="AC4280" i="2"/>
  <c r="AC4288" i="2"/>
  <c r="AC4296" i="2"/>
  <c r="AC4304" i="2"/>
  <c r="AC4312" i="2"/>
  <c r="AC4320" i="2"/>
  <c r="AC4328" i="2"/>
  <c r="AC4333" i="2"/>
  <c r="AC4341" i="2"/>
  <c r="AC4346" i="2"/>
  <c r="AC4354" i="2"/>
  <c r="AC4362" i="2"/>
  <c r="AC4370" i="2"/>
  <c r="AC4378" i="2"/>
  <c r="AC4386" i="2"/>
  <c r="AC4391" i="2"/>
  <c r="AC4401" i="2"/>
  <c r="AC4409" i="2"/>
  <c r="AC4417" i="2"/>
  <c r="AC4425" i="2"/>
  <c r="AC4433" i="2"/>
  <c r="AC4441" i="2"/>
  <c r="AC4449" i="2"/>
  <c r="AC4457" i="2"/>
  <c r="AC4465" i="2"/>
  <c r="AC4473" i="2"/>
  <c r="AC4481" i="2"/>
  <c r="AC4489" i="2"/>
  <c r="AC4497" i="2"/>
  <c r="AC4505" i="2"/>
  <c r="AC4512" i="2"/>
  <c r="AC4520" i="2"/>
  <c r="AC4528" i="2"/>
  <c r="AC4536" i="2"/>
  <c r="AC4549" i="2"/>
  <c r="AC4554" i="2"/>
  <c r="AC4567" i="2"/>
  <c r="AC4575" i="2"/>
  <c r="AC4583" i="2"/>
  <c r="AC4596" i="2"/>
  <c r="AC4604" i="2"/>
  <c r="AC4612" i="2"/>
  <c r="AC4620" i="2"/>
  <c r="AC4628" i="2"/>
  <c r="AC4636" i="2"/>
  <c r="AC4644" i="2"/>
  <c r="AC4649" i="2"/>
  <c r="AC4666" i="2"/>
  <c r="AC4668" i="2"/>
  <c r="AC4670" i="2"/>
  <c r="AC4672" i="2"/>
  <c r="AC4674" i="2"/>
  <c r="AC4676" i="2"/>
  <c r="AC4678" i="2"/>
  <c r="AC4680" i="2"/>
  <c r="AC4682" i="2"/>
  <c r="AC4684" i="2"/>
  <c r="AC4782" i="2"/>
  <c r="AC4784" i="2"/>
  <c r="AC4786" i="2"/>
  <c r="AC4788" i="2"/>
  <c r="AC4790" i="2"/>
  <c r="AC4792" i="2"/>
  <c r="AC4794" i="2"/>
  <c r="AC4796" i="2"/>
  <c r="AC4798" i="2"/>
  <c r="AC4800" i="2"/>
  <c r="AC4802" i="2"/>
  <c r="AC4804" i="2"/>
  <c r="AC4806" i="2"/>
  <c r="AC4808" i="2"/>
  <c r="AC4810" i="2"/>
  <c r="AA4812" i="2"/>
  <c r="AB4812" i="2" s="1"/>
  <c r="AC4814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17" i="2"/>
  <c r="AC5019" i="2"/>
  <c r="AC5021" i="2"/>
  <c r="AC5023" i="2"/>
  <c r="AC5025" i="2"/>
  <c r="AC5027" i="2"/>
  <c r="AC5029" i="2"/>
  <c r="AC5031" i="2"/>
  <c r="AC5188" i="2"/>
  <c r="AC5190" i="2"/>
  <c r="AC5192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R101" i="3"/>
  <c r="T101" i="3" s="1"/>
  <c r="U101" i="3" s="1"/>
  <c r="V101" i="3" s="1"/>
  <c r="AC3551" i="2"/>
  <c r="AC3567" i="2"/>
  <c r="AC3580" i="2"/>
  <c r="AC3604" i="2"/>
  <c r="AC3612" i="2"/>
  <c r="AC3620" i="2"/>
  <c r="AC3636" i="2"/>
  <c r="AC3644" i="2"/>
  <c r="AC3652" i="2"/>
  <c r="AC3668" i="2"/>
  <c r="AC3684" i="2"/>
  <c r="AC3700" i="2"/>
  <c r="AC3708" i="2"/>
  <c r="AC3716" i="2"/>
  <c r="AC3732" i="2"/>
  <c r="AC3740" i="2"/>
  <c r="AC3748" i="2"/>
  <c r="AC3764" i="2"/>
  <c r="AC3772" i="2"/>
  <c r="AC3780" i="2"/>
  <c r="AC3796" i="2"/>
  <c r="AC3804" i="2"/>
  <c r="AC3812" i="2"/>
  <c r="AC3828" i="2"/>
  <c r="AC3833" i="2"/>
  <c r="AC3841" i="2"/>
  <c r="AC3857" i="2"/>
  <c r="AC3865" i="2"/>
  <c r="AC3873" i="2"/>
  <c r="AC3889" i="2"/>
  <c r="AC3897" i="2"/>
  <c r="AC3905" i="2"/>
  <c r="AC3921" i="2"/>
  <c r="AC3929" i="2"/>
  <c r="AC3937" i="2"/>
  <c r="AC3953" i="2"/>
  <c r="AC3961" i="2"/>
  <c r="AC3969" i="2"/>
  <c r="AC3977" i="2"/>
  <c r="AC3985" i="2"/>
  <c r="AC3993" i="2"/>
  <c r="AC4001" i="2"/>
  <c r="AC4009" i="2"/>
  <c r="AC4017" i="2"/>
  <c r="AC4025" i="2"/>
  <c r="AC4033" i="2"/>
  <c r="AC4041" i="2"/>
  <c r="AC4049" i="2"/>
  <c r="AC4057" i="2"/>
  <c r="AC4065" i="2"/>
  <c r="AC4073" i="2"/>
  <c r="AC4081" i="2"/>
  <c r="AC4091" i="2"/>
  <c r="AC4099" i="2"/>
  <c r="AC4107" i="2"/>
  <c r="AC4112" i="2"/>
  <c r="AC4120" i="2"/>
  <c r="AC4128" i="2"/>
  <c r="AC4136" i="2"/>
  <c r="AC4144" i="2"/>
  <c r="AC4152" i="2"/>
  <c r="AC4160" i="2"/>
  <c r="AC4168" i="2"/>
  <c r="AC4176" i="2"/>
  <c r="AC4184" i="2"/>
  <c r="AC4192" i="2"/>
  <c r="AC4200" i="2"/>
  <c r="AC4208" i="2"/>
  <c r="AC4216" i="2"/>
  <c r="AC4224" i="2"/>
  <c r="AC4232" i="2"/>
  <c r="AC4240" i="2"/>
  <c r="AC4248" i="2"/>
  <c r="AC4256" i="2"/>
  <c r="AC4269" i="2"/>
  <c r="AC4277" i="2"/>
  <c r="AC4285" i="2"/>
  <c r="AC4293" i="2"/>
  <c r="AC4301" i="2"/>
  <c r="AC4309" i="2"/>
  <c r="AC4317" i="2"/>
  <c r="AC4325" i="2"/>
  <c r="AC4338" i="2"/>
  <c r="AC4343" i="2"/>
  <c r="AC4351" i="2"/>
  <c r="AC4359" i="2"/>
  <c r="AC4367" i="2"/>
  <c r="AC4375" i="2"/>
  <c r="AC4383" i="2"/>
  <c r="AC4406" i="2"/>
  <c r="AC4422" i="2"/>
  <c r="AC4430" i="2"/>
  <c r="AC4438" i="2"/>
  <c r="AC4446" i="2"/>
  <c r="AC4454" i="2"/>
  <c r="AC4462" i="2"/>
  <c r="AC4486" i="2"/>
  <c r="AC4494" i="2"/>
  <c r="AC4502" i="2"/>
  <c r="AC4507" i="2"/>
  <c r="AC4517" i="2"/>
  <c r="AC4525" i="2"/>
  <c r="AC4533" i="2"/>
  <c r="AC4551" i="2"/>
  <c r="AC4559" i="2"/>
  <c r="AC4564" i="2"/>
  <c r="AC4572" i="2"/>
  <c r="AC4580" i="2"/>
  <c r="AC4588" i="2"/>
  <c r="AC4601" i="2"/>
  <c r="AC4617" i="2"/>
  <c r="AC4625" i="2"/>
  <c r="AC4633" i="2"/>
  <c r="AC4641" i="2"/>
  <c r="AC4646" i="2"/>
  <c r="AC4656" i="2"/>
  <c r="AC4658" i="2"/>
  <c r="AC4662" i="2"/>
  <c r="AC4664" i="2"/>
  <c r="AC4694" i="2"/>
  <c r="AC4696" i="2"/>
  <c r="AC4700" i="2"/>
  <c r="AC4702" i="2"/>
  <c r="AC4704" i="2"/>
  <c r="AC4708" i="2"/>
  <c r="AC4710" i="2"/>
  <c r="AC4712" i="2"/>
  <c r="AC4716" i="2"/>
  <c r="AC4718" i="2"/>
  <c r="AC4720" i="2"/>
  <c r="AC4722" i="2"/>
  <c r="AC4726" i="2"/>
  <c r="AC4728" i="2"/>
  <c r="AC4732" i="2"/>
  <c r="AC4734" i="2"/>
  <c r="AC4736" i="2"/>
  <c r="AC4738" i="2"/>
  <c r="AC4740" i="2"/>
  <c r="AC4744" i="2"/>
  <c r="AC4748" i="2"/>
  <c r="AC4750" i="2"/>
  <c r="AC4752" i="2"/>
  <c r="AC4754" i="2"/>
  <c r="AC4756" i="2"/>
  <c r="AC4758" i="2"/>
  <c r="AC4764" i="2"/>
  <c r="AC4766" i="2"/>
  <c r="AC4768" i="2"/>
  <c r="AC4770" i="2"/>
  <c r="AC4772" i="2"/>
  <c r="AC4774" i="2"/>
  <c r="AC4776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3" i="2"/>
  <c r="AC4985" i="2"/>
  <c r="AC4987" i="2"/>
  <c r="AC4989" i="2"/>
  <c r="AC4991" i="2"/>
  <c r="AC4993" i="2"/>
  <c r="AC4995" i="2"/>
  <c r="AC4997" i="2"/>
  <c r="AC4999" i="2"/>
  <c r="AC5172" i="2"/>
  <c r="AC5174" i="2"/>
  <c r="AC5176" i="2"/>
  <c r="AC5178" i="2"/>
  <c r="AC5180" i="2"/>
  <c r="AC5182" i="2"/>
  <c r="AC5184" i="2"/>
  <c r="AC5186" i="2"/>
  <c r="AC5251" i="2"/>
  <c r="AC5259" i="2"/>
  <c r="AC5270" i="2"/>
  <c r="AC5299" i="2"/>
  <c r="AC5303" i="2"/>
  <c r="R109" i="3"/>
  <c r="T109" i="3" s="1"/>
  <c r="U109" i="3" s="1"/>
  <c r="V109" i="3" s="1"/>
  <c r="AC4290" i="2"/>
  <c r="AC4380" i="2"/>
  <c r="AC4923" i="2"/>
  <c r="AC4925" i="2"/>
  <c r="AC4927" i="2"/>
  <c r="AC4929" i="2"/>
  <c r="AC4931" i="2"/>
  <c r="AC4935" i="2"/>
  <c r="AC4937" i="2"/>
  <c r="AC4939" i="2"/>
  <c r="AC4941" i="2"/>
  <c r="AC4943" i="2"/>
  <c r="AC4945" i="2"/>
  <c r="AC4947" i="2"/>
  <c r="AC4949" i="2"/>
  <c r="AC4951" i="2"/>
  <c r="AC4953" i="2"/>
  <c r="AC5170" i="2"/>
  <c r="AC5243" i="2"/>
  <c r="AC5246" i="2"/>
  <c r="AC5254" i="2"/>
  <c r="AC5262" i="2"/>
  <c r="AC5265" i="2"/>
  <c r="AC5273" i="2"/>
  <c r="AC5276" i="2"/>
  <c r="AC5280" i="2"/>
  <c r="AC5284" i="2"/>
  <c r="AC5288" i="2"/>
  <c r="AC5292" i="2"/>
  <c r="AC5296" i="2"/>
  <c r="AC4022" i="2"/>
  <c r="AC4117" i="2"/>
  <c r="AC3038" i="2"/>
  <c r="AC3040" i="2"/>
  <c r="AC3042" i="2"/>
  <c r="AC3044" i="2"/>
  <c r="AC3046" i="2"/>
  <c r="AC3062" i="2"/>
  <c r="AC3070" i="2"/>
  <c r="AC3072" i="2"/>
  <c r="AC3088" i="2"/>
  <c r="AC3096" i="2"/>
  <c r="AC3100" i="2"/>
  <c r="AC3114" i="2"/>
  <c r="AC3120" i="2"/>
  <c r="AC3124" i="2"/>
  <c r="AC3136" i="2"/>
  <c r="AC3408" i="2"/>
  <c r="AC3489" i="2"/>
  <c r="AC3497" i="2"/>
  <c r="AC3505" i="2"/>
  <c r="AC3521" i="2"/>
  <c r="AC3545" i="2"/>
  <c r="AC3814" i="2"/>
  <c r="AC4242" i="2"/>
  <c r="AC4456" i="2"/>
  <c r="AC4511" i="2"/>
  <c r="AC4574" i="2"/>
  <c r="AC4582" i="2"/>
  <c r="AC4595" i="2"/>
  <c r="AC4603" i="2"/>
  <c r="AC4611" i="2"/>
  <c r="AC4619" i="2"/>
  <c r="AC4627" i="2"/>
  <c r="AC4635" i="2"/>
  <c r="AC4643" i="2"/>
  <c r="AC4648" i="2"/>
  <c r="AC4815" i="2"/>
  <c r="AC4817" i="2"/>
  <c r="AC4819" i="2"/>
  <c r="AC4821" i="2"/>
  <c r="AC4823" i="2"/>
  <c r="AC4825" i="2"/>
  <c r="AC4827" i="2"/>
  <c r="AC4829" i="2"/>
  <c r="AC4831" i="2"/>
  <c r="AC4833" i="2"/>
  <c r="AC4835" i="2"/>
  <c r="AC4837" i="2"/>
  <c r="AC4839" i="2"/>
  <c r="AC4841" i="2"/>
  <c r="AC4843" i="2"/>
  <c r="AC4845" i="2"/>
  <c r="AC4847" i="2"/>
  <c r="AC4849" i="2"/>
  <c r="AC4851" i="2"/>
  <c r="AC4853" i="2"/>
  <c r="AC4855" i="2"/>
  <c r="AC4857" i="2"/>
  <c r="AC4859" i="2"/>
  <c r="AC4861" i="2"/>
  <c r="AC4863" i="2"/>
  <c r="AC4865" i="2"/>
  <c r="AC4867" i="2"/>
  <c r="AC4869" i="2"/>
  <c r="AC4871" i="2"/>
  <c r="AC5032" i="2"/>
  <c r="AC5034" i="2"/>
  <c r="AC5036" i="2"/>
  <c r="AC5038" i="2"/>
  <c r="AC5040" i="2"/>
  <c r="AC5042" i="2"/>
  <c r="AC5046" i="2"/>
  <c r="AC5048" i="2"/>
  <c r="AC5050" i="2"/>
  <c r="AC5052" i="2"/>
  <c r="AC5054" i="2"/>
  <c r="AC5056" i="2"/>
  <c r="AC5058" i="2"/>
  <c r="AC5062" i="2"/>
  <c r="AC5064" i="2"/>
  <c r="AC5066" i="2"/>
  <c r="AC5068" i="2"/>
  <c r="AC5070" i="2"/>
  <c r="AC5072" i="2"/>
  <c r="AC5074" i="2"/>
  <c r="AC5076" i="2"/>
  <c r="AC5078" i="2"/>
  <c r="AC5080" i="2"/>
  <c r="AC5082" i="2"/>
  <c r="AC5084" i="2"/>
  <c r="AC5086" i="2"/>
  <c r="AC5088" i="2"/>
  <c r="AC5090" i="2"/>
  <c r="AC5092" i="2"/>
  <c r="AC5094" i="2"/>
  <c r="AC5096" i="2"/>
  <c r="AC5098" i="2"/>
  <c r="AC5100" i="2"/>
  <c r="AC5102" i="2"/>
  <c r="AC5104" i="2"/>
  <c r="AC5106" i="2"/>
  <c r="AC5108" i="2"/>
  <c r="AC5110" i="2"/>
  <c r="AC5112" i="2"/>
  <c r="AC5114" i="2"/>
  <c r="AC5116" i="2"/>
  <c r="AC5118" i="2"/>
  <c r="AC5120" i="2"/>
  <c r="AC5122" i="2"/>
  <c r="AC5124" i="2"/>
  <c r="AC5126" i="2"/>
  <c r="AC5128" i="2"/>
  <c r="AC5130" i="2"/>
  <c r="AC5132" i="2"/>
  <c r="AC5134" i="2"/>
  <c r="AC5136" i="2"/>
  <c r="AC5138" i="2"/>
  <c r="AC5140" i="2"/>
  <c r="AC5142" i="2"/>
  <c r="AC5144" i="2"/>
  <c r="AC5146" i="2"/>
  <c r="AC5148" i="2"/>
  <c r="AC5150" i="2"/>
  <c r="AC5152" i="2"/>
  <c r="AC5154" i="2"/>
  <c r="AC5156" i="2"/>
  <c r="AC5158" i="2"/>
  <c r="AC5160" i="2"/>
  <c r="AC5162" i="2"/>
  <c r="AC5164" i="2"/>
  <c r="AC5166" i="2"/>
  <c r="AC5168" i="2"/>
  <c r="AC5257" i="2"/>
  <c r="AC5268" i="2"/>
  <c r="AC5300" i="2"/>
  <c r="R78" i="3"/>
  <c r="T78" i="3" s="1"/>
  <c r="U78" i="3" s="1"/>
  <c r="V78" i="3" s="1"/>
  <c r="AC3550" i="2"/>
  <c r="AC3558" i="2"/>
  <c r="AC3566" i="2"/>
  <c r="AC3579" i="2"/>
  <c r="AC3587" i="2"/>
  <c r="AC3619" i="2"/>
  <c r="AC3627" i="2"/>
  <c r="AC3635" i="2"/>
  <c r="AC3643" i="2"/>
  <c r="AC3651" i="2"/>
  <c r="AC3667" i="2"/>
  <c r="AC3675" i="2"/>
  <c r="AC3683" i="2"/>
  <c r="AC3691" i="2"/>
  <c r="AC3699" i="2"/>
  <c r="AC3707" i="2"/>
  <c r="AC3715" i="2"/>
  <c r="AC3731" i="2"/>
  <c r="AC3739" i="2"/>
  <c r="AC3747" i="2"/>
  <c r="AC3755" i="2"/>
  <c r="AC3763" i="2"/>
  <c r="AC3771" i="2"/>
  <c r="AC3779" i="2"/>
  <c r="AC3795" i="2"/>
  <c r="AC3803" i="2"/>
  <c r="AC3811" i="2"/>
  <c r="AC3819" i="2"/>
  <c r="AC3827" i="2"/>
  <c r="AC3840" i="2"/>
  <c r="AC3848" i="2"/>
  <c r="AC3864" i="2"/>
  <c r="AC3872" i="2"/>
  <c r="AC3880" i="2"/>
  <c r="AC3888" i="2"/>
  <c r="AC3896" i="2"/>
  <c r="AC3904" i="2"/>
  <c r="AC3912" i="2"/>
  <c r="AC3928" i="2"/>
  <c r="AC3936" i="2"/>
  <c r="AC3944" i="2"/>
  <c r="AC3952" i="2"/>
  <c r="AC3960" i="2"/>
  <c r="AC3968" i="2"/>
  <c r="AC3976" i="2"/>
  <c r="AC3992" i="2"/>
  <c r="AC4000" i="2"/>
  <c r="AC4008" i="2"/>
  <c r="AC4016" i="2"/>
  <c r="AC4024" i="2"/>
  <c r="AC4032" i="2"/>
  <c r="AC4040" i="2"/>
  <c r="AC4056" i="2"/>
  <c r="AC4064" i="2"/>
  <c r="AC4072" i="2"/>
  <c r="AC4080" i="2"/>
  <c r="AC4085" i="2"/>
  <c r="AC4090" i="2"/>
  <c r="AC4098" i="2"/>
  <c r="AC4111" i="2"/>
  <c r="AC4119" i="2"/>
  <c r="AC4127" i="2"/>
  <c r="AC4135" i="2"/>
  <c r="AC4143" i="2"/>
  <c r="AC4151" i="2"/>
  <c r="AC4159" i="2"/>
  <c r="AC4175" i="2"/>
  <c r="AC4183" i="2"/>
  <c r="AC4191" i="2"/>
  <c r="AC4199" i="2"/>
  <c r="AC4207" i="2"/>
  <c r="AC4215" i="2"/>
  <c r="AC4223" i="2"/>
  <c r="AC4239" i="2"/>
  <c r="AC4247" i="2"/>
  <c r="AC4255" i="2"/>
  <c r="AC4268" i="2"/>
  <c r="AC4276" i="2"/>
  <c r="AC4284" i="2"/>
  <c r="AC4292" i="2"/>
  <c r="AC4308" i="2"/>
  <c r="AC4316" i="2"/>
  <c r="AC4324" i="2"/>
  <c r="AC4337" i="2"/>
  <c r="AC4350" i="2"/>
  <c r="AC4358" i="2"/>
  <c r="AC4366" i="2"/>
  <c r="AC4374" i="2"/>
  <c r="AC4382" i="2"/>
  <c r="AC4390" i="2"/>
  <c r="AC4397" i="2"/>
  <c r="AC4405" i="2"/>
  <c r="AC4413" i="2"/>
  <c r="AC4421" i="2"/>
  <c r="AC4429" i="2"/>
  <c r="AC4437" i="2"/>
  <c r="AC4445" i="2"/>
  <c r="AC4453" i="2"/>
  <c r="AC4461" i="2"/>
  <c r="AC4469" i="2"/>
  <c r="AC4477" i="2"/>
  <c r="AC4485" i="2"/>
  <c r="AC4493" i="2"/>
  <c r="AC4501" i="2"/>
  <c r="AC4516" i="2"/>
  <c r="AC4524" i="2"/>
  <c r="AC4532" i="2"/>
  <c r="AC4540" i="2"/>
  <c r="AC4545" i="2"/>
  <c r="AC4550" i="2"/>
  <c r="AC4558" i="2"/>
  <c r="AC4563" i="2"/>
  <c r="AC4571" i="2"/>
  <c r="AC4579" i="2"/>
  <c r="AC4587" i="2"/>
  <c r="AC4592" i="2"/>
  <c r="AC4600" i="2"/>
  <c r="AC4608" i="2"/>
  <c r="AC4616" i="2"/>
  <c r="AC4624" i="2"/>
  <c r="AC4632" i="2"/>
  <c r="AC4640" i="2"/>
  <c r="AC4645" i="2"/>
  <c r="AC4653" i="2"/>
  <c r="AC4665" i="2"/>
  <c r="AC4667" i="2"/>
  <c r="AC4669" i="2"/>
  <c r="AC4671" i="2"/>
  <c r="AC4673" i="2"/>
  <c r="AC4675" i="2"/>
  <c r="AC4677" i="2"/>
  <c r="AC4679" i="2"/>
  <c r="AC4681" i="2"/>
  <c r="AC4683" i="2"/>
  <c r="AC4781" i="2"/>
  <c r="AC4783" i="2"/>
  <c r="AC4785" i="2"/>
  <c r="AC4787" i="2"/>
  <c r="AC4789" i="2"/>
  <c r="AC4791" i="2"/>
  <c r="AC4793" i="2"/>
  <c r="AC4795" i="2"/>
  <c r="AC4797" i="2"/>
  <c r="AC4799" i="2"/>
  <c r="AC4801" i="2"/>
  <c r="AC4803" i="2"/>
  <c r="AC4805" i="2"/>
  <c r="AC4807" i="2"/>
  <c r="AC4809" i="2"/>
  <c r="AC4811" i="2"/>
  <c r="AA4813" i="2"/>
  <c r="AB4813" i="2" s="1"/>
  <c r="AC4873" i="2"/>
  <c r="AC4875" i="2"/>
  <c r="AC4877" i="2"/>
  <c r="AC4879" i="2"/>
  <c r="AC4881" i="2"/>
  <c r="AC4883" i="2"/>
  <c r="AC4885" i="2"/>
  <c r="AC4887" i="2"/>
  <c r="AC4889" i="2"/>
  <c r="AC4891" i="2"/>
  <c r="AC4893" i="2"/>
  <c r="AC4895" i="2"/>
  <c r="AC4897" i="2"/>
  <c r="AC4899" i="2"/>
  <c r="AC4901" i="2"/>
  <c r="AC4903" i="2"/>
  <c r="AC4905" i="2"/>
  <c r="AC4907" i="2"/>
  <c r="AC5002" i="2"/>
  <c r="AC5004" i="2"/>
  <c r="AC5006" i="2"/>
  <c r="AC5008" i="2"/>
  <c r="AC5010" i="2"/>
  <c r="AC5012" i="2"/>
  <c r="AC5014" i="2"/>
  <c r="AC5016" i="2"/>
  <c r="AC5018" i="2"/>
  <c r="AC5020" i="2"/>
  <c r="AC5022" i="2"/>
  <c r="AC5024" i="2"/>
  <c r="AC5026" i="2"/>
  <c r="AC5028" i="2"/>
  <c r="AC5030" i="2"/>
  <c r="AC5189" i="2"/>
  <c r="AC5191" i="2"/>
  <c r="AC5193" i="2"/>
  <c r="AC5195" i="2"/>
  <c r="AC5197" i="2"/>
  <c r="AC5199" i="2"/>
  <c r="AC5201" i="2"/>
  <c r="AC5203" i="2"/>
  <c r="AC5205" i="2"/>
  <c r="AC5207" i="2"/>
  <c r="AC5209" i="2"/>
  <c r="AC5211" i="2"/>
  <c r="AC5213" i="2"/>
  <c r="AC5215" i="2"/>
  <c r="AC5217" i="2"/>
  <c r="AC5219" i="2"/>
  <c r="AC5221" i="2"/>
  <c r="AC5223" i="2"/>
  <c r="AC5225" i="2"/>
  <c r="AC5227" i="2"/>
  <c r="AC5229" i="2"/>
  <c r="AC5231" i="2"/>
  <c r="AC5233" i="2"/>
  <c r="AC5235" i="2"/>
  <c r="AC5237" i="2"/>
  <c r="AC5239" i="2"/>
  <c r="AC5241" i="2"/>
  <c r="AC5252" i="2"/>
  <c r="AC5260" i="2"/>
  <c r="AC5271" i="2"/>
  <c r="AC5277" i="2"/>
  <c r="AC5281" i="2"/>
  <c r="AC5285" i="2"/>
  <c r="AC5289" i="2"/>
  <c r="AC5293" i="2"/>
  <c r="AC5297" i="2"/>
  <c r="AC2956" i="2"/>
  <c r="AC2964" i="2"/>
  <c r="AC3421" i="2"/>
  <c r="AC3423" i="2"/>
  <c r="AC3425" i="2"/>
  <c r="AC3435" i="2"/>
  <c r="AC3451" i="2"/>
  <c r="AC3459" i="2"/>
  <c r="AC3467" i="2"/>
  <c r="AC3475" i="2"/>
  <c r="AC3483" i="2"/>
  <c r="AC3491" i="2"/>
  <c r="AC3515" i="2"/>
  <c r="AC3523" i="2"/>
  <c r="AC3531" i="2"/>
  <c r="AC3539" i="2"/>
  <c r="AC3720" i="2"/>
  <c r="AC3973" i="2"/>
  <c r="AC4236" i="2"/>
  <c r="AC4490" i="2"/>
  <c r="AC4711" i="2"/>
  <c r="AC4775" i="2"/>
  <c r="AC4954" i="2"/>
  <c r="AC4956" i="2"/>
  <c r="AC4958" i="2"/>
  <c r="AC4960" i="2"/>
  <c r="AC4962" i="2"/>
  <c r="AC4964" i="2"/>
  <c r="AC4966" i="2"/>
  <c r="AC4968" i="2"/>
  <c r="AC4970" i="2"/>
  <c r="AC4972" i="2"/>
  <c r="AC4974" i="2"/>
  <c r="AC4976" i="2"/>
  <c r="AC4978" i="2"/>
  <c r="AC4980" i="2"/>
  <c r="AC4982" i="2"/>
  <c r="AC4984" i="2"/>
  <c r="AC4986" i="2"/>
  <c r="AC4988" i="2"/>
  <c r="AC4990" i="2"/>
  <c r="AC4994" i="2"/>
  <c r="AC4996" i="2"/>
  <c r="AC5175" i="2"/>
  <c r="AC5244" i="2"/>
  <c r="AC5247" i="2"/>
  <c r="AC5255" i="2"/>
  <c r="AC5263" i="2"/>
  <c r="AC5266" i="2"/>
  <c r="AC5274" i="2"/>
  <c r="AC5301" i="2"/>
  <c r="R106" i="3"/>
  <c r="T106" i="3" s="1"/>
  <c r="U106" i="3" s="1"/>
  <c r="V106" i="3" s="1"/>
  <c r="R77" i="3"/>
  <c r="T77" i="3" s="1"/>
  <c r="U77" i="3" s="1"/>
  <c r="V77" i="3" s="1"/>
  <c r="R103" i="3"/>
  <c r="T103" i="3" s="1"/>
  <c r="U103" i="3" s="1"/>
  <c r="V103" i="3" s="1"/>
  <c r="AC3411" i="2"/>
  <c r="AC3413" i="2"/>
  <c r="AC3419" i="2"/>
  <c r="AC3432" i="2"/>
  <c r="AC3448" i="2"/>
  <c r="AC3464" i="2"/>
  <c r="AC3472" i="2"/>
  <c r="AC3480" i="2"/>
  <c r="AC3496" i="2"/>
  <c r="AC3512" i="2"/>
  <c r="AC3528" i="2"/>
  <c r="AC3536" i="2"/>
  <c r="AC3544" i="2"/>
  <c r="AC3552" i="2"/>
  <c r="AC3560" i="2"/>
  <c r="AC3573" i="2"/>
  <c r="AC3581" i="2"/>
  <c r="AC3589" i="2"/>
  <c r="AC3597" i="2"/>
  <c r="AC3605" i="2"/>
  <c r="AC3613" i="2"/>
  <c r="AC3621" i="2"/>
  <c r="AC3637" i="2"/>
  <c r="AC3645" i="2"/>
  <c r="AC3653" i="2"/>
  <c r="AC3661" i="2"/>
  <c r="AC3669" i="2"/>
  <c r="AC3677" i="2"/>
  <c r="AC3685" i="2"/>
  <c r="AC3701" i="2"/>
  <c r="AC3709" i="2"/>
  <c r="AC3717" i="2"/>
  <c r="AC3725" i="2"/>
  <c r="AC3733" i="2"/>
  <c r="AC3741" i="2"/>
  <c r="AC3749" i="2"/>
  <c r="AC3765" i="2"/>
  <c r="AC3773" i="2"/>
  <c r="AC3781" i="2"/>
  <c r="AC3789" i="2"/>
  <c r="AC3797" i="2"/>
  <c r="AC3805" i="2"/>
  <c r="AC3813" i="2"/>
  <c r="AC3829" i="2"/>
  <c r="AC3834" i="2"/>
  <c r="AC3842" i="2"/>
  <c r="AC3850" i="2"/>
  <c r="AC3858" i="2"/>
  <c r="AC3866" i="2"/>
  <c r="AC3874" i="2"/>
  <c r="AC3890" i="2"/>
  <c r="AC3898" i="2"/>
  <c r="AC3906" i="2"/>
  <c r="AC3914" i="2"/>
  <c r="AC3922" i="2"/>
  <c r="AC3930" i="2"/>
  <c r="AC3938" i="2"/>
  <c r="AC3946" i="2"/>
  <c r="AC3954" i="2"/>
  <c r="AC3962" i="2"/>
  <c r="AC3970" i="2"/>
  <c r="AC3978" i="2"/>
  <c r="AC3986" i="2"/>
  <c r="AC3994" i="2"/>
  <c r="AC4002" i="2"/>
  <c r="AC4010" i="2"/>
  <c r="AC4018" i="2"/>
  <c r="AC4026" i="2"/>
  <c r="AC4034" i="2"/>
  <c r="AC4042" i="2"/>
  <c r="AC4050" i="2"/>
  <c r="AC4058" i="2"/>
  <c r="AC4066" i="2"/>
  <c r="AC4074" i="2"/>
  <c r="AC4082" i="2"/>
  <c r="AC4092" i="2"/>
  <c r="AC4100" i="2"/>
  <c r="AC4108" i="2"/>
  <c r="AC4121" i="2"/>
  <c r="AC4129" i="2"/>
  <c r="AC4137" i="2"/>
  <c r="AC4145" i="2"/>
  <c r="AC4153" i="2"/>
  <c r="AC4161" i="2"/>
  <c r="AC4169" i="2"/>
  <c r="AC4177" i="2"/>
  <c r="AC4185" i="2"/>
  <c r="AC4193" i="2"/>
  <c r="AC4201" i="2"/>
  <c r="AC4209" i="2"/>
  <c r="AC4217" i="2"/>
  <c r="AC4225" i="2"/>
  <c r="AC4233" i="2"/>
  <c r="AC4241" i="2"/>
  <c r="AC4249" i="2"/>
  <c r="AC4257" i="2"/>
  <c r="AC4270" i="2"/>
  <c r="AC4278" i="2"/>
  <c r="AC4286" i="2"/>
  <c r="AC4294" i="2"/>
  <c r="AC4302" i="2"/>
  <c r="AC4310" i="2"/>
  <c r="AC4318" i="2"/>
  <c r="AC4326" i="2"/>
  <c r="AC4331" i="2"/>
  <c r="AC4339" i="2"/>
  <c r="AC4344" i="2"/>
  <c r="AC4352" i="2"/>
  <c r="AC4360" i="2"/>
  <c r="AC4368" i="2"/>
  <c r="AC4376" i="2"/>
  <c r="AC4384" i="2"/>
  <c r="AC4399" i="2"/>
  <c r="AC4407" i="2"/>
  <c r="AC4415" i="2"/>
  <c r="AC4423" i="2"/>
  <c r="AC4431" i="2"/>
  <c r="AC4439" i="2"/>
  <c r="AC4447" i="2"/>
  <c r="AC4455" i="2"/>
  <c r="AC4463" i="2"/>
  <c r="AC4471" i="2"/>
  <c r="AC4479" i="2"/>
  <c r="AC4487" i="2"/>
  <c r="AC4495" i="2"/>
  <c r="AC4503" i="2"/>
  <c r="AC4508" i="2"/>
  <c r="AC4510" i="2"/>
  <c r="AC4518" i="2"/>
  <c r="AC4526" i="2"/>
  <c r="AC4534" i="2"/>
  <c r="AC4542" i="2"/>
  <c r="AC4547" i="2"/>
  <c r="AC4552" i="2"/>
  <c r="AC4560" i="2"/>
  <c r="AC4565" i="2"/>
  <c r="AC4573" i="2"/>
  <c r="AC4581" i="2"/>
  <c r="AC4589" i="2"/>
  <c r="AC4594" i="2"/>
  <c r="AC4602" i="2"/>
  <c r="AC4610" i="2"/>
  <c r="AC4618" i="2"/>
  <c r="AC4626" i="2"/>
  <c r="AC4634" i="2"/>
  <c r="AC4642" i="2"/>
  <c r="AC4647" i="2"/>
  <c r="AC4687" i="2"/>
  <c r="AC4689" i="2"/>
  <c r="AC4691" i="2"/>
  <c r="AC4693" i="2"/>
  <c r="AC4952" i="2"/>
  <c r="AC5250" i="2"/>
  <c r="R102" i="3"/>
  <c r="T102" i="3" s="1"/>
  <c r="U102" i="3" s="1"/>
  <c r="V102" i="3" s="1"/>
  <c r="O71" i="3"/>
  <c r="O63" i="3"/>
  <c r="O72" i="3"/>
  <c r="O80" i="3"/>
  <c r="O88" i="3"/>
  <c r="O96" i="3"/>
  <c r="O64" i="3"/>
  <c r="O73" i="3"/>
  <c r="O81" i="3"/>
  <c r="O89" i="3"/>
  <c r="O66" i="3"/>
  <c r="O75" i="3"/>
  <c r="O83" i="3"/>
  <c r="O91" i="3"/>
  <c r="O68" i="3"/>
  <c r="O76" i="3"/>
  <c r="O84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430" i="2"/>
  <c r="AC3393" i="2"/>
  <c r="AF3584" i="2"/>
  <c r="AF4031" i="2"/>
  <c r="AF4047" i="2"/>
  <c r="AF4105" i="2"/>
  <c r="AF4225" i="2"/>
  <c r="AF4233" i="2"/>
  <c r="AF3464" i="2"/>
  <c r="AC4812" i="2"/>
  <c r="AF4434" i="2"/>
  <c r="AF4365" i="2"/>
  <c r="AF3768" i="2"/>
  <c r="AF4326" i="2"/>
  <c r="AF4344" i="2"/>
  <c r="AF3906" i="2"/>
  <c r="AF4772" i="2"/>
  <c r="AF3597" i="2"/>
  <c r="AF4655" i="2"/>
  <c r="AF3520" i="2"/>
  <c r="AF3765" i="2"/>
  <c r="AF4466" i="2"/>
  <c r="AF4490" i="2"/>
  <c r="AF4743" i="2"/>
  <c r="AF4747" i="2"/>
  <c r="AF4759" i="2"/>
  <c r="AF4872" i="2"/>
  <c r="AF4706" i="2"/>
  <c r="AC3395" i="2"/>
  <c r="AF4249" i="2"/>
  <c r="AF4376" i="2"/>
  <c r="AF4402" i="2"/>
  <c r="AF4557" i="2"/>
  <c r="AF3368" i="2"/>
  <c r="AF3677" i="2"/>
  <c r="AF4707" i="2"/>
  <c r="AF4731" i="2"/>
  <c r="AF3926" i="2"/>
  <c r="AF3943" i="2"/>
  <c r="AF4071" i="2"/>
  <c r="AF4331" i="2"/>
  <c r="AF4565" i="2"/>
  <c r="AF4570" i="2"/>
  <c r="AF4608" i="2"/>
  <c r="AF4864" i="2"/>
  <c r="AF4868" i="2"/>
  <c r="AF4610" i="2"/>
  <c r="AF3480" i="2"/>
  <c r="AF3967" i="2"/>
  <c r="AF3983" i="2"/>
  <c r="AF4506" i="2"/>
  <c r="AH4731" i="2"/>
  <c r="AF4878" i="2"/>
  <c r="AF3565" i="2"/>
  <c r="AF3531" i="2"/>
  <c r="AF3539" i="2"/>
  <c r="AF3690" i="2"/>
  <c r="AF3704" i="2"/>
  <c r="AF3837" i="2"/>
  <c r="AF3900" i="2"/>
  <c r="AF4220" i="2"/>
  <c r="AF2939" i="2"/>
  <c r="AF3555" i="2"/>
  <c r="AF3586" i="2"/>
  <c r="AF3866" i="2"/>
  <c r="AF4187" i="2"/>
  <c r="AF4195" i="2"/>
  <c r="AF4252" i="2"/>
  <c r="AF4614" i="2"/>
  <c r="AF3451" i="2"/>
  <c r="AF3847" i="2"/>
  <c r="AF3863" i="2"/>
  <c r="AF4074" i="2"/>
  <c r="AF4092" i="2"/>
  <c r="AF4222" i="2"/>
  <c r="AF4265" i="2"/>
  <c r="AF4297" i="2"/>
  <c r="AF4377" i="2"/>
  <c r="AF4499" i="2"/>
  <c r="AF4738" i="2"/>
  <c r="AF4773" i="2"/>
  <c r="AF4906" i="2"/>
  <c r="AF3402" i="2"/>
  <c r="AC3329" i="2"/>
  <c r="AF3832" i="2"/>
  <c r="AF2875" i="2"/>
  <c r="AC3335" i="2"/>
  <c r="AF3446" i="2"/>
  <c r="AF3528" i="2"/>
  <c r="AF3547" i="2"/>
  <c r="AF3760" i="2"/>
  <c r="AC3317" i="2"/>
  <c r="AF2979" i="2"/>
  <c r="AF2987" i="2"/>
  <c r="AH4685" i="2"/>
  <c r="AF4685" i="2"/>
  <c r="AF3592" i="2"/>
  <c r="AF3674" i="2"/>
  <c r="AF3834" i="2"/>
  <c r="AF3892" i="2"/>
  <c r="AF3927" i="2"/>
  <c r="AF3933" i="2"/>
  <c r="AF4058" i="2"/>
  <c r="AF4108" i="2"/>
  <c r="AF4212" i="2"/>
  <c r="AF4282" i="2"/>
  <c r="AF4346" i="2"/>
  <c r="AF4360" i="2"/>
  <c r="AF4678" i="2"/>
  <c r="AF4767" i="2"/>
  <c r="AF4836" i="2"/>
  <c r="AF4573" i="2"/>
  <c r="AF4576" i="2"/>
  <c r="AF4584" i="2"/>
  <c r="AF4709" i="2"/>
  <c r="AF4063" i="2"/>
  <c r="AF4079" i="2"/>
  <c r="AF4089" i="2"/>
  <c r="AF4246" i="2"/>
  <c r="AF4254" i="2"/>
  <c r="AF4267" i="2"/>
  <c r="AF4474" i="2"/>
  <c r="AF4589" i="2"/>
  <c r="AF4651" i="2"/>
  <c r="AF4717" i="2"/>
  <c r="AF4719" i="2"/>
  <c r="AF4840" i="2"/>
  <c r="AF3706" i="2"/>
  <c r="AF3730" i="2"/>
  <c r="AF3877" i="2"/>
  <c r="AF3951" i="2"/>
  <c r="AF4100" i="2"/>
  <c r="AF4103" i="2"/>
  <c r="AF4440" i="2"/>
  <c r="AF4542" i="2"/>
  <c r="AF4699" i="2"/>
  <c r="AF4725" i="2"/>
  <c r="AC4813" i="2"/>
  <c r="AF4820" i="2"/>
  <c r="AF3874" i="2"/>
  <c r="AF3922" i="2"/>
  <c r="AF3975" i="2"/>
  <c r="AF4042" i="2"/>
  <c r="AF4302" i="2"/>
  <c r="AF4355" i="2"/>
  <c r="AF4381" i="2"/>
  <c r="AF4384" i="2"/>
  <c r="AF4637" i="2"/>
  <c r="AF4701" i="2"/>
  <c r="AF4703" i="2"/>
  <c r="AF4313" i="2"/>
  <c r="AF4339" i="2"/>
  <c r="AF4613" i="2"/>
  <c r="AF4692" i="2"/>
  <c r="AF2809" i="2"/>
  <c r="AC3311" i="2"/>
  <c r="AA3311" i="2"/>
  <c r="AF2958" i="2"/>
  <c r="AC3349" i="2"/>
  <c r="AA3349" i="2"/>
  <c r="AB3349" i="2" s="1"/>
  <c r="AK3349" i="2" s="1"/>
  <c r="AH3388" i="2"/>
  <c r="AH3306" i="2"/>
  <c r="AF2883" i="2"/>
  <c r="AF3744" i="2"/>
  <c r="AF3003" i="2"/>
  <c r="AC3333" i="2"/>
  <c r="AF3427" i="2"/>
  <c r="AF3350" i="2"/>
  <c r="AF3398" i="2"/>
  <c r="AF3515" i="2"/>
  <c r="AF3560" i="2"/>
  <c r="AF3621" i="2"/>
  <c r="AF3642" i="2"/>
  <c r="AF3666" i="2"/>
  <c r="AF3776" i="2"/>
  <c r="AF3805" i="2"/>
  <c r="AF3831" i="2"/>
  <c r="AF3879" i="2"/>
  <c r="AF3919" i="2"/>
  <c r="AF4055" i="2"/>
  <c r="AF3370" i="2"/>
  <c r="AF3542" i="2"/>
  <c r="AF3645" i="2"/>
  <c r="AF3714" i="2"/>
  <c r="AF3717" i="2"/>
  <c r="AF3752" i="2"/>
  <c r="AF3770" i="2"/>
  <c r="AF4275" i="2"/>
  <c r="AF3749" i="2"/>
  <c r="AF3784" i="2"/>
  <c r="AF4077" i="2"/>
  <c r="AF4206" i="2"/>
  <c r="AF3376" i="2"/>
  <c r="AF3475" i="2"/>
  <c r="AF3536" i="2"/>
  <c r="AF3589" i="2"/>
  <c r="AF3605" i="2"/>
  <c r="AF3653" i="2"/>
  <c r="AF3766" i="2"/>
  <c r="AF3778" i="2"/>
  <c r="AF3789" i="2"/>
  <c r="AF3792" i="2"/>
  <c r="AF3807" i="2"/>
  <c r="AF3903" i="2"/>
  <c r="AF3800" i="2"/>
  <c r="AF3496" i="2"/>
  <c r="AF3552" i="2"/>
  <c r="AF3661" i="2"/>
  <c r="AF3738" i="2"/>
  <c r="AF3741" i="2"/>
  <c r="AF3794" i="2"/>
  <c r="AF3818" i="2"/>
  <c r="AF3902" i="2"/>
  <c r="AF3988" i="2"/>
  <c r="AF4228" i="2"/>
  <c r="AF4442" i="2"/>
  <c r="AF3895" i="2"/>
  <c r="AF3898" i="2"/>
  <c r="AF3911" i="2"/>
  <c r="AF3914" i="2"/>
  <c r="AF3924" i="2"/>
  <c r="AF3984" i="2"/>
  <c r="AF4023" i="2"/>
  <c r="AF4029" i="2"/>
  <c r="AF4082" i="2"/>
  <c r="AF4097" i="2"/>
  <c r="AF4141" i="2"/>
  <c r="AF4189" i="2"/>
  <c r="AF4230" i="2"/>
  <c r="AF4260" i="2"/>
  <c r="AF4286" i="2"/>
  <c r="AF4310" i="2"/>
  <c r="AF4318" i="2"/>
  <c r="AF4334" i="2"/>
  <c r="AF4349" i="2"/>
  <c r="AF4352" i="2"/>
  <c r="AF4373" i="2"/>
  <c r="AF4410" i="2"/>
  <c r="AF4426" i="2"/>
  <c r="AF4447" i="2"/>
  <c r="AF4755" i="2"/>
  <c r="AH4755" i="2"/>
  <c r="AF3842" i="2"/>
  <c r="AF3871" i="2"/>
  <c r="AF3959" i="2"/>
  <c r="AF3965" i="2"/>
  <c r="AF4007" i="2"/>
  <c r="AF4010" i="2"/>
  <c r="AF4016" i="2"/>
  <c r="AF4061" i="2"/>
  <c r="AF4087" i="2"/>
  <c r="AF4159" i="2"/>
  <c r="AF4217" i="2"/>
  <c r="AF4238" i="2"/>
  <c r="AF4307" i="2"/>
  <c r="AF4315" i="2"/>
  <c r="AF4357" i="2"/>
  <c r="AF4441" i="2"/>
  <c r="AF3989" i="2"/>
  <c r="AF4013" i="2"/>
  <c r="AF4034" i="2"/>
  <c r="AF4037" i="2"/>
  <c r="AF4072" i="2"/>
  <c r="AF4110" i="2"/>
  <c r="AF4294" i="2"/>
  <c r="AF4336" i="2"/>
  <c r="AF4342" i="2"/>
  <c r="AF4389" i="2"/>
  <c r="AF3829" i="2"/>
  <c r="AF3855" i="2"/>
  <c r="AF3887" i="2"/>
  <c r="AF3935" i="2"/>
  <c r="AF3970" i="2"/>
  <c r="AF3991" i="2"/>
  <c r="AF3994" i="2"/>
  <c r="AF4015" i="2"/>
  <c r="AF4039" i="2"/>
  <c r="AF4053" i="2"/>
  <c r="AF4231" i="2"/>
  <c r="AF4291" i="2"/>
  <c r="AF4323" i="2"/>
  <c r="AF4329" i="2"/>
  <c r="AF4386" i="2"/>
  <c r="AF4399" i="2"/>
  <c r="AF4479" i="2"/>
  <c r="AF4415" i="2"/>
  <c r="AF4455" i="2"/>
  <c r="AF4471" i="2"/>
  <c r="AF4476" i="2"/>
  <c r="AF4482" i="2"/>
  <c r="AF4498" i="2"/>
  <c r="AF4521" i="2"/>
  <c r="AF4585" i="2"/>
  <c r="AF4594" i="2"/>
  <c r="AF4661" i="2"/>
  <c r="AF4727" i="2"/>
  <c r="AF4762" i="2"/>
  <c r="AF4824" i="2"/>
  <c r="AF4606" i="2"/>
  <c r="AF4909" i="2"/>
  <c r="AF4647" i="2"/>
  <c r="AF4650" i="2"/>
  <c r="AF4715" i="2"/>
  <c r="AF4739" i="2"/>
  <c r="AF4423" i="2"/>
  <c r="AF4439" i="2"/>
  <c r="AF4444" i="2"/>
  <c r="AF4450" i="2"/>
  <c r="AF4463" i="2"/>
  <c r="AF4475" i="2"/>
  <c r="AF4503" i="2"/>
  <c r="AF4526" i="2"/>
  <c r="AF4560" i="2"/>
  <c r="AF4590" i="2"/>
  <c r="AF4686" i="2"/>
  <c r="AF4691" i="2"/>
  <c r="AF4754" i="2"/>
  <c r="AF4757" i="2"/>
  <c r="AF4568" i="2"/>
  <c r="AF4586" i="2"/>
  <c r="AF4599" i="2"/>
  <c r="AF4693" i="2"/>
  <c r="AF4756" i="2"/>
  <c r="AH4849" i="2"/>
  <c r="AF4882" i="2"/>
  <c r="AH4897" i="2"/>
  <c r="AF4894" i="2"/>
  <c r="AF4380" i="2"/>
  <c r="AF4407" i="2"/>
  <c r="AF4412" i="2"/>
  <c r="AF4418" i="2"/>
  <c r="AF4431" i="2"/>
  <c r="AF4437" i="2"/>
  <c r="AF4446" i="2"/>
  <c r="AF4458" i="2"/>
  <c r="AF4508" i="2"/>
  <c r="AF4522" i="2"/>
  <c r="AF4531" i="2"/>
  <c r="AF4546" i="2"/>
  <c r="AF4645" i="2"/>
  <c r="AF4659" i="2"/>
  <c r="AF4735" i="2"/>
  <c r="AF4758" i="2"/>
  <c r="AF4886" i="2"/>
  <c r="AF2974" i="2"/>
  <c r="AF3340" i="2"/>
  <c r="AF3440" i="2"/>
  <c r="AF3504" i="2"/>
  <c r="AF3549" i="2"/>
  <c r="AF3610" i="2"/>
  <c r="AH2788" i="2"/>
  <c r="AF2801" i="2"/>
  <c r="AF3362" i="2"/>
  <c r="AH3370" i="2"/>
  <c r="AF3378" i="2"/>
  <c r="AF2995" i="2"/>
  <c r="AA3327" i="2"/>
  <c r="AB3327" i="2" s="1"/>
  <c r="AK3327" i="2" s="1"/>
  <c r="AF3456" i="2"/>
  <c r="AF3486" i="2"/>
  <c r="AF3526" i="2"/>
  <c r="AF3658" i="2"/>
  <c r="AF2796" i="2"/>
  <c r="AA3307" i="2"/>
  <c r="AB3307" i="2" s="1"/>
  <c r="AA3365" i="2"/>
  <c r="AF3472" i="2"/>
  <c r="AF3512" i="2"/>
  <c r="AF3624" i="2"/>
  <c r="AF3366" i="2"/>
  <c r="AF3374" i="2"/>
  <c r="AF3448" i="2"/>
  <c r="AF3478" i="2"/>
  <c r="AF3518" i="2"/>
  <c r="AF3563" i="2"/>
  <c r="AF3669" i="2"/>
  <c r="AF3011" i="2"/>
  <c r="AF3348" i="2"/>
  <c r="AF3444" i="2"/>
  <c r="AF3454" i="2"/>
  <c r="AF3648" i="2"/>
  <c r="AH4802" i="2"/>
  <c r="AF4802" i="2"/>
  <c r="AF4822" i="2"/>
  <c r="AH4822" i="2"/>
  <c r="AF3600" i="2"/>
  <c r="AF3603" i="2"/>
  <c r="AF3629" i="2"/>
  <c r="AF3640" i="2"/>
  <c r="AF3722" i="2"/>
  <c r="AF3733" i="2"/>
  <c r="AF3786" i="2"/>
  <c r="AF3797" i="2"/>
  <c r="AF3845" i="2"/>
  <c r="AF3949" i="2"/>
  <c r="AF3978" i="2"/>
  <c r="AF3602" i="2"/>
  <c r="AF3613" i="2"/>
  <c r="AF3616" i="2"/>
  <c r="AF3650" i="2"/>
  <c r="AF3698" i="2"/>
  <c r="AF3709" i="2"/>
  <c r="AF3762" i="2"/>
  <c r="AF3773" i="2"/>
  <c r="AF3803" i="2"/>
  <c r="AF3826" i="2"/>
  <c r="AF3858" i="2"/>
  <c r="AF3869" i="2"/>
  <c r="AF3890" i="2"/>
  <c r="AF3954" i="2"/>
  <c r="AF3997" i="2"/>
  <c r="AC4267" i="2"/>
  <c r="AA4267" i="2"/>
  <c r="AB4267" i="2" s="1"/>
  <c r="AK4267" i="2" s="1"/>
  <c r="AF3544" i="2"/>
  <c r="AF3608" i="2"/>
  <c r="AF3634" i="2"/>
  <c r="AF3656" i="2"/>
  <c r="AF3682" i="2"/>
  <c r="AF3693" i="2"/>
  <c r="AF3746" i="2"/>
  <c r="AF3757" i="2"/>
  <c r="AF3810" i="2"/>
  <c r="AF3821" i="2"/>
  <c r="AF3850" i="2"/>
  <c r="AF3861" i="2"/>
  <c r="AF3882" i="2"/>
  <c r="AF3893" i="2"/>
  <c r="AF3901" i="2"/>
  <c r="AF3909" i="2"/>
  <c r="AF3917" i="2"/>
  <c r="AF3950" i="2"/>
  <c r="AF3973" i="2"/>
  <c r="AF3999" i="2"/>
  <c r="AH4684" i="2"/>
  <c r="AF4018" i="2"/>
  <c r="AF3986" i="2"/>
  <c r="AF4005" i="2"/>
  <c r="AF4050" i="2"/>
  <c r="AF4069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638" i="2"/>
  <c r="AH4654" i="2"/>
  <c r="AF4257" i="2"/>
  <c r="AF3962" i="2"/>
  <c r="AF3981" i="2"/>
  <c r="AF4026" i="2"/>
  <c r="AF404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09" i="2"/>
  <c r="AF4273" i="2"/>
  <c r="AF4607" i="2"/>
  <c r="AF4630" i="2"/>
  <c r="AF4214" i="2"/>
  <c r="AF4244" i="2"/>
  <c r="AF4278" i="2"/>
  <c r="AF4281" i="2"/>
  <c r="AF4371" i="2"/>
  <c r="AF4392" i="2"/>
  <c r="AF4529" i="2"/>
  <c r="AF4581" i="2"/>
  <c r="AF4603" i="2"/>
  <c r="AF3938" i="2"/>
  <c r="AF3957" i="2"/>
  <c r="AF4002" i="2"/>
  <c r="AF4021" i="2"/>
  <c r="AF4066" i="2"/>
  <c r="AF4088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36" i="2"/>
  <c r="AF4314" i="2"/>
  <c r="AF4622" i="2"/>
  <c r="AF4708" i="2"/>
  <c r="AF4299" i="2"/>
  <c r="AF4321" i="2"/>
  <c r="AF4356" i="2"/>
  <c r="AF4363" i="2"/>
  <c r="AF4404" i="2"/>
  <c r="AF4436" i="2"/>
  <c r="AF4468" i="2"/>
  <c r="AF4514" i="2"/>
  <c r="AF4539" i="2"/>
  <c r="AF4621" i="2"/>
  <c r="AF4629" i="2"/>
  <c r="AF4688" i="2"/>
  <c r="AH4749" i="2"/>
  <c r="AF4749" i="2"/>
  <c r="AH4771" i="2"/>
  <c r="AF4771" i="2"/>
  <c r="AH4819" i="2"/>
  <c r="AF4663" i="2"/>
  <c r="AF4687" i="2"/>
  <c r="AF4711" i="2"/>
  <c r="AH4786" i="2"/>
  <c r="AF4880" i="2"/>
  <c r="AH4880" i="2"/>
  <c r="AF4283" i="2"/>
  <c r="AF4305" i="2"/>
  <c r="AF4320" i="2"/>
  <c r="AF4387" i="2"/>
  <c r="AF4396" i="2"/>
  <c r="AF4428" i="2"/>
  <c r="AF4460" i="2"/>
  <c r="AF4513" i="2"/>
  <c r="AF4523" i="2"/>
  <c r="AF4552" i="2"/>
  <c r="AF4555" i="2"/>
  <c r="AF4562" i="2"/>
  <c r="AF4598" i="2"/>
  <c r="AF4605" i="2"/>
  <c r="AH4693" i="2"/>
  <c r="AF4698" i="2"/>
  <c r="AF4723" i="2"/>
  <c r="AF4746" i="2"/>
  <c r="AH4851" i="2"/>
  <c r="AH4877" i="2"/>
  <c r="AF4695" i="2"/>
  <c r="AF4700" i="2"/>
  <c r="AF4716" i="2"/>
  <c r="AH4741" i="2"/>
  <c r="AF4741" i="2"/>
  <c r="AH4857" i="2"/>
  <c r="AF4270" i="2"/>
  <c r="AF4289" i="2"/>
  <c r="AF4379" i="2"/>
  <c r="AF4420" i="2"/>
  <c r="AF4452" i="2"/>
  <c r="AF4484" i="2"/>
  <c r="AF4515" i="2"/>
  <c r="AF4544" i="2"/>
  <c r="AF4597" i="2"/>
  <c r="AF4623" i="2"/>
  <c r="AF4631" i="2"/>
  <c r="AF4639" i="2"/>
  <c r="AF4750" i="2"/>
  <c r="AF4763" i="2"/>
  <c r="AH4763" i="2"/>
  <c r="AH4848" i="2"/>
  <c r="AF4848" i="2"/>
  <c r="AA4874" i="2"/>
  <c r="AB4874" i="2" s="1"/>
  <c r="AK4874" i="2" s="1"/>
  <c r="AC4874" i="2"/>
  <c r="AF4368" i="2"/>
  <c r="AF4459" i="2"/>
  <c r="AF4533" i="2"/>
  <c r="AF4537" i="2"/>
  <c r="AF4547" i="2"/>
  <c r="AF4578" i="2"/>
  <c r="AF4615" i="2"/>
  <c r="AF4740" i="2"/>
  <c r="AF4765" i="2"/>
  <c r="AF4828" i="2"/>
  <c r="AF4860" i="2"/>
  <c r="AF4888" i="2"/>
  <c r="AF4899" i="2"/>
  <c r="AF4902" i="2"/>
  <c r="AF4816" i="2"/>
  <c r="AF4874" i="2"/>
  <c r="AF4742" i="2"/>
  <c r="AF4787" i="2"/>
  <c r="AH4816" i="2"/>
  <c r="AH4833" i="2"/>
  <c r="AF4856" i="2"/>
  <c r="AH4859" i="2"/>
  <c r="AH4865" i="2"/>
  <c r="AH4874" i="2"/>
  <c r="AF4890" i="2"/>
  <c r="AF4844" i="2"/>
  <c r="AH4847" i="2"/>
  <c r="AH4882" i="2"/>
  <c r="AF4898" i="2"/>
  <c r="AF4733" i="2"/>
  <c r="AF4751" i="2"/>
  <c r="AA4828" i="2"/>
  <c r="AH4829" i="2"/>
  <c r="AF4852" i="2"/>
  <c r="AH4855" i="2"/>
  <c r="AA2780" i="2"/>
  <c r="AB2780" i="2" s="1"/>
  <c r="AF3006" i="2"/>
  <c r="AH3304" i="2"/>
  <c r="AH3320" i="2"/>
  <c r="AC3325" i="2"/>
  <c r="AA3325" i="2"/>
  <c r="AB3325" i="2" s="1"/>
  <c r="AK3325" i="2" s="1"/>
  <c r="AA3331" i="2"/>
  <c r="AH3344" i="2"/>
  <c r="AF3344" i="2"/>
  <c r="AF3338" i="2"/>
  <c r="AH3312" i="2"/>
  <c r="AC3323" i="2"/>
  <c r="AA3323" i="2"/>
  <c r="AB3323" i="2" s="1"/>
  <c r="AH3330" i="2"/>
  <c r="AF3330" i="2"/>
  <c r="AC3345" i="2"/>
  <c r="AF3334" i="2"/>
  <c r="AF3336" i="2"/>
  <c r="AF3384" i="2"/>
  <c r="AF3394" i="2"/>
  <c r="AH3396" i="2"/>
  <c r="AF3404" i="2"/>
  <c r="AF3372" i="2"/>
  <c r="AF3382" i="2"/>
  <c r="AF3328" i="2"/>
  <c r="AA3383" i="2"/>
  <c r="AB3383" i="2" s="1"/>
  <c r="AK3383" i="2" s="1"/>
  <c r="AF3386" i="2"/>
  <c r="AC4262" i="2"/>
  <c r="AA4262" i="2"/>
  <c r="R79" i="3" s="1"/>
  <c r="T79" i="3" s="1"/>
  <c r="U79" i="3" s="1"/>
  <c r="V79" i="3" s="1"/>
  <c r="AH4825" i="2"/>
  <c r="AF4825" i="2"/>
  <c r="AH4883" i="2"/>
  <c r="AF4262" i="2"/>
  <c r="AF4241" i="2"/>
  <c r="AC4264" i="2"/>
  <c r="AA4264" i="2"/>
  <c r="AB4264" i="2" s="1"/>
  <c r="AK4264" i="2" s="1"/>
  <c r="AF4347" i="2"/>
  <c r="AF4253" i="2"/>
  <c r="AC4263" i="2"/>
  <c r="AA4263" i="2"/>
  <c r="AC4265" i="2"/>
  <c r="AA4265" i="2"/>
  <c r="AF4487" i="2"/>
  <c r="AF4492" i="2"/>
  <c r="AF4518" i="2"/>
  <c r="AH4689" i="2"/>
  <c r="AF4689" i="2"/>
  <c r="AF4626" i="2"/>
  <c r="AF4634" i="2"/>
  <c r="AF4642" i="2"/>
  <c r="AH4779" i="2"/>
  <c r="AF4779" i="2"/>
  <c r="AF4510" i="2"/>
  <c r="AF4618" i="2"/>
  <c r="AH4696" i="2"/>
  <c r="AF4495" i="2"/>
  <c r="AF4602" i="2"/>
  <c r="AF4534" i="2"/>
  <c r="AF4744" i="2"/>
  <c r="AF4657" i="2"/>
  <c r="AF4672" i="2"/>
  <c r="AF4690" i="2"/>
  <c r="AF4697" i="2"/>
  <c r="AF4705" i="2"/>
  <c r="AF4713" i="2"/>
  <c r="AF4721" i="2"/>
  <c r="AF4729" i="2"/>
  <c r="AF4737" i="2"/>
  <c r="AF4745" i="2"/>
  <c r="AF4753" i="2"/>
  <c r="AF4761" i="2"/>
  <c r="AH4808" i="2"/>
  <c r="AH4842" i="2"/>
  <c r="AF4842" i="2"/>
  <c r="AH4891" i="2"/>
  <c r="AH4784" i="2"/>
  <c r="AH4850" i="2"/>
  <c r="AF4850" i="2"/>
  <c r="AF4769" i="2"/>
  <c r="AH4792" i="2"/>
  <c r="AH4858" i="2"/>
  <c r="AF4858" i="2"/>
  <c r="AF4775" i="2"/>
  <c r="AH4900" i="2"/>
  <c r="AF4900" i="2"/>
  <c r="AH4777" i="2"/>
  <c r="AF4777" i="2"/>
  <c r="AH4800" i="2"/>
  <c r="AF4800" i="2"/>
  <c r="AH4817" i="2"/>
  <c r="AH4834" i="2"/>
  <c r="AF4834" i="2"/>
  <c r="AH4866" i="2"/>
  <c r="AF4866" i="2"/>
  <c r="AH4875" i="2"/>
  <c r="AH4908" i="2"/>
  <c r="AF4908" i="2"/>
  <c r="AF4801" i="2"/>
  <c r="AF4818" i="2"/>
  <c r="AF4826" i="2"/>
  <c r="AF4876" i="2"/>
  <c r="AF4884" i="2"/>
  <c r="AF4892" i="2"/>
  <c r="AF4901" i="2"/>
  <c r="AA4893" i="2"/>
  <c r="AB4893" i="2" s="1"/>
  <c r="AK4893" i="2" s="1"/>
  <c r="AF4814" i="2"/>
  <c r="AF4830" i="2"/>
  <c r="AF4838" i="2"/>
  <c r="AF4846" i="2"/>
  <c r="AF4854" i="2"/>
  <c r="AF4862" i="2"/>
  <c r="AF4870" i="2"/>
  <c r="AF4896" i="2"/>
  <c r="AF4904" i="2"/>
  <c r="AF5240" i="2"/>
  <c r="L67" i="3"/>
  <c r="O67" i="3"/>
  <c r="X2126" i="2"/>
  <c r="AC2126" i="2" s="1"/>
  <c r="W338" i="2"/>
  <c r="X2364" i="2"/>
  <c r="AC2364" i="2" s="1"/>
  <c r="W2480" i="2"/>
  <c r="W2361" i="2"/>
  <c r="X2361" i="2"/>
  <c r="AB2361" i="2" s="1"/>
  <c r="AH2762" i="2"/>
  <c r="X2762" i="2"/>
  <c r="W2762" i="2"/>
  <c r="AD2762" i="2"/>
  <c r="AF2762" i="2" s="1"/>
  <c r="AD2761" i="2"/>
  <c r="AD2760" i="2"/>
  <c r="X2761" i="2"/>
  <c r="AB2761" i="2" s="1"/>
  <c r="W2761" i="2"/>
  <c r="X2760" i="2"/>
  <c r="AB2760" i="2" s="1"/>
  <c r="AK2760" i="2" s="1"/>
  <c r="W2760" i="2"/>
  <c r="V122" i="2"/>
  <c r="V166" i="2"/>
  <c r="W334" i="2"/>
  <c r="W66" i="2"/>
  <c r="AH2759" i="2"/>
  <c r="AD2759" i="2"/>
  <c r="AF2759" i="2" s="1"/>
  <c r="X2759" i="2"/>
  <c r="W2759" i="2"/>
  <c r="V69" i="2"/>
  <c r="V147" i="2"/>
  <c r="W147" i="2"/>
  <c r="AH2758" i="2"/>
  <c r="AD2758" i="2"/>
  <c r="AF2758" i="2" s="1"/>
  <c r="X2758" i="2"/>
  <c r="AC2758" i="2" s="1"/>
  <c r="W2758" i="2"/>
  <c r="X2061" i="2"/>
  <c r="AC2061" i="2" s="1"/>
  <c r="X2060" i="2"/>
  <c r="X90" i="2"/>
  <c r="AB90" i="2" s="1"/>
  <c r="X2757" i="2"/>
  <c r="AB2757" i="2" s="1"/>
  <c r="AK2757" i="2" s="1"/>
  <c r="AH2757" i="2"/>
  <c r="AF2757" i="2"/>
  <c r="W2757" i="2"/>
  <c r="X66" i="2"/>
  <c r="AB66" i="2" s="1"/>
  <c r="AK66" i="2" s="1"/>
  <c r="X1012" i="2"/>
  <c r="X1779" i="2"/>
  <c r="AC1779" i="2" s="1"/>
  <c r="J18" i="3"/>
  <c r="R62" i="3"/>
  <c r="T62" i="3" s="1"/>
  <c r="U62" i="3" s="1"/>
  <c r="V62" i="3" s="1"/>
  <c r="R61" i="3"/>
  <c r="T61" i="3" s="1"/>
  <c r="U61" i="3" s="1"/>
  <c r="V61" i="3" s="1"/>
  <c r="R41" i="3"/>
  <c r="T41" i="3" s="1"/>
  <c r="U41" i="3" s="1"/>
  <c r="V41" i="3" s="1"/>
  <c r="R50" i="3"/>
  <c r="T50" i="3" s="1"/>
  <c r="U50" i="3" s="1"/>
  <c r="V50" i="3" s="1"/>
  <c r="R55" i="3"/>
  <c r="T55" i="3" s="1"/>
  <c r="U55" i="3" s="1"/>
  <c r="V55" i="3" s="1"/>
  <c r="R56" i="3"/>
  <c r="T56" i="3" s="1"/>
  <c r="U56" i="3" s="1"/>
  <c r="V56" i="3" s="1"/>
  <c r="R58" i="3"/>
  <c r="T58" i="3" s="1"/>
  <c r="U58" i="3" s="1"/>
  <c r="V58" i="3" s="1"/>
  <c r="L62" i="3"/>
  <c r="O62" i="3"/>
  <c r="L61" i="3"/>
  <c r="O61" i="3"/>
  <c r="L60" i="3"/>
  <c r="T60" i="3"/>
  <c r="U60" i="3" s="1"/>
  <c r="V60" i="3" s="1"/>
  <c r="L59" i="3"/>
  <c r="T59" i="3"/>
  <c r="U59" i="3" s="1"/>
  <c r="V59" i="3" s="1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 s="1"/>
  <c r="V51" i="3" s="1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2" i="3"/>
  <c r="O42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33" i="3"/>
  <c r="O33" i="3"/>
  <c r="L32" i="3"/>
  <c r="O32" i="3"/>
  <c r="L31" i="3"/>
  <c r="O31" i="3"/>
  <c r="L30" i="3"/>
  <c r="O30" i="3"/>
  <c r="L29" i="3"/>
  <c r="O29" i="3"/>
  <c r="L28" i="3"/>
  <c r="O28" i="3"/>
  <c r="L27" i="3"/>
  <c r="O27" i="3" s="1"/>
  <c r="L26" i="3"/>
  <c r="O26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1" i="3"/>
  <c r="L10" i="3"/>
  <c r="O10" i="3"/>
  <c r="L9" i="3"/>
  <c r="O9" i="3"/>
  <c r="L8" i="3"/>
  <c r="O8" i="3"/>
  <c r="L7" i="3"/>
  <c r="L6" i="3"/>
  <c r="O6" i="3"/>
  <c r="L5" i="3"/>
  <c r="O5" i="3"/>
  <c r="L4" i="3"/>
  <c r="O4" i="3"/>
  <c r="L3" i="3"/>
  <c r="O3" i="3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AC2725" i="2" s="1"/>
  <c r="W2725" i="2"/>
  <c r="AH2724" i="2"/>
  <c r="AD2724" i="2"/>
  <c r="X2724" i="2"/>
  <c r="W2724" i="2"/>
  <c r="X2723" i="2"/>
  <c r="AC2723" i="2" s="1"/>
  <c r="W2723" i="2"/>
  <c r="AC2722" i="2"/>
  <c r="W2722" i="2"/>
  <c r="AC2721" i="2"/>
  <c r="W2721" i="2"/>
  <c r="X2720" i="2"/>
  <c r="R54" i="3" s="1"/>
  <c r="T54" i="3" s="1"/>
  <c r="U54" i="3" s="1"/>
  <c r="V54" i="3" s="1"/>
  <c r="W2720" i="2"/>
  <c r="X2719" i="2"/>
  <c r="AB2719" i="2" s="1"/>
  <c r="AK2719" i="2" s="1"/>
  <c r="W2719" i="2"/>
  <c r="X2718" i="2"/>
  <c r="W2718" i="2"/>
  <c r="X2717" i="2"/>
  <c r="W2717" i="2"/>
  <c r="X2716" i="2"/>
  <c r="AB2716" i="2" s="1"/>
  <c r="AK2716" i="2" s="1"/>
  <c r="W2716" i="2"/>
  <c r="X2715" i="2"/>
  <c r="AB2715" i="2" s="1"/>
  <c r="AK2715" i="2" s="1"/>
  <c r="W2715" i="2"/>
  <c r="X2714" i="2"/>
  <c r="AC2714" i="2" s="1"/>
  <c r="W2714" i="2"/>
  <c r="X2713" i="2"/>
  <c r="Y2713" i="2" s="1"/>
  <c r="W2713" i="2"/>
  <c r="X2712" i="2"/>
  <c r="AC2712" i="2" s="1"/>
  <c r="W2712" i="2"/>
  <c r="X2711" i="2"/>
  <c r="AB2711" i="2" s="1"/>
  <c r="AK2711" i="2" s="1"/>
  <c r="AF2710" i="2"/>
  <c r="X2710" i="2"/>
  <c r="Y2710" i="2" s="1"/>
  <c r="W2710" i="2"/>
  <c r="X2709" i="2"/>
  <c r="AB2709" i="2" s="1"/>
  <c r="AK2709" i="2" s="1"/>
  <c r="W2709" i="2"/>
  <c r="X2708" i="2"/>
  <c r="W2708" i="2"/>
  <c r="X2707" i="2"/>
  <c r="W2707" i="2"/>
  <c r="X2706" i="2"/>
  <c r="AC2706" i="2" s="1"/>
  <c r="W2706" i="2"/>
  <c r="X2705" i="2"/>
  <c r="AC2705" i="2" s="1"/>
  <c r="W2705" i="2"/>
  <c r="AF2704" i="2"/>
  <c r="X2704" i="2"/>
  <c r="Y2704" i="2" s="1"/>
  <c r="AF2703" i="2"/>
  <c r="X2703" i="2"/>
  <c r="AF2702" i="2"/>
  <c r="X2702" i="2"/>
  <c r="W2702" i="2"/>
  <c r="AF2701" i="2"/>
  <c r="X2701" i="2"/>
  <c r="Y2701" i="2" s="1"/>
  <c r="AF2700" i="2"/>
  <c r="AC2700" i="2"/>
  <c r="AF2699" i="2"/>
  <c r="X2699" i="2"/>
  <c r="AC2699" i="2" s="1"/>
  <c r="AF2698" i="2"/>
  <c r="X2698" i="2"/>
  <c r="AF2697" i="2"/>
  <c r="AC2697" i="2"/>
  <c r="AF2696" i="2"/>
  <c r="X2696" i="2"/>
  <c r="AB2696" i="2" s="1"/>
  <c r="AK2696" i="2" s="1"/>
  <c r="AF2695" i="2"/>
  <c r="X2695" i="2"/>
  <c r="AB2695" i="2" s="1"/>
  <c r="W2695" i="2"/>
  <c r="AF2694" i="2"/>
  <c r="X2694" i="2"/>
  <c r="AC2694" i="2" s="1"/>
  <c r="AF2693" i="2"/>
  <c r="X2693" i="2"/>
  <c r="Y2693" i="2" s="1"/>
  <c r="AF2692" i="2"/>
  <c r="X2692" i="2"/>
  <c r="AC2692" i="2" s="1"/>
  <c r="AF2691" i="2"/>
  <c r="X2691" i="2"/>
  <c r="AF2690" i="2"/>
  <c r="X2690" i="2"/>
  <c r="AF2689" i="2"/>
  <c r="X2689" i="2"/>
  <c r="AB2689" i="2" s="1"/>
  <c r="AK2689" i="2" s="1"/>
  <c r="AF2688" i="2"/>
  <c r="X2688" i="2"/>
  <c r="AB2688" i="2" s="1"/>
  <c r="AK2688" i="2" s="1"/>
  <c r="AF2687" i="2"/>
  <c r="X2687" i="2"/>
  <c r="AF2686" i="2"/>
  <c r="X2686" i="2"/>
  <c r="AF2685" i="2"/>
  <c r="X2685" i="2"/>
  <c r="AB2685" i="2" s="1"/>
  <c r="AK2685" i="2" s="1"/>
  <c r="AF2684" i="2"/>
  <c r="X2684" i="2"/>
  <c r="AB2684" i="2" s="1"/>
  <c r="AK2684" i="2" s="1"/>
  <c r="AF2683" i="2"/>
  <c r="X2683" i="2"/>
  <c r="AF2682" i="2"/>
  <c r="X2682" i="2"/>
  <c r="AF2681" i="2"/>
  <c r="X2681" i="2"/>
  <c r="AB2681" i="2" s="1"/>
  <c r="AK2681" i="2" s="1"/>
  <c r="AF2680" i="2"/>
  <c r="X2680" i="2"/>
  <c r="AF2679" i="2"/>
  <c r="X2679" i="2"/>
  <c r="AF2678" i="2"/>
  <c r="X2678" i="2"/>
  <c r="W2678" i="2"/>
  <c r="AF2677" i="2"/>
  <c r="X2677" i="2"/>
  <c r="AB2677" i="2" s="1"/>
  <c r="AK2677" i="2" s="1"/>
  <c r="W2677" i="2"/>
  <c r="AF2676" i="2"/>
  <c r="X2676" i="2"/>
  <c r="Y2676" i="2" s="1"/>
  <c r="W2676" i="2"/>
  <c r="AF2675" i="2"/>
  <c r="X2675" i="2"/>
  <c r="AC2675" i="2" s="1"/>
  <c r="W2675" i="2"/>
  <c r="AF2674" i="2"/>
  <c r="X2674" i="2"/>
  <c r="W2674" i="2"/>
  <c r="AF2673" i="2"/>
  <c r="X2673" i="2"/>
  <c r="W2673" i="2"/>
  <c r="AF2672" i="2"/>
  <c r="X2672" i="2"/>
  <c r="AB2672" i="2" s="1"/>
  <c r="AK2672" i="2" s="1"/>
  <c r="W2672" i="2"/>
  <c r="AF2671" i="2"/>
  <c r="X2671" i="2"/>
  <c r="AC2671" i="2" s="1"/>
  <c r="W2671" i="2"/>
  <c r="AF2670" i="2"/>
  <c r="X2670" i="2"/>
  <c r="W2670" i="2"/>
  <c r="AF2669" i="2"/>
  <c r="X2669" i="2"/>
  <c r="AB2669" i="2" s="1"/>
  <c r="AK2669" i="2" s="1"/>
  <c r="W2669" i="2"/>
  <c r="AF2668" i="2"/>
  <c r="X2668" i="2"/>
  <c r="AC2668" i="2" s="1"/>
  <c r="W2668" i="2"/>
  <c r="AF2667" i="2"/>
  <c r="X2667" i="2"/>
  <c r="W2667" i="2"/>
  <c r="AF2666" i="2"/>
  <c r="X2666" i="2"/>
  <c r="AC2666" i="2" s="1"/>
  <c r="W2666" i="2"/>
  <c r="AF2665" i="2"/>
  <c r="X2665" i="2"/>
  <c r="Y2665" i="2" s="1"/>
  <c r="W2665" i="2"/>
  <c r="AF2664" i="2"/>
  <c r="X2664" i="2"/>
  <c r="AC2664" i="2" s="1"/>
  <c r="W2664" i="2"/>
  <c r="AF2663" i="2"/>
  <c r="X2663" i="2"/>
  <c r="Y2663" i="2" s="1"/>
  <c r="W2663" i="2"/>
  <c r="AF2662" i="2"/>
  <c r="X2662" i="2"/>
  <c r="W2662" i="2"/>
  <c r="AF2661" i="2"/>
  <c r="X2661" i="2"/>
  <c r="AB2661" i="2" s="1"/>
  <c r="AK2661" i="2" s="1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AB2655" i="2" s="1"/>
  <c r="AK2655" i="2" s="1"/>
  <c r="W2655" i="2"/>
  <c r="AF2654" i="2"/>
  <c r="X2654" i="2"/>
  <c r="W2654" i="2"/>
  <c r="AF2653" i="2"/>
  <c r="X2653" i="2"/>
  <c r="AB2653" i="2" s="1"/>
  <c r="AK2653" i="2" s="1"/>
  <c r="W2653" i="2"/>
  <c r="AF2652" i="2"/>
  <c r="X2652" i="2"/>
  <c r="AB2652" i="2" s="1"/>
  <c r="AK2652" i="2" s="1"/>
  <c r="W2652" i="2"/>
  <c r="AF2651" i="2"/>
  <c r="X2651" i="2"/>
  <c r="Y2651" i="2" s="1"/>
  <c r="W2651" i="2"/>
  <c r="AF2650" i="2"/>
  <c r="X2650" i="2"/>
  <c r="AC2650" i="2" s="1"/>
  <c r="W2650" i="2"/>
  <c r="AF2649" i="2"/>
  <c r="X2649" i="2"/>
  <c r="W2649" i="2"/>
  <c r="AF2648" i="2"/>
  <c r="X2648" i="2"/>
  <c r="AB2648" i="2" s="1"/>
  <c r="AK2648" i="2" s="1"/>
  <c r="AF2647" i="2"/>
  <c r="X2647" i="2"/>
  <c r="AB2647" i="2" s="1"/>
  <c r="AK2647" i="2" s="1"/>
  <c r="W2647" i="2"/>
  <c r="AF2646" i="2"/>
  <c r="X2646" i="2"/>
  <c r="W2646" i="2"/>
  <c r="AF2645" i="2"/>
  <c r="X2645" i="2"/>
  <c r="W2645" i="2"/>
  <c r="AF2644" i="2"/>
  <c r="X2644" i="2"/>
  <c r="AC2644" i="2" s="1"/>
  <c r="W2644" i="2"/>
  <c r="AF2643" i="2"/>
  <c r="X2643" i="2"/>
  <c r="W2643" i="2"/>
  <c r="AH2642" i="2"/>
  <c r="AD2642" i="2"/>
  <c r="AF2642" i="2" s="1"/>
  <c r="X2642" i="2"/>
  <c r="W2642" i="2"/>
  <c r="AD2641" i="2"/>
  <c r="AC2641" i="2"/>
  <c r="W2641" i="2"/>
  <c r="AD2640" i="2"/>
  <c r="Y2640" i="2" s="1"/>
  <c r="AC2640" i="2"/>
  <c r="W2640" i="2"/>
  <c r="AD2639" i="2"/>
  <c r="AH2639" i="2" s="1"/>
  <c r="X2639" i="2"/>
  <c r="W2639" i="2"/>
  <c r="AD2638" i="2"/>
  <c r="Y2638" i="2" s="1"/>
  <c r="AC2638" i="2"/>
  <c r="W2638" i="2"/>
  <c r="AD2637" i="2"/>
  <c r="AC2637" i="2"/>
  <c r="W2637" i="2"/>
  <c r="AD2636" i="2"/>
  <c r="Y2636" i="2" s="1"/>
  <c r="AC2636" i="2"/>
  <c r="W2636" i="2"/>
  <c r="AD2635" i="2"/>
  <c r="Y2635" i="2" s="1"/>
  <c r="AC2635" i="2"/>
  <c r="W2635" i="2"/>
  <c r="AD2634" i="2"/>
  <c r="Y2634" i="2" s="1"/>
  <c r="AC2634" i="2"/>
  <c r="W2634" i="2"/>
  <c r="AD2633" i="2"/>
  <c r="AH2633" i="2" s="1"/>
  <c r="AC2633" i="2"/>
  <c r="W2633" i="2"/>
  <c r="AD2632" i="2"/>
  <c r="Y2632" i="2" s="1"/>
  <c r="AC2632" i="2"/>
  <c r="W2632" i="2"/>
  <c r="AD2631" i="2"/>
  <c r="AH2631" i="2" s="1"/>
  <c r="AC2631" i="2"/>
  <c r="W2631" i="2"/>
  <c r="AD2630" i="2"/>
  <c r="X2630" i="2"/>
  <c r="AC2630" i="2" s="1"/>
  <c r="W2630" i="2"/>
  <c r="AD2629" i="2"/>
  <c r="AC2629" i="2"/>
  <c r="W2629" i="2"/>
  <c r="AD2628" i="2"/>
  <c r="AH2628" i="2" s="1"/>
  <c r="AC2628" i="2"/>
  <c r="W2628" i="2"/>
  <c r="AD2627" i="2"/>
  <c r="AC2627" i="2"/>
  <c r="W2627" i="2"/>
  <c r="AD2626" i="2"/>
  <c r="AC2626" i="2"/>
  <c r="W2626" i="2"/>
  <c r="AD2625" i="2"/>
  <c r="AH2625" i="2" s="1"/>
  <c r="AC2625" i="2"/>
  <c r="W2625" i="2"/>
  <c r="AD2624" i="2"/>
  <c r="AH2624" i="2" s="1"/>
  <c r="X2624" i="2"/>
  <c r="W2624" i="2"/>
  <c r="AD2623" i="2"/>
  <c r="X2623" i="2"/>
  <c r="AC2623" i="2" s="1"/>
  <c r="W2623" i="2"/>
  <c r="AD2622" i="2"/>
  <c r="AH2622" i="2" s="1"/>
  <c r="X2622" i="2"/>
  <c r="W2622" i="2"/>
  <c r="AD2621" i="2"/>
  <c r="AF2621" i="2" s="1"/>
  <c r="X2621" i="2"/>
  <c r="AC2621" i="2" s="1"/>
  <c r="W2621" i="2"/>
  <c r="AD2620" i="2"/>
  <c r="X2620" i="2"/>
  <c r="W2620" i="2"/>
  <c r="AD2619" i="2"/>
  <c r="AH2619" i="2" s="1"/>
  <c r="X2619" i="2"/>
  <c r="W2619" i="2"/>
  <c r="AD2618" i="2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X2615" i="2"/>
  <c r="W2615" i="2"/>
  <c r="AD2614" i="2"/>
  <c r="X2614" i="2"/>
  <c r="AC2614" i="2" s="1"/>
  <c r="W2614" i="2"/>
  <c r="AD2613" i="2"/>
  <c r="AH2613" i="2" s="1"/>
  <c r="X2613" i="2"/>
  <c r="AC2613" i="2" s="1"/>
  <c r="W2613" i="2"/>
  <c r="AD2612" i="2"/>
  <c r="X2612" i="2"/>
  <c r="W2612" i="2"/>
  <c r="AD2611" i="2"/>
  <c r="X2611" i="2"/>
  <c r="W2611" i="2"/>
  <c r="AD2610" i="2"/>
  <c r="AF2610" i="2" s="1"/>
  <c r="X2610" i="2"/>
  <c r="W2610" i="2"/>
  <c r="AD2609" i="2"/>
  <c r="X2609" i="2"/>
  <c r="AB2609" i="2" s="1"/>
  <c r="AK2609" i="2" s="1"/>
  <c r="W2609" i="2"/>
  <c r="AD2608" i="2"/>
  <c r="X2608" i="2"/>
  <c r="W2608" i="2"/>
  <c r="AD2607" i="2"/>
  <c r="X2607" i="2"/>
  <c r="AC2607" i="2" s="1"/>
  <c r="W2607" i="2"/>
  <c r="AD2606" i="2"/>
  <c r="AH2606" i="2" s="1"/>
  <c r="X2606" i="2"/>
  <c r="W2606" i="2"/>
  <c r="AD2605" i="2"/>
  <c r="AH2605" i="2" s="1"/>
  <c r="X2605" i="2"/>
  <c r="W2605" i="2"/>
  <c r="AH2604" i="2"/>
  <c r="AD2604" i="2"/>
  <c r="AF2604" i="2" s="1"/>
  <c r="X2604" i="2"/>
  <c r="W2604" i="2"/>
  <c r="AH2603" i="2"/>
  <c r="AD2603" i="2"/>
  <c r="AF2603" i="2" s="1"/>
  <c r="X2603" i="2"/>
  <c r="AB2603" i="2" s="1"/>
  <c r="AK2603" i="2" s="1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AB2600" i="2" s="1"/>
  <c r="AK2600" i="2" s="1"/>
  <c r="W2600" i="2"/>
  <c r="AH2599" i="2"/>
  <c r="AD2599" i="2"/>
  <c r="AF2599" i="2" s="1"/>
  <c r="X2599" i="2"/>
  <c r="AC2599" i="2" s="1"/>
  <c r="W2599" i="2"/>
  <c r="AH2598" i="2"/>
  <c r="AD2598" i="2"/>
  <c r="X2598" i="2"/>
  <c r="W2598" i="2"/>
  <c r="AH2597" i="2"/>
  <c r="AD2597" i="2"/>
  <c r="X2597" i="2"/>
  <c r="AB2597" i="2" s="1"/>
  <c r="AK2597" i="2" s="1"/>
  <c r="W2597" i="2"/>
  <c r="AH2596" i="2"/>
  <c r="AD2596" i="2"/>
  <c r="X2596" i="2"/>
  <c r="AB2596" i="2" s="1"/>
  <c r="AK2596" i="2" s="1"/>
  <c r="W2596" i="2"/>
  <c r="AH2595" i="2"/>
  <c r="AD2595" i="2"/>
  <c r="AF2595" i="2" s="1"/>
  <c r="X2595" i="2"/>
  <c r="AB2595" i="2" s="1"/>
  <c r="AK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W2590" i="2"/>
  <c r="AH2589" i="2"/>
  <c r="AD2589" i="2"/>
  <c r="AF2589" i="2" s="1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AC2587" i="2" s="1"/>
  <c r="W2587" i="2"/>
  <c r="AH2586" i="2"/>
  <c r="AD2586" i="2"/>
  <c r="AF2586" i="2" s="1"/>
  <c r="X2586" i="2"/>
  <c r="AB2586" i="2" s="1"/>
  <c r="AK2586" i="2" s="1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AF2581" i="2" s="1"/>
  <c r="X2581" i="2"/>
  <c r="AB2581" i="2" s="1"/>
  <c r="AK2581" i="2" s="1"/>
  <c r="AH2580" i="2"/>
  <c r="AD2580" i="2"/>
  <c r="AF2580" i="2" s="1"/>
  <c r="X2580" i="2"/>
  <c r="AC2580" i="2" s="1"/>
  <c r="AH2579" i="2"/>
  <c r="AD2579" i="2"/>
  <c r="X2579" i="2"/>
  <c r="W2579" i="2"/>
  <c r="AH2578" i="2"/>
  <c r="AD2578" i="2"/>
  <c r="X2578" i="2"/>
  <c r="AC2578" i="2" s="1"/>
  <c r="W2578" i="2"/>
  <c r="AH2577" i="2"/>
  <c r="AD2577" i="2"/>
  <c r="X2577" i="2"/>
  <c r="W2577" i="2"/>
  <c r="AH2576" i="2"/>
  <c r="AD2576" i="2"/>
  <c r="AF2576" i="2" s="1"/>
  <c r="X2576" i="2"/>
  <c r="AC2576" i="2" s="1"/>
  <c r="W2576" i="2"/>
  <c r="AH2575" i="2"/>
  <c r="AD2575" i="2"/>
  <c r="AF2575" i="2" s="1"/>
  <c r="X2575" i="2"/>
  <c r="W2575" i="2"/>
  <c r="AH2574" i="2"/>
  <c r="AD2574" i="2"/>
  <c r="X2574" i="2"/>
  <c r="AC2574" i="2" s="1"/>
  <c r="W2574" i="2"/>
  <c r="AH2573" i="2"/>
  <c r="AD2573" i="2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AC2568" i="2" s="1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AC2564" i="2" s="1"/>
  <c r="W2564" i="2"/>
  <c r="AH2563" i="2"/>
  <c r="AD2563" i="2"/>
  <c r="X2563" i="2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AB2560" i="2" s="1"/>
  <c r="AK2560" i="2" s="1"/>
  <c r="W2560" i="2"/>
  <c r="AH2559" i="2"/>
  <c r="AD2559" i="2"/>
  <c r="X2559" i="2"/>
  <c r="W2559" i="2"/>
  <c r="AH2558" i="2"/>
  <c r="AD2558" i="2"/>
  <c r="AF2558" i="2" s="1"/>
  <c r="X2558" i="2"/>
  <c r="AB2558" i="2" s="1"/>
  <c r="AK2558" i="2" s="1"/>
  <c r="W2558" i="2"/>
  <c r="AH2557" i="2"/>
  <c r="AD2557" i="2"/>
  <c r="X2557" i="2"/>
  <c r="W2557" i="2"/>
  <c r="AH2556" i="2"/>
  <c r="AD2556" i="2"/>
  <c r="AF2556" i="2" s="1"/>
  <c r="X2556" i="2"/>
  <c r="AH2555" i="2"/>
  <c r="AD2555" i="2"/>
  <c r="X2555" i="2"/>
  <c r="AB2555" i="2" s="1"/>
  <c r="AK2555" i="2" s="1"/>
  <c r="W2555" i="2"/>
  <c r="AH2554" i="2"/>
  <c r="AD2554" i="2"/>
  <c r="AF2554" i="2" s="1"/>
  <c r="X2554" i="2"/>
  <c r="AB2554" i="2" s="1"/>
  <c r="AK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W2549" i="2"/>
  <c r="AH2548" i="2"/>
  <c r="AD2548" i="2"/>
  <c r="AF2548" i="2" s="1"/>
  <c r="X2548" i="2"/>
  <c r="W2548" i="2"/>
  <c r="AH2547" i="2"/>
  <c r="AD2547" i="2"/>
  <c r="AF2547" i="2" s="1"/>
  <c r="X2547" i="2"/>
  <c r="W2547" i="2"/>
  <c r="AH2546" i="2"/>
  <c r="AD2546" i="2"/>
  <c r="AF2546" i="2" s="1"/>
  <c r="X2546" i="2"/>
  <c r="AC2546" i="2" s="1"/>
  <c r="W2546" i="2"/>
  <c r="AH2545" i="2"/>
  <c r="AD2545" i="2"/>
  <c r="AF2545" i="2" s="1"/>
  <c r="X2545" i="2"/>
  <c r="AC2545" i="2" s="1"/>
  <c r="W2545" i="2"/>
  <c r="AH2544" i="2"/>
  <c r="AD2544" i="2"/>
  <c r="AF2544" i="2" s="1"/>
  <c r="X2544" i="2"/>
  <c r="W2544" i="2"/>
  <c r="AH2543" i="2"/>
  <c r="AD2543" i="2"/>
  <c r="X2543" i="2"/>
  <c r="W2543" i="2"/>
  <c r="AH2542" i="2"/>
  <c r="AD2542" i="2"/>
  <c r="X2542" i="2"/>
  <c r="AB2542" i="2" s="1"/>
  <c r="AK2542" i="2" s="1"/>
  <c r="W2542" i="2"/>
  <c r="AH2541" i="2"/>
  <c r="AD2541" i="2"/>
  <c r="AF2541" i="2" s="1"/>
  <c r="X2541" i="2"/>
  <c r="AK2541" i="2" s="1"/>
  <c r="W2541" i="2"/>
  <c r="AH2540" i="2"/>
  <c r="AD2540" i="2"/>
  <c r="X2540" i="2"/>
  <c r="W2540" i="2"/>
  <c r="AH2539" i="2"/>
  <c r="AD2539" i="2"/>
  <c r="AF2539" i="2" s="1"/>
  <c r="X2539" i="2"/>
  <c r="AB2539" i="2" s="1"/>
  <c r="AK2539" i="2" s="1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W2536" i="2"/>
  <c r="AH2535" i="2"/>
  <c r="AD2535" i="2"/>
  <c r="AF2535" i="2" s="1"/>
  <c r="X2535" i="2"/>
  <c r="AB2535" i="2" s="1"/>
  <c r="AK2535" i="2" s="1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W2530" i="2"/>
  <c r="AH2529" i="2"/>
  <c r="AD2529" i="2"/>
  <c r="AF2529" i="2" s="1"/>
  <c r="X2529" i="2"/>
  <c r="AB2529" i="2" s="1"/>
  <c r="AK2529" i="2" s="1"/>
  <c r="W2529" i="2"/>
  <c r="AH2528" i="2"/>
  <c r="AD2528" i="2"/>
  <c r="X2528" i="2"/>
  <c r="AC2528" i="2" s="1"/>
  <c r="W2528" i="2"/>
  <c r="AH2527" i="2"/>
  <c r="AD2527" i="2"/>
  <c r="X2527" i="2"/>
  <c r="AB2527" i="2" s="1"/>
  <c r="AK2527" i="2" s="1"/>
  <c r="W2527" i="2"/>
  <c r="AH2526" i="2"/>
  <c r="AD2526" i="2"/>
  <c r="X2526" i="2"/>
  <c r="AC2526" i="2" s="1"/>
  <c r="W2526" i="2"/>
  <c r="AH2525" i="2"/>
  <c r="AD2525" i="2"/>
  <c r="AF2525" i="2" s="1"/>
  <c r="X2525" i="2"/>
  <c r="AB2525" i="2" s="1"/>
  <c r="AK2525" i="2" s="1"/>
  <c r="W2525" i="2"/>
  <c r="AH2524" i="2"/>
  <c r="AD2524" i="2"/>
  <c r="AF2524" i="2" s="1"/>
  <c r="X2524" i="2"/>
  <c r="AB2524" i="2" s="1"/>
  <c r="AK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C2518" i="2" s="1"/>
  <c r="W2518" i="2"/>
  <c r="AH2517" i="2"/>
  <c r="AD2517" i="2"/>
  <c r="X2517" i="2"/>
  <c r="AC2517" i="2" s="1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X2513" i="2"/>
  <c r="W2513" i="2"/>
  <c r="AH2512" i="2"/>
  <c r="AD2512" i="2"/>
  <c r="AF2512" i="2" s="1"/>
  <c r="X2512" i="2"/>
  <c r="AH2511" i="2"/>
  <c r="AD2511" i="2"/>
  <c r="AF2511" i="2" s="1"/>
  <c r="X2511" i="2"/>
  <c r="AC2511" i="2" s="1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AC2507" i="2" s="1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AC2504" i="2" s="1"/>
  <c r="W2504" i="2"/>
  <c r="AH2503" i="2"/>
  <c r="AD2503" i="2"/>
  <c r="X2503" i="2"/>
  <c r="W2503" i="2"/>
  <c r="AH2502" i="2"/>
  <c r="AD2502" i="2"/>
  <c r="AF2502" i="2" s="1"/>
  <c r="X2502" i="2"/>
  <c r="AH2501" i="2"/>
  <c r="AD2501" i="2"/>
  <c r="X2501" i="2"/>
  <c r="W2501" i="2"/>
  <c r="AH2500" i="2"/>
  <c r="AD2500" i="2"/>
  <c r="X2500" i="2"/>
  <c r="AH2499" i="2"/>
  <c r="AD2499" i="2"/>
  <c r="X2499" i="2"/>
  <c r="W2499" i="2"/>
  <c r="AH2498" i="2"/>
  <c r="AD2498" i="2"/>
  <c r="AF2498" i="2" s="1"/>
  <c r="X2498" i="2"/>
  <c r="W2498" i="2"/>
  <c r="AH2497" i="2"/>
  <c r="AD2497" i="2"/>
  <c r="X2497" i="2"/>
  <c r="AB2497" i="2" s="1"/>
  <c r="AK2497" i="2" s="1"/>
  <c r="W2497" i="2"/>
  <c r="AH2496" i="2"/>
  <c r="AD2496" i="2"/>
  <c r="AF2496" i="2" s="1"/>
  <c r="X2496" i="2"/>
  <c r="AB2496" i="2" s="1"/>
  <c r="AK2496" i="2" s="1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B2493" i="2" s="1"/>
  <c r="AK2493" i="2" s="1"/>
  <c r="AH2492" i="2"/>
  <c r="AD2492" i="2"/>
  <c r="AF2492" i="2" s="1"/>
  <c r="X2492" i="2"/>
  <c r="AC2492" i="2" s="1"/>
  <c r="W2492" i="2"/>
  <c r="AH2491" i="2"/>
  <c r="AD2491" i="2"/>
  <c r="AF2491" i="2" s="1"/>
  <c r="X2491" i="2"/>
  <c r="W2491" i="2"/>
  <c r="AH2490" i="2"/>
  <c r="AD2490" i="2"/>
  <c r="AF2490" i="2" s="1"/>
  <c r="X2490" i="2"/>
  <c r="AC2490" i="2" s="1"/>
  <c r="W2490" i="2"/>
  <c r="AH2489" i="2"/>
  <c r="AD2489" i="2"/>
  <c r="X2489" i="2"/>
  <c r="W2489" i="2"/>
  <c r="AH2488" i="2"/>
  <c r="AD2488" i="2"/>
  <c r="AF2488" i="2" s="1"/>
  <c r="X2488" i="2"/>
  <c r="AB2488" i="2" s="1"/>
  <c r="AK2488" i="2" s="1"/>
  <c r="W2488" i="2"/>
  <c r="AH2487" i="2"/>
  <c r="AD2487" i="2"/>
  <c r="AF2487" i="2" s="1"/>
  <c r="X2487" i="2"/>
  <c r="W2487" i="2"/>
  <c r="AH2486" i="2"/>
  <c r="AD2486" i="2"/>
  <c r="AF2486" i="2" s="1"/>
  <c r="X2486" i="2"/>
  <c r="AC2486" i="2" s="1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X2482" i="2"/>
  <c r="AC2482" i="2" s="1"/>
  <c r="W2482" i="2"/>
  <c r="AH2481" i="2"/>
  <c r="AD2481" i="2"/>
  <c r="AF2481" i="2" s="1"/>
  <c r="X2481" i="2"/>
  <c r="W2481" i="2"/>
  <c r="AH2480" i="2"/>
  <c r="AD2480" i="2"/>
  <c r="X2480" i="2"/>
  <c r="AC2480" i="2" s="1"/>
  <c r="AH2479" i="2"/>
  <c r="AD2479" i="2"/>
  <c r="AF2479" i="2" s="1"/>
  <c r="X2479" i="2"/>
  <c r="W2479" i="2"/>
  <c r="AH2478" i="2"/>
  <c r="AD2478" i="2"/>
  <c r="X2478" i="2"/>
  <c r="W2478" i="2"/>
  <c r="AH2477" i="2"/>
  <c r="AD2477" i="2"/>
  <c r="X2477" i="2"/>
  <c r="AB2477" i="2" s="1"/>
  <c r="AK2477" i="2" s="1"/>
  <c r="W2477" i="2"/>
  <c r="AH2476" i="2"/>
  <c r="AD2476" i="2"/>
  <c r="AF2476" i="2" s="1"/>
  <c r="X2476" i="2"/>
  <c r="W2476" i="2"/>
  <c r="AH2475" i="2"/>
  <c r="AD2475" i="2"/>
  <c r="AF2475" i="2" s="1"/>
  <c r="X2475" i="2"/>
  <c r="AC2475" i="2" s="1"/>
  <c r="W2475" i="2"/>
  <c r="AH2474" i="2"/>
  <c r="AD2474" i="2"/>
  <c r="X2474" i="2"/>
  <c r="AB2474" i="2" s="1"/>
  <c r="AK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X2471" i="2"/>
  <c r="AB2471" i="2" s="1"/>
  <c r="AK2471" i="2" s="1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AB2465" i="2" s="1"/>
  <c r="AK2465" i="2" s="1"/>
  <c r="W2465" i="2"/>
  <c r="AH2464" i="2"/>
  <c r="AD2464" i="2"/>
  <c r="AF2464" i="2" s="1"/>
  <c r="X2464" i="2"/>
  <c r="AB2464" i="2" s="1"/>
  <c r="AK2464" i="2" s="1"/>
  <c r="W2464" i="2"/>
  <c r="AH2463" i="2"/>
  <c r="AD2463" i="2"/>
  <c r="AF2463" i="2" s="1"/>
  <c r="X2463" i="2"/>
  <c r="W2463" i="2"/>
  <c r="AH2462" i="2"/>
  <c r="AD2462" i="2"/>
  <c r="AF2462" i="2" s="1"/>
  <c r="X2462" i="2"/>
  <c r="AC2462" i="2" s="1"/>
  <c r="W2462" i="2"/>
  <c r="AH2461" i="2"/>
  <c r="AD2461" i="2"/>
  <c r="AF2461" i="2" s="1"/>
  <c r="X2461" i="2"/>
  <c r="AA2461" i="2" s="1"/>
  <c r="AB2461" i="2" s="1"/>
  <c r="W2461" i="2"/>
  <c r="AH2460" i="2"/>
  <c r="AD2460" i="2"/>
  <c r="AF2460" i="2" s="1"/>
  <c r="X2460" i="2"/>
  <c r="W2460" i="2"/>
  <c r="AH2459" i="2"/>
  <c r="AD2459" i="2"/>
  <c r="X2459" i="2"/>
  <c r="AB2459" i="2" s="1"/>
  <c r="AK2459" i="2" s="1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X2455" i="2"/>
  <c r="W2455" i="2"/>
  <c r="AH2454" i="2"/>
  <c r="AD2454" i="2"/>
  <c r="AF2454" i="2" s="1"/>
  <c r="X2454" i="2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AB2452" i="2" s="1"/>
  <c r="AK2452" i="2" s="1"/>
  <c r="W2452" i="2"/>
  <c r="AH2451" i="2"/>
  <c r="AD2451" i="2"/>
  <c r="AF2451" i="2" s="1"/>
  <c r="X2451" i="2"/>
  <c r="W2451" i="2"/>
  <c r="AH2450" i="2"/>
  <c r="AD2450" i="2"/>
  <c r="X2450" i="2"/>
  <c r="AB2450" i="2" s="1"/>
  <c r="AK2450" i="2" s="1"/>
  <c r="W2450" i="2"/>
  <c r="AH2449" i="2"/>
  <c r="AD2449" i="2"/>
  <c r="AF2449" i="2" s="1"/>
  <c r="X2449" i="2"/>
  <c r="AB2449" i="2" s="1"/>
  <c r="AK2449" i="2" s="1"/>
  <c r="W2449" i="2"/>
  <c r="AH2448" i="2"/>
  <c r="AD2448" i="2"/>
  <c r="AF2448" i="2" s="1"/>
  <c r="X2448" i="2"/>
  <c r="AC2448" i="2" s="1"/>
  <c r="W2448" i="2"/>
  <c r="AH2447" i="2"/>
  <c r="AD2447" i="2"/>
  <c r="X2447" i="2"/>
  <c r="W2447" i="2"/>
  <c r="AH2446" i="2"/>
  <c r="AD2446" i="2"/>
  <c r="X2446" i="2"/>
  <c r="AC2446" i="2" s="1"/>
  <c r="W2446" i="2"/>
  <c r="AH2445" i="2"/>
  <c r="AD2445" i="2"/>
  <c r="AF2445" i="2" s="1"/>
  <c r="X2445" i="2"/>
  <c r="W2445" i="2"/>
  <c r="AH2444" i="2"/>
  <c r="AD2444" i="2"/>
  <c r="AF2444" i="2" s="1"/>
  <c r="X2444" i="2"/>
  <c r="AB2444" i="2" s="1"/>
  <c r="AK2444" i="2" s="1"/>
  <c r="W2444" i="2"/>
  <c r="AH2443" i="2"/>
  <c r="AD2443" i="2"/>
  <c r="AF2443" i="2" s="1"/>
  <c r="X2443" i="2"/>
  <c r="W2443" i="2"/>
  <c r="AH2442" i="2"/>
  <c r="AD2442" i="2"/>
  <c r="X2442" i="2"/>
  <c r="W2442" i="2"/>
  <c r="AH2441" i="2"/>
  <c r="AD2441" i="2"/>
  <c r="X2441" i="2"/>
  <c r="W2441" i="2"/>
  <c r="AH2440" i="2"/>
  <c r="AD2440" i="2"/>
  <c r="AF2440" i="2" s="1"/>
  <c r="X2440" i="2"/>
  <c r="AB2440" i="2" s="1"/>
  <c r="AK2440" i="2" s="1"/>
  <c r="W2440" i="2"/>
  <c r="AH2439" i="2"/>
  <c r="AD2439" i="2"/>
  <c r="AF2439" i="2" s="1"/>
  <c r="X2439" i="2"/>
  <c r="AB2439" i="2" s="1"/>
  <c r="AK2439" i="2" s="1"/>
  <c r="W2439" i="2"/>
  <c r="AH2438" i="2"/>
  <c r="AD2438" i="2"/>
  <c r="X2438" i="2"/>
  <c r="AB2438" i="2" s="1"/>
  <c r="AK2438" i="2" s="1"/>
  <c r="W2438" i="2"/>
  <c r="AH2437" i="2"/>
  <c r="AD2437" i="2"/>
  <c r="X2437" i="2"/>
  <c r="W2437" i="2"/>
  <c r="AH2436" i="2"/>
  <c r="AD2436" i="2"/>
  <c r="AF2436" i="2" s="1"/>
  <c r="X2436" i="2"/>
  <c r="AB2436" i="2" s="1"/>
  <c r="AK2436" i="2" s="1"/>
  <c r="W2436" i="2"/>
  <c r="AH2435" i="2"/>
  <c r="AD2435" i="2"/>
  <c r="AF2435" i="2" s="1"/>
  <c r="X2435" i="2"/>
  <c r="AC2435" i="2" s="1"/>
  <c r="W2435" i="2"/>
  <c r="AH2434" i="2"/>
  <c r="AD2434" i="2"/>
  <c r="X2434" i="2"/>
  <c r="W2434" i="2"/>
  <c r="AH2433" i="2"/>
  <c r="AD2433" i="2"/>
  <c r="AF2433" i="2" s="1"/>
  <c r="X2433" i="2"/>
  <c r="AB2433" i="2" s="1"/>
  <c r="AK2433" i="2" s="1"/>
  <c r="W2433" i="2"/>
  <c r="AH2432" i="2"/>
  <c r="AD2432" i="2"/>
  <c r="AF2432" i="2" s="1"/>
  <c r="X2432" i="2"/>
  <c r="AB2432" i="2" s="1"/>
  <c r="AK2432" i="2" s="1"/>
  <c r="W2432" i="2"/>
  <c r="AH2431" i="2"/>
  <c r="AD2431" i="2"/>
  <c r="AF2431" i="2" s="1"/>
  <c r="X2431" i="2"/>
  <c r="W2431" i="2"/>
  <c r="AH2430" i="2"/>
  <c r="AD2430" i="2"/>
  <c r="X2430" i="2"/>
  <c r="AB2430" i="2" s="1"/>
  <c r="AK2430" i="2" s="1"/>
  <c r="W2430" i="2"/>
  <c r="AH2429" i="2"/>
  <c r="AD2429" i="2"/>
  <c r="AF2429" i="2" s="1"/>
  <c r="X2429" i="2"/>
  <c r="AB2429" i="2" s="1"/>
  <c r="AK2429" i="2" s="1"/>
  <c r="AH2428" i="2"/>
  <c r="AD2428" i="2"/>
  <c r="AF2428" i="2" s="1"/>
  <c r="X2428" i="2"/>
  <c r="AB2428" i="2" s="1"/>
  <c r="AK2428" i="2" s="1"/>
  <c r="W2428" i="2"/>
  <c r="AH2427" i="2"/>
  <c r="AD2427" i="2"/>
  <c r="AF2427" i="2" s="1"/>
  <c r="X2427" i="2"/>
  <c r="AC2427" i="2" s="1"/>
  <c r="W2427" i="2"/>
  <c r="AH2426" i="2"/>
  <c r="AD2426" i="2"/>
  <c r="AF2426" i="2" s="1"/>
  <c r="X2426" i="2"/>
  <c r="AB2426" i="2" s="1"/>
  <c r="AK2426" i="2" s="1"/>
  <c r="W2426" i="2"/>
  <c r="AH2425" i="2"/>
  <c r="AD2425" i="2"/>
  <c r="AF2425" i="2" s="1"/>
  <c r="X2425" i="2"/>
  <c r="AC2425" i="2" s="1"/>
  <c r="W2425" i="2"/>
  <c r="AH2424" i="2"/>
  <c r="AD2424" i="2"/>
  <c r="AF2424" i="2" s="1"/>
  <c r="X2424" i="2"/>
  <c r="AB2424" i="2" s="1"/>
  <c r="AK2424" i="2" s="1"/>
  <c r="W2424" i="2"/>
  <c r="AH2423" i="2"/>
  <c r="AD2423" i="2"/>
  <c r="AF2423" i="2" s="1"/>
  <c r="X2423" i="2"/>
  <c r="W2423" i="2"/>
  <c r="AH2422" i="2"/>
  <c r="AD2422" i="2"/>
  <c r="AF2422" i="2" s="1"/>
  <c r="X2422" i="2"/>
  <c r="W2422" i="2"/>
  <c r="AH2421" i="2"/>
  <c r="AD2421" i="2"/>
  <c r="AF2421" i="2" s="1"/>
  <c r="X2421" i="2"/>
  <c r="AC2421" i="2" s="1"/>
  <c r="W2421" i="2"/>
  <c r="AH2420" i="2"/>
  <c r="AD2420" i="2"/>
  <c r="AF2420" i="2" s="1"/>
  <c r="X2420" i="2"/>
  <c r="AB2420" i="2" s="1"/>
  <c r="AK2420" i="2" s="1"/>
  <c r="W2420" i="2"/>
  <c r="AH2419" i="2"/>
  <c r="AD2419" i="2"/>
  <c r="AF2419" i="2" s="1"/>
  <c r="X2419" i="2"/>
  <c r="W2419" i="2"/>
  <c r="AH2418" i="2"/>
  <c r="AD2418" i="2"/>
  <c r="AF2418" i="2" s="1"/>
  <c r="X2418" i="2"/>
  <c r="AB2418" i="2" s="1"/>
  <c r="AK2418" i="2" s="1"/>
  <c r="W2418" i="2"/>
  <c r="AH2417" i="2"/>
  <c r="AD2417" i="2"/>
  <c r="AF2417" i="2" s="1"/>
  <c r="X2417" i="2"/>
  <c r="AC2417" i="2" s="1"/>
  <c r="W2417" i="2"/>
  <c r="AH2416" i="2"/>
  <c r="AD2416" i="2"/>
  <c r="AF2416" i="2" s="1"/>
  <c r="X2416" i="2"/>
  <c r="AC2416" i="2" s="1"/>
  <c r="W2416" i="2"/>
  <c r="AH2415" i="2"/>
  <c r="AD2415" i="2"/>
  <c r="AF2415" i="2" s="1"/>
  <c r="X2415" i="2"/>
  <c r="AC2415" i="2" s="1"/>
  <c r="W2415" i="2"/>
  <c r="AH2414" i="2"/>
  <c r="AD2414" i="2"/>
  <c r="AF2414" i="2" s="1"/>
  <c r="X2414" i="2"/>
  <c r="W2414" i="2"/>
  <c r="AH2413" i="2"/>
  <c r="AD2413" i="2"/>
  <c r="X2413" i="2"/>
  <c r="AB2413" i="2" s="1"/>
  <c r="AK2413" i="2" s="1"/>
  <c r="W2413" i="2"/>
  <c r="AH2412" i="2"/>
  <c r="AD2412" i="2"/>
  <c r="AF2412" i="2" s="1"/>
  <c r="X2412" i="2"/>
  <c r="AC2412" i="2" s="1"/>
  <c r="W2412" i="2"/>
  <c r="AH2411" i="2"/>
  <c r="AD2411" i="2"/>
  <c r="AF2411" i="2" s="1"/>
  <c r="X2411" i="2"/>
  <c r="W2411" i="2"/>
  <c r="AH2410" i="2"/>
  <c r="AD2410" i="2"/>
  <c r="AF2410" i="2" s="1"/>
  <c r="X2410" i="2"/>
  <c r="AC2410" i="2" s="1"/>
  <c r="W2410" i="2"/>
  <c r="AH2409" i="2"/>
  <c r="AD2409" i="2"/>
  <c r="AF2409" i="2" s="1"/>
  <c r="X2409" i="2"/>
  <c r="AC2409" i="2" s="1"/>
  <c r="W2409" i="2"/>
  <c r="AH2408" i="2"/>
  <c r="AD2408" i="2"/>
  <c r="AF2408" i="2" s="1"/>
  <c r="X2408" i="2"/>
  <c r="W2408" i="2"/>
  <c r="AH2407" i="2"/>
  <c r="AD2407" i="2"/>
  <c r="AF2407" i="2" s="1"/>
  <c r="X2407" i="2"/>
  <c r="AC2407" i="2" s="1"/>
  <c r="W2407" i="2"/>
  <c r="AH2406" i="2"/>
  <c r="AD2406" i="2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AC2403" i="2" s="1"/>
  <c r="W2403" i="2"/>
  <c r="AH2402" i="2"/>
  <c r="AD2402" i="2"/>
  <c r="X2402" i="2"/>
  <c r="W2402" i="2"/>
  <c r="AH2401" i="2"/>
  <c r="AD2401" i="2"/>
  <c r="AF2401" i="2" s="1"/>
  <c r="X2401" i="2"/>
  <c r="AC2401" i="2" s="1"/>
  <c r="W2401" i="2"/>
  <c r="AH2400" i="2"/>
  <c r="AD2400" i="2"/>
  <c r="AF2400" i="2" s="1"/>
  <c r="X2400" i="2"/>
  <c r="W2400" i="2"/>
  <c r="AH2399" i="2"/>
  <c r="AD2399" i="2"/>
  <c r="AF2399" i="2" s="1"/>
  <c r="X2399" i="2"/>
  <c r="AB2399" i="2" s="1"/>
  <c r="AK2399" i="2" s="1"/>
  <c r="W2399" i="2"/>
  <c r="AH2398" i="2"/>
  <c r="AD2398" i="2"/>
  <c r="X2398" i="2"/>
  <c r="AB2398" i="2" s="1"/>
  <c r="AK2398" i="2" s="1"/>
  <c r="W2398" i="2"/>
  <c r="AH2397" i="2"/>
  <c r="AD2397" i="2"/>
  <c r="AF2397" i="2" s="1"/>
  <c r="X2397" i="2"/>
  <c r="AB2397" i="2" s="1"/>
  <c r="AK2397" i="2" s="1"/>
  <c r="W2397" i="2"/>
  <c r="AH2396" i="2"/>
  <c r="AD2396" i="2"/>
  <c r="AF2396" i="2" s="1"/>
  <c r="X2396" i="2"/>
  <c r="W2396" i="2"/>
  <c r="AH2395" i="2"/>
  <c r="AD2395" i="2"/>
  <c r="AF2395" i="2" s="1"/>
  <c r="X2395" i="2"/>
  <c r="AC2395" i="2" s="1"/>
  <c r="W2395" i="2"/>
  <c r="AH2394" i="2"/>
  <c r="AD2394" i="2"/>
  <c r="X2394" i="2"/>
  <c r="AC2394" i="2" s="1"/>
  <c r="W2394" i="2"/>
  <c r="AH2393" i="2"/>
  <c r="AD2393" i="2"/>
  <c r="AF2393" i="2" s="1"/>
  <c r="X2393" i="2"/>
  <c r="AC2393" i="2" s="1"/>
  <c r="W2393" i="2"/>
  <c r="AH2392" i="2"/>
  <c r="AD2392" i="2"/>
  <c r="AF2392" i="2" s="1"/>
  <c r="X2392" i="2"/>
  <c r="W2392" i="2"/>
  <c r="AH2391" i="2"/>
  <c r="AD2391" i="2"/>
  <c r="X2391" i="2"/>
  <c r="AB2391" i="2" s="1"/>
  <c r="AK2391" i="2" s="1"/>
  <c r="W2391" i="2"/>
  <c r="AH2390" i="2"/>
  <c r="AD2390" i="2"/>
  <c r="AF2390" i="2" s="1"/>
  <c r="X2390" i="2"/>
  <c r="AC2390" i="2" s="1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AC2384" i="2" s="1"/>
  <c r="W2384" i="2"/>
  <c r="AH2383" i="2"/>
  <c r="AD2383" i="2"/>
  <c r="AF2383" i="2" s="1"/>
  <c r="X2383" i="2"/>
  <c r="W2383" i="2"/>
  <c r="AH2382" i="2"/>
  <c r="AD2382" i="2"/>
  <c r="AF2382" i="2" s="1"/>
  <c r="X2382" i="2"/>
  <c r="AC2382" i="2" s="1"/>
  <c r="W2382" i="2"/>
  <c r="AH2381" i="2"/>
  <c r="AD2381" i="2"/>
  <c r="AF2381" i="2" s="1"/>
  <c r="X2381" i="2"/>
  <c r="AB2381" i="2" s="1"/>
  <c r="AK2381" i="2" s="1"/>
  <c r="W2381" i="2"/>
  <c r="AH2380" i="2"/>
  <c r="AD2380" i="2"/>
  <c r="AF2380" i="2" s="1"/>
  <c r="X2380" i="2"/>
  <c r="AB2380" i="2" s="1"/>
  <c r="AK2380" i="2" s="1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AC2377" i="2" s="1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AK2374" i="2" s="1"/>
  <c r="W2374" i="2"/>
  <c r="AH2373" i="2"/>
  <c r="AD2373" i="2"/>
  <c r="AF2373" i="2" s="1"/>
  <c r="X2373" i="2"/>
  <c r="AB2373" i="2" s="1"/>
  <c r="AK2373" i="2" s="1"/>
  <c r="W2373" i="2"/>
  <c r="AH2372" i="2"/>
  <c r="AD2372" i="2"/>
  <c r="AF2372" i="2" s="1"/>
  <c r="X2372" i="2"/>
  <c r="W2372" i="2"/>
  <c r="AH2371" i="2"/>
  <c r="AD2371" i="2"/>
  <c r="AC2371" i="2"/>
  <c r="W2371" i="2"/>
  <c r="AH2370" i="2"/>
  <c r="AD2370" i="2"/>
  <c r="X2370" i="2"/>
  <c r="W2370" i="2"/>
  <c r="AH2369" i="2"/>
  <c r="AD2369" i="2"/>
  <c r="AF2369" i="2" s="1"/>
  <c r="X2369" i="2"/>
  <c r="AC2369" i="2" s="1"/>
  <c r="W2369" i="2"/>
  <c r="AH2368" i="2"/>
  <c r="AD2368" i="2"/>
  <c r="Y2368" i="2" s="1"/>
  <c r="AC2368" i="2"/>
  <c r="W2368" i="2"/>
  <c r="AH2367" i="2"/>
  <c r="AD2367" i="2"/>
  <c r="AF2367" i="2" s="1"/>
  <c r="X2367" i="2"/>
  <c r="AC2367" i="2" s="1"/>
  <c r="W2367" i="2"/>
  <c r="AH2366" i="2"/>
  <c r="AD2366" i="2"/>
  <c r="AF2366" i="2" s="1"/>
  <c r="X2366" i="2"/>
  <c r="W2366" i="2"/>
  <c r="AH2365" i="2"/>
  <c r="AD2365" i="2"/>
  <c r="AC2365" i="2"/>
  <c r="W2365" i="2"/>
  <c r="AH2364" i="2"/>
  <c r="AD2364" i="2"/>
  <c r="AF2364" i="2" s="1"/>
  <c r="W2364" i="2"/>
  <c r="AH2363" i="2"/>
  <c r="AD2363" i="2"/>
  <c r="AF2363" i="2" s="1"/>
  <c r="X2363" i="2"/>
  <c r="AB2363" i="2" s="1"/>
  <c r="AK2363" i="2" s="1"/>
  <c r="W2363" i="2"/>
  <c r="AH2362" i="2"/>
  <c r="AD2362" i="2"/>
  <c r="AF2362" i="2" s="1"/>
  <c r="X2362" i="2"/>
  <c r="W2362" i="2"/>
  <c r="AH2361" i="2"/>
  <c r="AD2361" i="2"/>
  <c r="AH2360" i="2"/>
  <c r="AD2360" i="2"/>
  <c r="AF2360" i="2" s="1"/>
  <c r="X2360" i="2"/>
  <c r="AB2360" i="2" s="1"/>
  <c r="AK2360" i="2" s="1"/>
  <c r="W2360" i="2"/>
  <c r="AH2359" i="2"/>
  <c r="AD2359" i="2"/>
  <c r="AF2359" i="2" s="1"/>
  <c r="X2359" i="2"/>
  <c r="W2359" i="2"/>
  <c r="AH2358" i="2"/>
  <c r="AD2358" i="2"/>
  <c r="AF2358" i="2" s="1"/>
  <c r="X2358" i="2"/>
  <c r="W2358" i="2"/>
  <c r="AH2357" i="2"/>
  <c r="AD2357" i="2"/>
  <c r="AF2357" i="2" s="1"/>
  <c r="X2357" i="2"/>
  <c r="AB2357" i="2" s="1"/>
  <c r="AK2357" i="2" s="1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AF2354" i="2" s="1"/>
  <c r="X2354" i="2"/>
  <c r="W2354" i="2"/>
  <c r="AH2353" i="2"/>
  <c r="AD2353" i="2"/>
  <c r="AF2353" i="2" s="1"/>
  <c r="X2353" i="2"/>
  <c r="AC2353" i="2" s="1"/>
  <c r="W2353" i="2"/>
  <c r="AH2352" i="2"/>
  <c r="AD2352" i="2"/>
  <c r="AF2352" i="2" s="1"/>
  <c r="X2352" i="2"/>
  <c r="W2352" i="2"/>
  <c r="AH2351" i="2"/>
  <c r="AD2351" i="2"/>
  <c r="AF2351" i="2" s="1"/>
  <c r="X2351" i="2"/>
  <c r="AB2351" i="2" s="1"/>
  <c r="AK2351" i="2" s="1"/>
  <c r="W2351" i="2"/>
  <c r="AH2350" i="2"/>
  <c r="AD2350" i="2"/>
  <c r="AF2350" i="2" s="1"/>
  <c r="X2350" i="2"/>
  <c r="W2350" i="2"/>
  <c r="AH2349" i="2"/>
  <c r="AD2349" i="2"/>
  <c r="AF2349" i="2" s="1"/>
  <c r="X2349" i="2"/>
  <c r="W2349" i="2"/>
  <c r="AH2348" i="2"/>
  <c r="AD2348" i="2"/>
  <c r="AF2348" i="2" s="1"/>
  <c r="X2348" i="2"/>
  <c r="W2348" i="2"/>
  <c r="AH2347" i="2"/>
  <c r="AD2347" i="2"/>
  <c r="X2347" i="2"/>
  <c r="W2347" i="2"/>
  <c r="AH2346" i="2"/>
  <c r="AD2346" i="2"/>
  <c r="AF2346" i="2" s="1"/>
  <c r="X2346" i="2"/>
  <c r="AB2346" i="2" s="1"/>
  <c r="AK2346" i="2" s="1"/>
  <c r="W2346" i="2"/>
  <c r="AH2345" i="2"/>
  <c r="AD2345" i="2"/>
  <c r="AF2345" i="2" s="1"/>
  <c r="X2345" i="2"/>
  <c r="AB2345" i="2" s="1"/>
  <c r="AK2345" i="2" s="1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AF2342" i="2" s="1"/>
  <c r="X2342" i="2"/>
  <c r="AB2342" i="2" s="1"/>
  <c r="AK2342" i="2" s="1"/>
  <c r="W2342" i="2"/>
  <c r="AH2341" i="2"/>
  <c r="AD2341" i="2"/>
  <c r="AF2341" i="2" s="1"/>
  <c r="X2341" i="2"/>
  <c r="AB2341" i="2" s="1"/>
  <c r="AK2341" i="2" s="1"/>
  <c r="W2341" i="2"/>
  <c r="AH2340" i="2"/>
  <c r="AD2340" i="2"/>
  <c r="AF2340" i="2" s="1"/>
  <c r="X2340" i="2"/>
  <c r="AB2340" i="2" s="1"/>
  <c r="AK2340" i="2" s="1"/>
  <c r="W2340" i="2"/>
  <c r="AH2339" i="2"/>
  <c r="AD2339" i="2"/>
  <c r="AF2339" i="2" s="1"/>
  <c r="X2339" i="2"/>
  <c r="W2339" i="2"/>
  <c r="AH2338" i="2"/>
  <c r="AD2338" i="2"/>
  <c r="AF2338" i="2" s="1"/>
  <c r="X2338" i="2"/>
  <c r="AC2338" i="2" s="1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AB2335" i="2" s="1"/>
  <c r="AK2335" i="2" s="1"/>
  <c r="W2335" i="2"/>
  <c r="AH2334" i="2"/>
  <c r="AD2334" i="2"/>
  <c r="AF2334" i="2" s="1"/>
  <c r="X2334" i="2"/>
  <c r="W2334" i="2"/>
  <c r="AH2333" i="2"/>
  <c r="AD2333" i="2"/>
  <c r="AF2333" i="2" s="1"/>
  <c r="X2333" i="2"/>
  <c r="AB2333" i="2" s="1"/>
  <c r="AK2333" i="2" s="1"/>
  <c r="W2333" i="2"/>
  <c r="AH2332" i="2"/>
  <c r="AD2332" i="2"/>
  <c r="AF2332" i="2" s="1"/>
  <c r="X2332" i="2"/>
  <c r="W2332" i="2"/>
  <c r="AH2331" i="2"/>
  <c r="AD2331" i="2"/>
  <c r="X2331" i="2"/>
  <c r="W2331" i="2"/>
  <c r="AH2330" i="2"/>
  <c r="AD2330" i="2"/>
  <c r="AF2330" i="2" s="1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AB2322" i="2" s="1"/>
  <c r="AK2322" i="2" s="1"/>
  <c r="W2322" i="2"/>
  <c r="AH2321" i="2"/>
  <c r="AD2321" i="2"/>
  <c r="AF2321" i="2" s="1"/>
  <c r="X2321" i="2"/>
  <c r="AB2321" i="2" s="1"/>
  <c r="AK2321" i="2" s="1"/>
  <c r="W2321" i="2"/>
  <c r="AH2320" i="2"/>
  <c r="AD2320" i="2"/>
  <c r="X2320" i="2"/>
  <c r="AB2320" i="2" s="1"/>
  <c r="AK2320" i="2" s="1"/>
  <c r="W2320" i="2"/>
  <c r="AH2319" i="2"/>
  <c r="AD2319" i="2"/>
  <c r="X2319" i="2"/>
  <c r="AB2319" i="2" s="1"/>
  <c r="AK2319" i="2" s="1"/>
  <c r="W2319" i="2"/>
  <c r="AH2318" i="2"/>
  <c r="AD2318" i="2"/>
  <c r="AF2318" i="2" s="1"/>
  <c r="X2318" i="2"/>
  <c r="AC2318" i="2" s="1"/>
  <c r="W2318" i="2"/>
  <c r="AH2317" i="2"/>
  <c r="AD2317" i="2"/>
  <c r="X2317" i="2"/>
  <c r="AB2317" i="2" s="1"/>
  <c r="AK2317" i="2" s="1"/>
  <c r="W2317" i="2"/>
  <c r="AH2316" i="2"/>
  <c r="AD2316" i="2"/>
  <c r="X2316" i="2"/>
  <c r="W2316" i="2"/>
  <c r="AH2315" i="2"/>
  <c r="AD2315" i="2"/>
  <c r="X2315" i="2"/>
  <c r="W2315" i="2"/>
  <c r="AH2314" i="2"/>
  <c r="AD2314" i="2"/>
  <c r="AF2314" i="2" s="1"/>
  <c r="X2314" i="2"/>
  <c r="AC2314" i="2" s="1"/>
  <c r="W2314" i="2"/>
  <c r="AH2313" i="2"/>
  <c r="AD2313" i="2"/>
  <c r="AF2313" i="2" s="1"/>
  <c r="X2313" i="2"/>
  <c r="AK2313" i="2" s="1"/>
  <c r="W2313" i="2"/>
  <c r="AH2312" i="2"/>
  <c r="AD2312" i="2"/>
  <c r="AF2312" i="2" s="1"/>
  <c r="X2312" i="2"/>
  <c r="AC2312" i="2" s="1"/>
  <c r="W2312" i="2"/>
  <c r="AH2311" i="2"/>
  <c r="AD2311" i="2"/>
  <c r="X2311" i="2"/>
  <c r="W2311" i="2"/>
  <c r="AH2310" i="2"/>
  <c r="AD2310" i="2"/>
  <c r="AF2310" i="2" s="1"/>
  <c r="X2310" i="2"/>
  <c r="AB2310" i="2" s="1"/>
  <c r="AK2310" i="2" s="1"/>
  <c r="W2310" i="2"/>
  <c r="AH2309" i="2"/>
  <c r="AD2309" i="2"/>
  <c r="X2309" i="2"/>
  <c r="W2309" i="2"/>
  <c r="AH2308" i="2"/>
  <c r="AD2308" i="2"/>
  <c r="X2308" i="2"/>
  <c r="AB2308" i="2" s="1"/>
  <c r="AK2308" i="2" s="1"/>
  <c r="W2308" i="2"/>
  <c r="AH2307" i="2"/>
  <c r="AD2307" i="2"/>
  <c r="X2307" i="2"/>
  <c r="AB2307" i="2" s="1"/>
  <c r="AK2307" i="2" s="1"/>
  <c r="W2307" i="2"/>
  <c r="AH2306" i="2"/>
  <c r="AD2306" i="2"/>
  <c r="AF2306" i="2" s="1"/>
  <c r="X2306" i="2"/>
  <c r="W2306" i="2"/>
  <c r="AH2305" i="2"/>
  <c r="AD2305" i="2"/>
  <c r="X2305" i="2"/>
  <c r="AB2305" i="2" s="1"/>
  <c r="AK2305" i="2" s="1"/>
  <c r="W2305" i="2"/>
  <c r="AH2304" i="2"/>
  <c r="AD2304" i="2"/>
  <c r="AF2304" i="2" s="1"/>
  <c r="X2304" i="2"/>
  <c r="AC2304" i="2" s="1"/>
  <c r="W2304" i="2"/>
  <c r="AH2303" i="2"/>
  <c r="AD2303" i="2"/>
  <c r="X2303" i="2"/>
  <c r="W2303" i="2"/>
  <c r="AH2302" i="2"/>
  <c r="AD2302" i="2"/>
  <c r="AF2302" i="2" s="1"/>
  <c r="X2302" i="2"/>
  <c r="AC2302" i="2" s="1"/>
  <c r="W2302" i="2"/>
  <c r="AH2301" i="2"/>
  <c r="AD2301" i="2"/>
  <c r="AF2301" i="2" s="1"/>
  <c r="X2301" i="2"/>
  <c r="AB2301" i="2" s="1"/>
  <c r="AK2301" i="2" s="1"/>
  <c r="W2301" i="2"/>
  <c r="AH2300" i="2"/>
  <c r="AD2300" i="2"/>
  <c r="X2300" i="2"/>
  <c r="AB2300" i="2" s="1"/>
  <c r="AK2300" i="2" s="1"/>
  <c r="W2300" i="2"/>
  <c r="AH2299" i="2"/>
  <c r="AD2299" i="2"/>
  <c r="AF2299" i="2" s="1"/>
  <c r="X2299" i="2"/>
  <c r="AC2299" i="2" s="1"/>
  <c r="W2299" i="2"/>
  <c r="AH2298" i="2"/>
  <c r="AD2298" i="2"/>
  <c r="AF2298" i="2" s="1"/>
  <c r="X2298" i="2"/>
  <c r="AC2298" i="2" s="1"/>
  <c r="W2298" i="2"/>
  <c r="AH2297" i="2"/>
  <c r="AD2297" i="2"/>
  <c r="X2297" i="2"/>
  <c r="W2297" i="2"/>
  <c r="AH2296" i="2"/>
  <c r="AD2296" i="2"/>
  <c r="AF2296" i="2" s="1"/>
  <c r="X2296" i="2"/>
  <c r="AB2296" i="2" s="1"/>
  <c r="AK2296" i="2" s="1"/>
  <c r="W2296" i="2"/>
  <c r="AH2295" i="2"/>
  <c r="AD2295" i="2"/>
  <c r="X2295" i="2"/>
  <c r="AB2295" i="2" s="1"/>
  <c r="AK2295" i="2" s="1"/>
  <c r="W2295" i="2"/>
  <c r="AH2294" i="2"/>
  <c r="AD2294" i="2"/>
  <c r="AF2294" i="2" s="1"/>
  <c r="X2294" i="2"/>
  <c r="AC2294" i="2" s="1"/>
  <c r="W2294" i="2"/>
  <c r="AH2293" i="2"/>
  <c r="AD2293" i="2"/>
  <c r="X2293" i="2"/>
  <c r="W2293" i="2"/>
  <c r="AH2292" i="2"/>
  <c r="AD2292" i="2"/>
  <c r="AF2292" i="2" s="1"/>
  <c r="X2292" i="2"/>
  <c r="AB2292" i="2" s="1"/>
  <c r="AK2292" i="2" s="1"/>
  <c r="W2292" i="2"/>
  <c r="AH2291" i="2"/>
  <c r="AD2291" i="2"/>
  <c r="X2291" i="2"/>
  <c r="W2291" i="2"/>
  <c r="AH2290" i="2"/>
  <c r="AD2290" i="2"/>
  <c r="AF2290" i="2" s="1"/>
  <c r="X2290" i="2"/>
  <c r="AC2290" i="2" s="1"/>
  <c r="W2290" i="2"/>
  <c r="AH2289" i="2"/>
  <c r="AD2289" i="2"/>
  <c r="X2289" i="2"/>
  <c r="AB2289" i="2" s="1"/>
  <c r="AK2289" i="2" s="1"/>
  <c r="W2289" i="2"/>
  <c r="AH2288" i="2"/>
  <c r="AD2288" i="2"/>
  <c r="AF2288" i="2" s="1"/>
  <c r="X2288" i="2"/>
  <c r="W2288" i="2"/>
  <c r="AH2287" i="2"/>
  <c r="AD2287" i="2"/>
  <c r="AF2287" i="2" s="1"/>
  <c r="X2287" i="2"/>
  <c r="W2287" i="2"/>
  <c r="AH2286" i="2"/>
  <c r="AD2286" i="2"/>
  <c r="AF2286" i="2" s="1"/>
  <c r="X2286" i="2"/>
  <c r="AB2286" i="2" s="1"/>
  <c r="AK2286" i="2" s="1"/>
  <c r="W2286" i="2"/>
  <c r="AH2285" i="2"/>
  <c r="AD2285" i="2"/>
  <c r="X2285" i="2"/>
  <c r="AB2285" i="2" s="1"/>
  <c r="AK2285" i="2" s="1"/>
  <c r="W2285" i="2"/>
  <c r="AH2284" i="2"/>
  <c r="AD2284" i="2"/>
  <c r="AF2284" i="2" s="1"/>
  <c r="X2284" i="2"/>
  <c r="AC2284" i="2" s="1"/>
  <c r="W2284" i="2"/>
  <c r="AH2283" i="2"/>
  <c r="AD2283" i="2"/>
  <c r="X2283" i="2"/>
  <c r="AB2283" i="2" s="1"/>
  <c r="AK2283" i="2" s="1"/>
  <c r="W2283" i="2"/>
  <c r="AH2282" i="2"/>
  <c r="AD2282" i="2"/>
  <c r="AF2282" i="2" s="1"/>
  <c r="X2282" i="2"/>
  <c r="AC2282" i="2" s="1"/>
  <c r="W2282" i="2"/>
  <c r="AH2281" i="2"/>
  <c r="AD2281" i="2"/>
  <c r="AF2281" i="2" s="1"/>
  <c r="X2281" i="2"/>
  <c r="AC2281" i="2" s="1"/>
  <c r="W2281" i="2"/>
  <c r="AH2280" i="2"/>
  <c r="AD2280" i="2"/>
  <c r="AF2280" i="2" s="1"/>
  <c r="X2280" i="2"/>
  <c r="AB2280" i="2" s="1"/>
  <c r="AK2280" i="2" s="1"/>
  <c r="W2280" i="2"/>
  <c r="AH2279" i="2"/>
  <c r="AD2279" i="2"/>
  <c r="X2279" i="2"/>
  <c r="AK2279" i="2" s="1"/>
  <c r="W2279" i="2"/>
  <c r="AH2278" i="2"/>
  <c r="AD2278" i="2"/>
  <c r="AF2278" i="2" s="1"/>
  <c r="X2278" i="2"/>
  <c r="AB2278" i="2" s="1"/>
  <c r="AK2278" i="2" s="1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AC2276" i="2" s="1"/>
  <c r="W2276" i="2"/>
  <c r="AH2275" i="2"/>
  <c r="AD2275" i="2"/>
  <c r="X2275" i="2"/>
  <c r="W2275" i="2"/>
  <c r="AH2274" i="2"/>
  <c r="AD2274" i="2"/>
  <c r="AF2274" i="2" s="1"/>
  <c r="X2274" i="2"/>
  <c r="AC2274" i="2" s="1"/>
  <c r="W2274" i="2"/>
  <c r="AH2273" i="2"/>
  <c r="AD2273" i="2"/>
  <c r="X2273" i="2"/>
  <c r="AB2273" i="2" s="1"/>
  <c r="AK2273" i="2" s="1"/>
  <c r="W2273" i="2"/>
  <c r="AH2272" i="2"/>
  <c r="AD2272" i="2"/>
  <c r="AF2272" i="2" s="1"/>
  <c r="X2272" i="2"/>
  <c r="AB2272" i="2" s="1"/>
  <c r="AK2272" i="2" s="1"/>
  <c r="W2272" i="2"/>
  <c r="AH2271" i="2"/>
  <c r="AD2271" i="2"/>
  <c r="X2271" i="2"/>
  <c r="W2271" i="2"/>
  <c r="AH2270" i="2"/>
  <c r="AD2270" i="2"/>
  <c r="AF2270" i="2" s="1"/>
  <c r="X2270" i="2"/>
  <c r="AC2270" i="2" s="1"/>
  <c r="W2270" i="2"/>
  <c r="AH2269" i="2"/>
  <c r="AD2269" i="2"/>
  <c r="AF2269" i="2" s="1"/>
  <c r="X2269" i="2"/>
  <c r="W2269" i="2"/>
  <c r="AH2268" i="2"/>
  <c r="AD2268" i="2"/>
  <c r="AF2268" i="2" s="1"/>
  <c r="X2268" i="2"/>
  <c r="AB2268" i="2" s="1"/>
  <c r="AK2268" i="2" s="1"/>
  <c r="W2268" i="2"/>
  <c r="AH2267" i="2"/>
  <c r="AD2267" i="2"/>
  <c r="X2267" i="2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AB2264" i="2" s="1"/>
  <c r="AK2264" i="2" s="1"/>
  <c r="W2264" i="2"/>
  <c r="AH2263" i="2"/>
  <c r="AD2263" i="2"/>
  <c r="X2263" i="2"/>
  <c r="AB2263" i="2" s="1"/>
  <c r="AK2263" i="2" s="1"/>
  <c r="W2263" i="2"/>
  <c r="AH2262" i="2"/>
  <c r="AD2262" i="2"/>
  <c r="AF2262" i="2" s="1"/>
  <c r="X2262" i="2"/>
  <c r="AB2262" i="2" s="1"/>
  <c r="AK2262" i="2" s="1"/>
  <c r="W2262" i="2"/>
  <c r="AH2261" i="2"/>
  <c r="AD2261" i="2"/>
  <c r="X2261" i="2"/>
  <c r="W2261" i="2"/>
  <c r="AH2260" i="2"/>
  <c r="AD2260" i="2"/>
  <c r="AF2260" i="2" s="1"/>
  <c r="X2260" i="2"/>
  <c r="AC2260" i="2" s="1"/>
  <c r="W2260" i="2"/>
  <c r="AH2259" i="2"/>
  <c r="AD2259" i="2"/>
  <c r="X2259" i="2"/>
  <c r="W2259" i="2"/>
  <c r="AH2258" i="2"/>
  <c r="AD2258" i="2"/>
  <c r="AF2258" i="2" s="1"/>
  <c r="X2258" i="2"/>
  <c r="AC2258" i="2" s="1"/>
  <c r="W2258" i="2"/>
  <c r="AH2257" i="2"/>
  <c r="AD2257" i="2"/>
  <c r="AF2257" i="2" s="1"/>
  <c r="X2257" i="2"/>
  <c r="AB2257" i="2" s="1"/>
  <c r="AK2257" i="2" s="1"/>
  <c r="W2257" i="2"/>
  <c r="AH2256" i="2"/>
  <c r="AD2256" i="2"/>
  <c r="AF2256" i="2" s="1"/>
  <c r="X2256" i="2"/>
  <c r="AC2256" i="2" s="1"/>
  <c r="W2256" i="2"/>
  <c r="AH2255" i="2"/>
  <c r="AD2255" i="2"/>
  <c r="X2255" i="2"/>
  <c r="AB2255" i="2" s="1"/>
  <c r="AK2255" i="2" s="1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W2252" i="2"/>
  <c r="AH2251" i="2"/>
  <c r="AD2251" i="2"/>
  <c r="AF2251" i="2" s="1"/>
  <c r="X2251" i="2"/>
  <c r="W2251" i="2"/>
  <c r="AH2250" i="2"/>
  <c r="AD2250" i="2"/>
  <c r="AF2250" i="2" s="1"/>
  <c r="X2250" i="2"/>
  <c r="AC2250" i="2" s="1"/>
  <c r="W2250" i="2"/>
  <c r="AH2249" i="2"/>
  <c r="AD2249" i="2"/>
  <c r="X2249" i="2"/>
  <c r="AB2249" i="2" s="1"/>
  <c r="AK2249" i="2" s="1"/>
  <c r="W2249" i="2"/>
  <c r="AH2248" i="2"/>
  <c r="AD2248" i="2"/>
  <c r="AF2248" i="2" s="1"/>
  <c r="X2248" i="2"/>
  <c r="AK2248" i="2" s="1"/>
  <c r="W2248" i="2"/>
  <c r="AH2247" i="2"/>
  <c r="AD2247" i="2"/>
  <c r="X2247" i="2"/>
  <c r="W2247" i="2"/>
  <c r="AH2246" i="2"/>
  <c r="AD2246" i="2"/>
  <c r="AF2246" i="2" s="1"/>
  <c r="X2246" i="2"/>
  <c r="AC2246" i="2" s="1"/>
  <c r="W2246" i="2"/>
  <c r="AH2245" i="2"/>
  <c r="AD2245" i="2"/>
  <c r="X2245" i="2"/>
  <c r="AB2245" i="2" s="1"/>
  <c r="AK2245" i="2" s="1"/>
  <c r="W2245" i="2"/>
  <c r="AH2244" i="2"/>
  <c r="AD2244" i="2"/>
  <c r="AF2244" i="2" s="1"/>
  <c r="X2244" i="2"/>
  <c r="AC2244" i="2" s="1"/>
  <c r="W2244" i="2"/>
  <c r="AH2243" i="2"/>
  <c r="AD2243" i="2"/>
  <c r="X2243" i="2"/>
  <c r="W2243" i="2"/>
  <c r="AH2242" i="2"/>
  <c r="AD2242" i="2"/>
  <c r="AF2242" i="2" s="1"/>
  <c r="X2242" i="2"/>
  <c r="AC2242" i="2" s="1"/>
  <c r="W2242" i="2"/>
  <c r="AH2241" i="2"/>
  <c r="AD2241" i="2"/>
  <c r="X2241" i="2"/>
  <c r="AB2241" i="2" s="1"/>
  <c r="AK2241" i="2" s="1"/>
  <c r="W2241" i="2"/>
  <c r="AH2240" i="2"/>
  <c r="AD2240" i="2"/>
  <c r="AF2240" i="2" s="1"/>
  <c r="X2240" i="2"/>
  <c r="W2240" i="2"/>
  <c r="AH2239" i="2"/>
  <c r="AD2239" i="2"/>
  <c r="X2239" i="2"/>
  <c r="AC2239" i="2" s="1"/>
  <c r="W2239" i="2"/>
  <c r="AH2238" i="2"/>
  <c r="AD2238" i="2"/>
  <c r="AF2238" i="2" s="1"/>
  <c r="X2238" i="2"/>
  <c r="AC2238" i="2" s="1"/>
  <c r="W2238" i="2"/>
  <c r="AH2237" i="2"/>
  <c r="AD2237" i="2"/>
  <c r="X2237" i="2"/>
  <c r="AC2237" i="2" s="1"/>
  <c r="W2237" i="2"/>
  <c r="AH2236" i="2"/>
  <c r="AD2236" i="2"/>
  <c r="AF2236" i="2" s="1"/>
  <c r="X2236" i="2"/>
  <c r="AC2236" i="2" s="1"/>
  <c r="W2236" i="2"/>
  <c r="AH2235" i="2"/>
  <c r="AD2235" i="2"/>
  <c r="AF2235" i="2" s="1"/>
  <c r="X2235" i="2"/>
  <c r="AK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Y2233" i="2" s="1"/>
  <c r="X2233" i="2"/>
  <c r="W2233" i="2"/>
  <c r="AH2232" i="2"/>
  <c r="AD2232" i="2"/>
  <c r="AF2232" i="2" s="1"/>
  <c r="X2232" i="2"/>
  <c r="AC2232" i="2" s="1"/>
  <c r="W2232" i="2"/>
  <c r="AH2231" i="2"/>
  <c r="AD2231" i="2"/>
  <c r="X2231" i="2"/>
  <c r="AB2231" i="2" s="1"/>
  <c r="AK2231" i="2" s="1"/>
  <c r="W2231" i="2"/>
  <c r="AH2230" i="2"/>
  <c r="AD2230" i="2"/>
  <c r="AF2230" i="2" s="1"/>
  <c r="X2230" i="2"/>
  <c r="AC2230" i="2" s="1"/>
  <c r="W2230" i="2"/>
  <c r="AH2229" i="2"/>
  <c r="AD2229" i="2"/>
  <c r="X2229" i="2"/>
  <c r="W2229" i="2"/>
  <c r="AH2228" i="2"/>
  <c r="AD2228" i="2"/>
  <c r="AF2228" i="2" s="1"/>
  <c r="X2228" i="2"/>
  <c r="AC2228" i="2" s="1"/>
  <c r="W2228" i="2"/>
  <c r="AH2227" i="2"/>
  <c r="AD2227" i="2"/>
  <c r="X2227" i="2"/>
  <c r="AC2227" i="2" s="1"/>
  <c r="W2227" i="2"/>
  <c r="AH2226" i="2"/>
  <c r="AD2226" i="2"/>
  <c r="AF2226" i="2" s="1"/>
  <c r="X2226" i="2"/>
  <c r="AB2226" i="2" s="1"/>
  <c r="AK2226" i="2" s="1"/>
  <c r="W2226" i="2"/>
  <c r="AH2225" i="2"/>
  <c r="AD2225" i="2"/>
  <c r="X2225" i="2"/>
  <c r="AB2225" i="2" s="1"/>
  <c r="AK2225" i="2" s="1"/>
  <c r="W2225" i="2"/>
  <c r="AH2224" i="2"/>
  <c r="AD2224" i="2"/>
  <c r="AF2224" i="2" s="1"/>
  <c r="X2224" i="2"/>
  <c r="AB2224" i="2" s="1"/>
  <c r="AK2224" i="2" s="1"/>
  <c r="W2224" i="2"/>
  <c r="AH2223" i="2"/>
  <c r="AD2223" i="2"/>
  <c r="X2223" i="2"/>
  <c r="AB2223" i="2" s="1"/>
  <c r="AK2223" i="2" s="1"/>
  <c r="W2223" i="2"/>
  <c r="AH2222" i="2"/>
  <c r="AD2222" i="2"/>
  <c r="AF2222" i="2" s="1"/>
  <c r="X2222" i="2"/>
  <c r="AC2222" i="2" s="1"/>
  <c r="W2222" i="2"/>
  <c r="AH2221" i="2"/>
  <c r="AD2221" i="2"/>
  <c r="X2221" i="2"/>
  <c r="W2221" i="2"/>
  <c r="AH2220" i="2"/>
  <c r="AD2220" i="2"/>
  <c r="AF2220" i="2" s="1"/>
  <c r="X2220" i="2"/>
  <c r="AC2220" i="2" s="1"/>
  <c r="W2220" i="2"/>
  <c r="AH2219" i="2"/>
  <c r="AD2219" i="2"/>
  <c r="X2219" i="2"/>
  <c r="W2219" i="2"/>
  <c r="AH2218" i="2"/>
  <c r="AD2218" i="2"/>
  <c r="AF2218" i="2" s="1"/>
  <c r="X2218" i="2"/>
  <c r="AC2218" i="2" s="1"/>
  <c r="W2218" i="2"/>
  <c r="AH2217" i="2"/>
  <c r="AD2217" i="2"/>
  <c r="X2217" i="2"/>
  <c r="AB2217" i="2" s="1"/>
  <c r="AK2217" i="2" s="1"/>
  <c r="W2217" i="2"/>
  <c r="AH2216" i="2"/>
  <c r="AD2216" i="2"/>
  <c r="AF2216" i="2" s="1"/>
  <c r="X2216" i="2"/>
  <c r="AC2216" i="2" s="1"/>
  <c r="W2216" i="2"/>
  <c r="AH2215" i="2"/>
  <c r="AD2215" i="2"/>
  <c r="AF2215" i="2" s="1"/>
  <c r="X2215" i="2"/>
  <c r="AB2215" i="2" s="1"/>
  <c r="AK2215" i="2" s="1"/>
  <c r="W2215" i="2"/>
  <c r="AH2214" i="2"/>
  <c r="AD2214" i="2"/>
  <c r="AF2214" i="2" s="1"/>
  <c r="X2214" i="2"/>
  <c r="AC2214" i="2" s="1"/>
  <c r="W2214" i="2"/>
  <c r="AH2213" i="2"/>
  <c r="AD2213" i="2"/>
  <c r="X2213" i="2"/>
  <c r="AC2213" i="2" s="1"/>
  <c r="W2213" i="2"/>
  <c r="AH2212" i="2"/>
  <c r="AD2212" i="2"/>
  <c r="AF2212" i="2" s="1"/>
  <c r="X2212" i="2"/>
  <c r="AC2212" i="2" s="1"/>
  <c r="W2212" i="2"/>
  <c r="AH2211" i="2"/>
  <c r="AD2211" i="2"/>
  <c r="X2211" i="2"/>
  <c r="W2211" i="2"/>
  <c r="AH2210" i="2"/>
  <c r="AD2210" i="2"/>
  <c r="AF2210" i="2" s="1"/>
  <c r="X2210" i="2"/>
  <c r="AB2210" i="2" s="1"/>
  <c r="AK2210" i="2" s="1"/>
  <c r="W2210" i="2"/>
  <c r="AH2209" i="2"/>
  <c r="AD2209" i="2"/>
  <c r="AF2209" i="2" s="1"/>
  <c r="X2209" i="2"/>
  <c r="W2209" i="2"/>
  <c r="AH2208" i="2"/>
  <c r="AD2208" i="2"/>
  <c r="AF2208" i="2" s="1"/>
  <c r="X2208" i="2"/>
  <c r="AC2208" i="2" s="1"/>
  <c r="W2208" i="2"/>
  <c r="AH2207" i="2"/>
  <c r="AD2207" i="2"/>
  <c r="X2207" i="2"/>
  <c r="W2207" i="2"/>
  <c r="AH2206" i="2"/>
  <c r="AD2206" i="2"/>
  <c r="AF2206" i="2" s="1"/>
  <c r="X2206" i="2"/>
  <c r="W2206" i="2"/>
  <c r="AH2205" i="2"/>
  <c r="AD2205" i="2"/>
  <c r="X2205" i="2"/>
  <c r="W2205" i="2"/>
  <c r="AH2204" i="2"/>
  <c r="AD2204" i="2"/>
  <c r="AF2204" i="2" s="1"/>
  <c r="X2204" i="2"/>
  <c r="AC2204" i="2" s="1"/>
  <c r="W2204" i="2"/>
  <c r="AH2203" i="2"/>
  <c r="AD2203" i="2"/>
  <c r="X2203" i="2"/>
  <c r="AC2203" i="2" s="1"/>
  <c r="W2203" i="2"/>
  <c r="AH2202" i="2"/>
  <c r="AD2202" i="2"/>
  <c r="AF2202" i="2" s="1"/>
  <c r="X2202" i="2"/>
  <c r="W2202" i="2"/>
  <c r="AH2201" i="2"/>
  <c r="AD2201" i="2"/>
  <c r="Y2201" i="2" s="1"/>
  <c r="X2201" i="2"/>
  <c r="AB2201" i="2" s="1"/>
  <c r="AK2201" i="2" s="1"/>
  <c r="W2201" i="2"/>
  <c r="AH2200" i="2"/>
  <c r="AF2200" i="2"/>
  <c r="X2200" i="2"/>
  <c r="AC2200" i="2" s="1"/>
  <c r="W2200" i="2"/>
  <c r="AH2199" i="2"/>
  <c r="AD2199" i="2"/>
  <c r="AF2199" i="2" s="1"/>
  <c r="X2199" i="2"/>
  <c r="AB2199" i="2" s="1"/>
  <c r="AK2199" i="2" s="1"/>
  <c r="W2199" i="2"/>
  <c r="AH2198" i="2"/>
  <c r="AD2198" i="2"/>
  <c r="AF2198" i="2" s="1"/>
  <c r="X2198" i="2"/>
  <c r="AC2198" i="2" s="1"/>
  <c r="W2198" i="2"/>
  <c r="AH2197" i="2"/>
  <c r="AD2197" i="2"/>
  <c r="X2197" i="2"/>
  <c r="AC2197" i="2" s="1"/>
  <c r="W2197" i="2"/>
  <c r="AH2196" i="2"/>
  <c r="AD2196" i="2"/>
  <c r="AF2196" i="2" s="1"/>
  <c r="X2196" i="2"/>
  <c r="AC2196" i="2" s="1"/>
  <c r="W2196" i="2"/>
  <c r="AH2195" i="2"/>
  <c r="AD2195" i="2"/>
  <c r="X2195" i="2"/>
  <c r="W2195" i="2"/>
  <c r="AH2194" i="2"/>
  <c r="AD2194" i="2"/>
  <c r="AF2194" i="2" s="1"/>
  <c r="X2194" i="2"/>
  <c r="AC2194" i="2" s="1"/>
  <c r="W2194" i="2"/>
  <c r="AH2193" i="2"/>
  <c r="AD2193" i="2"/>
  <c r="X2193" i="2"/>
  <c r="AK2193" i="2" s="1"/>
  <c r="W2193" i="2"/>
  <c r="AH2192" i="2"/>
  <c r="AD2192" i="2"/>
  <c r="AF2192" i="2" s="1"/>
  <c r="X2192" i="2"/>
  <c r="AC2192" i="2" s="1"/>
  <c r="W2192" i="2"/>
  <c r="AH2191" i="2"/>
  <c r="AD2191" i="2"/>
  <c r="X2191" i="2"/>
  <c r="AC2191" i="2" s="1"/>
  <c r="W2191" i="2"/>
  <c r="AH2190" i="2"/>
  <c r="AD2190" i="2"/>
  <c r="AF2190" i="2" s="1"/>
  <c r="X2190" i="2"/>
  <c r="AB2190" i="2" s="1"/>
  <c r="AK2190" i="2" s="1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AC2188" i="2" s="1"/>
  <c r="W2188" i="2"/>
  <c r="AH2187" i="2"/>
  <c r="AD2187" i="2"/>
  <c r="X2187" i="2"/>
  <c r="W2187" i="2"/>
  <c r="AH2186" i="2"/>
  <c r="AD2186" i="2"/>
  <c r="AF2186" i="2" s="1"/>
  <c r="X2186" i="2"/>
  <c r="AC2186" i="2" s="1"/>
  <c r="W2186" i="2"/>
  <c r="AH2185" i="2"/>
  <c r="AD2185" i="2"/>
  <c r="X2185" i="2"/>
  <c r="AB2185" i="2" s="1"/>
  <c r="AK2185" i="2" s="1"/>
  <c r="W2185" i="2"/>
  <c r="AH2184" i="2"/>
  <c r="AD2184" i="2"/>
  <c r="AF2184" i="2" s="1"/>
  <c r="X2184" i="2"/>
  <c r="AB2184" i="2" s="1"/>
  <c r="AK2184" i="2" s="1"/>
  <c r="W2184" i="2"/>
  <c r="AH2183" i="2"/>
  <c r="AD2183" i="2"/>
  <c r="X2183" i="2"/>
  <c r="W2183" i="2"/>
  <c r="AH2182" i="2"/>
  <c r="AD2182" i="2"/>
  <c r="AF2182" i="2" s="1"/>
  <c r="X2182" i="2"/>
  <c r="AC2182" i="2" s="1"/>
  <c r="W2182" i="2"/>
  <c r="AH2181" i="2"/>
  <c r="AD2181" i="2"/>
  <c r="X2181" i="2"/>
  <c r="W2181" i="2"/>
  <c r="AH2180" i="2"/>
  <c r="AD2180" i="2"/>
  <c r="AF2180" i="2" s="1"/>
  <c r="X2180" i="2"/>
  <c r="AB2180" i="2" s="1"/>
  <c r="AK2180" i="2" s="1"/>
  <c r="W2180" i="2"/>
  <c r="AH2179" i="2"/>
  <c r="AD2179" i="2"/>
  <c r="AF2179" i="2" s="1"/>
  <c r="X2179" i="2"/>
  <c r="AB2179" i="2" s="1"/>
  <c r="AK2179" i="2" s="1"/>
  <c r="W2179" i="2"/>
  <c r="AH2178" i="2"/>
  <c r="AD2178" i="2"/>
  <c r="AF2178" i="2" s="1"/>
  <c r="X2178" i="2"/>
  <c r="AB2178" i="2" s="1"/>
  <c r="AK2178" i="2" s="1"/>
  <c r="W2178" i="2"/>
  <c r="AH2177" i="2"/>
  <c r="AD2177" i="2"/>
  <c r="X2177" i="2"/>
  <c r="W2177" i="2"/>
  <c r="AH2176" i="2"/>
  <c r="AD2176" i="2"/>
  <c r="X2176" i="2"/>
  <c r="AB2176" i="2" s="1"/>
  <c r="AK2176" i="2" s="1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AC2174" i="2" s="1"/>
  <c r="W2174" i="2"/>
  <c r="AH2173" i="2"/>
  <c r="AF2173" i="2"/>
  <c r="X2173" i="2"/>
  <c r="W2173" i="2"/>
  <c r="AH2172" i="2"/>
  <c r="AD2172" i="2"/>
  <c r="AF2172" i="2" s="1"/>
  <c r="X2172" i="2"/>
  <c r="AB2172" i="2" s="1"/>
  <c r="AK2172" i="2" s="1"/>
  <c r="W2172" i="2"/>
  <c r="AH2171" i="2"/>
  <c r="AD2171" i="2"/>
  <c r="X2171" i="2"/>
  <c r="W2171" i="2"/>
  <c r="AH2170" i="2"/>
  <c r="AD2170" i="2"/>
  <c r="AF2170" i="2" s="1"/>
  <c r="X2170" i="2"/>
  <c r="AC2170" i="2" s="1"/>
  <c r="W2170" i="2"/>
  <c r="AH2169" i="2"/>
  <c r="AD2169" i="2"/>
  <c r="X2169" i="2"/>
  <c r="AK2169" i="2" s="1"/>
  <c r="W2169" i="2"/>
  <c r="AH2168" i="2"/>
  <c r="AD2168" i="2"/>
  <c r="X2168" i="2"/>
  <c r="W2168" i="2"/>
  <c r="AH2167" i="2"/>
  <c r="AD2167" i="2"/>
  <c r="X2167" i="2"/>
  <c r="W2167" i="2"/>
  <c r="AH2166" i="2"/>
  <c r="AD2166" i="2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C2164" i="2" s="1"/>
  <c r="W2164" i="2"/>
  <c r="AH2163" i="2"/>
  <c r="AD2163" i="2"/>
  <c r="X2163" i="2"/>
  <c r="AC2163" i="2" s="1"/>
  <c r="W2163" i="2"/>
  <c r="AH2162" i="2"/>
  <c r="AD2162" i="2"/>
  <c r="AF2162" i="2" s="1"/>
  <c r="X2162" i="2"/>
  <c r="AC2162" i="2" s="1"/>
  <c r="W2162" i="2"/>
  <c r="AH2161" i="2"/>
  <c r="AD2161" i="2"/>
  <c r="X2161" i="2"/>
  <c r="AB2161" i="2" s="1"/>
  <c r="AK2161" i="2" s="1"/>
  <c r="W2161" i="2"/>
  <c r="AH2160" i="2"/>
  <c r="AD2160" i="2"/>
  <c r="AF2160" i="2" s="1"/>
  <c r="X2160" i="2"/>
  <c r="AC2160" i="2" s="1"/>
  <c r="W2160" i="2"/>
  <c r="AH2159" i="2"/>
  <c r="AD2159" i="2"/>
  <c r="AF2159" i="2" s="1"/>
  <c r="X2159" i="2"/>
  <c r="W2159" i="2"/>
  <c r="AH2158" i="2"/>
  <c r="AD2158" i="2"/>
  <c r="AF2158" i="2" s="1"/>
  <c r="X2158" i="2"/>
  <c r="AC2158" i="2" s="1"/>
  <c r="W2158" i="2"/>
  <c r="AH2157" i="2"/>
  <c r="AD2157" i="2"/>
  <c r="X2157" i="2"/>
  <c r="AC2157" i="2" s="1"/>
  <c r="W2157" i="2"/>
  <c r="AH2156" i="2"/>
  <c r="AD2156" i="2"/>
  <c r="X2156" i="2"/>
  <c r="AB2156" i="2" s="1"/>
  <c r="AK2156" i="2" s="1"/>
  <c r="W2156" i="2"/>
  <c r="AH2155" i="2"/>
  <c r="AD2155" i="2"/>
  <c r="X2155" i="2"/>
  <c r="AB2155" i="2" s="1"/>
  <c r="AK2155" i="2" s="1"/>
  <c r="W2155" i="2"/>
  <c r="AH2154" i="2"/>
  <c r="AD2154" i="2"/>
  <c r="AF2154" i="2" s="1"/>
  <c r="X2154" i="2"/>
  <c r="AC2154" i="2" s="1"/>
  <c r="W2154" i="2"/>
  <c r="AH2153" i="2"/>
  <c r="AD2153" i="2"/>
  <c r="X2153" i="2"/>
  <c r="AB2153" i="2" s="1"/>
  <c r="AK2153" i="2" s="1"/>
  <c r="W2153" i="2"/>
  <c r="AH2152" i="2"/>
  <c r="AD2152" i="2"/>
  <c r="AF2152" i="2" s="1"/>
  <c r="X2152" i="2"/>
  <c r="AB2152" i="2" s="1"/>
  <c r="AK2152" i="2" s="1"/>
  <c r="W2152" i="2"/>
  <c r="AH2151" i="2"/>
  <c r="AD2151" i="2"/>
  <c r="X2151" i="2"/>
  <c r="W2151" i="2"/>
  <c r="AH2150" i="2"/>
  <c r="AD2150" i="2"/>
  <c r="AF2150" i="2" s="1"/>
  <c r="X2150" i="2"/>
  <c r="AC2150" i="2" s="1"/>
  <c r="W2150" i="2"/>
  <c r="AH2149" i="2"/>
  <c r="AD2149" i="2"/>
  <c r="X2149" i="2"/>
  <c r="W2149" i="2"/>
  <c r="AH2148" i="2"/>
  <c r="AD2148" i="2"/>
  <c r="X2148" i="2"/>
  <c r="AB2148" i="2" s="1"/>
  <c r="AK2148" i="2" s="1"/>
  <c r="W2148" i="2"/>
  <c r="AH2147" i="2"/>
  <c r="AD2147" i="2"/>
  <c r="X2147" i="2"/>
  <c r="W2147" i="2"/>
  <c r="AH2146" i="2"/>
  <c r="AD2146" i="2"/>
  <c r="X2146" i="2"/>
  <c r="AB2146" i="2" s="1"/>
  <c r="AK2146" i="2" s="1"/>
  <c r="W2146" i="2"/>
  <c r="AH2145" i="2"/>
  <c r="AD2145" i="2"/>
  <c r="X2145" i="2"/>
  <c r="W2145" i="2"/>
  <c r="AH2144" i="2"/>
  <c r="AD2144" i="2"/>
  <c r="AF2144" i="2" s="1"/>
  <c r="X2144" i="2"/>
  <c r="AC2144" i="2" s="1"/>
  <c r="W2144" i="2"/>
  <c r="AH2143" i="2"/>
  <c r="AD2143" i="2"/>
  <c r="X2143" i="2"/>
  <c r="W2143" i="2"/>
  <c r="AH2142" i="2"/>
  <c r="AD2142" i="2"/>
  <c r="AF2142" i="2" s="1"/>
  <c r="X2142" i="2"/>
  <c r="AB2142" i="2" s="1"/>
  <c r="AK2142" i="2" s="1"/>
  <c r="W2142" i="2"/>
  <c r="AH2141" i="2"/>
  <c r="AD2141" i="2"/>
  <c r="X2141" i="2"/>
  <c r="W2141" i="2"/>
  <c r="AH2140" i="2"/>
  <c r="AD2140" i="2"/>
  <c r="X2140" i="2"/>
  <c r="W2140" i="2"/>
  <c r="AH2139" i="2"/>
  <c r="AD2139" i="2"/>
  <c r="X2139" i="2"/>
  <c r="W2139" i="2"/>
  <c r="AH2138" i="2"/>
  <c r="AD2138" i="2"/>
  <c r="X2138" i="2"/>
  <c r="AB2138" i="2" s="1"/>
  <c r="AK2138" i="2" s="1"/>
  <c r="W2138" i="2"/>
  <c r="AH2137" i="2"/>
  <c r="AD2137" i="2"/>
  <c r="AF2137" i="2" s="1"/>
  <c r="X2137" i="2"/>
  <c r="AB2137" i="2" s="1"/>
  <c r="AK2137" i="2" s="1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AB2130" i="2" s="1"/>
  <c r="AK2130" i="2" s="1"/>
  <c r="W2130" i="2"/>
  <c r="AH2129" i="2"/>
  <c r="AD2129" i="2"/>
  <c r="X2129" i="2"/>
  <c r="W2129" i="2"/>
  <c r="AH2128" i="2"/>
  <c r="AD2128" i="2"/>
  <c r="X2128" i="2"/>
  <c r="W2128" i="2"/>
  <c r="AH2127" i="2"/>
  <c r="AD2127" i="2"/>
  <c r="X2127" i="2"/>
  <c r="AB2127" i="2" s="1"/>
  <c r="AK2127" i="2" s="1"/>
  <c r="W2127" i="2"/>
  <c r="AH2126" i="2"/>
  <c r="AD2126" i="2"/>
  <c r="AF2126" i="2" s="1"/>
  <c r="W2126" i="2"/>
  <c r="AH2125" i="2"/>
  <c r="AD2125" i="2"/>
  <c r="X2125" i="2"/>
  <c r="W2125" i="2"/>
  <c r="AH2124" i="2"/>
  <c r="AD2124" i="2"/>
  <c r="AF2124" i="2" s="1"/>
  <c r="X2124" i="2"/>
  <c r="AC2124" i="2" s="1"/>
  <c r="W2124" i="2"/>
  <c r="AH2123" i="2"/>
  <c r="AD2123" i="2"/>
  <c r="X2123" i="2"/>
  <c r="AC2123" i="2" s="1"/>
  <c r="W2123" i="2"/>
  <c r="AH2122" i="2"/>
  <c r="AD2122" i="2"/>
  <c r="AF2122" i="2" s="1"/>
  <c r="X2122" i="2"/>
  <c r="AB2122" i="2" s="1"/>
  <c r="AK2122" i="2" s="1"/>
  <c r="W2122" i="2"/>
  <c r="AH2121" i="2"/>
  <c r="AD2121" i="2"/>
  <c r="AF2121" i="2" s="1"/>
  <c r="X2121" i="2"/>
  <c r="W2121" i="2"/>
  <c r="AH2120" i="2"/>
  <c r="AD2120" i="2"/>
  <c r="X2120" i="2"/>
  <c r="W2120" i="2"/>
  <c r="AH2119" i="2"/>
  <c r="AD2119" i="2"/>
  <c r="AF2119" i="2" s="1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AC2114" i="2" s="1"/>
  <c r="U2114" i="2"/>
  <c r="W2114" i="2"/>
  <c r="AH2113" i="2"/>
  <c r="AD2113" i="2"/>
  <c r="AF2113" i="2" s="1"/>
  <c r="X2113" i="2"/>
  <c r="W2113" i="2"/>
  <c r="AH2112" i="2"/>
  <c r="AD2112" i="2"/>
  <c r="AF2112" i="2" s="1"/>
  <c r="X2112" i="2"/>
  <c r="AC2112" i="2" s="1"/>
  <c r="W2112" i="2"/>
  <c r="AH2111" i="2"/>
  <c r="AD2111" i="2"/>
  <c r="X2111" i="2"/>
  <c r="AC2111" i="2" s="1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W2109" i="2"/>
  <c r="AH2108" i="2"/>
  <c r="AD2108" i="2"/>
  <c r="AF2108" i="2" s="1"/>
  <c r="X2108" i="2"/>
  <c r="AC2108" i="2" s="1"/>
  <c r="W2108" i="2"/>
  <c r="AH2107" i="2"/>
  <c r="AD2107" i="2"/>
  <c r="X2107" i="2"/>
  <c r="AC2107" i="2" s="1"/>
  <c r="W2107" i="2"/>
  <c r="AH2106" i="2"/>
  <c r="AD2106" i="2"/>
  <c r="AF2106" i="2" s="1"/>
  <c r="X2106" i="2"/>
  <c r="AC2106" i="2" s="1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X2103" i="2"/>
  <c r="AC2103" i="2" s="1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AB2100" i="2" s="1"/>
  <c r="AK2100" i="2" s="1"/>
  <c r="W2100" i="2"/>
  <c r="AH2099" i="2"/>
  <c r="AD2099" i="2"/>
  <c r="X2099" i="2"/>
  <c r="AC2099" i="2" s="1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AC2096" i="2" s="1"/>
  <c r="W2096" i="2"/>
  <c r="AH2095" i="2"/>
  <c r="AD2095" i="2"/>
  <c r="X2095" i="2"/>
  <c r="AA2095" i="2" s="1"/>
  <c r="W2095" i="2"/>
  <c r="AH2094" i="2"/>
  <c r="AD2094" i="2"/>
  <c r="AF2094" i="2" s="1"/>
  <c r="X2094" i="2"/>
  <c r="AB2094" i="2" s="1"/>
  <c r="AK2094" i="2" s="1"/>
  <c r="W2094" i="2"/>
  <c r="AH2093" i="2"/>
  <c r="AD2093" i="2"/>
  <c r="AF2093" i="2" s="1"/>
  <c r="X2093" i="2"/>
  <c r="AC2093" i="2" s="1"/>
  <c r="W2093" i="2"/>
  <c r="AH2092" i="2"/>
  <c r="AD2092" i="2"/>
  <c r="AF2092" i="2" s="1"/>
  <c r="X2092" i="2"/>
  <c r="AC2092" i="2" s="1"/>
  <c r="W2092" i="2"/>
  <c r="AH2091" i="2"/>
  <c r="AD2091" i="2"/>
  <c r="X2091" i="2"/>
  <c r="W2091" i="2"/>
  <c r="AH2090" i="2"/>
  <c r="AD2090" i="2"/>
  <c r="AF2090" i="2" s="1"/>
  <c r="X2090" i="2"/>
  <c r="AB2090" i="2" s="1"/>
  <c r="AK2090" i="2" s="1"/>
  <c r="W2090" i="2"/>
  <c r="AH2089" i="2"/>
  <c r="AD2089" i="2"/>
  <c r="AF2089" i="2" s="1"/>
  <c r="X2089" i="2"/>
  <c r="W2089" i="2"/>
  <c r="AH2088" i="2"/>
  <c r="AD2088" i="2"/>
  <c r="AF2088" i="2" s="1"/>
  <c r="X2088" i="2"/>
  <c r="AB2088" i="2" s="1"/>
  <c r="AK2088" i="2" s="1"/>
  <c r="W2088" i="2"/>
  <c r="AH2087" i="2"/>
  <c r="AD2087" i="2"/>
  <c r="X2087" i="2"/>
  <c r="AC2087" i="2" s="1"/>
  <c r="W2087" i="2"/>
  <c r="AH2086" i="2"/>
  <c r="AD2086" i="2"/>
  <c r="AF2086" i="2" s="1"/>
  <c r="X2086" i="2"/>
  <c r="AC2086" i="2" s="1"/>
  <c r="W2086" i="2"/>
  <c r="AH2085" i="2"/>
  <c r="AD2085" i="2"/>
  <c r="AF2085" i="2" s="1"/>
  <c r="X2085" i="2"/>
  <c r="W2085" i="2"/>
  <c r="AH2084" i="2"/>
  <c r="AD2084" i="2"/>
  <c r="AF2084" i="2" s="1"/>
  <c r="X2084" i="2"/>
  <c r="AB2084" i="2" s="1"/>
  <c r="AK2084" i="2" s="1"/>
  <c r="W2084" i="2"/>
  <c r="AH2083" i="2"/>
  <c r="AD2083" i="2"/>
  <c r="X2083" i="2"/>
  <c r="AC2083" i="2" s="1"/>
  <c r="W2083" i="2"/>
  <c r="AH2082" i="2"/>
  <c r="AD2082" i="2"/>
  <c r="AF2082" i="2" s="1"/>
  <c r="X2082" i="2"/>
  <c r="AC2082" i="2" s="1"/>
  <c r="W2082" i="2"/>
  <c r="AH2081" i="2"/>
  <c r="AD2081" i="2"/>
  <c r="AF2081" i="2" s="1"/>
  <c r="X2081" i="2"/>
  <c r="AB2081" i="2" s="1"/>
  <c r="AK2081" i="2" s="1"/>
  <c r="W2081" i="2"/>
  <c r="AH2080" i="2"/>
  <c r="AD2080" i="2"/>
  <c r="AF2080" i="2" s="1"/>
  <c r="X2080" i="2"/>
  <c r="AC2080" i="2" s="1"/>
  <c r="W2080" i="2"/>
  <c r="AH2079" i="2"/>
  <c r="AD2079" i="2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Y2076" i="2" s="1"/>
  <c r="W2076" i="2"/>
  <c r="AH2075" i="2"/>
  <c r="AF2075" i="2"/>
  <c r="X2075" i="2"/>
  <c r="AB2075" i="2" s="1"/>
  <c r="AK2075" i="2" s="1"/>
  <c r="W2075" i="2"/>
  <c r="AH2074" i="2"/>
  <c r="AF2074" i="2"/>
  <c r="X2074" i="2"/>
  <c r="AB2074" i="2" s="1"/>
  <c r="AK2074" i="2" s="1"/>
  <c r="W2074" i="2"/>
  <c r="AH2073" i="2"/>
  <c r="AF2073" i="2"/>
  <c r="X2073" i="2"/>
  <c r="W2073" i="2"/>
  <c r="AH2072" i="2"/>
  <c r="AF2072" i="2"/>
  <c r="X2072" i="2"/>
  <c r="AB2072" i="2" s="1"/>
  <c r="AK2072" i="2" s="1"/>
  <c r="W2072" i="2"/>
  <c r="AH2071" i="2"/>
  <c r="AF2071" i="2"/>
  <c r="X2071" i="2"/>
  <c r="Y2071" i="2" s="1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AC2068" i="2" s="1"/>
  <c r="W2068" i="2"/>
  <c r="AH2067" i="2"/>
  <c r="AF2067" i="2"/>
  <c r="X2067" i="2"/>
  <c r="AB2067" i="2" s="1"/>
  <c r="AK2067" i="2" s="1"/>
  <c r="W2067" i="2"/>
  <c r="AH2066" i="2"/>
  <c r="AF2066" i="2"/>
  <c r="X2066" i="2"/>
  <c r="AC2066" i="2" s="1"/>
  <c r="W2066" i="2"/>
  <c r="AH2065" i="2"/>
  <c r="AF2065" i="2"/>
  <c r="X2065" i="2"/>
  <c r="W2065" i="2"/>
  <c r="AH2064" i="2"/>
  <c r="AF2064" i="2"/>
  <c r="X2064" i="2"/>
  <c r="AC2064" i="2" s="1"/>
  <c r="W2064" i="2"/>
  <c r="AH2063" i="2"/>
  <c r="AF2063" i="2"/>
  <c r="X2063" i="2"/>
  <c r="W2063" i="2"/>
  <c r="AH2062" i="2"/>
  <c r="AF2062" i="2"/>
  <c r="X2062" i="2"/>
  <c r="AC2062" i="2" s="1"/>
  <c r="W2062" i="2"/>
  <c r="AH2061" i="2"/>
  <c r="AF2061" i="2"/>
  <c r="W2061" i="2"/>
  <c r="AH2060" i="2"/>
  <c r="AF2060" i="2"/>
  <c r="W2060" i="2"/>
  <c r="AH2059" i="2"/>
  <c r="AF2059" i="2"/>
  <c r="X2059" i="2"/>
  <c r="AB2059" i="2" s="1"/>
  <c r="AK2059" i="2" s="1"/>
  <c r="W2059" i="2"/>
  <c r="AH2058" i="2"/>
  <c r="AD2058" i="2"/>
  <c r="AF2058" i="2" s="1"/>
  <c r="X2058" i="2"/>
  <c r="W2058" i="2"/>
  <c r="AH2057" i="2"/>
  <c r="AD2057" i="2"/>
  <c r="AF2057" i="2" s="1"/>
  <c r="X2057" i="2"/>
  <c r="AB2057" i="2" s="1"/>
  <c r="AK2057" i="2" s="1"/>
  <c r="W2057" i="2"/>
  <c r="AH2056" i="2"/>
  <c r="AD2056" i="2"/>
  <c r="AF2056" i="2" s="1"/>
  <c r="X2056" i="2"/>
  <c r="AC2056" i="2" s="1"/>
  <c r="W2056" i="2"/>
  <c r="AH2055" i="2"/>
  <c r="AD2055" i="2"/>
  <c r="AF2055" i="2" s="1"/>
  <c r="X2055" i="2"/>
  <c r="AC2055" i="2" s="1"/>
  <c r="W2055" i="2"/>
  <c r="AH2054" i="2"/>
  <c r="AD2054" i="2"/>
  <c r="AF2054" i="2" s="1"/>
  <c r="X2054" i="2"/>
  <c r="AB2054" i="2" s="1"/>
  <c r="AK2054" i="2" s="1"/>
  <c r="W2054" i="2"/>
  <c r="AH2053" i="2"/>
  <c r="AD2053" i="2"/>
  <c r="AF2053" i="2" s="1"/>
  <c r="X2053" i="2"/>
  <c r="W2053" i="2"/>
  <c r="AH2052" i="2"/>
  <c r="AD2052" i="2"/>
  <c r="X2052" i="2"/>
  <c r="AC2052" i="2" s="1"/>
  <c r="W2052" i="2"/>
  <c r="AH2051" i="2"/>
  <c r="AD2051" i="2"/>
  <c r="X2051" i="2"/>
  <c r="AB2051" i="2" s="1"/>
  <c r="AK2051" i="2" s="1"/>
  <c r="W2051" i="2"/>
  <c r="AH2050" i="2"/>
  <c r="AD2050" i="2"/>
  <c r="X2050" i="2"/>
  <c r="AB2050" i="2" s="1"/>
  <c r="AK2050" i="2" s="1"/>
  <c r="W2050" i="2"/>
  <c r="AH2049" i="2"/>
  <c r="AD2049" i="2"/>
  <c r="X2049" i="2"/>
  <c r="W2049" i="2"/>
  <c r="AH2048" i="2"/>
  <c r="AD2048" i="2"/>
  <c r="AF2048" i="2" s="1"/>
  <c r="X2048" i="2"/>
  <c r="AC2048" i="2" s="1"/>
  <c r="W2048" i="2"/>
  <c r="AH2047" i="2"/>
  <c r="AD2047" i="2"/>
  <c r="X2047" i="2"/>
  <c r="AC2047" i="2" s="1"/>
  <c r="W2047" i="2"/>
  <c r="AH2046" i="2"/>
  <c r="AD2046" i="2"/>
  <c r="X2046" i="2"/>
  <c r="AB2046" i="2" s="1"/>
  <c r="AK2046" i="2" s="1"/>
  <c r="W2046" i="2"/>
  <c r="AH2045" i="2"/>
  <c r="AD2045" i="2"/>
  <c r="X2045" i="2"/>
  <c r="W2045" i="2"/>
  <c r="AH2044" i="2"/>
  <c r="AD2044" i="2"/>
  <c r="AF2044" i="2" s="1"/>
  <c r="X2044" i="2"/>
  <c r="AB2044" i="2" s="1"/>
  <c r="AK2044" i="2" s="1"/>
  <c r="W2044" i="2"/>
  <c r="AH2043" i="2"/>
  <c r="AD2043" i="2"/>
  <c r="X2043" i="2"/>
  <c r="AB2043" i="2" s="1"/>
  <c r="AK2043" i="2" s="1"/>
  <c r="W2043" i="2"/>
  <c r="AH2042" i="2"/>
  <c r="AD2042" i="2"/>
  <c r="X2042" i="2"/>
  <c r="AB2042" i="2" s="1"/>
  <c r="AK2042" i="2" s="1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AC2039" i="2" s="1"/>
  <c r="W2039" i="2"/>
  <c r="AH2038" i="2"/>
  <c r="AD2038" i="2"/>
  <c r="X2038" i="2"/>
  <c r="W2038" i="2"/>
  <c r="AH2037" i="2"/>
  <c r="AD2037" i="2"/>
  <c r="X2037" i="2"/>
  <c r="W2037" i="2"/>
  <c r="AH2036" i="2"/>
  <c r="AD2036" i="2"/>
  <c r="AF2036" i="2" s="1"/>
  <c r="X2036" i="2"/>
  <c r="AA2036" i="2" s="1"/>
  <c r="AB2036" i="2" s="1"/>
  <c r="AK2036" i="2" s="1"/>
  <c r="W2036" i="2"/>
  <c r="AH2035" i="2"/>
  <c r="AD2035" i="2"/>
  <c r="X2035" i="2"/>
  <c r="W2035" i="2"/>
  <c r="AH2034" i="2"/>
  <c r="AD2034" i="2"/>
  <c r="AF2034" i="2" s="1"/>
  <c r="X2034" i="2"/>
  <c r="AC2034" i="2" s="1"/>
  <c r="W2034" i="2"/>
  <c r="AH2033" i="2"/>
  <c r="AD2033" i="2"/>
  <c r="X2033" i="2"/>
  <c r="W2033" i="2"/>
  <c r="AH2032" i="2"/>
  <c r="AD2032" i="2"/>
  <c r="X2032" i="2"/>
  <c r="AC2032" i="2" s="1"/>
  <c r="W2032" i="2"/>
  <c r="AH2031" i="2"/>
  <c r="AD2031" i="2"/>
  <c r="X2031" i="2"/>
  <c r="W2031" i="2"/>
  <c r="AH2030" i="2"/>
  <c r="AD2030" i="2"/>
  <c r="X2030" i="2"/>
  <c r="AC2030" i="2" s="1"/>
  <c r="W2030" i="2"/>
  <c r="AH2029" i="2"/>
  <c r="AD2029" i="2"/>
  <c r="AF2029" i="2" s="1"/>
  <c r="X2029" i="2"/>
  <c r="AB2029" i="2" s="1"/>
  <c r="AK2029" i="2" s="1"/>
  <c r="W2029" i="2"/>
  <c r="AH2028" i="2"/>
  <c r="AD2028" i="2"/>
  <c r="X2028" i="2"/>
  <c r="AB2028" i="2" s="1"/>
  <c r="AK2028" i="2" s="1"/>
  <c r="W2028" i="2"/>
  <c r="AH2027" i="2"/>
  <c r="AD2027" i="2"/>
  <c r="AF2027" i="2" s="1"/>
  <c r="X2027" i="2"/>
  <c r="AB2027" i="2" s="1"/>
  <c r="AK2027" i="2" s="1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AB2024" i="2" s="1"/>
  <c r="AK2024" i="2" s="1"/>
  <c r="W2024" i="2"/>
  <c r="AH2023" i="2"/>
  <c r="AD2023" i="2"/>
  <c r="AF2023" i="2" s="1"/>
  <c r="X2023" i="2"/>
  <c r="AB2023" i="2" s="1"/>
  <c r="AK2023" i="2" s="1"/>
  <c r="W2023" i="2"/>
  <c r="AH2022" i="2"/>
  <c r="AD2022" i="2"/>
  <c r="X2022" i="2"/>
  <c r="AB2022" i="2" s="1"/>
  <c r="AK2022" i="2" s="1"/>
  <c r="W2022" i="2"/>
  <c r="AH2021" i="2"/>
  <c r="AD2021" i="2"/>
  <c r="X2021" i="2"/>
  <c r="W2021" i="2"/>
  <c r="AH2020" i="2"/>
  <c r="AD2020" i="2"/>
  <c r="AF2020" i="2" s="1"/>
  <c r="X2020" i="2"/>
  <c r="AC2020" i="2" s="1"/>
  <c r="W2020" i="2"/>
  <c r="AH2019" i="2"/>
  <c r="AD2019" i="2"/>
  <c r="AF2019" i="2" s="1"/>
  <c r="X2019" i="2"/>
  <c r="W2019" i="2"/>
  <c r="AH2018" i="2"/>
  <c r="AD2018" i="2"/>
  <c r="X2018" i="2"/>
  <c r="AC2018" i="2" s="1"/>
  <c r="W2018" i="2"/>
  <c r="AH2017" i="2"/>
  <c r="AD2017" i="2"/>
  <c r="AF2017" i="2" s="1"/>
  <c r="X2017" i="2"/>
  <c r="W2017" i="2"/>
  <c r="AH2016" i="2"/>
  <c r="AD2016" i="2"/>
  <c r="X2016" i="2"/>
  <c r="AB2016" i="2" s="1"/>
  <c r="AK2016" i="2" s="1"/>
  <c r="W2016" i="2"/>
  <c r="AH2015" i="2"/>
  <c r="AD2015" i="2"/>
  <c r="AF2015" i="2" s="1"/>
  <c r="X2015" i="2"/>
  <c r="AB2015" i="2" s="1"/>
  <c r="AK2015" i="2" s="1"/>
  <c r="W2015" i="2"/>
  <c r="AH2014" i="2"/>
  <c r="AD2014" i="2"/>
  <c r="X2014" i="2"/>
  <c r="W2014" i="2"/>
  <c r="AH2013" i="2"/>
  <c r="AD2013" i="2"/>
  <c r="AF2013" i="2" s="1"/>
  <c r="X2013" i="2"/>
  <c r="AB2013" i="2" s="1"/>
  <c r="AK2013" i="2" s="1"/>
  <c r="W2013" i="2"/>
  <c r="AH2012" i="2"/>
  <c r="AD2012" i="2"/>
  <c r="X2012" i="2"/>
  <c r="W2012" i="2"/>
  <c r="AH2011" i="2"/>
  <c r="AD2011" i="2"/>
  <c r="AF2011" i="2" s="1"/>
  <c r="X2011" i="2"/>
  <c r="W2011" i="2"/>
  <c r="AH2010" i="2"/>
  <c r="AD2010" i="2"/>
  <c r="X2010" i="2"/>
  <c r="AB2010" i="2" s="1"/>
  <c r="AK2010" i="2" s="1"/>
  <c r="W2010" i="2"/>
  <c r="AH2009" i="2"/>
  <c r="AD2009" i="2"/>
  <c r="X2009" i="2"/>
  <c r="AC2009" i="2" s="1"/>
  <c r="W2009" i="2"/>
  <c r="AH2008" i="2"/>
  <c r="AD2008" i="2"/>
  <c r="X2008" i="2"/>
  <c r="AB2008" i="2" s="1"/>
  <c r="AK2008" i="2" s="1"/>
  <c r="W2008" i="2"/>
  <c r="AH2007" i="2"/>
  <c r="AD2007" i="2"/>
  <c r="X2007" i="2"/>
  <c r="W2007" i="2"/>
  <c r="AH2006" i="2"/>
  <c r="AD2006" i="2"/>
  <c r="AF2006" i="2" s="1"/>
  <c r="X2006" i="2"/>
  <c r="W2006" i="2"/>
  <c r="AH2005" i="2"/>
  <c r="AD2005" i="2"/>
  <c r="X2005" i="2"/>
  <c r="AB2005" i="2" s="1"/>
  <c r="AK2005" i="2" s="1"/>
  <c r="W2005" i="2"/>
  <c r="AH2004" i="2"/>
  <c r="AD2004" i="2"/>
  <c r="X2004" i="2"/>
  <c r="W2004" i="2"/>
  <c r="AH2003" i="2"/>
  <c r="AD2003" i="2"/>
  <c r="AF2003" i="2" s="1"/>
  <c r="X2003" i="2"/>
  <c r="W2003" i="2"/>
  <c r="AH2002" i="2"/>
  <c r="AD2002" i="2"/>
  <c r="X2002" i="2"/>
  <c r="AB2002" i="2" s="1"/>
  <c r="AK2002" i="2" s="1"/>
  <c r="W2002" i="2"/>
  <c r="AH2001" i="2"/>
  <c r="AD2001" i="2"/>
  <c r="AF2001" i="2" s="1"/>
  <c r="X2001" i="2"/>
  <c r="AB2001" i="2" s="1"/>
  <c r="AK2001" i="2" s="1"/>
  <c r="W2001" i="2"/>
  <c r="AH2000" i="2"/>
  <c r="AD2000" i="2"/>
  <c r="AF2000" i="2" s="1"/>
  <c r="X2000" i="2"/>
  <c r="W2000" i="2"/>
  <c r="AH1999" i="2"/>
  <c r="AD1999" i="2"/>
  <c r="AF1999" i="2" s="1"/>
  <c r="X1999" i="2"/>
  <c r="AC1999" i="2" s="1"/>
  <c r="W1999" i="2"/>
  <c r="AH1998" i="2"/>
  <c r="AD1998" i="2"/>
  <c r="X1998" i="2"/>
  <c r="AB1998" i="2" s="1"/>
  <c r="AK1998" i="2" s="1"/>
  <c r="W1998" i="2"/>
  <c r="AH1997" i="2"/>
  <c r="AD1997" i="2"/>
  <c r="AF1997" i="2" s="1"/>
  <c r="X1997" i="2"/>
  <c r="AB1997" i="2" s="1"/>
  <c r="AK1997" i="2" s="1"/>
  <c r="W1997" i="2"/>
  <c r="AH1996" i="2"/>
  <c r="AD1996" i="2"/>
  <c r="X1996" i="2"/>
  <c r="W1996" i="2"/>
  <c r="AH1995" i="2"/>
  <c r="AD1995" i="2"/>
  <c r="X1995" i="2"/>
  <c r="AB1995" i="2" s="1"/>
  <c r="AK1995" i="2" s="1"/>
  <c r="W1995" i="2"/>
  <c r="AH1994" i="2"/>
  <c r="AD1994" i="2"/>
  <c r="X1994" i="2"/>
  <c r="AB1994" i="2" s="1"/>
  <c r="AK1994" i="2" s="1"/>
  <c r="W1994" i="2"/>
  <c r="AH1993" i="2"/>
  <c r="AD1993" i="2"/>
  <c r="X1993" i="2"/>
  <c r="W1993" i="2"/>
  <c r="AH1992" i="2"/>
  <c r="AD1992" i="2"/>
  <c r="X1992" i="2"/>
  <c r="AA1992" i="2" s="1"/>
  <c r="AB1992" i="2" s="1"/>
  <c r="AK1992" i="2" s="1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W1989" i="2"/>
  <c r="AH1988" i="2"/>
  <c r="AD1988" i="2"/>
  <c r="AF1988" i="2" s="1"/>
  <c r="X1988" i="2"/>
  <c r="AA1988" i="2" s="1"/>
  <c r="AB1988" i="2" s="1"/>
  <c r="AK1988" i="2" s="1"/>
  <c r="W1988" i="2"/>
  <c r="AH1987" i="2"/>
  <c r="AD1987" i="2"/>
  <c r="X1987" i="2"/>
  <c r="AA1987" i="2" s="1"/>
  <c r="AB1987" i="2" s="1"/>
  <c r="AK1987" i="2" s="1"/>
  <c r="W1987" i="2"/>
  <c r="AH1986" i="2"/>
  <c r="AD1986" i="2"/>
  <c r="X1986" i="2"/>
  <c r="AB1986" i="2" s="1"/>
  <c r="AK1986" i="2" s="1"/>
  <c r="W1986" i="2"/>
  <c r="AH1985" i="2"/>
  <c r="AD1985" i="2"/>
  <c r="AF1985" i="2" s="1"/>
  <c r="X1985" i="2"/>
  <c r="AA1985" i="2" s="1"/>
  <c r="AB1985" i="2" s="1"/>
  <c r="AK1985" i="2" s="1"/>
  <c r="W1985" i="2"/>
  <c r="AH1984" i="2"/>
  <c r="AD1984" i="2"/>
  <c r="X1984" i="2"/>
  <c r="AC1984" i="2" s="1"/>
  <c r="W1984" i="2"/>
  <c r="AH1983" i="2"/>
  <c r="AD1983" i="2"/>
  <c r="X1983" i="2"/>
  <c r="AA1983" i="2" s="1"/>
  <c r="AB1983" i="2" s="1"/>
  <c r="AK1983" i="2" s="1"/>
  <c r="W1983" i="2"/>
  <c r="AH1982" i="2"/>
  <c r="AD1982" i="2"/>
  <c r="X1982" i="2"/>
  <c r="AC1982" i="2" s="1"/>
  <c r="W1982" i="2"/>
  <c r="AH1981" i="2"/>
  <c r="AD1981" i="2"/>
  <c r="AF1981" i="2" s="1"/>
  <c r="X1981" i="2"/>
  <c r="W1981" i="2"/>
  <c r="AH1980" i="2"/>
  <c r="AD1980" i="2"/>
  <c r="AF1980" i="2" s="1"/>
  <c r="X1980" i="2"/>
  <c r="AB1980" i="2" s="1"/>
  <c r="AK1980" i="2" s="1"/>
  <c r="W1980" i="2"/>
  <c r="AH1979" i="2"/>
  <c r="AD1979" i="2"/>
  <c r="AF1979" i="2" s="1"/>
  <c r="X1979" i="2"/>
  <c r="AC1979" i="2" s="1"/>
  <c r="W1979" i="2"/>
  <c r="AH1978" i="2"/>
  <c r="AD1978" i="2"/>
  <c r="AF1978" i="2" s="1"/>
  <c r="X1978" i="2"/>
  <c r="AC1978" i="2" s="1"/>
  <c r="W1978" i="2"/>
  <c r="AH1977" i="2"/>
  <c r="AD1977" i="2"/>
  <c r="AF1977" i="2" s="1"/>
  <c r="X1977" i="2"/>
  <c r="W1977" i="2"/>
  <c r="AH1976" i="2"/>
  <c r="AD1976" i="2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X1973" i="2"/>
  <c r="AB1973" i="2" s="1"/>
  <c r="AK1973" i="2" s="1"/>
  <c r="W1973" i="2"/>
  <c r="AH1972" i="2"/>
  <c r="AD1972" i="2"/>
  <c r="X1972" i="2"/>
  <c r="W1972" i="2"/>
  <c r="AH1971" i="2"/>
  <c r="AD1971" i="2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X1967" i="2"/>
  <c r="AA1967" i="2" s="1"/>
  <c r="AB1967" i="2" s="1"/>
  <c r="W1967" i="2"/>
  <c r="AH1966" i="2"/>
  <c r="AD1966" i="2"/>
  <c r="X1966" i="2"/>
  <c r="AB1966" i="2" s="1"/>
  <c r="AK1966" i="2" s="1"/>
  <c r="W1966" i="2"/>
  <c r="AH1965" i="2"/>
  <c r="AD1965" i="2"/>
  <c r="AF1965" i="2" s="1"/>
  <c r="X1965" i="2"/>
  <c r="AB1965" i="2" s="1"/>
  <c r="AK1965" i="2" s="1"/>
  <c r="W1965" i="2"/>
  <c r="AH1964" i="2"/>
  <c r="AD1964" i="2"/>
  <c r="X1964" i="2"/>
  <c r="W1964" i="2"/>
  <c r="AH1963" i="2"/>
  <c r="AD1963" i="2"/>
  <c r="X1963" i="2"/>
  <c r="W1963" i="2"/>
  <c r="AH1962" i="2"/>
  <c r="AD1962" i="2"/>
  <c r="X1962" i="2"/>
  <c r="AB1962" i="2" s="1"/>
  <c r="AK1962" i="2" s="1"/>
  <c r="W1962" i="2"/>
  <c r="AH1961" i="2"/>
  <c r="AD1961" i="2"/>
  <c r="AF1961" i="2" s="1"/>
  <c r="X1961" i="2"/>
  <c r="AB1961" i="2" s="1"/>
  <c r="AK1961" i="2" s="1"/>
  <c r="W1961" i="2"/>
  <c r="AH1960" i="2"/>
  <c r="AD1960" i="2"/>
  <c r="X1960" i="2"/>
  <c r="AB1960" i="2" s="1"/>
  <c r="AK1960" i="2" s="1"/>
  <c r="W1960" i="2"/>
  <c r="AH1959" i="2"/>
  <c r="AD1959" i="2"/>
  <c r="X1959" i="2"/>
  <c r="AA1959" i="2" s="1"/>
  <c r="AB1959" i="2" s="1"/>
  <c r="AK1959" i="2" s="1"/>
  <c r="W1959" i="2"/>
  <c r="AH1958" i="2"/>
  <c r="AD1958" i="2"/>
  <c r="X1958" i="2"/>
  <c r="W1958" i="2"/>
  <c r="AH1957" i="2"/>
  <c r="AD1957" i="2"/>
  <c r="X1957" i="2"/>
  <c r="W1957" i="2"/>
  <c r="AH1956" i="2"/>
  <c r="AD1956" i="2"/>
  <c r="AF1956" i="2" s="1"/>
  <c r="X1956" i="2"/>
  <c r="AB1956" i="2" s="1"/>
  <c r="AK1956" i="2" s="1"/>
  <c r="W1956" i="2"/>
  <c r="AH1955" i="2"/>
  <c r="AD1955" i="2"/>
  <c r="AF1955" i="2" s="1"/>
  <c r="X1955" i="2"/>
  <c r="AB1955" i="2" s="1"/>
  <c r="AK1955" i="2" s="1"/>
  <c r="W1955" i="2"/>
  <c r="AH1954" i="2"/>
  <c r="AD1954" i="2"/>
  <c r="AF1954" i="2" s="1"/>
  <c r="X1954" i="2"/>
  <c r="W1954" i="2"/>
  <c r="AH1953" i="2"/>
  <c r="AD1953" i="2"/>
  <c r="AF1953" i="2" s="1"/>
  <c r="X1953" i="2"/>
  <c r="AC1953" i="2" s="1"/>
  <c r="W1953" i="2"/>
  <c r="AH1952" i="2"/>
  <c r="AF1952" i="2"/>
  <c r="X1952" i="2"/>
  <c r="Y1952" i="2" s="1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AB1949" i="2" s="1"/>
  <c r="AK1949" i="2" s="1"/>
  <c r="W1949" i="2"/>
  <c r="AH1948" i="2"/>
  <c r="AF1948" i="2"/>
  <c r="X1948" i="2"/>
  <c r="W1948" i="2"/>
  <c r="AH1947" i="2"/>
  <c r="AF1947" i="2"/>
  <c r="X1947" i="2"/>
  <c r="AB1947" i="2" s="1"/>
  <c r="AK1947" i="2" s="1"/>
  <c r="W1947" i="2"/>
  <c r="AH1946" i="2"/>
  <c r="AF1946" i="2"/>
  <c r="X1946" i="2"/>
  <c r="Y1946" i="2" s="1"/>
  <c r="W1946" i="2"/>
  <c r="AH1945" i="2"/>
  <c r="AF1945" i="2"/>
  <c r="X1945" i="2"/>
  <c r="W1945" i="2"/>
  <c r="AH1944" i="2"/>
  <c r="AF1944" i="2"/>
  <c r="X1944" i="2"/>
  <c r="Y1944" i="2" s="1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Y1940" i="2" s="1"/>
  <c r="W1940" i="2"/>
  <c r="AH1939" i="2"/>
  <c r="AF1939" i="2"/>
  <c r="X1939" i="2"/>
  <c r="AB1939" i="2" s="1"/>
  <c r="AK1939" i="2" s="1"/>
  <c r="W1939" i="2"/>
  <c r="AH1938" i="2"/>
  <c r="AF1938" i="2"/>
  <c r="X1938" i="2"/>
  <c r="AC1938" i="2" s="1"/>
  <c r="W1938" i="2"/>
  <c r="AH1937" i="2"/>
  <c r="AF1937" i="2"/>
  <c r="X1937" i="2"/>
  <c r="W1937" i="2"/>
  <c r="AH1936" i="2"/>
  <c r="AF1936" i="2"/>
  <c r="X1936" i="2"/>
  <c r="Y1936" i="2" s="1"/>
  <c r="W1936" i="2"/>
  <c r="AH1935" i="2"/>
  <c r="AF1935" i="2"/>
  <c r="X1935" i="2"/>
  <c r="W1935" i="2"/>
  <c r="AH1934" i="2"/>
  <c r="AF1934" i="2"/>
  <c r="X1934" i="2"/>
  <c r="AB1934" i="2" s="1"/>
  <c r="AK1934" i="2" s="1"/>
  <c r="W1934" i="2"/>
  <c r="AH1933" i="2"/>
  <c r="AF1933" i="2"/>
  <c r="X1933" i="2"/>
  <c r="AB1933" i="2" s="1"/>
  <c r="AK1933" i="2" s="1"/>
  <c r="W1933" i="2"/>
  <c r="AH1932" i="2"/>
  <c r="AF1932" i="2"/>
  <c r="X1932" i="2"/>
  <c r="Y1932" i="2" s="1"/>
  <c r="W1932" i="2"/>
  <c r="AH1931" i="2"/>
  <c r="AF1931" i="2"/>
  <c r="X1931" i="2"/>
  <c r="AB1931" i="2" s="1"/>
  <c r="AK1931" i="2" s="1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AC1928" i="2" s="1"/>
  <c r="W1928" i="2"/>
  <c r="AH1927" i="2"/>
  <c r="AF1927" i="2"/>
  <c r="X1927" i="2"/>
  <c r="AB1927" i="2" s="1"/>
  <c r="AK1927" i="2" s="1"/>
  <c r="W1927" i="2"/>
  <c r="AH1926" i="2"/>
  <c r="AF1926" i="2"/>
  <c r="X1926" i="2"/>
  <c r="Y1926" i="2" s="1"/>
  <c r="W1926" i="2"/>
  <c r="AH1925" i="2"/>
  <c r="AF1925" i="2"/>
  <c r="X1925" i="2"/>
  <c r="AB1925" i="2" s="1"/>
  <c r="AK1925" i="2" s="1"/>
  <c r="W1925" i="2"/>
  <c r="AH1924" i="2"/>
  <c r="AF1924" i="2"/>
  <c r="X1924" i="2"/>
  <c r="Y1924" i="2" s="1"/>
  <c r="W1924" i="2"/>
  <c r="AH1923" i="2"/>
  <c r="AF1923" i="2"/>
  <c r="X1923" i="2"/>
  <c r="W1923" i="2"/>
  <c r="AH1922" i="2"/>
  <c r="AF1922" i="2"/>
  <c r="X1922" i="2"/>
  <c r="AB1922" i="2" s="1"/>
  <c r="AK1922" i="2" s="1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Y1919" i="2" s="1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AB1916" i="2" s="1"/>
  <c r="AK1916" i="2" s="1"/>
  <c r="W1916" i="2"/>
  <c r="AH1915" i="2"/>
  <c r="AF1915" i="2"/>
  <c r="X1915" i="2"/>
  <c r="AB1915" i="2" s="1"/>
  <c r="AK1915" i="2" s="1"/>
  <c r="W1915" i="2"/>
  <c r="AH1914" i="2"/>
  <c r="AF1914" i="2"/>
  <c r="X1914" i="2"/>
  <c r="AC1914" i="2" s="1"/>
  <c r="W1914" i="2"/>
  <c r="AH1913" i="2"/>
  <c r="AF1913" i="2"/>
  <c r="X1913" i="2"/>
  <c r="Y1913" i="2" s="1"/>
  <c r="W1913" i="2"/>
  <c r="AH1912" i="2"/>
  <c r="AF1912" i="2"/>
  <c r="X1912" i="2"/>
  <c r="Y1912" i="2" s="1"/>
  <c r="W1912" i="2"/>
  <c r="AH1911" i="2"/>
  <c r="AF1911" i="2"/>
  <c r="X1911" i="2"/>
  <c r="Y1911" i="2" s="1"/>
  <c r="W1911" i="2"/>
  <c r="AH1910" i="2"/>
  <c r="AF1910" i="2"/>
  <c r="X1910" i="2"/>
  <c r="AB1910" i="2" s="1"/>
  <c r="AK1910" i="2" s="1"/>
  <c r="W1910" i="2"/>
  <c r="AH1909" i="2"/>
  <c r="AF1909" i="2"/>
  <c r="X1909" i="2"/>
  <c r="AB1909" i="2" s="1"/>
  <c r="AK1909" i="2" s="1"/>
  <c r="W1909" i="2"/>
  <c r="AH1908" i="2"/>
  <c r="AF1908" i="2"/>
  <c r="X1908" i="2"/>
  <c r="Y1908" i="2" s="1"/>
  <c r="W1908" i="2"/>
  <c r="AH1907" i="2"/>
  <c r="AF1907" i="2"/>
  <c r="X1907" i="2"/>
  <c r="W1907" i="2"/>
  <c r="AH1906" i="2"/>
  <c r="AF1906" i="2"/>
  <c r="X1906" i="2"/>
  <c r="Y1906" i="2" s="1"/>
  <c r="W1906" i="2"/>
  <c r="AH1905" i="2"/>
  <c r="AF1905" i="2"/>
  <c r="X1905" i="2"/>
  <c r="AB1905" i="2" s="1"/>
  <c r="AK1905" i="2" s="1"/>
  <c r="W1905" i="2"/>
  <c r="AH1904" i="2"/>
  <c r="AF1904" i="2"/>
  <c r="X1904" i="2"/>
  <c r="Y1904" i="2" s="1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AB1901" i="2" s="1"/>
  <c r="AK1901" i="2" s="1"/>
  <c r="W1901" i="2"/>
  <c r="AH1900" i="2"/>
  <c r="AF1900" i="2"/>
  <c r="X1900" i="2"/>
  <c r="W1900" i="2"/>
  <c r="AH1899" i="2"/>
  <c r="AF1899" i="2"/>
  <c r="X1899" i="2"/>
  <c r="AB1899" i="2" s="1"/>
  <c r="AK1899" i="2" s="1"/>
  <c r="W1899" i="2"/>
  <c r="AH1898" i="2"/>
  <c r="AF1898" i="2"/>
  <c r="X1898" i="2"/>
  <c r="Y1898" i="2" s="1"/>
  <c r="W1898" i="2"/>
  <c r="AH1897" i="2"/>
  <c r="AF1897" i="2"/>
  <c r="X1897" i="2"/>
  <c r="AB1897" i="2" s="1"/>
  <c r="AK1897" i="2" s="1"/>
  <c r="W1897" i="2"/>
  <c r="AH1896" i="2"/>
  <c r="AF1896" i="2"/>
  <c r="X1896" i="2"/>
  <c r="Y1896" i="2" s="1"/>
  <c r="W1896" i="2"/>
  <c r="AH1895" i="2"/>
  <c r="AF1895" i="2"/>
  <c r="X1895" i="2"/>
  <c r="Y1895" i="2" s="1"/>
  <c r="W1895" i="2"/>
  <c r="AH1894" i="2"/>
  <c r="AF1894" i="2"/>
  <c r="X1894" i="2"/>
  <c r="AB1894" i="2" s="1"/>
  <c r="AK1894" i="2" s="1"/>
  <c r="W1894" i="2"/>
  <c r="AH1893" i="2"/>
  <c r="AF1893" i="2"/>
  <c r="X1893" i="2"/>
  <c r="AB1893" i="2" s="1"/>
  <c r="AK1893" i="2" s="1"/>
  <c r="W1893" i="2"/>
  <c r="AH1892" i="2"/>
  <c r="AF1892" i="2"/>
  <c r="X1892" i="2"/>
  <c r="W1892" i="2"/>
  <c r="AH1891" i="2"/>
  <c r="AF1891" i="2"/>
  <c r="X1891" i="2"/>
  <c r="AB1891" i="2" s="1"/>
  <c r="AK1891" i="2" s="1"/>
  <c r="W1891" i="2"/>
  <c r="AH1890" i="2"/>
  <c r="AF1890" i="2"/>
  <c r="X1890" i="2"/>
  <c r="AB1890" i="2" s="1"/>
  <c r="AK1890" i="2" s="1"/>
  <c r="W1890" i="2"/>
  <c r="AH1889" i="2"/>
  <c r="AF1889" i="2"/>
  <c r="X1889" i="2"/>
  <c r="AB1889" i="2" s="1"/>
  <c r="AK1889" i="2" s="1"/>
  <c r="W1889" i="2"/>
  <c r="AH1888" i="2"/>
  <c r="AF1888" i="2"/>
  <c r="X1888" i="2"/>
  <c r="AC1888" i="2" s="1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AB1885" i="2" s="1"/>
  <c r="AK1885" i="2" s="1"/>
  <c r="W1885" i="2"/>
  <c r="AH1884" i="2"/>
  <c r="AF1884" i="2"/>
  <c r="X1884" i="2"/>
  <c r="AB1884" i="2" s="1"/>
  <c r="AK1884" i="2" s="1"/>
  <c r="W1884" i="2"/>
  <c r="AH1883" i="2"/>
  <c r="AF1883" i="2"/>
  <c r="X1883" i="2"/>
  <c r="AB1883" i="2" s="1"/>
  <c r="AK1883" i="2" s="1"/>
  <c r="W1883" i="2"/>
  <c r="AH1882" i="2"/>
  <c r="AF1882" i="2"/>
  <c r="X1882" i="2"/>
  <c r="AB1882" i="2" s="1"/>
  <c r="AK1882" i="2" s="1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Y1879" i="2" s="1"/>
  <c r="W1879" i="2"/>
  <c r="AH1878" i="2"/>
  <c r="AF1878" i="2"/>
  <c r="X1878" i="2"/>
  <c r="W1878" i="2"/>
  <c r="AH1877" i="2"/>
  <c r="AF1877" i="2"/>
  <c r="X1877" i="2"/>
  <c r="AB1877" i="2" s="1"/>
  <c r="AK1877" i="2" s="1"/>
  <c r="W1877" i="2"/>
  <c r="AH1876" i="2"/>
  <c r="AF1876" i="2"/>
  <c r="X1876" i="2"/>
  <c r="AC1876" i="2" s="1"/>
  <c r="W1876" i="2"/>
  <c r="AH1875" i="2"/>
  <c r="AF1875" i="2"/>
  <c r="X1875" i="2"/>
  <c r="AB1875" i="2" s="1"/>
  <c r="AK1875" i="2" s="1"/>
  <c r="W1875" i="2"/>
  <c r="AH1874" i="2"/>
  <c r="AF1874" i="2"/>
  <c r="X1874" i="2"/>
  <c r="AB1874" i="2" s="1"/>
  <c r="AK1874" i="2" s="1"/>
  <c r="W1874" i="2"/>
  <c r="AH1873" i="2"/>
  <c r="AF1873" i="2"/>
  <c r="X1873" i="2"/>
  <c r="AB1873" i="2" s="1"/>
  <c r="AK1873" i="2" s="1"/>
  <c r="W1873" i="2"/>
  <c r="AH1872" i="2"/>
  <c r="AF1872" i="2"/>
  <c r="X1872" i="2"/>
  <c r="Y1872" i="2" s="1"/>
  <c r="W1872" i="2"/>
  <c r="AH1871" i="2"/>
  <c r="AF1871" i="2"/>
  <c r="X1871" i="2"/>
  <c r="Y1871" i="2" s="1"/>
  <c r="W1871" i="2"/>
  <c r="AH1870" i="2"/>
  <c r="AF1870" i="2"/>
  <c r="X1870" i="2"/>
  <c r="AC1870" i="2" s="1"/>
  <c r="W1870" i="2"/>
  <c r="AH1869" i="2"/>
  <c r="AF1869" i="2"/>
  <c r="X1869" i="2"/>
  <c r="W1869" i="2"/>
  <c r="AH1868" i="2"/>
  <c r="AF1868" i="2"/>
  <c r="X1868" i="2"/>
  <c r="AB1868" i="2" s="1"/>
  <c r="AK1868" i="2" s="1"/>
  <c r="W1868" i="2"/>
  <c r="AH1867" i="2"/>
  <c r="AF1867" i="2"/>
  <c r="X1867" i="2"/>
  <c r="AB1867" i="2" s="1"/>
  <c r="AK1867" i="2" s="1"/>
  <c r="W1867" i="2"/>
  <c r="AH1866" i="2"/>
  <c r="AF1866" i="2"/>
  <c r="X1866" i="2"/>
  <c r="W1866" i="2"/>
  <c r="AH1865" i="2"/>
  <c r="AF1865" i="2"/>
  <c r="X1865" i="2"/>
  <c r="Y1865" i="2" s="1"/>
  <c r="W1865" i="2"/>
  <c r="AH1864" i="2"/>
  <c r="AF1864" i="2"/>
  <c r="X1864" i="2"/>
  <c r="Y1864" i="2" s="1"/>
  <c r="W1864" i="2"/>
  <c r="AH1863" i="2"/>
  <c r="AF1863" i="2"/>
  <c r="X1863" i="2"/>
  <c r="AB1863" i="2" s="1"/>
  <c r="AK1863" i="2" s="1"/>
  <c r="W1863" i="2"/>
  <c r="AH1862" i="2"/>
  <c r="AF1862" i="2"/>
  <c r="X1862" i="2"/>
  <c r="W1862" i="2"/>
  <c r="AH1861" i="2"/>
  <c r="AF1861" i="2"/>
  <c r="X1861" i="2"/>
  <c r="AB1861" i="2" s="1"/>
  <c r="AK1861" i="2" s="1"/>
  <c r="W1861" i="2"/>
  <c r="AH1860" i="2"/>
  <c r="AF1860" i="2"/>
  <c r="X1860" i="2"/>
  <c r="W1860" i="2"/>
  <c r="AH1859" i="2"/>
  <c r="AF1859" i="2"/>
  <c r="X1859" i="2"/>
  <c r="AB1859" i="2" s="1"/>
  <c r="AK1859" i="2" s="1"/>
  <c r="W1859" i="2"/>
  <c r="AH1858" i="2"/>
  <c r="AF1858" i="2"/>
  <c r="X1858" i="2"/>
  <c r="AB1858" i="2" s="1"/>
  <c r="AK1858" i="2" s="1"/>
  <c r="W1858" i="2"/>
  <c r="AH1857" i="2"/>
  <c r="AF1857" i="2"/>
  <c r="X1857" i="2"/>
  <c r="Y1857" i="2" s="1"/>
  <c r="W1857" i="2"/>
  <c r="AH1856" i="2"/>
  <c r="AF1856" i="2"/>
  <c r="X1856" i="2"/>
  <c r="Y1856" i="2" s="1"/>
  <c r="W1856" i="2"/>
  <c r="AH1855" i="2"/>
  <c r="AF1855" i="2"/>
  <c r="X1855" i="2"/>
  <c r="Y1855" i="2" s="1"/>
  <c r="W1855" i="2"/>
  <c r="AH1854" i="2"/>
  <c r="AF1854" i="2"/>
  <c r="X1854" i="2"/>
  <c r="Y1854" i="2" s="1"/>
  <c r="W1854" i="2"/>
  <c r="AH1853" i="2"/>
  <c r="AF1853" i="2"/>
  <c r="X1853" i="2"/>
  <c r="AB1853" i="2" s="1"/>
  <c r="AK1853" i="2" s="1"/>
  <c r="W1853" i="2"/>
  <c r="AH1852" i="2"/>
  <c r="AF1852" i="2"/>
  <c r="X1852" i="2"/>
  <c r="AC1852" i="2" s="1"/>
  <c r="W1852" i="2"/>
  <c r="AH1851" i="2"/>
  <c r="AF1851" i="2"/>
  <c r="X1851" i="2"/>
  <c r="AB1851" i="2" s="1"/>
  <c r="AK1851" i="2" s="1"/>
  <c r="W1851" i="2"/>
  <c r="AH1850" i="2"/>
  <c r="AF1850" i="2"/>
  <c r="X1850" i="2"/>
  <c r="AB1850" i="2" s="1"/>
  <c r="AK1850" i="2" s="1"/>
  <c r="W1850" i="2"/>
  <c r="AH1849" i="2"/>
  <c r="AF1849" i="2"/>
  <c r="X1849" i="2"/>
  <c r="Y1849" i="2" s="1"/>
  <c r="W1849" i="2"/>
  <c r="AH1848" i="2"/>
  <c r="AF1848" i="2"/>
  <c r="X1848" i="2"/>
  <c r="Y1848" i="2" s="1"/>
  <c r="W1848" i="2"/>
  <c r="AH1847" i="2"/>
  <c r="AF1847" i="2"/>
  <c r="X1847" i="2"/>
  <c r="W1847" i="2"/>
  <c r="AH1846" i="2"/>
  <c r="AF1846" i="2"/>
  <c r="X1846" i="2"/>
  <c r="AC1846" i="2" s="1"/>
  <c r="W1846" i="2"/>
  <c r="AH1845" i="2"/>
  <c r="AF1845" i="2"/>
  <c r="X1845" i="2"/>
  <c r="W1845" i="2"/>
  <c r="AH1844" i="2"/>
  <c r="AF1844" i="2"/>
  <c r="X1844" i="2"/>
  <c r="AB1844" i="2" s="1"/>
  <c r="AK1844" i="2" s="1"/>
  <c r="W1844" i="2"/>
  <c r="AH1843" i="2"/>
  <c r="AF1843" i="2"/>
  <c r="X1843" i="2"/>
  <c r="AB1843" i="2" s="1"/>
  <c r="AK1843" i="2" s="1"/>
  <c r="W1843" i="2"/>
  <c r="AH1842" i="2"/>
  <c r="AF1842" i="2"/>
  <c r="X1842" i="2"/>
  <c r="Y1842" i="2" s="1"/>
  <c r="W1842" i="2"/>
  <c r="AH1841" i="2"/>
  <c r="AF1841" i="2"/>
  <c r="X1841" i="2"/>
  <c r="Y1841" i="2" s="1"/>
  <c r="W1841" i="2"/>
  <c r="AH1840" i="2"/>
  <c r="AF1840" i="2"/>
  <c r="X1840" i="2"/>
  <c r="Y1840" i="2" s="1"/>
  <c r="W1840" i="2"/>
  <c r="AH1839" i="2"/>
  <c r="AF1839" i="2"/>
  <c r="X1839" i="2"/>
  <c r="Y1839" i="2" s="1"/>
  <c r="W1839" i="2"/>
  <c r="AH1838" i="2"/>
  <c r="AF1838" i="2"/>
  <c r="X1838" i="2"/>
  <c r="AB1838" i="2" s="1"/>
  <c r="AK1838" i="2" s="1"/>
  <c r="W1838" i="2"/>
  <c r="AH1837" i="2"/>
  <c r="AF1837" i="2"/>
  <c r="X1837" i="2"/>
  <c r="AB1837" i="2" s="1"/>
  <c r="AK1837" i="2" s="1"/>
  <c r="W1837" i="2"/>
  <c r="AH1836" i="2"/>
  <c r="AF1836" i="2"/>
  <c r="X1836" i="2"/>
  <c r="W1836" i="2"/>
  <c r="AH1835" i="2"/>
  <c r="AF1835" i="2"/>
  <c r="X1835" i="2"/>
  <c r="AB1835" i="2" s="1"/>
  <c r="AK1835" i="2" s="1"/>
  <c r="W1835" i="2"/>
  <c r="AH1834" i="2"/>
  <c r="AF1834" i="2"/>
  <c r="X1834" i="2"/>
  <c r="AC1834" i="2" s="1"/>
  <c r="W1834" i="2"/>
  <c r="AH1833" i="2"/>
  <c r="AF1833" i="2"/>
  <c r="X1833" i="2"/>
  <c r="W1833" i="2"/>
  <c r="AH1832" i="2"/>
  <c r="AF1832" i="2"/>
  <c r="X1832" i="2"/>
  <c r="AB1832" i="2" s="1"/>
  <c r="AK1832" i="2" s="1"/>
  <c r="W1832" i="2"/>
  <c r="AH1831" i="2"/>
  <c r="AF1831" i="2"/>
  <c r="X1831" i="2"/>
  <c r="Y1831" i="2" s="1"/>
  <c r="W1831" i="2"/>
  <c r="AH1830" i="2"/>
  <c r="AF1830" i="2"/>
  <c r="X1830" i="2"/>
  <c r="Y1830" i="2" s="1"/>
  <c r="W1830" i="2"/>
  <c r="AH1829" i="2"/>
  <c r="AF1829" i="2"/>
  <c r="X1829" i="2"/>
  <c r="AB1829" i="2" s="1"/>
  <c r="AK1829" i="2" s="1"/>
  <c r="W1829" i="2"/>
  <c r="AH1828" i="2"/>
  <c r="AF1828" i="2"/>
  <c r="X1828" i="2"/>
  <c r="AB1828" i="2" s="1"/>
  <c r="AK1828" i="2" s="1"/>
  <c r="W1828" i="2"/>
  <c r="AH1827" i="2"/>
  <c r="AF1827" i="2"/>
  <c r="X1827" i="2"/>
  <c r="AB1827" i="2" s="1"/>
  <c r="AK1827" i="2" s="1"/>
  <c r="W1827" i="2"/>
  <c r="AH1826" i="2"/>
  <c r="AF1826" i="2"/>
  <c r="X1826" i="2"/>
  <c r="AC1826" i="2" s="1"/>
  <c r="W1826" i="2"/>
  <c r="AH1825" i="2"/>
  <c r="AF1825" i="2"/>
  <c r="X1825" i="2"/>
  <c r="AB1825" i="2" s="1"/>
  <c r="AK1825" i="2" s="1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Y1822" i="2" s="1"/>
  <c r="W1822" i="2"/>
  <c r="AH1821" i="2"/>
  <c r="AF1821" i="2"/>
  <c r="X1821" i="2"/>
  <c r="W1821" i="2"/>
  <c r="AH1820" i="2"/>
  <c r="AF1820" i="2"/>
  <c r="X1820" i="2"/>
  <c r="AB1820" i="2" s="1"/>
  <c r="AK1820" i="2" s="1"/>
  <c r="W1820" i="2"/>
  <c r="AH1819" i="2"/>
  <c r="AF1819" i="2"/>
  <c r="X1819" i="2"/>
  <c r="W1819" i="2"/>
  <c r="AH1818" i="2"/>
  <c r="AF1818" i="2"/>
  <c r="X1818" i="2"/>
  <c r="AC1818" i="2" s="1"/>
  <c r="W1818" i="2"/>
  <c r="AH1817" i="2"/>
  <c r="AF1817" i="2"/>
  <c r="X1817" i="2"/>
  <c r="AB1817" i="2" s="1"/>
  <c r="AK1817" i="2" s="1"/>
  <c r="W1817" i="2"/>
  <c r="AH1816" i="2"/>
  <c r="AF1816" i="2"/>
  <c r="X1816" i="2"/>
  <c r="AB1816" i="2" s="1"/>
  <c r="AK1816" i="2" s="1"/>
  <c r="W1816" i="2"/>
  <c r="AH1815" i="2"/>
  <c r="AF1815" i="2"/>
  <c r="X1815" i="2"/>
  <c r="Y1815" i="2" s="1"/>
  <c r="W1815" i="2"/>
  <c r="AH1814" i="2"/>
  <c r="AF1814" i="2"/>
  <c r="X1814" i="2"/>
  <c r="W1814" i="2"/>
  <c r="AH1813" i="2"/>
  <c r="AF1813" i="2"/>
  <c r="X1813" i="2"/>
  <c r="AB1813" i="2" s="1"/>
  <c r="AK1813" i="2" s="1"/>
  <c r="W1813" i="2"/>
  <c r="AH1812" i="2"/>
  <c r="AF1812" i="2"/>
  <c r="X1812" i="2"/>
  <c r="Y1812" i="2" s="1"/>
  <c r="W1812" i="2"/>
  <c r="AH1811" i="2"/>
  <c r="AF1811" i="2"/>
  <c r="X1811" i="2"/>
  <c r="AB1811" i="2" s="1"/>
  <c r="AK1811" i="2" s="1"/>
  <c r="W1811" i="2"/>
  <c r="AH1810" i="2"/>
  <c r="AF1810" i="2"/>
  <c r="X1810" i="2"/>
  <c r="AB1810" i="2" s="1"/>
  <c r="AK1810" i="2" s="1"/>
  <c r="W1810" i="2"/>
  <c r="AH1809" i="2"/>
  <c r="AF1809" i="2"/>
  <c r="X1809" i="2"/>
  <c r="Y1809" i="2" s="1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AC1806" i="2" s="1"/>
  <c r="W1806" i="2"/>
  <c r="AH1805" i="2"/>
  <c r="AF1805" i="2"/>
  <c r="X1805" i="2"/>
  <c r="AB1805" i="2" s="1"/>
  <c r="AK1805" i="2" s="1"/>
  <c r="W1805" i="2"/>
  <c r="AH1804" i="2"/>
  <c r="AF1804" i="2"/>
  <c r="X1804" i="2"/>
  <c r="W1804" i="2"/>
  <c r="AH1803" i="2"/>
  <c r="AF1803" i="2"/>
  <c r="X1803" i="2"/>
  <c r="AB1803" i="2" s="1"/>
  <c r="AK1803" i="2" s="1"/>
  <c r="W1803" i="2"/>
  <c r="AH1802" i="2"/>
  <c r="AF1802" i="2"/>
  <c r="X1802" i="2"/>
  <c r="AC1802" i="2" s="1"/>
  <c r="W1802" i="2"/>
  <c r="AH1801" i="2"/>
  <c r="AF1801" i="2"/>
  <c r="X1801" i="2"/>
  <c r="Y1801" i="2" s="1"/>
  <c r="W1801" i="2"/>
  <c r="AH1800" i="2"/>
  <c r="AF1800" i="2"/>
  <c r="X1800" i="2"/>
  <c r="AB1800" i="2" s="1"/>
  <c r="AK1800" i="2" s="1"/>
  <c r="W1800" i="2"/>
  <c r="AH1799" i="2"/>
  <c r="AF1799" i="2"/>
  <c r="X1799" i="2"/>
  <c r="Y1799" i="2" s="1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AB1796" i="2" s="1"/>
  <c r="AK1796" i="2" s="1"/>
  <c r="W1796" i="2"/>
  <c r="AH1795" i="2"/>
  <c r="AF1795" i="2"/>
  <c r="X1795" i="2"/>
  <c r="AB1795" i="2" s="1"/>
  <c r="AK1795" i="2" s="1"/>
  <c r="W1795" i="2"/>
  <c r="AH1794" i="2"/>
  <c r="AF1794" i="2"/>
  <c r="X1794" i="2"/>
  <c r="W1794" i="2"/>
  <c r="AH1793" i="2"/>
  <c r="AF1793" i="2"/>
  <c r="X1793" i="2"/>
  <c r="AB1793" i="2" s="1"/>
  <c r="AK1793" i="2" s="1"/>
  <c r="W1793" i="2"/>
  <c r="AH1792" i="2"/>
  <c r="AF1792" i="2"/>
  <c r="X1792" i="2"/>
  <c r="AC1792" i="2" s="1"/>
  <c r="W1792" i="2"/>
  <c r="AH1791" i="2"/>
  <c r="AF1791" i="2"/>
  <c r="X1791" i="2"/>
  <c r="Y1791" i="2" s="1"/>
  <c r="W1791" i="2"/>
  <c r="AH1790" i="2"/>
  <c r="AF1790" i="2"/>
  <c r="X1790" i="2"/>
  <c r="W1790" i="2"/>
  <c r="AH1789" i="2"/>
  <c r="AF1789" i="2"/>
  <c r="X1789" i="2"/>
  <c r="AB1789" i="2" s="1"/>
  <c r="AK1789" i="2" s="1"/>
  <c r="W1789" i="2"/>
  <c r="AH1788" i="2"/>
  <c r="AF1788" i="2"/>
  <c r="X1788" i="2"/>
  <c r="AC1788" i="2" s="1"/>
  <c r="W1788" i="2"/>
  <c r="AH1787" i="2"/>
  <c r="AF1787" i="2"/>
  <c r="X1787" i="2"/>
  <c r="W1787" i="2"/>
  <c r="AH1786" i="2"/>
  <c r="AF1786" i="2"/>
  <c r="X1786" i="2"/>
  <c r="AB1786" i="2" s="1"/>
  <c r="AK1786" i="2" s="1"/>
  <c r="W1786" i="2"/>
  <c r="AH1785" i="2"/>
  <c r="AF1785" i="2"/>
  <c r="X1785" i="2"/>
  <c r="Y1785" i="2" s="1"/>
  <c r="W1785" i="2"/>
  <c r="AH1784" i="2"/>
  <c r="AF1784" i="2"/>
  <c r="X1784" i="2"/>
  <c r="AB1784" i="2" s="1"/>
  <c r="AK1784" i="2" s="1"/>
  <c r="W1784" i="2"/>
  <c r="AH1783" i="2"/>
  <c r="AF1783" i="2"/>
  <c r="X1783" i="2"/>
  <c r="Y1783" i="2" s="1"/>
  <c r="W1783" i="2"/>
  <c r="AH1782" i="2"/>
  <c r="AF1782" i="2"/>
  <c r="X1782" i="2"/>
  <c r="Y1782" i="2" s="1"/>
  <c r="W1782" i="2"/>
  <c r="AH1781" i="2"/>
  <c r="AF1781" i="2"/>
  <c r="X1781" i="2"/>
  <c r="AB1781" i="2" s="1"/>
  <c r="AK1781" i="2" s="1"/>
  <c r="W1781" i="2"/>
  <c r="AH1780" i="2"/>
  <c r="AF1780" i="2"/>
  <c r="X1780" i="2"/>
  <c r="Y1780" i="2" s="1"/>
  <c r="W1780" i="2"/>
  <c r="AH1779" i="2"/>
  <c r="AF1779" i="2"/>
  <c r="W1779" i="2"/>
  <c r="AH1778" i="2"/>
  <c r="AF1778" i="2"/>
  <c r="X1778" i="2"/>
  <c r="AB1778" i="2" s="1"/>
  <c r="AK1778" i="2" s="1"/>
  <c r="W1778" i="2"/>
  <c r="AH1777" i="2"/>
  <c r="AF1777" i="2"/>
  <c r="X1777" i="2"/>
  <c r="W1777" i="2"/>
  <c r="AH1776" i="2"/>
  <c r="AF1776" i="2"/>
  <c r="X1776" i="2"/>
  <c r="Y1776" i="2" s="1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AC1773" i="2" s="1"/>
  <c r="W1773" i="2"/>
  <c r="AH1772" i="2"/>
  <c r="AF1772" i="2"/>
  <c r="X1772" i="2"/>
  <c r="AC1772" i="2" s="1"/>
  <c r="W1772" i="2"/>
  <c r="AH1771" i="2"/>
  <c r="AF1771" i="2"/>
  <c r="X1771" i="2"/>
  <c r="W1771" i="2"/>
  <c r="AH1770" i="2"/>
  <c r="AF1770" i="2"/>
  <c r="X1770" i="2"/>
  <c r="AC1770" i="2" s="1"/>
  <c r="W1770" i="2"/>
  <c r="AH1769" i="2"/>
  <c r="AF1769" i="2"/>
  <c r="X1769" i="2"/>
  <c r="W1769" i="2"/>
  <c r="AH1768" i="2"/>
  <c r="AF1768" i="2"/>
  <c r="X1768" i="2"/>
  <c r="AB1768" i="2" s="1"/>
  <c r="AK1768" i="2" s="1"/>
  <c r="W1768" i="2"/>
  <c r="AH1767" i="2"/>
  <c r="AF1767" i="2"/>
  <c r="X1767" i="2"/>
  <c r="Y1767" i="2" s="1"/>
  <c r="W1767" i="2"/>
  <c r="AH1766" i="2"/>
  <c r="AF1766" i="2"/>
  <c r="X1766" i="2"/>
  <c r="AC1766" i="2" s="1"/>
  <c r="W1766" i="2"/>
  <c r="AH1765" i="2"/>
  <c r="AF1765" i="2"/>
  <c r="X1765" i="2"/>
  <c r="W1765" i="2"/>
  <c r="AH1764" i="2"/>
  <c r="AF1764" i="2"/>
  <c r="X1764" i="2"/>
  <c r="AC1764" i="2" s="1"/>
  <c r="W1764" i="2"/>
  <c r="AH1763" i="2"/>
  <c r="AF1763" i="2"/>
  <c r="X1763" i="2"/>
  <c r="W1763" i="2"/>
  <c r="AH1762" i="2"/>
  <c r="AF1762" i="2"/>
  <c r="X1762" i="2"/>
  <c r="AC1762" i="2" s="1"/>
  <c r="W1762" i="2"/>
  <c r="AH1761" i="2"/>
  <c r="AF1761" i="2"/>
  <c r="X1761" i="2"/>
  <c r="W1761" i="2"/>
  <c r="AH1760" i="2"/>
  <c r="AF1760" i="2"/>
  <c r="X1760" i="2"/>
  <c r="AC1760" i="2" s="1"/>
  <c r="W1760" i="2"/>
  <c r="AH1759" i="2"/>
  <c r="AF1759" i="2"/>
  <c r="X1759" i="2"/>
  <c r="W1759" i="2"/>
  <c r="AH1758" i="2"/>
  <c r="AF1758" i="2"/>
  <c r="X1758" i="2"/>
  <c r="Y1758" i="2" s="1"/>
  <c r="W1758" i="2"/>
  <c r="AH1757" i="2"/>
  <c r="AF1757" i="2"/>
  <c r="X1757" i="2"/>
  <c r="W1757" i="2"/>
  <c r="AH1756" i="2"/>
  <c r="AF1756" i="2"/>
  <c r="X1756" i="2"/>
  <c r="AC1756" i="2" s="1"/>
  <c r="W1756" i="2"/>
  <c r="AH1755" i="2"/>
  <c r="AF1755" i="2"/>
  <c r="X1755" i="2"/>
  <c r="W1755" i="2"/>
  <c r="AH1754" i="2"/>
  <c r="AF1754" i="2"/>
  <c r="X1754" i="2"/>
  <c r="AC1754" i="2" s="1"/>
  <c r="W1754" i="2"/>
  <c r="AH1753" i="2"/>
  <c r="AF1753" i="2"/>
  <c r="X1753" i="2"/>
  <c r="W1753" i="2"/>
  <c r="AH1752" i="2"/>
  <c r="AF1752" i="2"/>
  <c r="X1752" i="2"/>
  <c r="Y1752" i="2" s="1"/>
  <c r="W1752" i="2"/>
  <c r="AH1751" i="2"/>
  <c r="AF1751" i="2"/>
  <c r="X1751" i="2"/>
  <c r="Y1751" i="2" s="1"/>
  <c r="W1751" i="2"/>
  <c r="AH1750" i="2"/>
  <c r="AF1750" i="2"/>
  <c r="X1750" i="2"/>
  <c r="W1750" i="2"/>
  <c r="AH1749" i="2"/>
  <c r="AF1749" i="2"/>
  <c r="X1749" i="2"/>
  <c r="AC1749" i="2" s="1"/>
  <c r="W1749" i="2"/>
  <c r="AH1748" i="2"/>
  <c r="AF1748" i="2"/>
  <c r="X1748" i="2"/>
  <c r="AB1748" i="2" s="1"/>
  <c r="AK1748" i="2" s="1"/>
  <c r="W1748" i="2"/>
  <c r="AH1747" i="2"/>
  <c r="AF1747" i="2"/>
  <c r="X1747" i="2"/>
  <c r="Y1747" i="2" s="1"/>
  <c r="W1747" i="2"/>
  <c r="AH1746" i="2"/>
  <c r="AF1746" i="2"/>
  <c r="X1746" i="2"/>
  <c r="W1746" i="2"/>
  <c r="AH1745" i="2"/>
  <c r="AF1745" i="2"/>
  <c r="X1745" i="2"/>
  <c r="AB1745" i="2" s="1"/>
  <c r="AK1745" i="2" s="1"/>
  <c r="W1745" i="2"/>
  <c r="AH1744" i="2"/>
  <c r="AF1744" i="2"/>
  <c r="X1744" i="2"/>
  <c r="AC1744" i="2" s="1"/>
  <c r="W1744" i="2"/>
  <c r="AH1743" i="2"/>
  <c r="AF1743" i="2"/>
  <c r="X1743" i="2"/>
  <c r="AC1743" i="2" s="1"/>
  <c r="W1743" i="2"/>
  <c r="AH1742" i="2"/>
  <c r="AF1742" i="2"/>
  <c r="X1742" i="2"/>
  <c r="AC1742" i="2" s="1"/>
  <c r="W1742" i="2"/>
  <c r="AH1741" i="2"/>
  <c r="AF1741" i="2"/>
  <c r="X1741" i="2"/>
  <c r="AC1741" i="2" s="1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AC1737" i="2" s="1"/>
  <c r="W1737" i="2"/>
  <c r="AH1736" i="2"/>
  <c r="AF1736" i="2"/>
  <c r="X1736" i="2"/>
  <c r="AB1736" i="2" s="1"/>
  <c r="AK1736" i="2" s="1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Y1732" i="2" s="1"/>
  <c r="W1732" i="2"/>
  <c r="AH1731" i="2"/>
  <c r="AF1731" i="2"/>
  <c r="X1731" i="2"/>
  <c r="W1731" i="2"/>
  <c r="AH1730" i="2"/>
  <c r="AF1730" i="2"/>
  <c r="X1730" i="2"/>
  <c r="AC1730" i="2" s="1"/>
  <c r="W1730" i="2"/>
  <c r="AH1729" i="2"/>
  <c r="AF1729" i="2"/>
  <c r="X1729" i="2"/>
  <c r="AB1729" i="2" s="1"/>
  <c r="AK1729" i="2" s="1"/>
  <c r="W1729" i="2"/>
  <c r="AH1728" i="2"/>
  <c r="AF1728" i="2"/>
  <c r="X1728" i="2"/>
  <c r="AC1728" i="2" s="1"/>
  <c r="W1728" i="2"/>
  <c r="AH1727" i="2"/>
  <c r="AF1727" i="2"/>
  <c r="X1727" i="2"/>
  <c r="AB1727" i="2" s="1"/>
  <c r="AK1727" i="2" s="1"/>
  <c r="W1727" i="2"/>
  <c r="AH1726" i="2"/>
  <c r="AF1726" i="2"/>
  <c r="X1726" i="2"/>
  <c r="AB1726" i="2" s="1"/>
  <c r="AK1726" i="2" s="1"/>
  <c r="W1726" i="2"/>
  <c r="AH1725" i="2"/>
  <c r="AF1725" i="2"/>
  <c r="X1725" i="2"/>
  <c r="AB1725" i="2" s="1"/>
  <c r="AK1725" i="2" s="1"/>
  <c r="W1725" i="2"/>
  <c r="AH1724" i="2"/>
  <c r="AF1724" i="2"/>
  <c r="X1724" i="2"/>
  <c r="AC1724" i="2" s="1"/>
  <c r="W1724" i="2"/>
  <c r="AH1723" i="2"/>
  <c r="AF1723" i="2"/>
  <c r="X1723" i="2"/>
  <c r="AC1723" i="2" s="1"/>
  <c r="W1723" i="2"/>
  <c r="AH1722" i="2"/>
  <c r="AF1722" i="2"/>
  <c r="X1722" i="2"/>
  <c r="AC1722" i="2" s="1"/>
  <c r="W1722" i="2"/>
  <c r="AH1721" i="2"/>
  <c r="AF1721" i="2"/>
  <c r="X1721" i="2"/>
  <c r="AB1721" i="2" s="1"/>
  <c r="AK1721" i="2" s="1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AB1718" i="2" s="1"/>
  <c r="AK1718" i="2" s="1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Y1715" i="2" s="1"/>
  <c r="W1715" i="2"/>
  <c r="AH1714" i="2"/>
  <c r="AF1714" i="2"/>
  <c r="X1714" i="2"/>
  <c r="AB1714" i="2" s="1"/>
  <c r="AK1714" i="2" s="1"/>
  <c r="W1714" i="2"/>
  <c r="AH1713" i="2"/>
  <c r="AF1713" i="2"/>
  <c r="X1713" i="2"/>
  <c r="AC1713" i="2" s="1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AB1710" i="2" s="1"/>
  <c r="AK1710" i="2" s="1"/>
  <c r="W1710" i="2"/>
  <c r="AH1709" i="2"/>
  <c r="AF1709" i="2"/>
  <c r="X1709" i="2"/>
  <c r="AB1709" i="2" s="1"/>
  <c r="AK1709" i="2" s="1"/>
  <c r="W1709" i="2"/>
  <c r="AH1708" i="2"/>
  <c r="AF1708" i="2"/>
  <c r="X1708" i="2"/>
  <c r="Y1708" i="2" s="1"/>
  <c r="W1708" i="2"/>
  <c r="AH1707" i="2"/>
  <c r="AF1707" i="2"/>
  <c r="X1707" i="2"/>
  <c r="W1707" i="2"/>
  <c r="AH1706" i="2"/>
  <c r="AF1706" i="2"/>
  <c r="X1706" i="2"/>
  <c r="Y1706" i="2" s="1"/>
  <c r="W1706" i="2"/>
  <c r="AH1705" i="2"/>
  <c r="AF1705" i="2"/>
  <c r="X1705" i="2"/>
  <c r="AC1705" i="2" s="1"/>
  <c r="W1705" i="2"/>
  <c r="AH1704" i="2"/>
  <c r="AF1704" i="2"/>
  <c r="X1704" i="2"/>
  <c r="AB1704" i="2" s="1"/>
  <c r="AK1704" i="2" s="1"/>
  <c r="W1704" i="2"/>
  <c r="AH1703" i="2"/>
  <c r="AF1703" i="2"/>
  <c r="X1703" i="2"/>
  <c r="AC1703" i="2" s="1"/>
  <c r="W1703" i="2"/>
  <c r="AH1702" i="2"/>
  <c r="AF1702" i="2"/>
  <c r="X1702" i="2"/>
  <c r="AC1702" i="2" s="1"/>
  <c r="W1702" i="2"/>
  <c r="AH1701" i="2"/>
  <c r="AF1701" i="2"/>
  <c r="X1701" i="2"/>
  <c r="Y1701" i="2" s="1"/>
  <c r="W1701" i="2"/>
  <c r="AH1700" i="2"/>
  <c r="AF1700" i="2"/>
  <c r="X1700" i="2"/>
  <c r="AC1700" i="2" s="1"/>
  <c r="W1700" i="2"/>
  <c r="AH1699" i="2"/>
  <c r="AF1699" i="2"/>
  <c r="X1699" i="2"/>
  <c r="AC1699" i="2" s="1"/>
  <c r="W1699" i="2"/>
  <c r="AH1698" i="2"/>
  <c r="AF1698" i="2"/>
  <c r="X1698" i="2"/>
  <c r="W1698" i="2"/>
  <c r="AH1697" i="2"/>
  <c r="AF1697" i="2"/>
  <c r="X1697" i="2"/>
  <c r="AB1697" i="2" s="1"/>
  <c r="AK1697" i="2" s="1"/>
  <c r="W1697" i="2"/>
  <c r="AH1696" i="2"/>
  <c r="AF1696" i="2"/>
  <c r="X1696" i="2"/>
  <c r="AC1696" i="2" s="1"/>
  <c r="W1696" i="2"/>
  <c r="AH1695" i="2"/>
  <c r="AF1695" i="2"/>
  <c r="X1695" i="2"/>
  <c r="AC1695" i="2" s="1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AC1691" i="2" s="1"/>
  <c r="W1691" i="2"/>
  <c r="AH1690" i="2"/>
  <c r="AF1690" i="2"/>
  <c r="X1690" i="2"/>
  <c r="W1690" i="2"/>
  <c r="AH1689" i="2"/>
  <c r="AF1689" i="2"/>
  <c r="X1689" i="2"/>
  <c r="AC1689" i="2" s="1"/>
  <c r="W1689" i="2"/>
  <c r="AH1688" i="2"/>
  <c r="AF1688" i="2"/>
  <c r="X1688" i="2"/>
  <c r="W1688" i="2"/>
  <c r="AH1687" i="2"/>
  <c r="AF1687" i="2"/>
  <c r="X1687" i="2"/>
  <c r="Y1687" i="2" s="1"/>
  <c r="W1687" i="2"/>
  <c r="AH1686" i="2"/>
  <c r="AF1686" i="2"/>
  <c r="X1686" i="2"/>
  <c r="AC1686" i="2" s="1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AB1682" i="2" s="1"/>
  <c r="AK1682" i="2" s="1"/>
  <c r="W1682" i="2"/>
  <c r="AH1681" i="2"/>
  <c r="AF1681" i="2"/>
  <c r="X1681" i="2"/>
  <c r="AC1681" i="2" s="1"/>
  <c r="W1681" i="2"/>
  <c r="AH1680" i="2"/>
  <c r="AF1680" i="2"/>
  <c r="X1680" i="2"/>
  <c r="AC1680" i="2" s="1"/>
  <c r="W1680" i="2"/>
  <c r="AH1679" i="2"/>
  <c r="AF1679" i="2"/>
  <c r="X1679" i="2"/>
  <c r="W1679" i="2"/>
  <c r="AH1678" i="2"/>
  <c r="AF1678" i="2"/>
  <c r="X1678" i="2"/>
  <c r="AB1678" i="2" s="1"/>
  <c r="AK1678" i="2" s="1"/>
  <c r="W1678" i="2"/>
  <c r="AH1677" i="2"/>
  <c r="AF1677" i="2"/>
  <c r="W1677" i="2"/>
  <c r="AH1676" i="2"/>
  <c r="AF1676" i="2"/>
  <c r="X1676" i="2"/>
  <c r="Y1676" i="2" s="1"/>
  <c r="W1676" i="2"/>
  <c r="AH1675" i="2"/>
  <c r="AF1675" i="2"/>
  <c r="X1675" i="2"/>
  <c r="AC1675" i="2" s="1"/>
  <c r="W1675" i="2"/>
  <c r="AH1674" i="2"/>
  <c r="AF1674" i="2"/>
  <c r="X1674" i="2"/>
  <c r="Y1674" i="2" s="1"/>
  <c r="W1674" i="2"/>
  <c r="AH1673" i="2"/>
  <c r="AF1673" i="2"/>
  <c r="X1673" i="2"/>
  <c r="W1673" i="2"/>
  <c r="AH1672" i="2"/>
  <c r="AF1672" i="2"/>
  <c r="X1672" i="2"/>
  <c r="Y1672" i="2" s="1"/>
  <c r="W1672" i="2"/>
  <c r="AH1671" i="2"/>
  <c r="AF1671" i="2"/>
  <c r="X1671" i="2"/>
  <c r="W1671" i="2"/>
  <c r="AH1670" i="2"/>
  <c r="AF1670" i="2"/>
  <c r="X1670" i="2"/>
  <c r="Y1670" i="2" s="1"/>
  <c r="W1670" i="2"/>
  <c r="AH1669" i="2"/>
  <c r="AF1669" i="2"/>
  <c r="X1669" i="2"/>
  <c r="AB1669" i="2" s="1"/>
  <c r="AK1669" i="2" s="1"/>
  <c r="W1669" i="2"/>
  <c r="AH1668" i="2"/>
  <c r="AF1668" i="2"/>
  <c r="X1668" i="2"/>
  <c r="AB1668" i="2" s="1"/>
  <c r="AK1668" i="2" s="1"/>
  <c r="W1668" i="2"/>
  <c r="AH1667" i="2"/>
  <c r="AF1667" i="2"/>
  <c r="X1667" i="2"/>
  <c r="AC1667" i="2" s="1"/>
  <c r="W1667" i="2"/>
  <c r="AH1666" i="2"/>
  <c r="AF1666" i="2"/>
  <c r="X1666" i="2"/>
  <c r="Y1666" i="2" s="1"/>
  <c r="W1666" i="2"/>
  <c r="AH1665" i="2"/>
  <c r="AF1665" i="2"/>
  <c r="X1665" i="2"/>
  <c r="AB1665" i="2" s="1"/>
  <c r="AK1665" i="2" s="1"/>
  <c r="W1665" i="2"/>
  <c r="AH1664" i="2"/>
  <c r="AF1664" i="2"/>
  <c r="X1664" i="2"/>
  <c r="AB1664" i="2" s="1"/>
  <c r="AK1664" i="2" s="1"/>
  <c r="W1664" i="2"/>
  <c r="AH1663" i="2"/>
  <c r="AD1663" i="2"/>
  <c r="AF1663" i="2" s="1"/>
  <c r="X1663" i="2"/>
  <c r="W1663" i="2"/>
  <c r="AH1662" i="2"/>
  <c r="AD1662" i="2"/>
  <c r="X1662" i="2"/>
  <c r="W1662" i="2"/>
  <c r="AH1661" i="2"/>
  <c r="AD1661" i="2"/>
  <c r="X1661" i="2"/>
  <c r="AB1661" i="2" s="1"/>
  <c r="AK1661" i="2" s="1"/>
  <c r="W1661" i="2"/>
  <c r="AH1660" i="2"/>
  <c r="AD1660" i="2"/>
  <c r="X1660" i="2"/>
  <c r="AB1660" i="2" s="1"/>
  <c r="AK1660" i="2" s="1"/>
  <c r="W1660" i="2"/>
  <c r="AH1659" i="2"/>
  <c r="AD1659" i="2"/>
  <c r="X1659" i="2"/>
  <c r="AB1659" i="2" s="1"/>
  <c r="AK1659" i="2" s="1"/>
  <c r="W1659" i="2"/>
  <c r="AH1658" i="2"/>
  <c r="AD1658" i="2"/>
  <c r="X1658" i="2"/>
  <c r="AB1658" i="2" s="1"/>
  <c r="AK1658" i="2" s="1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AB1656" i="2" s="1"/>
  <c r="AK1656" i="2" s="1"/>
  <c r="W1656" i="2"/>
  <c r="AH1655" i="2"/>
  <c r="AD1655" i="2"/>
  <c r="AF1655" i="2" s="1"/>
  <c r="X1655" i="2"/>
  <c r="W1655" i="2"/>
  <c r="AH1654" i="2"/>
  <c r="AD1654" i="2"/>
  <c r="X1654" i="2"/>
  <c r="AB1654" i="2" s="1"/>
  <c r="AK1654" i="2" s="1"/>
  <c r="W1654" i="2"/>
  <c r="AH1653" i="2"/>
  <c r="AD1653" i="2"/>
  <c r="AF1653" i="2" s="1"/>
  <c r="X1653" i="2"/>
  <c r="AB1653" i="2" s="1"/>
  <c r="AK1653" i="2" s="1"/>
  <c r="W1653" i="2"/>
  <c r="AH1652" i="2"/>
  <c r="AD1652" i="2"/>
  <c r="X1652" i="2"/>
  <c r="AB1652" i="2" s="1"/>
  <c r="AK1652" i="2" s="1"/>
  <c r="W1652" i="2"/>
  <c r="AH1651" i="2"/>
  <c r="AD1651" i="2"/>
  <c r="AF1651" i="2" s="1"/>
  <c r="X1651" i="2"/>
  <c r="AB1651" i="2" s="1"/>
  <c r="AK1651" i="2" s="1"/>
  <c r="W1651" i="2"/>
  <c r="AH1650" i="2"/>
  <c r="AD1650" i="2"/>
  <c r="X1650" i="2"/>
  <c r="AB1650" i="2" s="1"/>
  <c r="AK1650" i="2" s="1"/>
  <c r="W1650" i="2"/>
  <c r="AH1649" i="2"/>
  <c r="AD1649" i="2"/>
  <c r="AF1649" i="2" s="1"/>
  <c r="X1649" i="2"/>
  <c r="AB1649" i="2" s="1"/>
  <c r="AK1649" i="2" s="1"/>
  <c r="W1649" i="2"/>
  <c r="AH1648" i="2"/>
  <c r="AD1648" i="2"/>
  <c r="X1648" i="2"/>
  <c r="AB1648" i="2" s="1"/>
  <c r="AK1648" i="2" s="1"/>
  <c r="W1648" i="2"/>
  <c r="AH1647" i="2"/>
  <c r="AD1647" i="2"/>
  <c r="AF1647" i="2" s="1"/>
  <c r="X1647" i="2"/>
  <c r="AB1647" i="2" s="1"/>
  <c r="AK1647" i="2" s="1"/>
  <c r="W1647" i="2"/>
  <c r="AH1646" i="2"/>
  <c r="AD1646" i="2"/>
  <c r="AF1646" i="2" s="1"/>
  <c r="X1646" i="2"/>
  <c r="AB1646" i="2" s="1"/>
  <c r="AK1646" i="2" s="1"/>
  <c r="W1646" i="2"/>
  <c r="AH1645" i="2"/>
  <c r="AD1645" i="2"/>
  <c r="AF1645" i="2" s="1"/>
  <c r="X1645" i="2"/>
  <c r="AB1645" i="2" s="1"/>
  <c r="AK1645" i="2" s="1"/>
  <c r="W1645" i="2"/>
  <c r="AH1644" i="2"/>
  <c r="AD1644" i="2"/>
  <c r="X1644" i="2"/>
  <c r="AB1644" i="2" s="1"/>
  <c r="AK1644" i="2" s="1"/>
  <c r="W1644" i="2"/>
  <c r="AH1643" i="2"/>
  <c r="AD1643" i="2"/>
  <c r="AF1643" i="2" s="1"/>
  <c r="X1643" i="2"/>
  <c r="AB1643" i="2" s="1"/>
  <c r="AK1643" i="2" s="1"/>
  <c r="W1643" i="2"/>
  <c r="AH1642" i="2"/>
  <c r="AD1642" i="2"/>
  <c r="X1642" i="2"/>
  <c r="AC1642" i="2" s="1"/>
  <c r="W1642" i="2"/>
  <c r="AH1641" i="2"/>
  <c r="AD1641" i="2"/>
  <c r="AF1641" i="2" s="1"/>
  <c r="X1641" i="2"/>
  <c r="AB1641" i="2" s="1"/>
  <c r="AK1641" i="2" s="1"/>
  <c r="W1641" i="2"/>
  <c r="AH1640" i="2"/>
  <c r="AD1640" i="2"/>
  <c r="X1640" i="2"/>
  <c r="W1640" i="2"/>
  <c r="AH1639" i="2"/>
  <c r="AD1639" i="2"/>
  <c r="X1639" i="2"/>
  <c r="AB1639" i="2" s="1"/>
  <c r="AK1639" i="2" s="1"/>
  <c r="W1639" i="2"/>
  <c r="AH1638" i="2"/>
  <c r="AD1638" i="2"/>
  <c r="X1638" i="2"/>
  <c r="W1638" i="2"/>
  <c r="AH1637" i="2"/>
  <c r="AD1637" i="2"/>
  <c r="X1637" i="2"/>
  <c r="AB1637" i="2" s="1"/>
  <c r="AK1637" i="2" s="1"/>
  <c r="W1637" i="2"/>
  <c r="AH1636" i="2"/>
  <c r="AD1636" i="2"/>
  <c r="X1636" i="2"/>
  <c r="AC1636" i="2" s="1"/>
  <c r="W1636" i="2"/>
  <c r="AH1635" i="2"/>
  <c r="AD1635" i="2"/>
  <c r="AF1635" i="2" s="1"/>
  <c r="X1635" i="2"/>
  <c r="AB1635" i="2" s="1"/>
  <c r="AK1635" i="2" s="1"/>
  <c r="W1635" i="2"/>
  <c r="AH1634" i="2"/>
  <c r="AD1634" i="2"/>
  <c r="X1634" i="2"/>
  <c r="AB1634" i="2" s="1"/>
  <c r="AK1634" i="2" s="1"/>
  <c r="W1634" i="2"/>
  <c r="AH1633" i="2"/>
  <c r="AD1633" i="2"/>
  <c r="AF1633" i="2" s="1"/>
  <c r="X1633" i="2"/>
  <c r="AB1633" i="2" s="1"/>
  <c r="AK1633" i="2" s="1"/>
  <c r="W1633" i="2"/>
  <c r="AH1632" i="2"/>
  <c r="AD1632" i="2"/>
  <c r="X1632" i="2"/>
  <c r="AC1632" i="2" s="1"/>
  <c r="W1632" i="2"/>
  <c r="AH1631" i="2"/>
  <c r="AD1631" i="2"/>
  <c r="AF1631" i="2" s="1"/>
  <c r="X1631" i="2"/>
  <c r="AB1631" i="2" s="1"/>
  <c r="AK1631" i="2" s="1"/>
  <c r="W1631" i="2"/>
  <c r="AH1630" i="2"/>
  <c r="AD1630" i="2"/>
  <c r="X1630" i="2"/>
  <c r="AB1630" i="2" s="1"/>
  <c r="AK1630" i="2" s="1"/>
  <c r="W1630" i="2"/>
  <c r="AH1629" i="2"/>
  <c r="AD1629" i="2"/>
  <c r="AF1629" i="2" s="1"/>
  <c r="X1629" i="2"/>
  <c r="AB1629" i="2" s="1"/>
  <c r="AK1629" i="2" s="1"/>
  <c r="W1629" i="2"/>
  <c r="AH1628" i="2"/>
  <c r="AD1628" i="2"/>
  <c r="AF1628" i="2" s="1"/>
  <c r="X1628" i="2"/>
  <c r="AB1628" i="2" s="1"/>
  <c r="AK1628" i="2" s="1"/>
  <c r="W1628" i="2"/>
  <c r="AH1627" i="2"/>
  <c r="AD1627" i="2"/>
  <c r="X1627" i="2"/>
  <c r="AB1627" i="2" s="1"/>
  <c r="AK1627" i="2" s="1"/>
  <c r="W1627" i="2"/>
  <c r="AH1626" i="2"/>
  <c r="AD1626" i="2"/>
  <c r="AF1626" i="2" s="1"/>
  <c r="X1626" i="2"/>
  <c r="AB1626" i="2" s="1"/>
  <c r="AK1626" i="2" s="1"/>
  <c r="W1626" i="2"/>
  <c r="AH1625" i="2"/>
  <c r="AD1625" i="2"/>
  <c r="AF1625" i="2" s="1"/>
  <c r="X1625" i="2"/>
  <c r="AB1625" i="2" s="1"/>
  <c r="AK1625" i="2" s="1"/>
  <c r="W1625" i="2"/>
  <c r="AH1624" i="2"/>
  <c r="AD1624" i="2"/>
  <c r="X1624" i="2"/>
  <c r="AC1624" i="2" s="1"/>
  <c r="W1624" i="2"/>
  <c r="AH1623" i="2"/>
  <c r="AD1623" i="2"/>
  <c r="AF1623" i="2" s="1"/>
  <c r="X1623" i="2"/>
  <c r="AC1623" i="2" s="1"/>
  <c r="W1623" i="2"/>
  <c r="AH1622" i="2"/>
  <c r="AD1622" i="2"/>
  <c r="X1622" i="2"/>
  <c r="AB1622" i="2" s="1"/>
  <c r="AK1622" i="2" s="1"/>
  <c r="W1622" i="2"/>
  <c r="AH1621" i="2"/>
  <c r="AD1621" i="2"/>
  <c r="AF1621" i="2" s="1"/>
  <c r="X1621" i="2"/>
  <c r="AB1621" i="2" s="1"/>
  <c r="AK1621" i="2" s="1"/>
  <c r="W1621" i="2"/>
  <c r="AH1620" i="2"/>
  <c r="AD1620" i="2"/>
  <c r="X1620" i="2"/>
  <c r="W1620" i="2"/>
  <c r="AH1619" i="2"/>
  <c r="AD1619" i="2"/>
  <c r="AF1619" i="2" s="1"/>
  <c r="X1619" i="2"/>
  <c r="AB1619" i="2" s="1"/>
  <c r="AK1619" i="2" s="1"/>
  <c r="W1619" i="2"/>
  <c r="AH1618" i="2"/>
  <c r="AD1618" i="2"/>
  <c r="X1618" i="2"/>
  <c r="AB1618" i="2" s="1"/>
  <c r="AK1618" i="2" s="1"/>
  <c r="W1618" i="2"/>
  <c r="AD1617" i="2"/>
  <c r="Y1617" i="2" s="1"/>
  <c r="AC1617" i="2"/>
  <c r="W1617" i="2"/>
  <c r="AH1616" i="2"/>
  <c r="AD1616" i="2"/>
  <c r="AF1616" i="2" s="1"/>
  <c r="X1616" i="2"/>
  <c r="AC1616" i="2" s="1"/>
  <c r="W1616" i="2"/>
  <c r="AH1615" i="2"/>
  <c r="AD1615" i="2"/>
  <c r="X1615" i="2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W1613" i="2"/>
  <c r="AH1612" i="2"/>
  <c r="AD1612" i="2"/>
  <c r="AF1612" i="2" s="1"/>
  <c r="X1612" i="2"/>
  <c r="AB1612" i="2" s="1"/>
  <c r="AK1612" i="2" s="1"/>
  <c r="W1612" i="2"/>
  <c r="AH1611" i="2"/>
  <c r="AD1611" i="2"/>
  <c r="X1611" i="2"/>
  <c r="AB1611" i="2" s="1"/>
  <c r="AK1611" i="2" s="1"/>
  <c r="W1611" i="2"/>
  <c r="AH1610" i="2"/>
  <c r="AD1610" i="2"/>
  <c r="AF1610" i="2" s="1"/>
  <c r="X1610" i="2"/>
  <c r="AB1610" i="2" s="1"/>
  <c r="AK1610" i="2" s="1"/>
  <c r="W1610" i="2"/>
  <c r="AH1609" i="2"/>
  <c r="AD1609" i="2"/>
  <c r="X1609" i="2"/>
  <c r="AB1609" i="2" s="1"/>
  <c r="AK1609" i="2" s="1"/>
  <c r="W1609" i="2"/>
  <c r="AH1608" i="2"/>
  <c r="AD1608" i="2"/>
  <c r="AF1608" i="2" s="1"/>
  <c r="X1608" i="2"/>
  <c r="W1608" i="2"/>
  <c r="AH1607" i="2"/>
  <c r="AD1607" i="2"/>
  <c r="X1607" i="2"/>
  <c r="AB1607" i="2" s="1"/>
  <c r="AK1607" i="2" s="1"/>
  <c r="W1607" i="2"/>
  <c r="AH1606" i="2"/>
  <c r="AD1606" i="2"/>
  <c r="AF1606" i="2" s="1"/>
  <c r="X1606" i="2"/>
  <c r="AB1606" i="2" s="1"/>
  <c r="AK1606" i="2" s="1"/>
  <c r="W1606" i="2"/>
  <c r="AH1605" i="2"/>
  <c r="AD1605" i="2"/>
  <c r="AF1605" i="2" s="1"/>
  <c r="X1605" i="2"/>
  <c r="AB1605" i="2" s="1"/>
  <c r="AK1605" i="2" s="1"/>
  <c r="W1605" i="2"/>
  <c r="AH1604" i="2"/>
  <c r="AD1604" i="2"/>
  <c r="AF1604" i="2" s="1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AF1602" i="2" s="1"/>
  <c r="X1602" i="2"/>
  <c r="AB1602" i="2" s="1"/>
  <c r="AK1602" i="2" s="1"/>
  <c r="AH1601" i="2"/>
  <c r="AD1601" i="2"/>
  <c r="AF1601" i="2" s="1"/>
  <c r="X1601" i="2"/>
  <c r="AB1601" i="2" s="1"/>
  <c r="AK1601" i="2" s="1"/>
  <c r="AH1600" i="2"/>
  <c r="AD1600" i="2"/>
  <c r="X1600" i="2"/>
  <c r="W1600" i="2"/>
  <c r="AH1599" i="2"/>
  <c r="AD1599" i="2"/>
  <c r="AF1599" i="2" s="1"/>
  <c r="X1599" i="2"/>
  <c r="W1599" i="2"/>
  <c r="AH1598" i="2"/>
  <c r="AD1598" i="2"/>
  <c r="X1598" i="2"/>
  <c r="AB1598" i="2" s="1"/>
  <c r="AK1598" i="2" s="1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X1594" i="2"/>
  <c r="AB1594" i="2" s="1"/>
  <c r="AK1594" i="2" s="1"/>
  <c r="W1594" i="2"/>
  <c r="AH1593" i="2"/>
  <c r="AD1593" i="2"/>
  <c r="X1593" i="2"/>
  <c r="AB1593" i="2" s="1"/>
  <c r="AK1593" i="2" s="1"/>
  <c r="W1593" i="2"/>
  <c r="AH1592" i="2"/>
  <c r="AD1592" i="2"/>
  <c r="AF1592" i="2" s="1"/>
  <c r="X1592" i="2"/>
  <c r="AB1592" i="2" s="1"/>
  <c r="AK1592" i="2" s="1"/>
  <c r="W1592" i="2"/>
  <c r="AH1591" i="2"/>
  <c r="AD1591" i="2"/>
  <c r="AF1591" i="2" s="1"/>
  <c r="X1591" i="2"/>
  <c r="W1591" i="2"/>
  <c r="AH1590" i="2"/>
  <c r="AD1590" i="2"/>
  <c r="AF1590" i="2" s="1"/>
  <c r="X1590" i="2"/>
  <c r="AC1590" i="2" s="1"/>
  <c r="W1590" i="2"/>
  <c r="AH1589" i="2"/>
  <c r="AD1589" i="2"/>
  <c r="AF1589" i="2" s="1"/>
  <c r="X1589" i="2"/>
  <c r="W1589" i="2"/>
  <c r="AH1588" i="2"/>
  <c r="AD1588" i="2"/>
  <c r="AF1588" i="2" s="1"/>
  <c r="X1588" i="2"/>
  <c r="AC1588" i="2" s="1"/>
  <c r="AH1587" i="2"/>
  <c r="AD1587" i="2"/>
  <c r="X1587" i="2"/>
  <c r="AB1587" i="2" s="1"/>
  <c r="AK1587" i="2" s="1"/>
  <c r="W1587" i="2"/>
  <c r="AH1586" i="2"/>
  <c r="AD1586" i="2"/>
  <c r="AF1586" i="2" s="1"/>
  <c r="X1586" i="2"/>
  <c r="AC1586" i="2" s="1"/>
  <c r="AH1585" i="2"/>
  <c r="AD1585" i="2"/>
  <c r="AF1585" i="2" s="1"/>
  <c r="X1585" i="2"/>
  <c r="AB1585" i="2" s="1"/>
  <c r="AK1585" i="2" s="1"/>
  <c r="W1585" i="2"/>
  <c r="AH1584" i="2"/>
  <c r="AD1584" i="2"/>
  <c r="X1584" i="2"/>
  <c r="AB1584" i="2" s="1"/>
  <c r="AK1584" i="2" s="1"/>
  <c r="W1584" i="2"/>
  <c r="AH1583" i="2"/>
  <c r="AD1583" i="2"/>
  <c r="AF1583" i="2" s="1"/>
  <c r="X1583" i="2"/>
  <c r="AB1583" i="2" s="1"/>
  <c r="AK1583" i="2" s="1"/>
  <c r="W1583" i="2"/>
  <c r="AH1582" i="2"/>
  <c r="AD1582" i="2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AC1580" i="2" s="1"/>
  <c r="W1580" i="2"/>
  <c r="AH1579" i="2"/>
  <c r="AD1579" i="2"/>
  <c r="AF1579" i="2" s="1"/>
  <c r="X1579" i="2"/>
  <c r="AB1579" i="2" s="1"/>
  <c r="AK1579" i="2" s="1"/>
  <c r="W1579" i="2"/>
  <c r="AH1578" i="2"/>
  <c r="AD1578" i="2"/>
  <c r="X1578" i="2"/>
  <c r="AB1578" i="2" s="1"/>
  <c r="AK1578" i="2" s="1"/>
  <c r="W1578" i="2"/>
  <c r="AH1577" i="2"/>
  <c r="AD1577" i="2"/>
  <c r="AF1577" i="2" s="1"/>
  <c r="X1577" i="2"/>
  <c r="W1577" i="2"/>
  <c r="AH1576" i="2"/>
  <c r="AD1576" i="2"/>
  <c r="X1576" i="2"/>
  <c r="AB1576" i="2" s="1"/>
  <c r="AK1576" i="2" s="1"/>
  <c r="W1576" i="2"/>
  <c r="AH1575" i="2"/>
  <c r="AD1575" i="2"/>
  <c r="AF1575" i="2" s="1"/>
  <c r="X1575" i="2"/>
  <c r="AB1575" i="2" s="1"/>
  <c r="AK1575" i="2" s="1"/>
  <c r="W1575" i="2"/>
  <c r="AH1574" i="2"/>
  <c r="AD1574" i="2"/>
  <c r="AF1574" i="2" s="1"/>
  <c r="X1574" i="2"/>
  <c r="AB1574" i="2" s="1"/>
  <c r="AK1574" i="2" s="1"/>
  <c r="W1574" i="2"/>
  <c r="AH1573" i="2"/>
  <c r="AD1573" i="2"/>
  <c r="AF1573" i="2" s="1"/>
  <c r="X1573" i="2"/>
  <c r="AB1573" i="2" s="1"/>
  <c r="AK1573" i="2" s="1"/>
  <c r="W1573" i="2"/>
  <c r="AH1572" i="2"/>
  <c r="AD1572" i="2"/>
  <c r="AF1572" i="2" s="1"/>
  <c r="X1572" i="2"/>
  <c r="W1572" i="2"/>
  <c r="AH1571" i="2"/>
  <c r="AD1571" i="2"/>
  <c r="AF1571" i="2" s="1"/>
  <c r="X1571" i="2"/>
  <c r="AB1571" i="2" s="1"/>
  <c r="AK1571" i="2" s="1"/>
  <c r="W1571" i="2"/>
  <c r="AH1570" i="2"/>
  <c r="AD1570" i="2"/>
  <c r="AF1570" i="2" s="1"/>
  <c r="X1570" i="2"/>
  <c r="AC1570" i="2" s="1"/>
  <c r="W1570" i="2"/>
  <c r="AH1569" i="2"/>
  <c r="AD1569" i="2"/>
  <c r="AF1569" i="2" s="1"/>
  <c r="X1569" i="2"/>
  <c r="AB1569" i="2" s="1"/>
  <c r="AK1569" i="2" s="1"/>
  <c r="W1569" i="2"/>
  <c r="AH1568" i="2"/>
  <c r="AD1568" i="2"/>
  <c r="X1568" i="2"/>
  <c r="AB1568" i="2" s="1"/>
  <c r="AK1568" i="2" s="1"/>
  <c r="W1568" i="2"/>
  <c r="AH1567" i="2"/>
  <c r="AD1567" i="2"/>
  <c r="AF1567" i="2" s="1"/>
  <c r="X1567" i="2"/>
  <c r="AB1567" i="2" s="1"/>
  <c r="AK1567" i="2" s="1"/>
  <c r="W1567" i="2"/>
  <c r="AH1566" i="2"/>
  <c r="AD1566" i="2"/>
  <c r="X1566" i="2"/>
  <c r="AB1566" i="2" s="1"/>
  <c r="AK1566" i="2" s="1"/>
  <c r="W1566" i="2"/>
  <c r="AH1565" i="2"/>
  <c r="AD1565" i="2"/>
  <c r="AF1565" i="2" s="1"/>
  <c r="X1565" i="2"/>
  <c r="AB1565" i="2" s="1"/>
  <c r="AK1565" i="2" s="1"/>
  <c r="W1565" i="2"/>
  <c r="AH1564" i="2"/>
  <c r="AD1564" i="2"/>
  <c r="X1564" i="2"/>
  <c r="W1564" i="2"/>
  <c r="AH1563" i="2"/>
  <c r="AD1563" i="2"/>
  <c r="AF1563" i="2" s="1"/>
  <c r="X1563" i="2"/>
  <c r="AB1563" i="2" s="1"/>
  <c r="AK1563" i="2" s="1"/>
  <c r="W1563" i="2"/>
  <c r="AH1562" i="2"/>
  <c r="AD1562" i="2"/>
  <c r="X1562" i="2"/>
  <c r="AB1562" i="2" s="1"/>
  <c r="AK1562" i="2" s="1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AB1559" i="2" s="1"/>
  <c r="AK1559" i="2" s="1"/>
  <c r="W1559" i="2"/>
  <c r="AH1558" i="2"/>
  <c r="AD1558" i="2"/>
  <c r="X1558" i="2"/>
  <c r="AB1558" i="2" s="1"/>
  <c r="AK1558" i="2" s="1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W1554" i="2"/>
  <c r="AH1553" i="2"/>
  <c r="AD1553" i="2"/>
  <c r="AF1553" i="2" s="1"/>
  <c r="X1553" i="2"/>
  <c r="AB1553" i="2" s="1"/>
  <c r="AK1553" i="2" s="1"/>
  <c r="W1553" i="2"/>
  <c r="AH1552" i="2"/>
  <c r="AD1552" i="2"/>
  <c r="AF1552" i="2" s="1"/>
  <c r="X1552" i="2"/>
  <c r="AB1552" i="2" s="1"/>
  <c r="AK1552" i="2" s="1"/>
  <c r="W1552" i="2"/>
  <c r="AH1551" i="2"/>
  <c r="AD1551" i="2"/>
  <c r="AF1551" i="2" s="1"/>
  <c r="X1551" i="2"/>
  <c r="AB1551" i="2" s="1"/>
  <c r="AK1551" i="2" s="1"/>
  <c r="W1551" i="2"/>
  <c r="AH1550" i="2"/>
  <c r="AD1550" i="2"/>
  <c r="AF1550" i="2" s="1"/>
  <c r="X1550" i="2"/>
  <c r="W1550" i="2"/>
  <c r="AH1549" i="2"/>
  <c r="AD1549" i="2"/>
  <c r="AF1549" i="2" s="1"/>
  <c r="X1549" i="2"/>
  <c r="AB1549" i="2" s="1"/>
  <c r="AK1549" i="2" s="1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W1547" i="2"/>
  <c r="AH1546" i="2"/>
  <c r="AD1546" i="2"/>
  <c r="AF1546" i="2" s="1"/>
  <c r="X1546" i="2"/>
  <c r="AB1546" i="2" s="1"/>
  <c r="AK1546" i="2" s="1"/>
  <c r="W1546" i="2"/>
  <c r="AH1545" i="2"/>
  <c r="AD1545" i="2"/>
  <c r="AF1545" i="2" s="1"/>
  <c r="X1545" i="2"/>
  <c r="AB1545" i="2" s="1"/>
  <c r="AK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W1543" i="2"/>
  <c r="AH1542" i="2"/>
  <c r="AD1542" i="2"/>
  <c r="AF1542" i="2" s="1"/>
  <c r="X1542" i="2"/>
  <c r="AB1542" i="2" s="1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AB1540" i="2" s="1"/>
  <c r="AK1540" i="2" s="1"/>
  <c r="W1540" i="2"/>
  <c r="AH1539" i="2"/>
  <c r="AD1539" i="2"/>
  <c r="AF1539" i="2" s="1"/>
  <c r="X1539" i="2"/>
  <c r="AB1539" i="2" s="1"/>
  <c r="AK1539" i="2" s="1"/>
  <c r="W1539" i="2"/>
  <c r="AH1538" i="2"/>
  <c r="AD1538" i="2"/>
  <c r="X1538" i="2"/>
  <c r="AK1538" i="2" s="1"/>
  <c r="W1538" i="2"/>
  <c r="AH1537" i="2"/>
  <c r="AD1537" i="2"/>
  <c r="AF1537" i="2" s="1"/>
  <c r="X1537" i="2"/>
  <c r="W1537" i="2"/>
  <c r="AH1536" i="2"/>
  <c r="AD1536" i="2"/>
  <c r="X1536" i="2"/>
  <c r="W1536" i="2"/>
  <c r="AH1535" i="2"/>
  <c r="AD1535" i="2"/>
  <c r="AF1535" i="2" s="1"/>
  <c r="X1535" i="2"/>
  <c r="AB1535" i="2" s="1"/>
  <c r="AK1535" i="2" s="1"/>
  <c r="W1535" i="2"/>
  <c r="AH1534" i="2"/>
  <c r="AD1534" i="2"/>
  <c r="X1534" i="2"/>
  <c r="AB1534" i="2" s="1"/>
  <c r="AK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AB1532" i="2" s="1"/>
  <c r="AK1532" i="2" s="1"/>
  <c r="W1532" i="2"/>
  <c r="AH1531" i="2"/>
  <c r="AD1531" i="2"/>
  <c r="AF1531" i="2" s="1"/>
  <c r="X1531" i="2"/>
  <c r="AB1531" i="2" s="1"/>
  <c r="AK1531" i="2" s="1"/>
  <c r="W1531" i="2"/>
  <c r="AH1530" i="2"/>
  <c r="AD1530" i="2"/>
  <c r="AF1530" i="2" s="1"/>
  <c r="X1530" i="2"/>
  <c r="AB1530" i="2" s="1"/>
  <c r="AK1530" i="2" s="1"/>
  <c r="W1530" i="2"/>
  <c r="AH1529" i="2"/>
  <c r="AD1529" i="2"/>
  <c r="AF1529" i="2" s="1"/>
  <c r="X1529" i="2"/>
  <c r="AB1529" i="2" s="1"/>
  <c r="AK1529" i="2" s="1"/>
  <c r="W1529" i="2"/>
  <c r="AH1528" i="2"/>
  <c r="AD1528" i="2"/>
  <c r="AF1528" i="2" s="1"/>
  <c r="X1528" i="2"/>
  <c r="AB1528" i="2" s="1"/>
  <c r="AK1528" i="2" s="1"/>
  <c r="W1528" i="2"/>
  <c r="AH1527" i="2"/>
  <c r="AD1527" i="2"/>
  <c r="AF1527" i="2" s="1"/>
  <c r="X1527" i="2"/>
  <c r="AB1527" i="2" s="1"/>
  <c r="AK1527" i="2" s="1"/>
  <c r="W1527" i="2"/>
  <c r="AH1526" i="2"/>
  <c r="AD1526" i="2"/>
  <c r="AF1526" i="2" s="1"/>
  <c r="X1526" i="2"/>
  <c r="W1526" i="2"/>
  <c r="AH1525" i="2"/>
  <c r="AD1525" i="2"/>
  <c r="AF1525" i="2" s="1"/>
  <c r="X1525" i="2"/>
  <c r="AB1525" i="2" s="1"/>
  <c r="AK1525" i="2" s="1"/>
  <c r="W1525" i="2"/>
  <c r="AH1524" i="2"/>
  <c r="AD1524" i="2"/>
  <c r="X1524" i="2"/>
  <c r="W1524" i="2"/>
  <c r="AH1523" i="2"/>
  <c r="AD1523" i="2"/>
  <c r="AF1523" i="2" s="1"/>
  <c r="X1523" i="2"/>
  <c r="AC1523" i="2" s="1"/>
  <c r="W1523" i="2"/>
  <c r="AH1522" i="2"/>
  <c r="AD1522" i="2"/>
  <c r="AF1522" i="2" s="1"/>
  <c r="X1522" i="2"/>
  <c r="W1522" i="2"/>
  <c r="AH1521" i="2"/>
  <c r="AD1521" i="2"/>
  <c r="AF1521" i="2" s="1"/>
  <c r="X1521" i="2"/>
  <c r="AB1521" i="2" s="1"/>
  <c r="AK1521" i="2" s="1"/>
  <c r="W1521" i="2"/>
  <c r="AH1520" i="2"/>
  <c r="AD1520" i="2"/>
  <c r="X1520" i="2"/>
  <c r="W1520" i="2"/>
  <c r="AH1519" i="2"/>
  <c r="AD1519" i="2"/>
  <c r="AF1519" i="2" s="1"/>
  <c r="X1519" i="2"/>
  <c r="AB1519" i="2" s="1"/>
  <c r="AK1519" i="2" s="1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AB1516" i="2" s="1"/>
  <c r="AK1516" i="2" s="1"/>
  <c r="W1516" i="2"/>
  <c r="AH1515" i="2"/>
  <c r="AD1515" i="2"/>
  <c r="AF1515" i="2" s="1"/>
  <c r="X1515" i="2"/>
  <c r="W1515" i="2"/>
  <c r="AH1514" i="2"/>
  <c r="AD1514" i="2"/>
  <c r="X1514" i="2"/>
  <c r="AB1514" i="2" s="1"/>
  <c r="AK1514" i="2" s="1"/>
  <c r="W1514" i="2"/>
  <c r="AH1513" i="2"/>
  <c r="AD1513" i="2"/>
  <c r="AF1513" i="2" s="1"/>
  <c r="X1513" i="2"/>
  <c r="AB1513" i="2" s="1"/>
  <c r="AK1513" i="2" s="1"/>
  <c r="W1513" i="2"/>
  <c r="AH1512" i="2"/>
  <c r="AD1512" i="2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X1508" i="2"/>
  <c r="AB1508" i="2" s="1"/>
  <c r="AK1508" i="2" s="1"/>
  <c r="W1508" i="2"/>
  <c r="AH1507" i="2"/>
  <c r="AD1507" i="2"/>
  <c r="AF1507" i="2" s="1"/>
  <c r="X1507" i="2"/>
  <c r="AB1507" i="2" s="1"/>
  <c r="AK1507" i="2" s="1"/>
  <c r="W1507" i="2"/>
  <c r="AH1506" i="2"/>
  <c r="AD1506" i="2"/>
  <c r="X1506" i="2"/>
  <c r="AB1506" i="2" s="1"/>
  <c r="AK1506" i="2" s="1"/>
  <c r="W1506" i="2"/>
  <c r="AH1505" i="2"/>
  <c r="AD1505" i="2"/>
  <c r="AF1505" i="2" s="1"/>
  <c r="X1505" i="2"/>
  <c r="AB1505" i="2" s="1"/>
  <c r="AK1505" i="2" s="1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AB1503" i="2" s="1"/>
  <c r="AK1503" i="2" s="1"/>
  <c r="W1503" i="2"/>
  <c r="AH1502" i="2"/>
  <c r="AD1502" i="2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AB1500" i="2" s="1"/>
  <c r="AK1500" i="2" s="1"/>
  <c r="W1500" i="2"/>
  <c r="AH1499" i="2"/>
  <c r="AD1499" i="2"/>
  <c r="AF1499" i="2" s="1"/>
  <c r="X1499" i="2"/>
  <c r="AC1499" i="2" s="1"/>
  <c r="W1499" i="2"/>
  <c r="AH1498" i="2"/>
  <c r="AD1498" i="2"/>
  <c r="X1498" i="2"/>
  <c r="AB1498" i="2" s="1"/>
  <c r="AK1498" i="2" s="1"/>
  <c r="W1498" i="2"/>
  <c r="AH1497" i="2"/>
  <c r="AD1497" i="2"/>
  <c r="AF1497" i="2" s="1"/>
  <c r="X1497" i="2"/>
  <c r="W1497" i="2"/>
  <c r="AH1496" i="2"/>
  <c r="AD1496" i="2"/>
  <c r="X1496" i="2"/>
  <c r="AB1496" i="2" s="1"/>
  <c r="AK1496" i="2" s="1"/>
  <c r="W1496" i="2"/>
  <c r="AH1495" i="2"/>
  <c r="AD1495" i="2"/>
  <c r="AF1495" i="2" s="1"/>
  <c r="X1495" i="2"/>
  <c r="W1495" i="2"/>
  <c r="AH1494" i="2"/>
  <c r="AD1494" i="2"/>
  <c r="AF1494" i="2" s="1"/>
  <c r="X1494" i="2"/>
  <c r="AB1494" i="2" s="1"/>
  <c r="AK1494" i="2" s="1"/>
  <c r="W1494" i="2"/>
  <c r="AH1493" i="2"/>
  <c r="AD1493" i="2"/>
  <c r="AF1493" i="2" s="1"/>
  <c r="X1493" i="2"/>
  <c r="W1493" i="2"/>
  <c r="AH1492" i="2"/>
  <c r="AD1492" i="2"/>
  <c r="AF1492" i="2" s="1"/>
  <c r="X1492" i="2"/>
  <c r="AB1492" i="2" s="1"/>
  <c r="AK1492" i="2" s="1"/>
  <c r="W1492" i="2"/>
  <c r="AH1491" i="2"/>
  <c r="AD1491" i="2"/>
  <c r="AF1491" i="2" s="1"/>
  <c r="X1491" i="2"/>
  <c r="AB1491" i="2" s="1"/>
  <c r="AK1491" i="2" s="1"/>
  <c r="W1491" i="2"/>
  <c r="AH1490" i="2"/>
  <c r="AD1490" i="2"/>
  <c r="X1490" i="2"/>
  <c r="AB1490" i="2" s="1"/>
  <c r="AK1490" i="2" s="1"/>
  <c r="W1490" i="2"/>
  <c r="AH1489" i="2"/>
  <c r="AD1489" i="2"/>
  <c r="AF1489" i="2" s="1"/>
  <c r="X1489" i="2"/>
  <c r="AB1489" i="2" s="1"/>
  <c r="AK1489" i="2" s="1"/>
  <c r="W1489" i="2"/>
  <c r="AH1488" i="2"/>
  <c r="AD1488" i="2"/>
  <c r="AF1488" i="2" s="1"/>
  <c r="X1488" i="2"/>
  <c r="AB1488" i="2" s="1"/>
  <c r="AK1488" i="2" s="1"/>
  <c r="W1488" i="2"/>
  <c r="AH1487" i="2"/>
  <c r="AD1487" i="2"/>
  <c r="AF1487" i="2" s="1"/>
  <c r="X1487" i="2"/>
  <c r="AB1487" i="2" s="1"/>
  <c r="AK1487" i="2" s="1"/>
  <c r="W1487" i="2"/>
  <c r="AH1486" i="2"/>
  <c r="AD1486" i="2"/>
  <c r="X1486" i="2"/>
  <c r="AB1486" i="2" s="1"/>
  <c r="AK1486" i="2" s="1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AB1483" i="2" s="1"/>
  <c r="AK1483" i="2" s="1"/>
  <c r="W1483" i="2"/>
  <c r="AH1482" i="2"/>
  <c r="AD1482" i="2"/>
  <c r="AF1482" i="2" s="1"/>
  <c r="X1482" i="2"/>
  <c r="W1482" i="2"/>
  <c r="AH1481" i="2"/>
  <c r="AD1481" i="2"/>
  <c r="AF1481" i="2" s="1"/>
  <c r="X1481" i="2"/>
  <c r="W1481" i="2"/>
  <c r="AH1480" i="2"/>
  <c r="AD1480" i="2"/>
  <c r="X1480" i="2"/>
  <c r="AB1480" i="2" s="1"/>
  <c r="AK1480" i="2" s="1"/>
  <c r="W1480" i="2"/>
  <c r="AH1479" i="2"/>
  <c r="AD1479" i="2"/>
  <c r="AF1479" i="2" s="1"/>
  <c r="X1479" i="2"/>
  <c r="AB1479" i="2" s="1"/>
  <c r="AK1479" i="2" s="1"/>
  <c r="W1479" i="2"/>
  <c r="AH1478" i="2"/>
  <c r="AD1478" i="2"/>
  <c r="X1478" i="2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AB1476" i="2" s="1"/>
  <c r="AK1476" i="2" s="1"/>
  <c r="W1476" i="2"/>
  <c r="AH1475" i="2"/>
  <c r="AD1475" i="2"/>
  <c r="AF1475" i="2" s="1"/>
  <c r="X1475" i="2"/>
  <c r="AB1475" i="2" s="1"/>
  <c r="AK1475" i="2" s="1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AB1473" i="2" s="1"/>
  <c r="AK1473" i="2" s="1"/>
  <c r="W1473" i="2"/>
  <c r="AH1472" i="2"/>
  <c r="AD1472" i="2"/>
  <c r="X1472" i="2"/>
  <c r="AB1472" i="2" s="1"/>
  <c r="AK1472" i="2" s="1"/>
  <c r="W1472" i="2"/>
  <c r="AH1471" i="2"/>
  <c r="AD1471" i="2"/>
  <c r="AF1471" i="2" s="1"/>
  <c r="X1471" i="2"/>
  <c r="AB1471" i="2" s="1"/>
  <c r="AK1471" i="2" s="1"/>
  <c r="W1471" i="2"/>
  <c r="AH1470" i="2"/>
  <c r="AD1470" i="2"/>
  <c r="X1470" i="2"/>
  <c r="AB1470" i="2" s="1"/>
  <c r="AK1470" i="2" s="1"/>
  <c r="W1470" i="2"/>
  <c r="AH1469" i="2"/>
  <c r="AD1469" i="2"/>
  <c r="AF1469" i="2" s="1"/>
  <c r="X1469" i="2"/>
  <c r="W1469" i="2"/>
  <c r="AH1468" i="2"/>
  <c r="AD1468" i="2"/>
  <c r="AF1468" i="2" s="1"/>
  <c r="X1468" i="2"/>
  <c r="AB1468" i="2" s="1"/>
  <c r="AK1468" i="2" s="1"/>
  <c r="W1468" i="2"/>
  <c r="AH1467" i="2"/>
  <c r="AD1467" i="2"/>
  <c r="AF1467" i="2" s="1"/>
  <c r="X1467" i="2"/>
  <c r="AB1467" i="2" s="1"/>
  <c r="AK1467" i="2" s="1"/>
  <c r="W1467" i="2"/>
  <c r="AH1466" i="2"/>
  <c r="AD1466" i="2"/>
  <c r="AF1466" i="2" s="1"/>
  <c r="X1466" i="2"/>
  <c r="AB1466" i="2" s="1"/>
  <c r="AK1466" i="2" s="1"/>
  <c r="W1466" i="2"/>
  <c r="AH1465" i="2"/>
  <c r="AD1465" i="2"/>
  <c r="AF1465" i="2" s="1"/>
  <c r="X1465" i="2"/>
  <c r="AB1465" i="2" s="1"/>
  <c r="AK1465" i="2" s="1"/>
  <c r="W1465" i="2"/>
  <c r="AH1464" i="2"/>
  <c r="AD1464" i="2"/>
  <c r="AF1464" i="2" s="1"/>
  <c r="X1464" i="2"/>
  <c r="W1464" i="2"/>
  <c r="AH1463" i="2"/>
  <c r="AD1463" i="2"/>
  <c r="AF1463" i="2" s="1"/>
  <c r="X1463" i="2"/>
  <c r="AB1463" i="2" s="1"/>
  <c r="AK1463" i="2" s="1"/>
  <c r="W1463" i="2"/>
  <c r="AH1462" i="2"/>
  <c r="AD1462" i="2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X1458" i="2"/>
  <c r="W1458" i="2"/>
  <c r="AH1457" i="2"/>
  <c r="AD1457" i="2"/>
  <c r="AF1457" i="2" s="1"/>
  <c r="X1457" i="2"/>
  <c r="AB1457" i="2" s="1"/>
  <c r="AK1457" i="2" s="1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B1455" i="2" s="1"/>
  <c r="AK1455" i="2" s="1"/>
  <c r="W1455" i="2"/>
  <c r="AH1454" i="2"/>
  <c r="AD1454" i="2"/>
  <c r="X1454" i="2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AB1452" i="2" s="1"/>
  <c r="AK1452" i="2" s="1"/>
  <c r="W1452" i="2"/>
  <c r="AH1451" i="2"/>
  <c r="AD1451" i="2"/>
  <c r="AF1451" i="2" s="1"/>
  <c r="X1451" i="2"/>
  <c r="W1451" i="2"/>
  <c r="AH1450" i="2"/>
  <c r="AD1450" i="2"/>
  <c r="AF1450" i="2" s="1"/>
  <c r="X1450" i="2"/>
  <c r="AC1450" i="2" s="1"/>
  <c r="W1450" i="2"/>
  <c r="AH1449" i="2"/>
  <c r="AD1449" i="2"/>
  <c r="AF1449" i="2" s="1"/>
  <c r="X1449" i="2"/>
  <c r="AK1449" i="2" s="1"/>
  <c r="W1449" i="2"/>
  <c r="AH1448" i="2"/>
  <c r="AD1448" i="2"/>
  <c r="X1448" i="2"/>
  <c r="AK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AC1443" i="2" s="1"/>
  <c r="W1443" i="2"/>
  <c r="AH1442" i="2"/>
  <c r="AD1442" i="2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AF1440" i="2" s="1"/>
  <c r="X1440" i="2"/>
  <c r="W1440" i="2"/>
  <c r="AH1439" i="2"/>
  <c r="AD1439" i="2"/>
  <c r="AF1439" i="2" s="1"/>
  <c r="X1439" i="2"/>
  <c r="AB1439" i="2" s="1"/>
  <c r="AK1439" i="2" s="1"/>
  <c r="W1439" i="2"/>
  <c r="AH1438" i="2"/>
  <c r="AD1438" i="2"/>
  <c r="AF1438" i="2" s="1"/>
  <c r="X1438" i="2"/>
  <c r="AB1438" i="2" s="1"/>
  <c r="AK1438" i="2" s="1"/>
  <c r="W1438" i="2"/>
  <c r="AH1437" i="2"/>
  <c r="AD1437" i="2"/>
  <c r="AF1437" i="2" s="1"/>
  <c r="X1437" i="2"/>
  <c r="W1437" i="2"/>
  <c r="AH1436" i="2"/>
  <c r="AD1436" i="2"/>
  <c r="X1436" i="2"/>
  <c r="AB1436" i="2" s="1"/>
  <c r="AK1436" i="2" s="1"/>
  <c r="W1436" i="2"/>
  <c r="AH1435" i="2"/>
  <c r="AD1435" i="2"/>
  <c r="AF1435" i="2" s="1"/>
  <c r="X1435" i="2"/>
  <c r="W1435" i="2"/>
  <c r="AH1434" i="2"/>
  <c r="AD1434" i="2"/>
  <c r="AF1434" i="2" s="1"/>
  <c r="X1434" i="2"/>
  <c r="AC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AF1432" i="2" s="1"/>
  <c r="X1432" i="2"/>
  <c r="AC1432" i="2" s="1"/>
  <c r="W1432" i="2"/>
  <c r="AH1431" i="2"/>
  <c r="AD1431" i="2"/>
  <c r="AF1431" i="2" s="1"/>
  <c r="X1431" i="2"/>
  <c r="W1431" i="2"/>
  <c r="AH1430" i="2"/>
  <c r="AD1430" i="2"/>
  <c r="AF1430" i="2" s="1"/>
  <c r="X1430" i="2"/>
  <c r="AB1430" i="2" s="1"/>
  <c r="AK1430" i="2" s="1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AF1427" i="2" s="1"/>
  <c r="X1427" i="2"/>
  <c r="AB1427" i="2" s="1"/>
  <c r="AK1427" i="2" s="1"/>
  <c r="W1427" i="2"/>
  <c r="AH1426" i="2"/>
  <c r="AD1426" i="2"/>
  <c r="X1426" i="2"/>
  <c r="AB1426" i="2" s="1"/>
  <c r="AK1426" i="2" s="1"/>
  <c r="W1426" i="2"/>
  <c r="AH1425" i="2"/>
  <c r="AD1425" i="2"/>
  <c r="AF1425" i="2" s="1"/>
  <c r="X1425" i="2"/>
  <c r="AB1425" i="2" s="1"/>
  <c r="AK1425" i="2" s="1"/>
  <c r="W1425" i="2"/>
  <c r="AH1424" i="2"/>
  <c r="AD1424" i="2"/>
  <c r="X1424" i="2"/>
  <c r="AB1424" i="2" s="1"/>
  <c r="AK1424" i="2" s="1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AB1421" i="2" s="1"/>
  <c r="AK1421" i="2" s="1"/>
  <c r="W1421" i="2"/>
  <c r="AH1420" i="2"/>
  <c r="AD1420" i="2"/>
  <c r="AF1420" i="2" s="1"/>
  <c r="X1420" i="2"/>
  <c r="AB1420" i="2" s="1"/>
  <c r="AK1420" i="2" s="1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AB1417" i="2" s="1"/>
  <c r="AK1417" i="2" s="1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AF1413" i="2" s="1"/>
  <c r="X1413" i="2"/>
  <c r="AB1413" i="2" s="1"/>
  <c r="AK1413" i="2" s="1"/>
  <c r="W1413" i="2"/>
  <c r="AH1412" i="2"/>
  <c r="AD1412" i="2"/>
  <c r="AF1412" i="2" s="1"/>
  <c r="X1412" i="2"/>
  <c r="AB1412" i="2" s="1"/>
  <c r="AK1412" i="2" s="1"/>
  <c r="W1412" i="2"/>
  <c r="AH1411" i="2"/>
  <c r="AD1411" i="2"/>
  <c r="AF1411" i="2" s="1"/>
  <c r="X1411" i="2"/>
  <c r="W1411" i="2"/>
  <c r="AH1410" i="2"/>
  <c r="AD1410" i="2"/>
  <c r="AF1410" i="2" s="1"/>
  <c r="X1410" i="2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AB1406" i="2" s="1"/>
  <c r="AK1406" i="2" s="1"/>
  <c r="W1406" i="2"/>
  <c r="AH1405" i="2"/>
  <c r="AD1405" i="2"/>
  <c r="AF1405" i="2" s="1"/>
  <c r="X1405" i="2"/>
  <c r="AB1405" i="2" s="1"/>
  <c r="AK1405" i="2" s="1"/>
  <c r="W1405" i="2"/>
  <c r="AH1404" i="2"/>
  <c r="AD1404" i="2"/>
  <c r="AF1404" i="2" s="1"/>
  <c r="X1404" i="2"/>
  <c r="W1404" i="2"/>
  <c r="AH1403" i="2"/>
  <c r="AD1403" i="2"/>
  <c r="AF1403" i="2" s="1"/>
  <c r="X1403" i="2"/>
  <c r="AB1403" i="2" s="1"/>
  <c r="AK1403" i="2" s="1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B1401" i="2" s="1"/>
  <c r="AK1401" i="2" s="1"/>
  <c r="AH1400" i="2"/>
  <c r="AD1400" i="2"/>
  <c r="AF1400" i="2" s="1"/>
  <c r="X1400" i="2"/>
  <c r="AB1400" i="2" s="1"/>
  <c r="AK1400" i="2" s="1"/>
  <c r="W1400" i="2"/>
  <c r="AH1399" i="2"/>
  <c r="AD1399" i="2"/>
  <c r="AF1399" i="2" s="1"/>
  <c r="X1399" i="2"/>
  <c r="W1399" i="2"/>
  <c r="AH1398" i="2"/>
  <c r="AD1398" i="2"/>
  <c r="X1398" i="2"/>
  <c r="AC1398" i="2" s="1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AC1395" i="2" s="1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AB1390" i="2" s="1"/>
  <c r="AK1390" i="2" s="1"/>
  <c r="W1390" i="2"/>
  <c r="AH1389" i="2"/>
  <c r="AD1389" i="2"/>
  <c r="AF1389" i="2" s="1"/>
  <c r="X1389" i="2"/>
  <c r="W1389" i="2"/>
  <c r="AH1388" i="2"/>
  <c r="AD1388" i="2"/>
  <c r="X1388" i="2"/>
  <c r="AC1388" i="2" s="1"/>
  <c r="W1388" i="2"/>
  <c r="AH1387" i="2"/>
  <c r="AD1387" i="2"/>
  <c r="AF1387" i="2" s="1"/>
  <c r="X1387" i="2"/>
  <c r="AC1387" i="2" s="1"/>
  <c r="W1387" i="2"/>
  <c r="AH1386" i="2"/>
  <c r="AD1386" i="2"/>
  <c r="X1386" i="2"/>
  <c r="AB1386" i="2" s="1"/>
  <c r="AK1386" i="2" s="1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AC1383" i="2" s="1"/>
  <c r="W1383" i="2"/>
  <c r="AH1382" i="2"/>
  <c r="AD1382" i="2"/>
  <c r="X1382" i="2"/>
  <c r="W1382" i="2"/>
  <c r="AH1381" i="2"/>
  <c r="AD1381" i="2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C1379" i="2" s="1"/>
  <c r="W1379" i="2"/>
  <c r="AH1378" i="2"/>
  <c r="AD1378" i="2"/>
  <c r="AF1378" i="2" s="1"/>
  <c r="X1378" i="2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C1374" i="2" s="1"/>
  <c r="AH1373" i="2"/>
  <c r="AD1373" i="2"/>
  <c r="AF1373" i="2" s="1"/>
  <c r="X1373" i="2"/>
  <c r="AC1373" i="2" s="1"/>
  <c r="W1373" i="2"/>
  <c r="AH1372" i="2"/>
  <c r="AD1372" i="2"/>
  <c r="AF1372" i="2" s="1"/>
  <c r="X1372" i="2"/>
  <c r="AB1372" i="2" s="1"/>
  <c r="AK1372" i="2" s="1"/>
  <c r="W1372" i="2"/>
  <c r="AH1371" i="2"/>
  <c r="AD1371" i="2"/>
  <c r="AF1371" i="2" s="1"/>
  <c r="X1371" i="2"/>
  <c r="AB1371" i="2" s="1"/>
  <c r="AK1371" i="2" s="1"/>
  <c r="W1371" i="2"/>
  <c r="AH1370" i="2"/>
  <c r="AD1370" i="2"/>
  <c r="AF1370" i="2" s="1"/>
  <c r="X1370" i="2"/>
  <c r="W1370" i="2"/>
  <c r="AH1369" i="2"/>
  <c r="AD1369" i="2"/>
  <c r="X1369" i="2"/>
  <c r="W1369" i="2"/>
  <c r="AH1368" i="2"/>
  <c r="AD1368" i="2"/>
  <c r="AF1368" i="2" s="1"/>
  <c r="X1368" i="2"/>
  <c r="AB1368" i="2" s="1"/>
  <c r="AK1368" i="2" s="1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AB1365" i="2" s="1"/>
  <c r="AK1365" i="2" s="1"/>
  <c r="W1365" i="2"/>
  <c r="AH1364" i="2"/>
  <c r="AD1364" i="2"/>
  <c r="AF1364" i="2" s="1"/>
  <c r="X1364" i="2"/>
  <c r="W1364" i="2"/>
  <c r="AH1363" i="2"/>
  <c r="AD1363" i="2"/>
  <c r="AF1363" i="2" s="1"/>
  <c r="X1363" i="2"/>
  <c r="AC1363" i="2" s="1"/>
  <c r="W1363" i="2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1360" i="2"/>
  <c r="AD1360" i="2"/>
  <c r="AF1360" i="2" s="1"/>
  <c r="X1360" i="2"/>
  <c r="AC1360" i="2" s="1"/>
  <c r="W1360" i="2"/>
  <c r="AH1359" i="2"/>
  <c r="AD1359" i="2"/>
  <c r="AF1359" i="2" s="1"/>
  <c r="X1359" i="2"/>
  <c r="AC1359" i="2" s="1"/>
  <c r="W1359" i="2"/>
  <c r="AH1358" i="2"/>
  <c r="AD1358" i="2"/>
  <c r="AF1358" i="2" s="1"/>
  <c r="X1358" i="2"/>
  <c r="AB1358" i="2" s="1"/>
  <c r="AK1358" i="2" s="1"/>
  <c r="W1358" i="2"/>
  <c r="AH1357" i="2"/>
  <c r="AD1357" i="2"/>
  <c r="AF1357" i="2" s="1"/>
  <c r="X1357" i="2"/>
  <c r="W1357" i="2"/>
  <c r="AH1356" i="2"/>
  <c r="AD1356" i="2"/>
  <c r="AF1356" i="2" s="1"/>
  <c r="X1356" i="2"/>
  <c r="AB1356" i="2" s="1"/>
  <c r="AK1356" i="2" s="1"/>
  <c r="W1356" i="2"/>
  <c r="AH1355" i="2"/>
  <c r="AD1355" i="2"/>
  <c r="AF1355" i="2" s="1"/>
  <c r="X1355" i="2"/>
  <c r="W1355" i="2"/>
  <c r="AH1354" i="2"/>
  <c r="AD1354" i="2"/>
  <c r="AF1354" i="2" s="1"/>
  <c r="X1354" i="2"/>
  <c r="AB1354" i="2" s="1"/>
  <c r="AK1354" i="2" s="1"/>
  <c r="W1354" i="2"/>
  <c r="AH1353" i="2"/>
  <c r="AD1353" i="2"/>
  <c r="AF1353" i="2" s="1"/>
  <c r="X1353" i="2"/>
  <c r="AB1353" i="2" s="1"/>
  <c r="AK1353" i="2" s="1"/>
  <c r="W1353" i="2"/>
  <c r="AH1352" i="2"/>
  <c r="AD1352" i="2"/>
  <c r="X1352" i="2"/>
  <c r="W1352" i="2"/>
  <c r="AH1351" i="2"/>
  <c r="AD1351" i="2"/>
  <c r="X1351" i="2"/>
  <c r="AB1351" i="2" s="1"/>
  <c r="AK1351" i="2" s="1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AC1349" i="2" s="1"/>
  <c r="W1349" i="2"/>
  <c r="AH1348" i="2"/>
  <c r="AD1348" i="2"/>
  <c r="AF1348" i="2" s="1"/>
  <c r="X1348" i="2"/>
  <c r="W1348" i="2"/>
  <c r="AH1347" i="2"/>
  <c r="AD1347" i="2"/>
  <c r="AF1347" i="2" s="1"/>
  <c r="X1347" i="2"/>
  <c r="AB1347" i="2" s="1"/>
  <c r="AK1347" i="2" s="1"/>
  <c r="W1347" i="2"/>
  <c r="AH1346" i="2"/>
  <c r="AD1346" i="2"/>
  <c r="AF1346" i="2" s="1"/>
  <c r="X1346" i="2"/>
  <c r="W1346" i="2"/>
  <c r="AH1345" i="2"/>
  <c r="AD1345" i="2"/>
  <c r="AF1345" i="2" s="1"/>
  <c r="X1345" i="2"/>
  <c r="AC1345" i="2" s="1"/>
  <c r="W1345" i="2"/>
  <c r="AH1344" i="2"/>
  <c r="AD1344" i="2"/>
  <c r="X1344" i="2"/>
  <c r="AB1344" i="2" s="1"/>
  <c r="AK1344" i="2" s="1"/>
  <c r="W1344" i="2"/>
  <c r="AH1343" i="2"/>
  <c r="AD1343" i="2"/>
  <c r="AF1343" i="2" s="1"/>
  <c r="X1343" i="2"/>
  <c r="AC1343" i="2" s="1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X1340" i="2"/>
  <c r="AB1340" i="2" s="1"/>
  <c r="AK1340" i="2" s="1"/>
  <c r="W1340" i="2"/>
  <c r="AH1339" i="2"/>
  <c r="AD1339" i="2"/>
  <c r="X1339" i="2"/>
  <c r="AB1339" i="2" s="1"/>
  <c r="AK1339" i="2" s="1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AC1335" i="2" s="1"/>
  <c r="W1335" i="2"/>
  <c r="AH1334" i="2"/>
  <c r="AD1334" i="2"/>
  <c r="AF1334" i="2" s="1"/>
  <c r="X1334" i="2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X1331" i="2"/>
  <c r="AB1331" i="2" s="1"/>
  <c r="AK1331" i="2" s="1"/>
  <c r="W1331" i="2"/>
  <c r="AH1330" i="2"/>
  <c r="AD1330" i="2"/>
  <c r="AF1330" i="2" s="1"/>
  <c r="X1330" i="2"/>
  <c r="AB1330" i="2" s="1"/>
  <c r="AK1330" i="2" s="1"/>
  <c r="W1330" i="2"/>
  <c r="AH1329" i="2"/>
  <c r="AD1329" i="2"/>
  <c r="AF1329" i="2" s="1"/>
  <c r="X1329" i="2"/>
  <c r="AB1329" i="2" s="1"/>
  <c r="AK1329" i="2" s="1"/>
  <c r="W1329" i="2"/>
  <c r="AH1328" i="2"/>
  <c r="AD1328" i="2"/>
  <c r="AF1328" i="2" s="1"/>
  <c r="X1328" i="2"/>
  <c r="AC1328" i="2" s="1"/>
  <c r="W1328" i="2"/>
  <c r="AH1327" i="2"/>
  <c r="AD1327" i="2"/>
  <c r="X1327" i="2"/>
  <c r="W1327" i="2"/>
  <c r="AH1326" i="2"/>
  <c r="AD1326" i="2"/>
  <c r="X1326" i="2"/>
  <c r="W1326" i="2"/>
  <c r="AH1325" i="2"/>
  <c r="AD1325" i="2"/>
  <c r="AF1325" i="2" s="1"/>
  <c r="X1325" i="2"/>
  <c r="AB1325" i="2" s="1"/>
  <c r="AK1325" i="2" s="1"/>
  <c r="W1325" i="2"/>
  <c r="AH1324" i="2"/>
  <c r="AD1324" i="2"/>
  <c r="AF1324" i="2" s="1"/>
  <c r="X1324" i="2"/>
  <c r="AC1324" i="2" s="1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X1321" i="2"/>
  <c r="AB1321" i="2" s="1"/>
  <c r="AK1321" i="2" s="1"/>
  <c r="W1321" i="2"/>
  <c r="AH1320" i="2"/>
  <c r="AD1320" i="2"/>
  <c r="AF1320" i="2" s="1"/>
  <c r="X1320" i="2"/>
  <c r="W1320" i="2"/>
  <c r="AH1319" i="2"/>
  <c r="AD1319" i="2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AB1315" i="2" s="1"/>
  <c r="AK1315" i="2" s="1"/>
  <c r="W1315" i="2"/>
  <c r="AH1314" i="2"/>
  <c r="AD1314" i="2"/>
  <c r="X1314" i="2"/>
  <c r="AB1314" i="2" s="1"/>
  <c r="AK1314" i="2" s="1"/>
  <c r="W1314" i="2"/>
  <c r="AH1313" i="2"/>
  <c r="AD1313" i="2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B1311" i="2" s="1"/>
  <c r="AK1311" i="2" s="1"/>
  <c r="AH1310" i="2"/>
  <c r="AD1310" i="2"/>
  <c r="AF1310" i="2" s="1"/>
  <c r="X1310" i="2"/>
  <c r="W1310" i="2"/>
  <c r="AH1309" i="2"/>
  <c r="AD1309" i="2"/>
  <c r="X1309" i="2"/>
  <c r="AC1309" i="2" s="1"/>
  <c r="W1309" i="2"/>
  <c r="AH1308" i="2"/>
  <c r="AD1308" i="2"/>
  <c r="X1308" i="2"/>
  <c r="AB1308" i="2" s="1"/>
  <c r="AK1308" i="2" s="1"/>
  <c r="W1308" i="2"/>
  <c r="AH1307" i="2"/>
  <c r="AD1307" i="2"/>
  <c r="AF1307" i="2" s="1"/>
  <c r="X1307" i="2"/>
  <c r="AB1307" i="2" s="1"/>
  <c r="AK1307" i="2" s="1"/>
  <c r="W1307" i="2"/>
  <c r="AH1306" i="2"/>
  <c r="AD1306" i="2"/>
  <c r="X1306" i="2"/>
  <c r="AB1306" i="2" s="1"/>
  <c r="AK1306" i="2" s="1"/>
  <c r="W1306" i="2"/>
  <c r="AH1305" i="2"/>
  <c r="AD1305" i="2"/>
  <c r="AF1305" i="2" s="1"/>
  <c r="X1305" i="2"/>
  <c r="AB1305" i="2" s="1"/>
  <c r="AK1305" i="2" s="1"/>
  <c r="W1305" i="2"/>
  <c r="AH1304" i="2"/>
  <c r="AD1304" i="2"/>
  <c r="AF1304" i="2" s="1"/>
  <c r="X1304" i="2"/>
  <c r="AC1304" i="2" s="1"/>
  <c r="W1304" i="2"/>
  <c r="AH1303" i="2"/>
  <c r="AD1303" i="2"/>
  <c r="X1303" i="2"/>
  <c r="AB1303" i="2" s="1"/>
  <c r="AK1303" i="2" s="1"/>
  <c r="W1303" i="2"/>
  <c r="AH1302" i="2"/>
  <c r="AD1302" i="2"/>
  <c r="AF1302" i="2" s="1"/>
  <c r="X1302" i="2"/>
  <c r="W1302" i="2"/>
  <c r="AH1301" i="2"/>
  <c r="AD1301" i="2"/>
  <c r="AF1301" i="2" s="1"/>
  <c r="X1301" i="2"/>
  <c r="AB1301" i="2" s="1"/>
  <c r="AK1301" i="2" s="1"/>
  <c r="W1301" i="2"/>
  <c r="AH1300" i="2"/>
  <c r="AD1300" i="2"/>
  <c r="AF1300" i="2" s="1"/>
  <c r="X1300" i="2"/>
  <c r="AB1300" i="2" s="1"/>
  <c r="AK1300" i="2" s="1"/>
  <c r="W1300" i="2"/>
  <c r="AH1299" i="2"/>
  <c r="AD1299" i="2"/>
  <c r="X1299" i="2"/>
  <c r="AB1299" i="2" s="1"/>
  <c r="AK1299" i="2" s="1"/>
  <c r="W1299" i="2"/>
  <c r="AH1298" i="2"/>
  <c r="AD1298" i="2"/>
  <c r="X1298" i="2"/>
  <c r="AB1298" i="2" s="1"/>
  <c r="AK1298" i="2" s="1"/>
  <c r="W1298" i="2"/>
  <c r="AH1297" i="2"/>
  <c r="AD1297" i="2"/>
  <c r="X1297" i="2"/>
  <c r="AB1297" i="2" s="1"/>
  <c r="AK1297" i="2" s="1"/>
  <c r="W1297" i="2"/>
  <c r="AH1296" i="2"/>
  <c r="AD1296" i="2"/>
  <c r="AF1296" i="2" s="1"/>
  <c r="X1296" i="2"/>
  <c r="AC1296" i="2" s="1"/>
  <c r="W1296" i="2"/>
  <c r="AH1295" i="2"/>
  <c r="AD1295" i="2"/>
  <c r="AF1295" i="2" s="1"/>
  <c r="X1295" i="2"/>
  <c r="AB1295" i="2" s="1"/>
  <c r="AK1295" i="2" s="1"/>
  <c r="W1295" i="2"/>
  <c r="AH1294" i="2"/>
  <c r="AD1294" i="2"/>
  <c r="X1294" i="2"/>
  <c r="W1294" i="2"/>
  <c r="AH1293" i="2"/>
  <c r="AD1293" i="2"/>
  <c r="AF1293" i="2" s="1"/>
  <c r="X1293" i="2"/>
  <c r="AB1293" i="2" s="1"/>
  <c r="AK1293" i="2" s="1"/>
  <c r="W1293" i="2"/>
  <c r="AH1292" i="2"/>
  <c r="AD1292" i="2"/>
  <c r="AF1292" i="2" s="1"/>
  <c r="X1292" i="2"/>
  <c r="AC1292" i="2" s="1"/>
  <c r="W1292" i="2"/>
  <c r="AH1291" i="2"/>
  <c r="AD1291" i="2"/>
  <c r="AF1291" i="2" s="1"/>
  <c r="X1291" i="2"/>
  <c r="W1291" i="2"/>
  <c r="AH1290" i="2"/>
  <c r="AD1290" i="2"/>
  <c r="X1290" i="2"/>
  <c r="W1290" i="2"/>
  <c r="AH1289" i="2"/>
  <c r="AD1289" i="2"/>
  <c r="AF1289" i="2" s="1"/>
  <c r="X1289" i="2"/>
  <c r="AB1289" i="2" s="1"/>
  <c r="AK1289" i="2" s="1"/>
  <c r="W1289" i="2"/>
  <c r="AH1288" i="2"/>
  <c r="AD1288" i="2"/>
  <c r="X1288" i="2"/>
  <c r="AB1288" i="2" s="1"/>
  <c r="AK1288" i="2" s="1"/>
  <c r="W1288" i="2"/>
  <c r="AH1287" i="2"/>
  <c r="AD1287" i="2"/>
  <c r="AF1287" i="2" s="1"/>
  <c r="X1287" i="2"/>
  <c r="AC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AF1285" i="2" s="1"/>
  <c r="X1285" i="2"/>
  <c r="W1285" i="2"/>
  <c r="AH1284" i="2"/>
  <c r="AD1284" i="2"/>
  <c r="AF1284" i="2" s="1"/>
  <c r="X1284" i="2"/>
  <c r="AB1284" i="2" s="1"/>
  <c r="AK1284" i="2" s="1"/>
  <c r="W1284" i="2"/>
  <c r="AH1283" i="2"/>
  <c r="AD1283" i="2"/>
  <c r="AF1283" i="2" s="1"/>
  <c r="X1283" i="2"/>
  <c r="AB1283" i="2" s="1"/>
  <c r="AK1283" i="2" s="1"/>
  <c r="W1283" i="2"/>
  <c r="AH1282" i="2"/>
  <c r="AD1282" i="2"/>
  <c r="X1282" i="2"/>
  <c r="W1282" i="2"/>
  <c r="AH1281" i="2"/>
  <c r="AD1281" i="2"/>
  <c r="AF1281" i="2" s="1"/>
  <c r="X1281" i="2"/>
  <c r="AB1281" i="2" s="1"/>
  <c r="AK1281" i="2" s="1"/>
  <c r="W1281" i="2"/>
  <c r="AH1280" i="2"/>
  <c r="AD1280" i="2"/>
  <c r="X1280" i="2"/>
  <c r="AB1280" i="2" s="1"/>
  <c r="AK1280" i="2" s="1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AB1278" i="2" s="1"/>
  <c r="AK1278" i="2" s="1"/>
  <c r="W1278" i="2"/>
  <c r="AH1277" i="2"/>
  <c r="AD1277" i="2"/>
  <c r="AF1277" i="2" s="1"/>
  <c r="X1277" i="2"/>
  <c r="AB1277" i="2" s="1"/>
  <c r="AK1277" i="2" s="1"/>
  <c r="W1277" i="2"/>
  <c r="AH1276" i="2"/>
  <c r="AD1276" i="2"/>
  <c r="X1276" i="2"/>
  <c r="W1276" i="2"/>
  <c r="AH1275" i="2"/>
  <c r="AD1275" i="2"/>
  <c r="X1275" i="2"/>
  <c r="AB1275" i="2" s="1"/>
  <c r="AK1275" i="2" s="1"/>
  <c r="W1275" i="2"/>
  <c r="AH1274" i="2"/>
  <c r="AD1274" i="2"/>
  <c r="X1274" i="2"/>
  <c r="T1274" i="2"/>
  <c r="W1274" i="2"/>
  <c r="AH1273" i="2"/>
  <c r="AD1273" i="2"/>
  <c r="AF1273" i="2" s="1"/>
  <c r="X1273" i="2"/>
  <c r="AB1273" i="2" s="1"/>
  <c r="AK1273" i="2" s="1"/>
  <c r="W1273" i="2"/>
  <c r="AH1272" i="2"/>
  <c r="AD1272" i="2"/>
  <c r="AF1272" i="2" s="1"/>
  <c r="X1272" i="2"/>
  <c r="AB1272" i="2" s="1"/>
  <c r="AK1272" i="2" s="1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X1269" i="2"/>
  <c r="AB1269" i="2" s="1"/>
  <c r="AK1269" i="2" s="1"/>
  <c r="W1269" i="2"/>
  <c r="AH1268" i="2"/>
  <c r="AD1268" i="2"/>
  <c r="AF1268" i="2" s="1"/>
  <c r="X1268" i="2"/>
  <c r="W1268" i="2"/>
  <c r="AH1267" i="2"/>
  <c r="AD1267" i="2"/>
  <c r="AF1267" i="2" s="1"/>
  <c r="X1267" i="2"/>
  <c r="AC1267" i="2" s="1"/>
  <c r="W1267" i="2"/>
  <c r="AH1266" i="2"/>
  <c r="AD1266" i="2"/>
  <c r="AF1266" i="2" s="1"/>
  <c r="X1266" i="2"/>
  <c r="AB1266" i="2" s="1"/>
  <c r="AK1266" i="2" s="1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AB1260" i="2" s="1"/>
  <c r="AK1260" i="2" s="1"/>
  <c r="W1260" i="2"/>
  <c r="AH1259" i="2"/>
  <c r="AD1259" i="2"/>
  <c r="X1259" i="2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AC1257" i="2" s="1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X1253" i="2"/>
  <c r="AB1253" i="2" s="1"/>
  <c r="AK1253" i="2" s="1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AB1249" i="2" s="1"/>
  <c r="AK1249" i="2" s="1"/>
  <c r="W1249" i="2"/>
  <c r="AH1248" i="2"/>
  <c r="AD1248" i="2"/>
  <c r="X1248" i="2"/>
  <c r="AB1248" i="2" s="1"/>
  <c r="AK1248" i="2" s="1"/>
  <c r="W1248" i="2"/>
  <c r="AH1247" i="2"/>
  <c r="AD1247" i="2"/>
  <c r="AF1247" i="2" s="1"/>
  <c r="X1247" i="2"/>
  <c r="W1247" i="2"/>
  <c r="AH1246" i="2"/>
  <c r="AD1246" i="2"/>
  <c r="AF1246" i="2" s="1"/>
  <c r="X1246" i="2"/>
  <c r="AC1246" i="2" s="1"/>
  <c r="W1246" i="2"/>
  <c r="AH1245" i="2"/>
  <c r="AD1245" i="2"/>
  <c r="X1245" i="2"/>
  <c r="AB1245" i="2" s="1"/>
  <c r="AK1245" i="2" s="1"/>
  <c r="W1245" i="2"/>
  <c r="AH1244" i="2"/>
  <c r="AD1244" i="2"/>
  <c r="X1244" i="2"/>
  <c r="AB1244" i="2" s="1"/>
  <c r="AK1244" i="2" s="1"/>
  <c r="W1244" i="2"/>
  <c r="AH1243" i="2"/>
  <c r="AD1243" i="2"/>
  <c r="AF1243" i="2" s="1"/>
  <c r="X1243" i="2"/>
  <c r="AB1243" i="2" s="1"/>
  <c r="AK1243" i="2" s="1"/>
  <c r="W1243" i="2"/>
  <c r="AH1242" i="2"/>
  <c r="AD1242" i="2"/>
  <c r="X1242" i="2"/>
  <c r="AB1242" i="2" s="1"/>
  <c r="AK1242" i="2" s="1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W1240" i="2"/>
  <c r="AH1239" i="2"/>
  <c r="AD1239" i="2"/>
  <c r="AF1239" i="2" s="1"/>
  <c r="X1239" i="2"/>
  <c r="AB1239" i="2" s="1"/>
  <c r="AK1239" i="2" s="1"/>
  <c r="W1239" i="2"/>
  <c r="AH1238" i="2"/>
  <c r="AD1238" i="2"/>
  <c r="AF1238" i="2" s="1"/>
  <c r="X1238" i="2"/>
  <c r="AB1238" i="2" s="1"/>
  <c r="AK1238" i="2" s="1"/>
  <c r="W1238" i="2"/>
  <c r="AH1237" i="2"/>
  <c r="AD1237" i="2"/>
  <c r="AF1237" i="2" s="1"/>
  <c r="X1237" i="2"/>
  <c r="AB1237" i="2" s="1"/>
  <c r="AK1237" i="2" s="1"/>
  <c r="W1237" i="2"/>
  <c r="AH1236" i="2"/>
  <c r="AD1236" i="2"/>
  <c r="AF1236" i="2" s="1"/>
  <c r="X1236" i="2"/>
  <c r="AC1236" i="2" s="1"/>
  <c r="W1236" i="2"/>
  <c r="AH1235" i="2"/>
  <c r="AD1235" i="2"/>
  <c r="AF1235" i="2" s="1"/>
  <c r="X1235" i="2"/>
  <c r="AB1235" i="2" s="1"/>
  <c r="AK1235" i="2" s="1"/>
  <c r="W1235" i="2"/>
  <c r="AH1234" i="2"/>
  <c r="AD1234" i="2"/>
  <c r="X1234" i="2"/>
  <c r="AC1234" i="2" s="1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AB1232" i="2" s="1"/>
  <c r="AK1232" i="2" s="1"/>
  <c r="W1232" i="2"/>
  <c r="AH1231" i="2"/>
  <c r="AD1231" i="2"/>
  <c r="AF1231" i="2" s="1"/>
  <c r="X1231" i="2"/>
  <c r="AC1231" i="2" s="1"/>
  <c r="W1231" i="2"/>
  <c r="AH1230" i="2"/>
  <c r="AD1230" i="2"/>
  <c r="AF1230" i="2" s="1"/>
  <c r="X1230" i="2"/>
  <c r="AC1230" i="2" s="1"/>
  <c r="W1230" i="2"/>
  <c r="AH1229" i="2"/>
  <c r="AD1229" i="2"/>
  <c r="AF1229" i="2" s="1"/>
  <c r="X1229" i="2"/>
  <c r="AB1229" i="2" s="1"/>
  <c r="AK1229" i="2" s="1"/>
  <c r="T1229" i="2"/>
  <c r="W1229" i="2"/>
  <c r="AH1228" i="2"/>
  <c r="AD1228" i="2"/>
  <c r="AF1228" i="2" s="1"/>
  <c r="X1228" i="2"/>
  <c r="W1228" i="2"/>
  <c r="AH1227" i="2"/>
  <c r="AD1227" i="2"/>
  <c r="AF1227" i="2" s="1"/>
  <c r="X1227" i="2"/>
  <c r="AB1227" i="2" s="1"/>
  <c r="AK1227" i="2" s="1"/>
  <c r="W1227" i="2"/>
  <c r="AH1226" i="2"/>
  <c r="AD1226" i="2"/>
  <c r="AF1226" i="2" s="1"/>
  <c r="X1226" i="2"/>
  <c r="AB1226" i="2" s="1"/>
  <c r="AK1226" i="2" s="1"/>
  <c r="W1226" i="2"/>
  <c r="AH1225" i="2"/>
  <c r="AD1225" i="2"/>
  <c r="AF1225" i="2" s="1"/>
  <c r="X1225" i="2"/>
  <c r="AC1225" i="2" s="1"/>
  <c r="W1225" i="2"/>
  <c r="AH1224" i="2"/>
  <c r="AD1224" i="2"/>
  <c r="AF1224" i="2" s="1"/>
  <c r="X1224" i="2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AB1222" i="2" s="1"/>
  <c r="AK1222" i="2" s="1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AC1219" i="2" s="1"/>
  <c r="W1219" i="2"/>
  <c r="AH1218" i="2"/>
  <c r="AD1218" i="2"/>
  <c r="X1218" i="2"/>
  <c r="AC1218" i="2" s="1"/>
  <c r="W1218" i="2"/>
  <c r="AH1217" i="2"/>
  <c r="AD1217" i="2"/>
  <c r="AF1217" i="2" s="1"/>
  <c r="X1217" i="2"/>
  <c r="AA1217" i="2" s="1"/>
  <c r="AB1217" i="2" s="1"/>
  <c r="AK1217" i="2" s="1"/>
  <c r="W1217" i="2"/>
  <c r="AH1216" i="2"/>
  <c r="AD1216" i="2"/>
  <c r="X1216" i="2"/>
  <c r="W1216" i="2"/>
  <c r="AH1215" i="2"/>
  <c r="AD1215" i="2"/>
  <c r="AF1215" i="2" s="1"/>
  <c r="X1215" i="2"/>
  <c r="AA1215" i="2" s="1"/>
  <c r="W1215" i="2"/>
  <c r="AH1214" i="2"/>
  <c r="AD1214" i="2"/>
  <c r="AF1214" i="2" s="1"/>
  <c r="X1214" i="2"/>
  <c r="W1214" i="2"/>
  <c r="AH1213" i="2"/>
  <c r="AD1213" i="2"/>
  <c r="AF1213" i="2" s="1"/>
  <c r="X1213" i="2"/>
  <c r="AC1213" i="2" s="1"/>
  <c r="W1213" i="2"/>
  <c r="AH1212" i="2"/>
  <c r="AD1212" i="2"/>
  <c r="AF1212" i="2" s="1"/>
  <c r="X1212" i="2"/>
  <c r="W1212" i="2"/>
  <c r="AH1211" i="2"/>
  <c r="AD1211" i="2"/>
  <c r="AF1211" i="2" s="1"/>
  <c r="X1211" i="2"/>
  <c r="AB1211" i="2" s="1"/>
  <c r="AK1211" i="2" s="1"/>
  <c r="W1211" i="2"/>
  <c r="AH1210" i="2"/>
  <c r="AD1210" i="2"/>
  <c r="AF1210" i="2" s="1"/>
  <c r="X1210" i="2"/>
  <c r="AB1210" i="2" s="1"/>
  <c r="AK1210" i="2" s="1"/>
  <c r="W1210" i="2"/>
  <c r="AH1209" i="2"/>
  <c r="AD1209" i="2"/>
  <c r="X1209" i="2"/>
  <c r="AB1209" i="2" s="1"/>
  <c r="AK1209" i="2" s="1"/>
  <c r="W1209" i="2"/>
  <c r="AH1208" i="2"/>
  <c r="AD1208" i="2"/>
  <c r="X1208" i="2"/>
  <c r="W1208" i="2"/>
  <c r="AH1207" i="2"/>
  <c r="AD1207" i="2"/>
  <c r="AF1207" i="2" s="1"/>
  <c r="X1207" i="2"/>
  <c r="AC1207" i="2" s="1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AB1203" i="2" s="1"/>
  <c r="AK1203" i="2" s="1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W1198" i="2"/>
  <c r="AH1197" i="2"/>
  <c r="AD1197" i="2"/>
  <c r="AF1197" i="2" s="1"/>
  <c r="X1197" i="2"/>
  <c r="AB1197" i="2" s="1"/>
  <c r="AK1197" i="2" s="1"/>
  <c r="W1197" i="2"/>
  <c r="AH1196" i="2"/>
  <c r="AD1196" i="2"/>
  <c r="X1196" i="2"/>
  <c r="W1196" i="2"/>
  <c r="AH1195" i="2"/>
  <c r="AD1195" i="2"/>
  <c r="AF1195" i="2" s="1"/>
  <c r="X1195" i="2"/>
  <c r="AB1195" i="2" s="1"/>
  <c r="AK1195" i="2" s="1"/>
  <c r="W1195" i="2"/>
  <c r="AH1194" i="2"/>
  <c r="AD1194" i="2"/>
  <c r="AF1194" i="2" s="1"/>
  <c r="X1194" i="2"/>
  <c r="AB1194" i="2" s="1"/>
  <c r="AK1194" i="2" s="1"/>
  <c r="W1194" i="2"/>
  <c r="AH1193" i="2"/>
  <c r="AD1193" i="2"/>
  <c r="X1193" i="2"/>
  <c r="AB1193" i="2" s="1"/>
  <c r="AK1193" i="2" s="1"/>
  <c r="W1193" i="2"/>
  <c r="AH1192" i="2"/>
  <c r="AD1192" i="2"/>
  <c r="AF1192" i="2" s="1"/>
  <c r="X1192" i="2"/>
  <c r="AB1192" i="2" s="1"/>
  <c r="AK1192" i="2" s="1"/>
  <c r="W1192" i="2"/>
  <c r="AH1191" i="2"/>
  <c r="AD1191" i="2"/>
  <c r="AF1191" i="2" s="1"/>
  <c r="X1191" i="2"/>
  <c r="AB1191" i="2" s="1"/>
  <c r="AK1191" i="2" s="1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AB1187" i="2" s="1"/>
  <c r="AK1187" i="2" s="1"/>
  <c r="W1187" i="2"/>
  <c r="AH1186" i="2"/>
  <c r="AD1186" i="2"/>
  <c r="AF1186" i="2" s="1"/>
  <c r="X1186" i="2"/>
  <c r="W1186" i="2"/>
  <c r="AH1185" i="2"/>
  <c r="AD1185" i="2"/>
  <c r="AF1185" i="2" s="1"/>
  <c r="X1185" i="2"/>
  <c r="AB1185" i="2" s="1"/>
  <c r="AK1185" i="2" s="1"/>
  <c r="W1185" i="2"/>
  <c r="AH1184" i="2"/>
  <c r="AD1184" i="2"/>
  <c r="AF1184" i="2" s="1"/>
  <c r="X1184" i="2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W1182" i="2"/>
  <c r="AH1181" i="2"/>
  <c r="AD1181" i="2"/>
  <c r="AF1181" i="2" s="1"/>
  <c r="X1181" i="2"/>
  <c r="W1181" i="2"/>
  <c r="AH1180" i="2"/>
  <c r="AD1180" i="2"/>
  <c r="AF1180" i="2" s="1"/>
  <c r="X1180" i="2"/>
  <c r="W1180" i="2"/>
  <c r="AH1179" i="2"/>
  <c r="AD1179" i="2"/>
  <c r="X1179" i="2"/>
  <c r="W1179" i="2"/>
  <c r="AH1178" i="2"/>
  <c r="AD1178" i="2"/>
  <c r="AF1178" i="2" s="1"/>
  <c r="X1178" i="2"/>
  <c r="AC1178" i="2" s="1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AC1174" i="2" s="1"/>
  <c r="W1174" i="2"/>
  <c r="AH1173" i="2"/>
  <c r="AD1173" i="2"/>
  <c r="X1173" i="2"/>
  <c r="AB1173" i="2" s="1"/>
  <c r="AK1173" i="2" s="1"/>
  <c r="W1173" i="2"/>
  <c r="AH1172" i="2"/>
  <c r="AD1172" i="2"/>
  <c r="AF1172" i="2" s="1"/>
  <c r="X1172" i="2"/>
  <c r="AC1172" i="2" s="1"/>
  <c r="W1172" i="2"/>
  <c r="AH1171" i="2"/>
  <c r="AD1171" i="2"/>
  <c r="X1171" i="2"/>
  <c r="AB1171" i="2" s="1"/>
  <c r="AK1171" i="2" s="1"/>
  <c r="W1171" i="2"/>
  <c r="AH1170" i="2"/>
  <c r="AD1170" i="2"/>
  <c r="AF1170" i="2" s="1"/>
  <c r="X1170" i="2"/>
  <c r="W1170" i="2"/>
  <c r="AH1169" i="2"/>
  <c r="AD1169" i="2"/>
  <c r="X1169" i="2"/>
  <c r="AB1169" i="2" s="1"/>
  <c r="AK1169" i="2" s="1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X1166" i="2"/>
  <c r="AB1166" i="2" s="1"/>
  <c r="AK1166" i="2" s="1"/>
  <c r="W1166" i="2"/>
  <c r="AH1165" i="2"/>
  <c r="AD1165" i="2"/>
  <c r="AF1165" i="2" s="1"/>
  <c r="X1165" i="2"/>
  <c r="AC1165" i="2" s="1"/>
  <c r="W1165" i="2"/>
  <c r="AH1164" i="2"/>
  <c r="AD1164" i="2"/>
  <c r="AF1164" i="2" s="1"/>
  <c r="X1164" i="2"/>
  <c r="W1164" i="2"/>
  <c r="AH1163" i="2"/>
  <c r="AD1163" i="2"/>
  <c r="X1163" i="2"/>
  <c r="AB1163" i="2" s="1"/>
  <c r="AK1163" i="2" s="1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W1158" i="2"/>
  <c r="AH1157" i="2"/>
  <c r="AD1157" i="2"/>
  <c r="AF1157" i="2" s="1"/>
  <c r="X1157" i="2"/>
  <c r="AB1157" i="2" s="1"/>
  <c r="AK1157" i="2" s="1"/>
  <c r="W1157" i="2"/>
  <c r="AH1156" i="2"/>
  <c r="AD1156" i="2"/>
  <c r="AF1156" i="2" s="1"/>
  <c r="X1156" i="2"/>
  <c r="AC1156" i="2" s="1"/>
  <c r="W1156" i="2"/>
  <c r="AH1155" i="2"/>
  <c r="AD1155" i="2"/>
  <c r="AF1155" i="2" s="1"/>
  <c r="X1155" i="2"/>
  <c r="AB1155" i="2" s="1"/>
  <c r="AK1155" i="2" s="1"/>
  <c r="W1155" i="2"/>
  <c r="AH1154" i="2"/>
  <c r="AD1154" i="2"/>
  <c r="X1154" i="2"/>
  <c r="AB1154" i="2" s="1"/>
  <c r="AK1154" i="2" s="1"/>
  <c r="W1154" i="2"/>
  <c r="AH1153" i="2"/>
  <c r="AD1153" i="2"/>
  <c r="AF1153" i="2" s="1"/>
  <c r="X1153" i="2"/>
  <c r="AB1153" i="2" s="1"/>
  <c r="AK1153" i="2" s="1"/>
  <c r="W1153" i="2"/>
  <c r="AH1152" i="2"/>
  <c r="AD1152" i="2"/>
  <c r="AF1152" i="2" s="1"/>
  <c r="X1152" i="2"/>
  <c r="W1152" i="2"/>
  <c r="AH1151" i="2"/>
  <c r="AD1151" i="2"/>
  <c r="AF1151" i="2" s="1"/>
  <c r="X1151" i="2"/>
  <c r="AC1151" i="2" s="1"/>
  <c r="W1151" i="2"/>
  <c r="AH1150" i="2"/>
  <c r="AD1150" i="2"/>
  <c r="X1150" i="2"/>
  <c r="AC1150" i="2" s="1"/>
  <c r="W1150" i="2"/>
  <c r="AH1149" i="2"/>
  <c r="AD1149" i="2"/>
  <c r="AF1149" i="2" s="1"/>
  <c r="X1149" i="2"/>
  <c r="AB1149" i="2" s="1"/>
  <c r="AK1149" i="2" s="1"/>
  <c r="W1149" i="2"/>
  <c r="AH1148" i="2"/>
  <c r="AD1148" i="2"/>
  <c r="AF1148" i="2" s="1"/>
  <c r="X1148" i="2"/>
  <c r="W1148" i="2"/>
  <c r="AH1147" i="2"/>
  <c r="AD1147" i="2"/>
  <c r="AF1147" i="2" s="1"/>
  <c r="X1147" i="2"/>
  <c r="AC1147" i="2" s="1"/>
  <c r="W1147" i="2"/>
  <c r="AH1146" i="2"/>
  <c r="AD1146" i="2"/>
  <c r="X1146" i="2"/>
  <c r="AB1146" i="2" s="1"/>
  <c r="AK1146" i="2" s="1"/>
  <c r="W1146" i="2"/>
  <c r="AH1145" i="2"/>
  <c r="AD1145" i="2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B1142" i="2" s="1"/>
  <c r="AK1142" i="2" s="1"/>
  <c r="W1142" i="2"/>
  <c r="AH1141" i="2"/>
  <c r="AD1141" i="2"/>
  <c r="AF1141" i="2" s="1"/>
  <c r="X1141" i="2"/>
  <c r="AB1141" i="2" s="1"/>
  <c r="AK1141" i="2" s="1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AB1138" i="2" s="1"/>
  <c r="AK1138" i="2" s="1"/>
  <c r="W1138" i="2"/>
  <c r="AH1137" i="2"/>
  <c r="AD1137" i="2"/>
  <c r="AF1137" i="2" s="1"/>
  <c r="X1137" i="2"/>
  <c r="AB1137" i="2" s="1"/>
  <c r="AK1137" i="2" s="1"/>
  <c r="W1137" i="2"/>
  <c r="AH1136" i="2"/>
  <c r="AD1136" i="2"/>
  <c r="AF1136" i="2" s="1"/>
  <c r="X1136" i="2"/>
  <c r="W1136" i="2"/>
  <c r="AH1135" i="2"/>
  <c r="AD1135" i="2"/>
  <c r="AF1135" i="2" s="1"/>
  <c r="X1135" i="2"/>
  <c r="AC1135" i="2" s="1"/>
  <c r="W1135" i="2"/>
  <c r="AH1134" i="2"/>
  <c r="AD1134" i="2"/>
  <c r="X1134" i="2"/>
  <c r="AB1134" i="2" s="1"/>
  <c r="AK1134" i="2" s="1"/>
  <c r="W1134" i="2"/>
  <c r="AH1133" i="2"/>
  <c r="AD1133" i="2"/>
  <c r="AF1133" i="2" s="1"/>
  <c r="X1133" i="2"/>
  <c r="AB1133" i="2" s="1"/>
  <c r="AK1133" i="2" s="1"/>
  <c r="W1133" i="2"/>
  <c r="AH1132" i="2"/>
  <c r="AD1132" i="2"/>
  <c r="AF1132" i="2" s="1"/>
  <c r="X1132" i="2"/>
  <c r="W1132" i="2"/>
  <c r="AH1131" i="2"/>
  <c r="AD1131" i="2"/>
  <c r="AF1131" i="2" s="1"/>
  <c r="X1131" i="2"/>
  <c r="AC1131" i="2" s="1"/>
  <c r="W1131" i="2"/>
  <c r="AH1130" i="2"/>
  <c r="AD1130" i="2"/>
  <c r="X1130" i="2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X1127" i="2"/>
  <c r="AB1127" i="2" s="1"/>
  <c r="AK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Y1125" i="2" s="1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AC1123" i="2" s="1"/>
  <c r="W1123" i="2"/>
  <c r="AH1122" i="2"/>
  <c r="AD1122" i="2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AB1120" i="2" s="1"/>
  <c r="AK1120" i="2" s="1"/>
  <c r="W1120" i="2"/>
  <c r="AH1119" i="2"/>
  <c r="AD1119" i="2"/>
  <c r="AF1119" i="2" s="1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AC1117" i="2" s="1"/>
  <c r="W1117" i="2"/>
  <c r="AH1116" i="2"/>
  <c r="AD1116" i="2"/>
  <c r="X1116" i="2"/>
  <c r="W1116" i="2"/>
  <c r="AH1115" i="2"/>
  <c r="AD1115" i="2"/>
  <c r="X1115" i="2"/>
  <c r="AB1115" i="2" s="1"/>
  <c r="AK1115" i="2" s="1"/>
  <c r="W1115" i="2"/>
  <c r="AH1114" i="2"/>
  <c r="AD1114" i="2"/>
  <c r="AF1114" i="2" s="1"/>
  <c r="X1114" i="2"/>
  <c r="W1114" i="2"/>
  <c r="AH1113" i="2"/>
  <c r="AD1113" i="2"/>
  <c r="AF1113" i="2" s="1"/>
  <c r="X1113" i="2"/>
  <c r="AB1113" i="2" s="1"/>
  <c r="AK1113" i="2" s="1"/>
  <c r="W1113" i="2"/>
  <c r="AH1112" i="2"/>
  <c r="AD1112" i="2"/>
  <c r="AF1112" i="2" s="1"/>
  <c r="X1112" i="2"/>
  <c r="W1112" i="2"/>
  <c r="AH1111" i="2"/>
  <c r="AD1111" i="2"/>
  <c r="AF1111" i="2" s="1"/>
  <c r="X1111" i="2"/>
  <c r="AC1111" i="2" s="1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W1106" i="2"/>
  <c r="AH1105" i="2"/>
  <c r="AD1105" i="2"/>
  <c r="AF1105" i="2" s="1"/>
  <c r="X1105" i="2"/>
  <c r="AB1105" i="2" s="1"/>
  <c r="AK1105" i="2" s="1"/>
  <c r="W1105" i="2"/>
  <c r="AH1104" i="2"/>
  <c r="AD1104" i="2"/>
  <c r="AF1104" i="2" s="1"/>
  <c r="X1104" i="2"/>
  <c r="AB1104" i="2" s="1"/>
  <c r="AK1104" i="2" s="1"/>
  <c r="W1104" i="2"/>
  <c r="AH1103" i="2"/>
  <c r="AD1103" i="2"/>
  <c r="AF1103" i="2" s="1"/>
  <c r="X1103" i="2"/>
  <c r="AC1103" i="2" s="1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C1101" i="2" s="1"/>
  <c r="W1101" i="2"/>
  <c r="AH1100" i="2"/>
  <c r="AD1100" i="2"/>
  <c r="AF1100" i="2" s="1"/>
  <c r="X1100" i="2"/>
  <c r="W1100" i="2"/>
  <c r="AH1099" i="2"/>
  <c r="AD1099" i="2"/>
  <c r="AF1099" i="2" s="1"/>
  <c r="X1099" i="2"/>
  <c r="AC1099" i="2" s="1"/>
  <c r="W1099" i="2"/>
  <c r="AH1098" i="2"/>
  <c r="AD1098" i="2"/>
  <c r="AF1098" i="2" s="1"/>
  <c r="X1098" i="2"/>
  <c r="W1098" i="2"/>
  <c r="AH1097" i="2"/>
  <c r="AD1097" i="2"/>
  <c r="X1097" i="2"/>
  <c r="AB1097" i="2" s="1"/>
  <c r="AK1097" i="2" s="1"/>
  <c r="W1097" i="2"/>
  <c r="AH1096" i="2"/>
  <c r="AD1096" i="2"/>
  <c r="X1096" i="2"/>
  <c r="W1096" i="2"/>
  <c r="AH1095" i="2"/>
  <c r="AD1095" i="2"/>
  <c r="AF1095" i="2" s="1"/>
  <c r="X1095" i="2"/>
  <c r="AB1095" i="2" s="1"/>
  <c r="AK1095" i="2" s="1"/>
  <c r="W1095" i="2"/>
  <c r="AH1094" i="2"/>
  <c r="AD1094" i="2"/>
  <c r="AF1094" i="2" s="1"/>
  <c r="X1094" i="2"/>
  <c r="AC1094" i="2" s="1"/>
  <c r="W1094" i="2"/>
  <c r="AH1093" i="2"/>
  <c r="AD1093" i="2"/>
  <c r="AF1093" i="2" s="1"/>
  <c r="X1093" i="2"/>
  <c r="W1093" i="2"/>
  <c r="AH1092" i="2"/>
  <c r="AD1092" i="2"/>
  <c r="AF1092" i="2" s="1"/>
  <c r="X1092" i="2"/>
  <c r="AC1092" i="2" s="1"/>
  <c r="W1092" i="2"/>
  <c r="AH1091" i="2"/>
  <c r="AD1091" i="2"/>
  <c r="AF1091" i="2" s="1"/>
  <c r="X1091" i="2"/>
  <c r="AB1091" i="2" s="1"/>
  <c r="AK1091" i="2" s="1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AB1088" i="2" s="1"/>
  <c r="AK1088" i="2" s="1"/>
  <c r="W1088" i="2"/>
  <c r="AH1087" i="2"/>
  <c r="AD1087" i="2"/>
  <c r="AF1087" i="2" s="1"/>
  <c r="X1087" i="2"/>
  <c r="W1087" i="2"/>
  <c r="AH1086" i="2"/>
  <c r="AD1086" i="2"/>
  <c r="AF1086" i="2" s="1"/>
  <c r="X1086" i="2"/>
  <c r="AB1086" i="2" s="1"/>
  <c r="AK1086" i="2" s="1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W1084" i="2"/>
  <c r="AH1083" i="2"/>
  <c r="AD1083" i="2"/>
  <c r="AF1083" i="2" s="1"/>
  <c r="X1083" i="2"/>
  <c r="AB1083" i="2" s="1"/>
  <c r="AK1083" i="2" s="1"/>
  <c r="W1083" i="2"/>
  <c r="AH1082" i="2"/>
  <c r="AD1082" i="2"/>
  <c r="AF1082" i="2" s="1"/>
  <c r="X1082" i="2"/>
  <c r="W1082" i="2"/>
  <c r="AH1081" i="2"/>
  <c r="AD1081" i="2"/>
  <c r="AF1081" i="2" s="1"/>
  <c r="X1081" i="2"/>
  <c r="AC1081" i="2" s="1"/>
  <c r="W1081" i="2"/>
  <c r="AH1080" i="2"/>
  <c r="AD1080" i="2"/>
  <c r="AF1080" i="2" s="1"/>
  <c r="X1080" i="2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C1078" i="2" s="1"/>
  <c r="W1078" i="2"/>
  <c r="AH1077" i="2"/>
  <c r="AD1077" i="2"/>
  <c r="X1077" i="2"/>
  <c r="AC1077" i="2" s="1"/>
  <c r="W1077" i="2"/>
  <c r="AH1076" i="2"/>
  <c r="AD1076" i="2"/>
  <c r="AF1076" i="2" s="1"/>
  <c r="X1076" i="2"/>
  <c r="AB1076" i="2" s="1"/>
  <c r="AK1076" i="2" s="1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AC1073" i="2" s="1"/>
  <c r="W1073" i="2"/>
  <c r="AH1072" i="2"/>
  <c r="AD1072" i="2"/>
  <c r="AF1072" i="2" s="1"/>
  <c r="X1072" i="2"/>
  <c r="AB1072" i="2" s="1"/>
  <c r="AK1072" i="2" s="1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AC1069" i="2" s="1"/>
  <c r="W1069" i="2"/>
  <c r="AH1068" i="2"/>
  <c r="AD1068" i="2"/>
  <c r="W1068" i="2"/>
  <c r="AH1067" i="2"/>
  <c r="AD1067" i="2"/>
  <c r="AF1067" i="2" s="1"/>
  <c r="X1067" i="2"/>
  <c r="W1067" i="2"/>
  <c r="AH1066" i="2"/>
  <c r="AD1066" i="2"/>
  <c r="X1066" i="2"/>
  <c r="AB1066" i="2" s="1"/>
  <c r="AK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X1064" i="2"/>
  <c r="W1064" i="2"/>
  <c r="AH1063" i="2"/>
  <c r="AD1063" i="2"/>
  <c r="AF1063" i="2" s="1"/>
  <c r="X1063" i="2"/>
  <c r="AB1063" i="2" s="1"/>
  <c r="AK1063" i="2" s="1"/>
  <c r="W1063" i="2"/>
  <c r="AH1062" i="2"/>
  <c r="AD1062" i="2"/>
  <c r="X1062" i="2"/>
  <c r="AB1062" i="2" s="1"/>
  <c r="AK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X1056" i="2"/>
  <c r="AB1056" i="2" s="1"/>
  <c r="AK1056" i="2" s="1"/>
  <c r="W1056" i="2"/>
  <c r="AH1055" i="2"/>
  <c r="AD1055" i="2"/>
  <c r="AF1055" i="2" s="1"/>
  <c r="X1055" i="2"/>
  <c r="AC1055" i="2" s="1"/>
  <c r="W1055" i="2"/>
  <c r="AH1054" i="2"/>
  <c r="AD1054" i="2"/>
  <c r="X1054" i="2"/>
  <c r="AB1054" i="2" s="1"/>
  <c r="AK1054" i="2" s="1"/>
  <c r="W1054" i="2"/>
  <c r="AH1053" i="2"/>
  <c r="AD1053" i="2"/>
  <c r="AF1053" i="2" s="1"/>
  <c r="X1053" i="2"/>
  <c r="W1053" i="2"/>
  <c r="AH1052" i="2"/>
  <c r="AD1052" i="2"/>
  <c r="AF1052" i="2" s="1"/>
  <c r="X1052" i="2"/>
  <c r="AC1052" i="2" s="1"/>
  <c r="W1052" i="2"/>
  <c r="AH1051" i="2"/>
  <c r="AD1051" i="2"/>
  <c r="AF1051" i="2" s="1"/>
  <c r="X1051" i="2"/>
  <c r="W1051" i="2"/>
  <c r="AH1050" i="2"/>
  <c r="AD1050" i="2"/>
  <c r="AF1050" i="2" s="1"/>
  <c r="X1050" i="2"/>
  <c r="AB1050" i="2" s="1"/>
  <c r="AK1050" i="2" s="1"/>
  <c r="W1050" i="2"/>
  <c r="AH1049" i="2"/>
  <c r="AD1049" i="2"/>
  <c r="AF1049" i="2" s="1"/>
  <c r="X1049" i="2"/>
  <c r="AC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X1046" i="2"/>
  <c r="AB1046" i="2" s="1"/>
  <c r="AK1046" i="2" s="1"/>
  <c r="W1046" i="2"/>
  <c r="AH1045" i="2"/>
  <c r="AD1045" i="2"/>
  <c r="AF1045" i="2" s="1"/>
  <c r="X1045" i="2"/>
  <c r="AC1045" i="2" s="1"/>
  <c r="W1045" i="2"/>
  <c r="AH1044" i="2"/>
  <c r="AD1044" i="2"/>
  <c r="X1044" i="2"/>
  <c r="AB1044" i="2" s="1"/>
  <c r="AK1044" i="2" s="1"/>
  <c r="W1044" i="2"/>
  <c r="AH1043" i="2"/>
  <c r="AD1043" i="2"/>
  <c r="AF1043" i="2" s="1"/>
  <c r="X1043" i="2"/>
  <c r="AB1043" i="2" s="1"/>
  <c r="AK1043" i="2" s="1"/>
  <c r="W1043" i="2"/>
  <c r="AH1042" i="2"/>
  <c r="AD1042" i="2"/>
  <c r="AF1042" i="2" s="1"/>
  <c r="X1042" i="2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AB1040" i="2" s="1"/>
  <c r="AK1040" i="2" s="1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X1037" i="2"/>
  <c r="AB1037" i="2" s="1"/>
  <c r="AK1037" i="2" s="1"/>
  <c r="W1037" i="2"/>
  <c r="AH1036" i="2"/>
  <c r="AD1036" i="2"/>
  <c r="X1036" i="2"/>
  <c r="AB1036" i="2" s="1"/>
  <c r="AK1036" i="2" s="1"/>
  <c r="W1036" i="2"/>
  <c r="AH1035" i="2"/>
  <c r="AD1035" i="2"/>
  <c r="X1035" i="2"/>
  <c r="W1035" i="2"/>
  <c r="AH1034" i="2"/>
  <c r="AD1034" i="2"/>
  <c r="AF1034" i="2" s="1"/>
  <c r="X1034" i="2"/>
  <c r="AB1034" i="2" s="1"/>
  <c r="AK1034" i="2" s="1"/>
  <c r="W1034" i="2"/>
  <c r="AH1033" i="2"/>
  <c r="AD1033" i="2"/>
  <c r="X1033" i="2"/>
  <c r="AB1033" i="2" s="1"/>
  <c r="AK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B1031" i="2" s="1"/>
  <c r="AK1031" i="2" s="1"/>
  <c r="W1031" i="2"/>
  <c r="AH1030" i="2"/>
  <c r="AD1030" i="2"/>
  <c r="X1030" i="2"/>
  <c r="W1030" i="2"/>
  <c r="AH1029" i="2"/>
  <c r="AD1029" i="2"/>
  <c r="AF1029" i="2" s="1"/>
  <c r="X1029" i="2"/>
  <c r="AC1029" i="2" s="1"/>
  <c r="W1029" i="2"/>
  <c r="AH1028" i="2"/>
  <c r="AD1028" i="2"/>
  <c r="X1028" i="2"/>
  <c r="W1028" i="2"/>
  <c r="AH1027" i="2"/>
  <c r="AD1027" i="2"/>
  <c r="AF1027" i="2" s="1"/>
  <c r="X1027" i="2"/>
  <c r="AC1027" i="2" s="1"/>
  <c r="W1027" i="2"/>
  <c r="AH1026" i="2"/>
  <c r="AD1026" i="2"/>
  <c r="X1026" i="2"/>
  <c r="AB1026" i="2" s="1"/>
  <c r="AK1026" i="2" s="1"/>
  <c r="W1026" i="2"/>
  <c r="AH1025" i="2"/>
  <c r="AD1025" i="2"/>
  <c r="X1025" i="2"/>
  <c r="AB1025" i="2" s="1"/>
  <c r="AK1025" i="2" s="1"/>
  <c r="W1025" i="2"/>
  <c r="AH1024" i="2"/>
  <c r="AD1024" i="2"/>
  <c r="AF1024" i="2" s="1"/>
  <c r="X1024" i="2"/>
  <c r="AB1024" i="2" s="1"/>
  <c r="AK1024" i="2" s="1"/>
  <c r="W1024" i="2"/>
  <c r="AH1023" i="2"/>
  <c r="AD1023" i="2"/>
  <c r="AF1023" i="2" s="1"/>
  <c r="X1023" i="2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AB1021" i="2" s="1"/>
  <c r="AK1021" i="2" s="1"/>
  <c r="W1021" i="2"/>
  <c r="AH1020" i="2"/>
  <c r="AD1020" i="2"/>
  <c r="AF1020" i="2" s="1"/>
  <c r="X1020" i="2"/>
  <c r="AC1020" i="2" s="1"/>
  <c r="W1020" i="2"/>
  <c r="AH1019" i="2"/>
  <c r="AD1019" i="2"/>
  <c r="X1019" i="2"/>
  <c r="AB1019" i="2" s="1"/>
  <c r="AK1019" i="2" s="1"/>
  <c r="W1019" i="2"/>
  <c r="AH1018" i="2"/>
  <c r="AD1018" i="2"/>
  <c r="AF1018" i="2" s="1"/>
  <c r="X1018" i="2"/>
  <c r="W1018" i="2"/>
  <c r="AH1017" i="2"/>
  <c r="AD1017" i="2"/>
  <c r="X1017" i="2"/>
  <c r="AB1017" i="2" s="1"/>
  <c r="AK1017" i="2" s="1"/>
  <c r="W1017" i="2"/>
  <c r="AH1016" i="2"/>
  <c r="AD1016" i="2"/>
  <c r="AF1016" i="2" s="1"/>
  <c r="X1016" i="2"/>
  <c r="AB1016" i="2" s="1"/>
  <c r="AK1016" i="2" s="1"/>
  <c r="W1016" i="2"/>
  <c r="AH1015" i="2"/>
  <c r="AD1015" i="2"/>
  <c r="AF1015" i="2" s="1"/>
  <c r="X1015" i="2"/>
  <c r="AB1015" i="2" s="1"/>
  <c r="AK1015" i="2" s="1"/>
  <c r="W1015" i="2"/>
  <c r="AH1014" i="2"/>
  <c r="AD1014" i="2"/>
  <c r="AF1014" i="2" s="1"/>
  <c r="X1014" i="2"/>
  <c r="W1014" i="2"/>
  <c r="AH1013" i="2"/>
  <c r="AD1013" i="2"/>
  <c r="X1013" i="2"/>
  <c r="AB1013" i="2" s="1"/>
  <c r="AK1013" i="2" s="1"/>
  <c r="W1013" i="2"/>
  <c r="AH1012" i="2"/>
  <c r="AD1012" i="2"/>
  <c r="AF1012" i="2" s="1"/>
  <c r="W1012" i="2"/>
  <c r="AH1011" i="2"/>
  <c r="AD1011" i="2"/>
  <c r="AF1011" i="2" s="1"/>
  <c r="X1011" i="2"/>
  <c r="W1011" i="2"/>
  <c r="AH1010" i="2"/>
  <c r="AD1010" i="2"/>
  <c r="AF1010" i="2" s="1"/>
  <c r="X1010" i="2"/>
  <c r="AC1010" i="2" s="1"/>
  <c r="W1010" i="2"/>
  <c r="AH1009" i="2"/>
  <c r="AD1009" i="2"/>
  <c r="AF1009" i="2" s="1"/>
  <c r="X1009" i="2"/>
  <c r="W1009" i="2"/>
  <c r="AH1008" i="2"/>
  <c r="AD1008" i="2"/>
  <c r="AF1008" i="2" s="1"/>
  <c r="X1008" i="2"/>
  <c r="AC1008" i="2" s="1"/>
  <c r="W1008" i="2"/>
  <c r="AH1007" i="2"/>
  <c r="AD1007" i="2"/>
  <c r="AF1007" i="2" s="1"/>
  <c r="X1007" i="2"/>
  <c r="AB1007" i="2" s="1"/>
  <c r="AK1007" i="2" s="1"/>
  <c r="AH1006" i="2"/>
  <c r="AD1006" i="2"/>
  <c r="AF1006" i="2" s="1"/>
  <c r="X1006" i="2"/>
  <c r="AC1006" i="2" s="1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AB1004" i="2" s="1"/>
  <c r="AK1004" i="2" s="1"/>
  <c r="W1004" i="2"/>
  <c r="AH1003" i="2"/>
  <c r="AD1003" i="2"/>
  <c r="AF1003" i="2" s="1"/>
  <c r="X1003" i="2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W999" i="2"/>
  <c r="AH998" i="2"/>
  <c r="AD998" i="2"/>
  <c r="AF998" i="2" s="1"/>
  <c r="X998" i="2"/>
  <c r="AC998" i="2" s="1"/>
  <c r="W998" i="2"/>
  <c r="AH997" i="2"/>
  <c r="AD997" i="2"/>
  <c r="AF997" i="2" s="1"/>
  <c r="X997" i="2"/>
  <c r="AB997" i="2" s="1"/>
  <c r="AK997" i="2" s="1"/>
  <c r="W997" i="2"/>
  <c r="AH996" i="2"/>
  <c r="AD996" i="2"/>
  <c r="AF996" i="2" s="1"/>
  <c r="X996" i="2"/>
  <c r="AB996" i="2" s="1"/>
  <c r="AK996" i="2" s="1"/>
  <c r="W996" i="2"/>
  <c r="AH995" i="2"/>
  <c r="AD995" i="2"/>
  <c r="AF995" i="2" s="1"/>
  <c r="X995" i="2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AH992" i="2"/>
  <c r="AD992" i="2"/>
  <c r="AF992" i="2" s="1"/>
  <c r="X992" i="2"/>
  <c r="AB992" i="2" s="1"/>
  <c r="AK992" i="2" s="1"/>
  <c r="AH991" i="2"/>
  <c r="AD991" i="2"/>
  <c r="X991" i="2"/>
  <c r="AB991" i="2" s="1"/>
  <c r="AK991" i="2" s="1"/>
  <c r="AH990" i="2"/>
  <c r="AD990" i="2"/>
  <c r="AF990" i="2" s="1"/>
  <c r="X990" i="2"/>
  <c r="AB990" i="2" s="1"/>
  <c r="AK990" i="2" s="1"/>
  <c r="W990" i="2"/>
  <c r="AH989" i="2"/>
  <c r="AD989" i="2"/>
  <c r="AF989" i="2" s="1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AB985" i="2" s="1"/>
  <c r="AK985" i="2" s="1"/>
  <c r="W985" i="2"/>
  <c r="AH984" i="2"/>
  <c r="AD984" i="2"/>
  <c r="AF984" i="2" s="1"/>
  <c r="X984" i="2"/>
  <c r="W984" i="2"/>
  <c r="AH983" i="2"/>
  <c r="AD983" i="2"/>
  <c r="AF983" i="2" s="1"/>
  <c r="X983" i="2"/>
  <c r="AC983" i="2" s="1"/>
  <c r="W983" i="2"/>
  <c r="AH982" i="2"/>
  <c r="AD982" i="2"/>
  <c r="AF982" i="2" s="1"/>
  <c r="X982" i="2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B980" i="2" s="1"/>
  <c r="AK980" i="2" s="1"/>
  <c r="W980" i="2"/>
  <c r="AH979" i="2"/>
  <c r="AD979" i="2"/>
  <c r="AF979" i="2" s="1"/>
  <c r="X979" i="2"/>
  <c r="AC979" i="2" s="1"/>
  <c r="W979" i="2"/>
  <c r="AH978" i="2"/>
  <c r="AD978" i="2"/>
  <c r="AF978" i="2" s="1"/>
  <c r="X978" i="2"/>
  <c r="AC978" i="2" s="1"/>
  <c r="W978" i="2"/>
  <c r="AH977" i="2"/>
  <c r="AD977" i="2"/>
  <c r="X977" i="2"/>
  <c r="AB977" i="2" s="1"/>
  <c r="AK977" i="2" s="1"/>
  <c r="W977" i="2"/>
  <c r="AH976" i="2"/>
  <c r="AD976" i="2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X972" i="2"/>
  <c r="AB972" i="2" s="1"/>
  <c r="AK972" i="2" s="1"/>
  <c r="W972" i="2"/>
  <c r="AH971" i="2"/>
  <c r="AD971" i="2"/>
  <c r="AF971" i="2" s="1"/>
  <c r="X971" i="2"/>
  <c r="AC971" i="2" s="1"/>
  <c r="W971" i="2"/>
  <c r="AH970" i="2"/>
  <c r="AD970" i="2"/>
  <c r="AF970" i="2" s="1"/>
  <c r="X970" i="2"/>
  <c r="W970" i="2"/>
  <c r="AH969" i="2"/>
  <c r="AD969" i="2"/>
  <c r="AF969" i="2" s="1"/>
  <c r="X969" i="2"/>
  <c r="AC969" i="2" s="1"/>
  <c r="W969" i="2"/>
  <c r="AH968" i="2"/>
  <c r="AD968" i="2"/>
  <c r="AF968" i="2" s="1"/>
  <c r="X968" i="2"/>
  <c r="AB968" i="2" s="1"/>
  <c r="AK968" i="2" s="1"/>
  <c r="W968" i="2"/>
  <c r="AH967" i="2"/>
  <c r="AD967" i="2"/>
  <c r="AF967" i="2" s="1"/>
  <c r="X967" i="2"/>
  <c r="AB967" i="2" s="1"/>
  <c r="AK967" i="2" s="1"/>
  <c r="W967" i="2"/>
  <c r="AH966" i="2"/>
  <c r="AD966" i="2"/>
  <c r="AF966" i="2" s="1"/>
  <c r="X966" i="2"/>
  <c r="AB966" i="2" s="1"/>
  <c r="AK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C964" i="2" s="1"/>
  <c r="W964" i="2"/>
  <c r="AH963" i="2"/>
  <c r="AD963" i="2"/>
  <c r="AF963" i="2" s="1"/>
  <c r="X963" i="2"/>
  <c r="AC963" i="2" s="1"/>
  <c r="W963" i="2"/>
  <c r="AH962" i="2"/>
  <c r="AD962" i="2"/>
  <c r="AF962" i="2" s="1"/>
  <c r="X962" i="2"/>
  <c r="W962" i="2"/>
  <c r="AH961" i="2"/>
  <c r="AD961" i="2"/>
  <c r="AF961" i="2" s="1"/>
  <c r="X961" i="2"/>
  <c r="AC961" i="2" s="1"/>
  <c r="W961" i="2"/>
  <c r="AH960" i="2"/>
  <c r="AD960" i="2"/>
  <c r="AF960" i="2" s="1"/>
  <c r="X960" i="2"/>
  <c r="W960" i="2"/>
  <c r="AH959" i="2"/>
  <c r="AD959" i="2"/>
  <c r="AF959" i="2" s="1"/>
  <c r="X959" i="2"/>
  <c r="AB959" i="2" s="1"/>
  <c r="AK959" i="2" s="1"/>
  <c r="W959" i="2"/>
  <c r="AH958" i="2"/>
  <c r="AD958" i="2"/>
  <c r="X958" i="2"/>
  <c r="AB958" i="2" s="1"/>
  <c r="AK958" i="2" s="1"/>
  <c r="W958" i="2"/>
  <c r="AH957" i="2"/>
  <c r="AD957" i="2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W954" i="2"/>
  <c r="AH953" i="2"/>
  <c r="AD953" i="2"/>
  <c r="AF953" i="2" s="1"/>
  <c r="X953" i="2"/>
  <c r="AC953" i="2" s="1"/>
  <c r="W953" i="2"/>
  <c r="AH952" i="2"/>
  <c r="AD952" i="2"/>
  <c r="X952" i="2"/>
  <c r="AB952" i="2" s="1"/>
  <c r="AK952" i="2" s="1"/>
  <c r="W952" i="2"/>
  <c r="AH951" i="2"/>
  <c r="AD951" i="2"/>
  <c r="AF951" i="2" s="1"/>
  <c r="X951" i="2"/>
  <c r="AB951" i="2" s="1"/>
  <c r="AK951" i="2" s="1"/>
  <c r="W951" i="2"/>
  <c r="AH950" i="2"/>
  <c r="AD950" i="2"/>
  <c r="AF950" i="2" s="1"/>
  <c r="X950" i="2"/>
  <c r="W950" i="2"/>
  <c r="AH949" i="2"/>
  <c r="AD949" i="2"/>
  <c r="AF949" i="2" s="1"/>
  <c r="X949" i="2"/>
  <c r="W949" i="2"/>
  <c r="AH948" i="2"/>
  <c r="AD948" i="2"/>
  <c r="AF948" i="2" s="1"/>
  <c r="X948" i="2"/>
  <c r="AB948" i="2" s="1"/>
  <c r="AK948" i="2" s="1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AK946" i="2" s="1"/>
  <c r="W946" i="2"/>
  <c r="AH945" i="2"/>
  <c r="AD945" i="2"/>
  <c r="AF945" i="2" s="1"/>
  <c r="X945" i="2"/>
  <c r="AB945" i="2" s="1"/>
  <c r="AK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AC942" i="2" s="1"/>
  <c r="W942" i="2"/>
  <c r="AH941" i="2"/>
  <c r="AD941" i="2"/>
  <c r="AF941" i="2" s="1"/>
  <c r="X941" i="2"/>
  <c r="AC941" i="2" s="1"/>
  <c r="W941" i="2"/>
  <c r="AH940" i="2"/>
  <c r="AD940" i="2"/>
  <c r="AF940" i="2" s="1"/>
  <c r="X940" i="2"/>
  <c r="W940" i="2"/>
  <c r="AH939" i="2"/>
  <c r="AD939" i="2"/>
  <c r="AF939" i="2" s="1"/>
  <c r="X939" i="2"/>
  <c r="AC939" i="2" s="1"/>
  <c r="W939" i="2"/>
  <c r="AH938" i="2"/>
  <c r="AD938" i="2"/>
  <c r="AF938" i="2" s="1"/>
  <c r="X938" i="2"/>
  <c r="W938" i="2"/>
  <c r="AH937" i="2"/>
  <c r="AD937" i="2"/>
  <c r="AF937" i="2" s="1"/>
  <c r="X937" i="2"/>
  <c r="AC937" i="2" s="1"/>
  <c r="W937" i="2"/>
  <c r="AH936" i="2"/>
  <c r="AD936" i="2"/>
  <c r="AF936" i="2" s="1"/>
  <c r="X936" i="2"/>
  <c r="AB936" i="2" s="1"/>
  <c r="AK936" i="2" s="1"/>
  <c r="W936" i="2"/>
  <c r="AH935" i="2"/>
  <c r="AD935" i="2"/>
  <c r="AF935" i="2" s="1"/>
  <c r="X935" i="2"/>
  <c r="AC935" i="2" s="1"/>
  <c r="W935" i="2"/>
  <c r="AH934" i="2"/>
  <c r="AD934" i="2"/>
  <c r="AF934" i="2" s="1"/>
  <c r="X934" i="2"/>
  <c r="AB934" i="2" s="1"/>
  <c r="AK934" i="2" s="1"/>
  <c r="W934" i="2"/>
  <c r="AH933" i="2"/>
  <c r="AD933" i="2"/>
  <c r="AF933" i="2" s="1"/>
  <c r="X933" i="2"/>
  <c r="W933" i="2"/>
  <c r="AH932" i="2"/>
  <c r="AD932" i="2"/>
  <c r="AF932" i="2" s="1"/>
  <c r="X932" i="2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B930" i="2" s="1"/>
  <c r="AK930" i="2" s="1"/>
  <c r="W930" i="2"/>
  <c r="AH929" i="2"/>
  <c r="AD929" i="2"/>
  <c r="AF929" i="2" s="1"/>
  <c r="X929" i="2"/>
  <c r="AC929" i="2" s="1"/>
  <c r="W929" i="2"/>
  <c r="AH928" i="2"/>
  <c r="AD928" i="2"/>
  <c r="AF928" i="2" s="1"/>
  <c r="X928" i="2"/>
  <c r="AB928" i="2" s="1"/>
  <c r="AK928" i="2" s="1"/>
  <c r="W928" i="2"/>
  <c r="AH927" i="2"/>
  <c r="AD927" i="2"/>
  <c r="AF927" i="2" s="1"/>
  <c r="X927" i="2"/>
  <c r="AC927" i="2" s="1"/>
  <c r="W927" i="2"/>
  <c r="AH926" i="2"/>
  <c r="AD926" i="2"/>
  <c r="AF926" i="2" s="1"/>
  <c r="X926" i="2"/>
  <c r="W926" i="2"/>
  <c r="AH925" i="2"/>
  <c r="AD925" i="2"/>
  <c r="AF925" i="2" s="1"/>
  <c r="X925" i="2"/>
  <c r="AC925" i="2" s="1"/>
  <c r="W925" i="2"/>
  <c r="AH924" i="2"/>
  <c r="AD924" i="2"/>
  <c r="AF924" i="2" s="1"/>
  <c r="X924" i="2"/>
  <c r="W924" i="2"/>
  <c r="AH923" i="2"/>
  <c r="AD923" i="2"/>
  <c r="AF923" i="2" s="1"/>
  <c r="X923" i="2"/>
  <c r="AC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AB919" i="2" s="1"/>
  <c r="AK919" i="2" s="1"/>
  <c r="W919" i="2"/>
  <c r="AH918" i="2"/>
  <c r="AD918" i="2"/>
  <c r="X918" i="2"/>
  <c r="AB918" i="2" s="1"/>
  <c r="AK918" i="2" s="1"/>
  <c r="W918" i="2"/>
  <c r="AH917" i="2"/>
  <c r="AD917" i="2"/>
  <c r="AF917" i="2" s="1"/>
  <c r="X917" i="2"/>
  <c r="AB917" i="2" s="1"/>
  <c r="W917" i="2"/>
  <c r="AH916" i="2"/>
  <c r="AD916" i="2"/>
  <c r="AF916" i="2" s="1"/>
  <c r="X916" i="2"/>
  <c r="AC916" i="2" s="1"/>
  <c r="W916" i="2"/>
  <c r="AH915" i="2"/>
  <c r="AD915" i="2"/>
  <c r="AF915" i="2" s="1"/>
  <c r="X915" i="2"/>
  <c r="AC915" i="2" s="1"/>
  <c r="W915" i="2"/>
  <c r="AH914" i="2"/>
  <c r="AD914" i="2"/>
  <c r="AF914" i="2" s="1"/>
  <c r="X914" i="2"/>
  <c r="AB914" i="2" s="1"/>
  <c r="AK914" i="2" s="1"/>
  <c r="W914" i="2"/>
  <c r="AH913" i="2"/>
  <c r="AD913" i="2"/>
  <c r="X913" i="2"/>
  <c r="AB913" i="2" s="1"/>
  <c r="AK913" i="2" s="1"/>
  <c r="W913" i="2"/>
  <c r="AH912" i="2"/>
  <c r="AD912" i="2"/>
  <c r="AF912" i="2" s="1"/>
  <c r="X912" i="2"/>
  <c r="AB912" i="2" s="1"/>
  <c r="AK912" i="2" s="1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AC910" i="2" s="1"/>
  <c r="W910" i="2"/>
  <c r="AH909" i="2"/>
  <c r="AD909" i="2"/>
  <c r="AF909" i="2" s="1"/>
  <c r="X909" i="2"/>
  <c r="AB909" i="2" s="1"/>
  <c r="AK909" i="2" s="1"/>
  <c r="W909" i="2"/>
  <c r="AH908" i="2"/>
  <c r="AD908" i="2"/>
  <c r="X908" i="2"/>
  <c r="AB908" i="2" s="1"/>
  <c r="AK908" i="2" s="1"/>
  <c r="W908" i="2"/>
  <c r="AH907" i="2"/>
  <c r="AD907" i="2"/>
  <c r="X907" i="2"/>
  <c r="AB907" i="2" s="1"/>
  <c r="AK907" i="2" s="1"/>
  <c r="W907" i="2"/>
  <c r="AH906" i="2"/>
  <c r="AD906" i="2"/>
  <c r="AF906" i="2" s="1"/>
  <c r="X906" i="2"/>
  <c r="W906" i="2"/>
  <c r="AH905" i="2"/>
  <c r="AD905" i="2"/>
  <c r="X905" i="2"/>
  <c r="AB905" i="2" s="1"/>
  <c r="AK905" i="2" s="1"/>
  <c r="W905" i="2"/>
  <c r="AH904" i="2"/>
  <c r="AD904" i="2"/>
  <c r="AF904" i="2" s="1"/>
  <c r="X904" i="2"/>
  <c r="AB904" i="2" s="1"/>
  <c r="AK904" i="2" s="1"/>
  <c r="W904" i="2"/>
  <c r="AH903" i="2"/>
  <c r="AD903" i="2"/>
  <c r="AF903" i="2" s="1"/>
  <c r="X903" i="2"/>
  <c r="AB903" i="2" s="1"/>
  <c r="AK903" i="2" s="1"/>
  <c r="W903" i="2"/>
  <c r="AH902" i="2"/>
  <c r="AD902" i="2"/>
  <c r="AF902" i="2" s="1"/>
  <c r="X902" i="2"/>
  <c r="AB902" i="2" s="1"/>
  <c r="AK902" i="2" s="1"/>
  <c r="W902" i="2"/>
  <c r="AH901" i="2"/>
  <c r="AD901" i="2"/>
  <c r="AF901" i="2" s="1"/>
  <c r="X901" i="2"/>
  <c r="AB901" i="2" s="1"/>
  <c r="AK901" i="2" s="1"/>
  <c r="W901" i="2"/>
  <c r="AH900" i="2"/>
  <c r="AD900" i="2"/>
  <c r="AF900" i="2" s="1"/>
  <c r="X900" i="2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AB898" i="2" s="1"/>
  <c r="AK898" i="2" s="1"/>
  <c r="W898" i="2"/>
  <c r="AH897" i="2"/>
  <c r="AD897" i="2"/>
  <c r="AF897" i="2" s="1"/>
  <c r="X897" i="2"/>
  <c r="AC897" i="2" s="1"/>
  <c r="W897" i="2"/>
  <c r="AH896" i="2"/>
  <c r="AD896" i="2"/>
  <c r="AF896" i="2" s="1"/>
  <c r="X896" i="2"/>
  <c r="AB896" i="2" s="1"/>
  <c r="AK896" i="2" s="1"/>
  <c r="W896" i="2"/>
  <c r="AH895" i="2"/>
  <c r="AD895" i="2"/>
  <c r="AF895" i="2" s="1"/>
  <c r="X895" i="2"/>
  <c r="W895" i="2"/>
  <c r="AH894" i="2"/>
  <c r="AD894" i="2"/>
  <c r="AF894" i="2" s="1"/>
  <c r="X894" i="2"/>
  <c r="AB894" i="2" s="1"/>
  <c r="AK894" i="2" s="1"/>
  <c r="W894" i="2"/>
  <c r="AH893" i="2"/>
  <c r="AD893" i="2"/>
  <c r="X893" i="2"/>
  <c r="AB893" i="2" s="1"/>
  <c r="AK893" i="2" s="1"/>
  <c r="W893" i="2"/>
  <c r="AH892" i="2"/>
  <c r="AD892" i="2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X887" i="2"/>
  <c r="AB887" i="2" s="1"/>
  <c r="AK887" i="2" s="1"/>
  <c r="W887" i="2"/>
  <c r="AH886" i="2"/>
  <c r="AD886" i="2"/>
  <c r="X886" i="2"/>
  <c r="AB886" i="2" s="1"/>
  <c r="AK886" i="2" s="1"/>
  <c r="W886" i="2"/>
  <c r="AH885" i="2"/>
  <c r="AD885" i="2"/>
  <c r="AF885" i="2" s="1"/>
  <c r="X885" i="2"/>
  <c r="W885" i="2"/>
  <c r="AH884" i="2"/>
  <c r="AD884" i="2"/>
  <c r="AF884" i="2" s="1"/>
  <c r="X884" i="2"/>
  <c r="AB884" i="2" s="1"/>
  <c r="AK884" i="2" s="1"/>
  <c r="W884" i="2"/>
  <c r="AH883" i="2"/>
  <c r="AD883" i="2"/>
  <c r="AF883" i="2" s="1"/>
  <c r="X883" i="2"/>
  <c r="W883" i="2"/>
  <c r="AH882" i="2"/>
  <c r="AD882" i="2"/>
  <c r="X882" i="2"/>
  <c r="AB882" i="2" s="1"/>
  <c r="AK882" i="2" s="1"/>
  <c r="W882" i="2"/>
  <c r="AH881" i="2"/>
  <c r="AD881" i="2"/>
  <c r="AF881" i="2" s="1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W879" i="2"/>
  <c r="AH878" i="2"/>
  <c r="AD878" i="2"/>
  <c r="AF878" i="2" s="1"/>
  <c r="X878" i="2"/>
  <c r="AC878" i="2" s="1"/>
  <c r="W878" i="2"/>
  <c r="AH877" i="2"/>
  <c r="AD877" i="2"/>
  <c r="X877" i="2"/>
  <c r="W877" i="2"/>
  <c r="AH876" i="2"/>
  <c r="AD876" i="2"/>
  <c r="AF876" i="2" s="1"/>
  <c r="X876" i="2"/>
  <c r="W876" i="2"/>
  <c r="AH875" i="2"/>
  <c r="AD875" i="2"/>
  <c r="AF875" i="2" s="1"/>
  <c r="X875" i="2"/>
  <c r="AC875" i="2" s="1"/>
  <c r="W875" i="2"/>
  <c r="AH874" i="2"/>
  <c r="AD874" i="2"/>
  <c r="AF874" i="2" s="1"/>
  <c r="X874" i="2"/>
  <c r="AB874" i="2" s="1"/>
  <c r="AK874" i="2" s="1"/>
  <c r="W874" i="2"/>
  <c r="AH873" i="2"/>
  <c r="AD873" i="2"/>
  <c r="AF873" i="2" s="1"/>
  <c r="X873" i="2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AB869" i="2" s="1"/>
  <c r="AK869" i="2" s="1"/>
  <c r="W869" i="2"/>
  <c r="AH868" i="2"/>
  <c r="AD868" i="2"/>
  <c r="AF868" i="2" s="1"/>
  <c r="X868" i="2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AB866" i="2" s="1"/>
  <c r="AK866" i="2" s="1"/>
  <c r="W866" i="2"/>
  <c r="AH865" i="2"/>
  <c r="AD865" i="2"/>
  <c r="AF865" i="2" s="1"/>
  <c r="X865" i="2"/>
  <c r="W865" i="2"/>
  <c r="AH864" i="2"/>
  <c r="AD864" i="2"/>
  <c r="Y864" i="2" s="1"/>
  <c r="AC864" i="2"/>
  <c r="W864" i="2"/>
  <c r="AH863" i="2"/>
  <c r="AD863" i="2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B859" i="2" s="1"/>
  <c r="AK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AC855" i="2" s="1"/>
  <c r="W855" i="2"/>
  <c r="AH854" i="2"/>
  <c r="AD854" i="2"/>
  <c r="AF854" i="2" s="1"/>
  <c r="X854" i="2"/>
  <c r="AB854" i="2" s="1"/>
  <c r="AK854" i="2" s="1"/>
  <c r="W854" i="2"/>
  <c r="AH853" i="2"/>
  <c r="AD853" i="2"/>
  <c r="AF853" i="2" s="1"/>
  <c r="X853" i="2"/>
  <c r="AC853" i="2" s="1"/>
  <c r="W853" i="2"/>
  <c r="AH852" i="2"/>
  <c r="AD852" i="2"/>
  <c r="X852" i="2"/>
  <c r="AB852" i="2" s="1"/>
  <c r="AK852" i="2" s="1"/>
  <c r="W852" i="2"/>
  <c r="AH851" i="2"/>
  <c r="AD851" i="2"/>
  <c r="X851" i="2"/>
  <c r="AC851" i="2" s="1"/>
  <c r="W851" i="2"/>
  <c r="AH850" i="2"/>
  <c r="AD850" i="2"/>
  <c r="AF850" i="2" s="1"/>
  <c r="X850" i="2"/>
  <c r="AB850" i="2" s="1"/>
  <c r="AK850" i="2" s="1"/>
  <c r="W850" i="2"/>
  <c r="AH849" i="2"/>
  <c r="AD849" i="2"/>
  <c r="X849" i="2"/>
  <c r="W849" i="2"/>
  <c r="AH848" i="2"/>
  <c r="AD848" i="2"/>
  <c r="AF848" i="2" s="1"/>
  <c r="X848" i="2"/>
  <c r="W848" i="2"/>
  <c r="AH847" i="2"/>
  <c r="AD847" i="2"/>
  <c r="Y847" i="2" s="1"/>
  <c r="AC847" i="2"/>
  <c r="W847" i="2"/>
  <c r="AH846" i="2"/>
  <c r="AD846" i="2"/>
  <c r="AF846" i="2" s="1"/>
  <c r="X846" i="2"/>
  <c r="AB846" i="2" s="1"/>
  <c r="AK846" i="2" s="1"/>
  <c r="W846" i="2"/>
  <c r="AH845" i="2"/>
  <c r="AD845" i="2"/>
  <c r="X845" i="2"/>
  <c r="AB845" i="2" s="1"/>
  <c r="AK845" i="2" s="1"/>
  <c r="W845" i="2"/>
  <c r="AH844" i="2"/>
  <c r="AD844" i="2"/>
  <c r="AF844" i="2" s="1"/>
  <c r="X844" i="2"/>
  <c r="AB844" i="2" s="1"/>
  <c r="AK844" i="2" s="1"/>
  <c r="W844" i="2"/>
  <c r="AH843" i="2"/>
  <c r="AD843" i="2"/>
  <c r="X843" i="2"/>
  <c r="AB843" i="2" s="1"/>
  <c r="AK843" i="2" s="1"/>
  <c r="W843" i="2"/>
  <c r="AH842" i="2"/>
  <c r="AD842" i="2"/>
  <c r="AF842" i="2" s="1"/>
  <c r="X842" i="2"/>
  <c r="AB842" i="2" s="1"/>
  <c r="AK842" i="2" s="1"/>
  <c r="W842" i="2"/>
  <c r="AH841" i="2"/>
  <c r="AD841" i="2"/>
  <c r="AF841" i="2" s="1"/>
  <c r="X841" i="2"/>
  <c r="AC841" i="2" s="1"/>
  <c r="W841" i="2"/>
  <c r="AH840" i="2"/>
  <c r="AD840" i="2"/>
  <c r="AF840" i="2" s="1"/>
  <c r="X840" i="2"/>
  <c r="AC840" i="2" s="1"/>
  <c r="W840" i="2"/>
  <c r="AH839" i="2"/>
  <c r="AD839" i="2"/>
  <c r="AF839" i="2" s="1"/>
  <c r="X839" i="2"/>
  <c r="AB839" i="2" s="1"/>
  <c r="W839" i="2"/>
  <c r="AH838" i="2"/>
  <c r="AD838" i="2"/>
  <c r="AF838" i="2" s="1"/>
  <c r="X838" i="2"/>
  <c r="AB838" i="2" s="1"/>
  <c r="AK838" i="2" s="1"/>
  <c r="W838" i="2"/>
  <c r="AH837" i="2"/>
  <c r="AD837" i="2"/>
  <c r="X837" i="2"/>
  <c r="AC837" i="2" s="1"/>
  <c r="W837" i="2"/>
  <c r="AH836" i="2"/>
  <c r="AD836" i="2"/>
  <c r="AF836" i="2" s="1"/>
  <c r="X836" i="2"/>
  <c r="AB836" i="2" s="1"/>
  <c r="AK836" i="2" s="1"/>
  <c r="W836" i="2"/>
  <c r="AH835" i="2"/>
  <c r="AD835" i="2"/>
  <c r="AF835" i="2" s="1"/>
  <c r="X835" i="2"/>
  <c r="AB835" i="2" s="1"/>
  <c r="AK835" i="2" s="1"/>
  <c r="W835" i="2"/>
  <c r="AH834" i="2"/>
  <c r="AD834" i="2"/>
  <c r="AF834" i="2" s="1"/>
  <c r="X834" i="2"/>
  <c r="AB834" i="2" s="1"/>
  <c r="AK834" i="2" s="1"/>
  <c r="W834" i="2"/>
  <c r="AH833" i="2"/>
  <c r="AD833" i="2"/>
  <c r="AF833" i="2" s="1"/>
  <c r="X833" i="2"/>
  <c r="W833" i="2"/>
  <c r="AH832" i="2"/>
  <c r="AD832" i="2"/>
  <c r="X832" i="2"/>
  <c r="AB832" i="2" s="1"/>
  <c r="AK832" i="2" s="1"/>
  <c r="W832" i="2"/>
  <c r="AH831" i="2"/>
  <c r="AD831" i="2"/>
  <c r="AF831" i="2" s="1"/>
  <c r="X831" i="2"/>
  <c r="AB831" i="2" s="1"/>
  <c r="W831" i="2"/>
  <c r="AH830" i="2"/>
  <c r="AD830" i="2"/>
  <c r="AF830" i="2" s="1"/>
  <c r="X830" i="2"/>
  <c r="AB830" i="2" s="1"/>
  <c r="AK830" i="2" s="1"/>
  <c r="W830" i="2"/>
  <c r="AH829" i="2"/>
  <c r="AD829" i="2"/>
  <c r="AF829" i="2" s="1"/>
  <c r="X829" i="2"/>
  <c r="AB829" i="2" s="1"/>
  <c r="AK829" i="2" s="1"/>
  <c r="W829" i="2"/>
  <c r="AH828" i="2"/>
  <c r="AD828" i="2"/>
  <c r="AF828" i="2" s="1"/>
  <c r="X828" i="2"/>
  <c r="AB828" i="2" s="1"/>
  <c r="AK828" i="2" s="1"/>
  <c r="W828" i="2"/>
  <c r="AH827" i="2"/>
  <c r="AD827" i="2"/>
  <c r="AF827" i="2" s="1"/>
  <c r="X827" i="2"/>
  <c r="AB827" i="2" s="1"/>
  <c r="AK827" i="2" s="1"/>
  <c r="W827" i="2"/>
  <c r="AH826" i="2"/>
  <c r="AD826" i="2"/>
  <c r="AF826" i="2" s="1"/>
  <c r="X826" i="2"/>
  <c r="AB826" i="2" s="1"/>
  <c r="AK826" i="2" s="1"/>
  <c r="W826" i="2"/>
  <c r="AH825" i="2"/>
  <c r="AD825" i="2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AB822" i="2" s="1"/>
  <c r="AK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AB820" i="2" s="1"/>
  <c r="AK820" i="2" s="1"/>
  <c r="W820" i="2"/>
  <c r="AH819" i="2"/>
  <c r="AD819" i="2"/>
  <c r="AF819" i="2" s="1"/>
  <c r="X819" i="2"/>
  <c r="AC819" i="2" s="1"/>
  <c r="W819" i="2"/>
  <c r="AH818" i="2"/>
  <c r="AD818" i="2"/>
  <c r="X818" i="2"/>
  <c r="AB818" i="2" s="1"/>
  <c r="AK818" i="2" s="1"/>
  <c r="W818" i="2"/>
  <c r="AH817" i="2"/>
  <c r="AD817" i="2"/>
  <c r="X817" i="2"/>
  <c r="AB817" i="2" s="1"/>
  <c r="AK817" i="2" s="1"/>
  <c r="W817" i="2"/>
  <c r="AH816" i="2"/>
  <c r="AD816" i="2"/>
  <c r="AF816" i="2" s="1"/>
  <c r="X816" i="2"/>
  <c r="AB816" i="2" s="1"/>
  <c r="AK816" i="2" s="1"/>
  <c r="W816" i="2"/>
  <c r="AH815" i="2"/>
  <c r="AD815" i="2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AC813" i="2" s="1"/>
  <c r="W813" i="2"/>
  <c r="AH812" i="2"/>
  <c r="AD812" i="2"/>
  <c r="AF812" i="2" s="1"/>
  <c r="X812" i="2"/>
  <c r="W812" i="2"/>
  <c r="AH811" i="2"/>
  <c r="AD811" i="2"/>
  <c r="X811" i="2"/>
  <c r="AB811" i="2" s="1"/>
  <c r="AK811" i="2" s="1"/>
  <c r="W811" i="2"/>
  <c r="AH810" i="2"/>
  <c r="AD810" i="2"/>
  <c r="AF810" i="2" s="1"/>
  <c r="X810" i="2"/>
  <c r="AB810" i="2" s="1"/>
  <c r="AK810" i="2" s="1"/>
  <c r="W810" i="2"/>
  <c r="AH809" i="2"/>
  <c r="AD809" i="2"/>
  <c r="X809" i="2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C805" i="2" s="1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AB802" i="2" s="1"/>
  <c r="AK802" i="2" s="1"/>
  <c r="W802" i="2"/>
  <c r="AH801" i="2"/>
  <c r="AD801" i="2"/>
  <c r="AF801" i="2" s="1"/>
  <c r="X801" i="2"/>
  <c r="AB801" i="2" s="1"/>
  <c r="AK801" i="2" s="1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C799" i="2" s="1"/>
  <c r="W799" i="2"/>
  <c r="AH798" i="2"/>
  <c r="AD798" i="2"/>
  <c r="AF798" i="2" s="1"/>
  <c r="X798" i="2"/>
  <c r="AB798" i="2" s="1"/>
  <c r="AK798" i="2" s="1"/>
  <c r="W798" i="2"/>
  <c r="AH797" i="2"/>
  <c r="AD797" i="2"/>
  <c r="X797" i="2"/>
  <c r="W797" i="2"/>
  <c r="AH796" i="2"/>
  <c r="AD796" i="2"/>
  <c r="AF796" i="2" s="1"/>
  <c r="X796" i="2"/>
  <c r="AB796" i="2" s="1"/>
  <c r="AK796" i="2" s="1"/>
  <c r="W796" i="2"/>
  <c r="AH795" i="2"/>
  <c r="AD795" i="2"/>
  <c r="AF795" i="2" s="1"/>
  <c r="X795" i="2"/>
  <c r="AC795" i="2" s="1"/>
  <c r="W795" i="2"/>
  <c r="AH794" i="2"/>
  <c r="AD794" i="2"/>
  <c r="AF794" i="2" s="1"/>
  <c r="X794" i="2"/>
  <c r="W794" i="2"/>
  <c r="AH793" i="2"/>
  <c r="AD793" i="2"/>
  <c r="X793" i="2"/>
  <c r="AB793" i="2" s="1"/>
  <c r="AK793" i="2" s="1"/>
  <c r="W793" i="2"/>
  <c r="AH792" i="2"/>
  <c r="AD792" i="2"/>
  <c r="AF792" i="2" s="1"/>
  <c r="X792" i="2"/>
  <c r="W792" i="2"/>
  <c r="AH791" i="2"/>
  <c r="AD791" i="2"/>
  <c r="AF791" i="2" s="1"/>
  <c r="X791" i="2"/>
  <c r="AC791" i="2" s="1"/>
  <c r="W791" i="2"/>
  <c r="AH790" i="2"/>
  <c r="AD790" i="2"/>
  <c r="AF790" i="2" s="1"/>
  <c r="X790" i="2"/>
  <c r="AB790" i="2" s="1"/>
  <c r="AK790" i="2" s="1"/>
  <c r="W790" i="2"/>
  <c r="AH789" i="2"/>
  <c r="AD789" i="2"/>
  <c r="AF789" i="2" s="1"/>
  <c r="X789" i="2"/>
  <c r="AB789" i="2" s="1"/>
  <c r="AK789" i="2" s="1"/>
  <c r="W789" i="2"/>
  <c r="AH788" i="2"/>
  <c r="AD788" i="2"/>
  <c r="AF788" i="2" s="1"/>
  <c r="X788" i="2"/>
  <c r="AB788" i="2" s="1"/>
  <c r="AK788" i="2" s="1"/>
  <c r="W788" i="2"/>
  <c r="AH787" i="2"/>
  <c r="AD787" i="2"/>
  <c r="X787" i="2"/>
  <c r="W787" i="2"/>
  <c r="AH786" i="2"/>
  <c r="AD786" i="2"/>
  <c r="AF786" i="2" s="1"/>
  <c r="X786" i="2"/>
  <c r="AB786" i="2" s="1"/>
  <c r="AK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B782" i="2" s="1"/>
  <c r="AK782" i="2" s="1"/>
  <c r="W782" i="2"/>
  <c r="AH781" i="2"/>
  <c r="AD781" i="2"/>
  <c r="X781" i="2"/>
  <c r="AB781" i="2" s="1"/>
  <c r="AK781" i="2" s="1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AC778" i="2" s="1"/>
  <c r="W778" i="2"/>
  <c r="AH777" i="2"/>
  <c r="AD777" i="2"/>
  <c r="AF777" i="2" s="1"/>
  <c r="X777" i="2"/>
  <c r="AB777" i="2" s="1"/>
  <c r="AK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AF774" i="2" s="1"/>
  <c r="X774" i="2"/>
  <c r="W774" i="2"/>
  <c r="AH773" i="2"/>
  <c r="AD773" i="2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AF768" i="2" s="1"/>
  <c r="X768" i="2"/>
  <c r="AK768" i="2" s="1"/>
  <c r="W768" i="2"/>
  <c r="AH767" i="2"/>
  <c r="AD767" i="2"/>
  <c r="AF767" i="2" s="1"/>
  <c r="X767" i="2"/>
  <c r="W767" i="2"/>
  <c r="AH766" i="2"/>
  <c r="AD766" i="2"/>
  <c r="AF766" i="2" s="1"/>
  <c r="X766" i="2"/>
  <c r="AK766" i="2" s="1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B762" i="2" s="1"/>
  <c r="AK762" i="2" s="1"/>
  <c r="W762" i="2"/>
  <c r="AH761" i="2"/>
  <c r="AD761" i="2"/>
  <c r="X761" i="2"/>
  <c r="AB761" i="2" s="1"/>
  <c r="AK761" i="2" s="1"/>
  <c r="W761" i="2"/>
  <c r="AH760" i="2"/>
  <c r="AD760" i="2"/>
  <c r="AF760" i="2" s="1"/>
  <c r="X760" i="2"/>
  <c r="AB760" i="2" s="1"/>
  <c r="AK760" i="2" s="1"/>
  <c r="W760" i="2"/>
  <c r="AH759" i="2"/>
  <c r="AD759" i="2"/>
  <c r="X759" i="2"/>
  <c r="AB759" i="2" s="1"/>
  <c r="AK759" i="2" s="1"/>
  <c r="W759" i="2"/>
  <c r="AH758" i="2"/>
  <c r="AD758" i="2"/>
  <c r="AF758" i="2" s="1"/>
  <c r="X758" i="2"/>
  <c r="AB758" i="2" s="1"/>
  <c r="AK758" i="2" s="1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AB753" i="2" s="1"/>
  <c r="AK753" i="2" s="1"/>
  <c r="W753" i="2"/>
  <c r="AH752" i="2"/>
  <c r="AD752" i="2"/>
  <c r="AF752" i="2" s="1"/>
  <c r="X752" i="2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W750" i="2"/>
  <c r="AH749" i="2"/>
  <c r="AD749" i="2"/>
  <c r="AF749" i="2" s="1"/>
  <c r="X749" i="2"/>
  <c r="AB749" i="2" s="1"/>
  <c r="AK749" i="2" s="1"/>
  <c r="W749" i="2"/>
  <c r="AH748" i="2"/>
  <c r="AD748" i="2"/>
  <c r="AF748" i="2" s="1"/>
  <c r="X748" i="2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W745" i="2"/>
  <c r="AH744" i="2"/>
  <c r="AD744" i="2"/>
  <c r="AF744" i="2" s="1"/>
  <c r="X744" i="2"/>
  <c r="AC744" i="2" s="1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B740" i="2" s="1"/>
  <c r="AK740" i="2" s="1"/>
  <c r="W740" i="2"/>
  <c r="AH739" i="2"/>
  <c r="AD739" i="2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AF736" i="2" s="1"/>
  <c r="X736" i="2"/>
  <c r="W736" i="2"/>
  <c r="AH735" i="2"/>
  <c r="AD735" i="2"/>
  <c r="AF735" i="2" s="1"/>
  <c r="X735" i="2"/>
  <c r="AC735" i="2" s="1"/>
  <c r="W735" i="2"/>
  <c r="AH734" i="2"/>
  <c r="AD734" i="2"/>
  <c r="AF734" i="2" s="1"/>
  <c r="X734" i="2"/>
  <c r="W734" i="2"/>
  <c r="AH733" i="2"/>
  <c r="AD733" i="2"/>
  <c r="AF733" i="2" s="1"/>
  <c r="X733" i="2"/>
  <c r="AB733" i="2" s="1"/>
  <c r="AK733" i="2" s="1"/>
  <c r="W733" i="2"/>
  <c r="AH732" i="2"/>
  <c r="AD732" i="2"/>
  <c r="AF732" i="2" s="1"/>
  <c r="X732" i="2"/>
  <c r="W732" i="2"/>
  <c r="AH731" i="2"/>
  <c r="AD731" i="2"/>
  <c r="X731" i="2"/>
  <c r="AB731" i="2" s="1"/>
  <c r="AK731" i="2" s="1"/>
  <c r="W731" i="2"/>
  <c r="AH730" i="2"/>
  <c r="AD730" i="2"/>
  <c r="AF730" i="2" s="1"/>
  <c r="X730" i="2"/>
  <c r="W730" i="2"/>
  <c r="AH729" i="2"/>
  <c r="AD729" i="2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X727" i="2"/>
  <c r="W727" i="2"/>
  <c r="AH726" i="2"/>
  <c r="AD726" i="2"/>
  <c r="AF726" i="2" s="1"/>
  <c r="X726" i="2"/>
  <c r="W726" i="2"/>
  <c r="AH725" i="2"/>
  <c r="AD725" i="2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B722" i="2" s="1"/>
  <c r="AK722" i="2" s="1"/>
  <c r="W722" i="2"/>
  <c r="AH721" i="2"/>
  <c r="AD721" i="2"/>
  <c r="AF721" i="2" s="1"/>
  <c r="X721" i="2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W718" i="2"/>
  <c r="AH717" i="2"/>
  <c r="AD717" i="2"/>
  <c r="AF717" i="2" s="1"/>
  <c r="X717" i="2"/>
  <c r="W717" i="2"/>
  <c r="AH716" i="2"/>
  <c r="AD716" i="2"/>
  <c r="AF716" i="2" s="1"/>
  <c r="X716" i="2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AB714" i="2" s="1"/>
  <c r="AK714" i="2" s="1"/>
  <c r="W714" i="2"/>
  <c r="AH713" i="2"/>
  <c r="AD713" i="2"/>
  <c r="AF713" i="2" s="1"/>
  <c r="X713" i="2"/>
  <c r="AB713" i="2" s="1"/>
  <c r="AK713" i="2" s="1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AF709" i="2" s="1"/>
  <c r="X709" i="2"/>
  <c r="AK709" i="2" s="1"/>
  <c r="W709" i="2"/>
  <c r="AH708" i="2"/>
  <c r="AD708" i="2"/>
  <c r="X708" i="2"/>
  <c r="AK708" i="2" s="1"/>
  <c r="W708" i="2"/>
  <c r="AH707" i="2"/>
  <c r="AD707" i="2"/>
  <c r="AF707" i="2" s="1"/>
  <c r="X707" i="2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AF704" i="2" s="1"/>
  <c r="X704" i="2"/>
  <c r="W704" i="2"/>
  <c r="AH703" i="2"/>
  <c r="AD703" i="2"/>
  <c r="AF703" i="2" s="1"/>
  <c r="X703" i="2"/>
  <c r="W703" i="2"/>
  <c r="AH702" i="2"/>
  <c r="AD702" i="2"/>
  <c r="AF702" i="2" s="1"/>
  <c r="X702" i="2"/>
  <c r="W702" i="2"/>
  <c r="AH701" i="2"/>
  <c r="AD701" i="2"/>
  <c r="X701" i="2"/>
  <c r="AB701" i="2" s="1"/>
  <c r="AK701" i="2" s="1"/>
  <c r="W701" i="2"/>
  <c r="AH700" i="2"/>
  <c r="AD700" i="2"/>
  <c r="AF700" i="2" s="1"/>
  <c r="X700" i="2"/>
  <c r="W700" i="2"/>
  <c r="AH699" i="2"/>
  <c r="AD699" i="2"/>
  <c r="X699" i="2"/>
  <c r="AB699" i="2" s="1"/>
  <c r="AK699" i="2" s="1"/>
  <c r="W699" i="2"/>
  <c r="AH698" i="2"/>
  <c r="AD698" i="2"/>
  <c r="AF698" i="2" s="1"/>
  <c r="X698" i="2"/>
  <c r="AB698" i="2" s="1"/>
  <c r="AK698" i="2" s="1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AF695" i="2" s="1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AB693" i="2" s="1"/>
  <c r="AK693" i="2" s="1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X689" i="2"/>
  <c r="AB689" i="2" s="1"/>
  <c r="AK689" i="2" s="1"/>
  <c r="W689" i="2"/>
  <c r="AH688" i="2"/>
  <c r="AD688" i="2"/>
  <c r="X688" i="2"/>
  <c r="AB688" i="2" s="1"/>
  <c r="AK688" i="2" s="1"/>
  <c r="W688" i="2"/>
  <c r="AH687" i="2"/>
  <c r="AD687" i="2"/>
  <c r="X687" i="2"/>
  <c r="AB687" i="2" s="1"/>
  <c r="AK687" i="2" s="1"/>
  <c r="W687" i="2"/>
  <c r="AH686" i="2"/>
  <c r="AD686" i="2"/>
  <c r="AF686" i="2" s="1"/>
  <c r="X686" i="2"/>
  <c r="AB686" i="2" s="1"/>
  <c r="AK686" i="2" s="1"/>
  <c r="W686" i="2"/>
  <c r="AH685" i="2"/>
  <c r="AD685" i="2"/>
  <c r="AF685" i="2" s="1"/>
  <c r="X685" i="2"/>
  <c r="AC685" i="2" s="1"/>
  <c r="W685" i="2"/>
  <c r="AH684" i="2"/>
  <c r="AD684" i="2"/>
  <c r="AF684" i="2" s="1"/>
  <c r="X684" i="2"/>
  <c r="AC684" i="2" s="1"/>
  <c r="W684" i="2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W682" i="2"/>
  <c r="AH681" i="2"/>
  <c r="AD681" i="2"/>
  <c r="AF681" i="2" s="1"/>
  <c r="X681" i="2"/>
  <c r="AC681" i="2" s="1"/>
  <c r="W681" i="2"/>
  <c r="AH680" i="2"/>
  <c r="AD680" i="2"/>
  <c r="AF680" i="2" s="1"/>
  <c r="X680" i="2"/>
  <c r="W680" i="2"/>
  <c r="AH679" i="2"/>
  <c r="AD679" i="2"/>
  <c r="AF679" i="2" s="1"/>
  <c r="X679" i="2"/>
  <c r="AC679" i="2" s="1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AC675" i="2" s="1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AC671" i="2" s="1"/>
  <c r="W671" i="2"/>
  <c r="AH670" i="2"/>
  <c r="AD670" i="2"/>
  <c r="AF670" i="2" s="1"/>
  <c r="X670" i="2"/>
  <c r="AB670" i="2" s="1"/>
  <c r="AK670" i="2" s="1"/>
  <c r="W670" i="2"/>
  <c r="AH669" i="2"/>
  <c r="AD669" i="2"/>
  <c r="X669" i="2"/>
  <c r="W669" i="2"/>
  <c r="AH668" i="2"/>
  <c r="AD668" i="2"/>
  <c r="AF668" i="2" s="1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W666" i="2"/>
  <c r="AH665" i="2"/>
  <c r="AD665" i="2"/>
  <c r="AF665" i="2" s="1"/>
  <c r="X665" i="2"/>
  <c r="AB665" i="2" s="1"/>
  <c r="AK665" i="2" s="1"/>
  <c r="W665" i="2"/>
  <c r="AH664" i="2"/>
  <c r="AD664" i="2"/>
  <c r="AF664" i="2" s="1"/>
  <c r="X664" i="2"/>
  <c r="W664" i="2"/>
  <c r="AH663" i="2"/>
  <c r="AD663" i="2"/>
  <c r="X663" i="2"/>
  <c r="W663" i="2"/>
  <c r="AH662" i="2"/>
  <c r="AD662" i="2"/>
  <c r="AF662" i="2" s="1"/>
  <c r="X662" i="2"/>
  <c r="AB662" i="2" s="1"/>
  <c r="AK662" i="2" s="1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C658" i="2" s="1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AF653" i="2" s="1"/>
  <c r="X653" i="2"/>
  <c r="AC653" i="2" s="1"/>
  <c r="W653" i="2"/>
  <c r="AH652" i="2"/>
  <c r="AD652" i="2"/>
  <c r="AF652" i="2" s="1"/>
  <c r="X652" i="2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X649" i="2"/>
  <c r="W649" i="2"/>
  <c r="AH648" i="2"/>
  <c r="AD648" i="2"/>
  <c r="AF648" i="2" s="1"/>
  <c r="X648" i="2"/>
  <c r="W648" i="2"/>
  <c r="AH647" i="2"/>
  <c r="AD647" i="2"/>
  <c r="AF647" i="2" s="1"/>
  <c r="X647" i="2"/>
  <c r="AC647" i="2" s="1"/>
  <c r="W647" i="2"/>
  <c r="AH646" i="2"/>
  <c r="AD646" i="2"/>
  <c r="AF646" i="2" s="1"/>
  <c r="X646" i="2"/>
  <c r="AC646" i="2" s="1"/>
  <c r="W646" i="2"/>
  <c r="AH645" i="2"/>
  <c r="AD645" i="2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AB642" i="2" s="1"/>
  <c r="AK642" i="2" s="1"/>
  <c r="W642" i="2"/>
  <c r="AH641" i="2"/>
  <c r="AD641" i="2"/>
  <c r="AF641" i="2" s="1"/>
  <c r="X641" i="2"/>
  <c r="AC641" i="2" s="1"/>
  <c r="W641" i="2"/>
  <c r="AH640" i="2"/>
  <c r="AD640" i="2"/>
  <c r="AF640" i="2" s="1"/>
  <c r="X640" i="2"/>
  <c r="AB640" i="2" s="1"/>
  <c r="AK640" i="2" s="1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X637" i="2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W634" i="2"/>
  <c r="AH633" i="2"/>
  <c r="AD633" i="2"/>
  <c r="X633" i="2"/>
  <c r="AK633" i="2" s="1"/>
  <c r="W633" i="2"/>
  <c r="AH632" i="2"/>
  <c r="AD632" i="2"/>
  <c r="X632" i="2"/>
  <c r="AB632" i="2" s="1"/>
  <c r="AK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W628" i="2"/>
  <c r="AH627" i="2"/>
  <c r="AD627" i="2"/>
  <c r="AF627" i="2" s="1"/>
  <c r="X627" i="2"/>
  <c r="AC627" i="2" s="1"/>
  <c r="W627" i="2"/>
  <c r="AH626" i="2"/>
  <c r="AD626" i="2"/>
  <c r="AF626" i="2" s="1"/>
  <c r="X626" i="2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W624" i="2"/>
  <c r="AH623" i="2"/>
  <c r="AD623" i="2"/>
  <c r="X623" i="2"/>
  <c r="AB623" i="2" s="1"/>
  <c r="AK623" i="2" s="1"/>
  <c r="W623" i="2"/>
  <c r="AH622" i="2"/>
  <c r="AD622" i="2"/>
  <c r="AF622" i="2" s="1"/>
  <c r="X622" i="2"/>
  <c r="AB622" i="2" s="1"/>
  <c r="AK622" i="2" s="1"/>
  <c r="W622" i="2"/>
  <c r="AH621" i="2"/>
  <c r="AD621" i="2"/>
  <c r="AF621" i="2" s="1"/>
  <c r="X621" i="2"/>
  <c r="AB621" i="2" s="1"/>
  <c r="AK621" i="2" s="1"/>
  <c r="W621" i="2"/>
  <c r="AH620" i="2"/>
  <c r="AD620" i="2"/>
  <c r="X620" i="2"/>
  <c r="W620" i="2"/>
  <c r="AH619" i="2"/>
  <c r="AD619" i="2"/>
  <c r="AF619" i="2" s="1"/>
  <c r="X619" i="2"/>
  <c r="AC619" i="2" s="1"/>
  <c r="W619" i="2"/>
  <c r="AH618" i="2"/>
  <c r="AD618" i="2"/>
  <c r="AF618" i="2" s="1"/>
  <c r="X618" i="2"/>
  <c r="W618" i="2"/>
  <c r="AH617" i="2"/>
  <c r="AD617" i="2"/>
  <c r="X617" i="2"/>
  <c r="AB617" i="2" s="1"/>
  <c r="AK617" i="2" s="1"/>
  <c r="W617" i="2"/>
  <c r="AH616" i="2"/>
  <c r="AD616" i="2"/>
  <c r="X616" i="2"/>
  <c r="W616" i="2"/>
  <c r="AH615" i="2"/>
  <c r="AD615" i="2"/>
  <c r="X615" i="2"/>
  <c r="AB615" i="2" s="1"/>
  <c r="AK615" i="2" s="1"/>
  <c r="W615" i="2"/>
  <c r="AH614" i="2"/>
  <c r="AD614" i="2"/>
  <c r="AF614" i="2" s="1"/>
  <c r="X614" i="2"/>
  <c r="AB614" i="2" s="1"/>
  <c r="AK614" i="2" s="1"/>
  <c r="W614" i="2"/>
  <c r="AH613" i="2"/>
  <c r="AD613" i="2"/>
  <c r="X613" i="2"/>
  <c r="AB613" i="2" s="1"/>
  <c r="AK613" i="2" s="1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B611" i="2" s="1"/>
  <c r="AK611" i="2" s="1"/>
  <c r="W611" i="2"/>
  <c r="AH610" i="2"/>
  <c r="AD610" i="2"/>
  <c r="AF610" i="2" s="1"/>
  <c r="X610" i="2"/>
  <c r="AB610" i="2" s="1"/>
  <c r="AK610" i="2" s="1"/>
  <c r="W610" i="2"/>
  <c r="AH609" i="2"/>
  <c r="AD609" i="2"/>
  <c r="AF609" i="2" s="1"/>
  <c r="X609" i="2"/>
  <c r="AC609" i="2" s="1"/>
  <c r="W609" i="2"/>
  <c r="AH608" i="2"/>
  <c r="AD608" i="2"/>
  <c r="AF608" i="2" s="1"/>
  <c r="X608" i="2"/>
  <c r="W608" i="2"/>
  <c r="AH607" i="2"/>
  <c r="AD607" i="2"/>
  <c r="AF607" i="2" s="1"/>
  <c r="X607" i="2"/>
  <c r="AB607" i="2" s="1"/>
  <c r="AK607" i="2" s="1"/>
  <c r="W607" i="2"/>
  <c r="AH606" i="2"/>
  <c r="AD606" i="2"/>
  <c r="AF606" i="2" s="1"/>
  <c r="X606" i="2"/>
  <c r="W606" i="2"/>
  <c r="AH605" i="2"/>
  <c r="AD605" i="2"/>
  <c r="AF605" i="2" s="1"/>
  <c r="X605" i="2"/>
  <c r="AC605" i="2" s="1"/>
  <c r="W605" i="2"/>
  <c r="AH604" i="2"/>
  <c r="AD604" i="2"/>
  <c r="AF604" i="2" s="1"/>
  <c r="X604" i="2"/>
  <c r="AB604" i="2" s="1"/>
  <c r="AK604" i="2" s="1"/>
  <c r="W604" i="2"/>
  <c r="AH603" i="2"/>
  <c r="AD603" i="2"/>
  <c r="AF603" i="2" s="1"/>
  <c r="X603" i="2"/>
  <c r="AB603" i="2" s="1"/>
  <c r="AK603" i="2" s="1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X599" i="2"/>
  <c r="AB599" i="2" s="1"/>
  <c r="AK599" i="2" s="1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W596" i="2"/>
  <c r="AH595" i="2"/>
  <c r="AD595" i="2"/>
  <c r="AF595" i="2" s="1"/>
  <c r="X595" i="2"/>
  <c r="AC595" i="2" s="1"/>
  <c r="W595" i="2"/>
  <c r="AH594" i="2"/>
  <c r="AD594" i="2"/>
  <c r="AF594" i="2" s="1"/>
  <c r="X594" i="2"/>
  <c r="W594" i="2"/>
  <c r="AH593" i="2"/>
  <c r="AD593" i="2"/>
  <c r="AF593" i="2" s="1"/>
  <c r="X593" i="2"/>
  <c r="AB593" i="2" s="1"/>
  <c r="AK593" i="2" s="1"/>
  <c r="W593" i="2"/>
  <c r="AH592" i="2"/>
  <c r="AD592" i="2"/>
  <c r="AF592" i="2" s="1"/>
  <c r="X592" i="2"/>
  <c r="W592" i="2"/>
  <c r="AH591" i="2"/>
  <c r="AD591" i="2"/>
  <c r="X591" i="2"/>
  <c r="AB591" i="2" s="1"/>
  <c r="AK591" i="2" s="1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W588" i="2"/>
  <c r="AH587" i="2"/>
  <c r="AD587" i="2"/>
  <c r="AF587" i="2" s="1"/>
  <c r="X587" i="2"/>
  <c r="AK587" i="2" s="1"/>
  <c r="W587" i="2"/>
  <c r="AH586" i="2"/>
  <c r="AD586" i="2"/>
  <c r="AF586" i="2" s="1"/>
  <c r="X586" i="2"/>
  <c r="W586" i="2"/>
  <c r="AH585" i="2"/>
  <c r="AD585" i="2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C583" i="2" s="1"/>
  <c r="W583" i="2"/>
  <c r="AH582" i="2"/>
  <c r="AD582" i="2"/>
  <c r="AF582" i="2" s="1"/>
  <c r="X582" i="2"/>
  <c r="W582" i="2"/>
  <c r="AH581" i="2"/>
  <c r="AD581" i="2"/>
  <c r="AF581" i="2" s="1"/>
  <c r="X581" i="2"/>
  <c r="AB581" i="2" s="1"/>
  <c r="AK581" i="2" s="1"/>
  <c r="W581" i="2"/>
  <c r="AH580" i="2"/>
  <c r="AD580" i="2"/>
  <c r="AF580" i="2" s="1"/>
  <c r="X580" i="2"/>
  <c r="W580" i="2"/>
  <c r="AH579" i="2"/>
  <c r="AD579" i="2"/>
  <c r="AF579" i="2" s="1"/>
  <c r="X579" i="2"/>
  <c r="AB579" i="2" s="1"/>
  <c r="AK579" i="2" s="1"/>
  <c r="W579" i="2"/>
  <c r="AH578" i="2"/>
  <c r="AD578" i="2"/>
  <c r="AF578" i="2" s="1"/>
  <c r="X578" i="2"/>
  <c r="W578" i="2"/>
  <c r="AH577" i="2"/>
  <c r="AD577" i="2"/>
  <c r="AF577" i="2" s="1"/>
  <c r="X577" i="2"/>
  <c r="AC577" i="2" s="1"/>
  <c r="W577" i="2"/>
  <c r="AH576" i="2"/>
  <c r="AD576" i="2"/>
  <c r="AF576" i="2" s="1"/>
  <c r="X576" i="2"/>
  <c r="W576" i="2"/>
  <c r="AH575" i="2"/>
  <c r="AD575" i="2"/>
  <c r="X575" i="2"/>
  <c r="AB575" i="2" s="1"/>
  <c r="AK575" i="2" s="1"/>
  <c r="AH574" i="2"/>
  <c r="AD574" i="2"/>
  <c r="AF574" i="2" s="1"/>
  <c r="X574" i="2"/>
  <c r="AB574" i="2" s="1"/>
  <c r="AK574" i="2" s="1"/>
  <c r="W574" i="2"/>
  <c r="AH573" i="2"/>
  <c r="AD573" i="2"/>
  <c r="AF573" i="2" s="1"/>
  <c r="X573" i="2"/>
  <c r="AB573" i="2" s="1"/>
  <c r="AK573" i="2" s="1"/>
  <c r="W573" i="2"/>
  <c r="AH572" i="2"/>
  <c r="AD572" i="2"/>
  <c r="X572" i="2"/>
  <c r="AK572" i="2" s="1"/>
  <c r="W572" i="2"/>
  <c r="AH571" i="2"/>
  <c r="AD571" i="2"/>
  <c r="AF571" i="2" s="1"/>
  <c r="X571" i="2"/>
  <c r="AC571" i="2" s="1"/>
  <c r="W571" i="2"/>
  <c r="AH570" i="2"/>
  <c r="AD570" i="2"/>
  <c r="X570" i="2"/>
  <c r="AB570" i="2" s="1"/>
  <c r="AK570" i="2" s="1"/>
  <c r="W570" i="2"/>
  <c r="AH569" i="2"/>
  <c r="AD569" i="2"/>
  <c r="AF569" i="2" s="1"/>
  <c r="X569" i="2"/>
  <c r="AK569" i="2" s="1"/>
  <c r="W569" i="2"/>
  <c r="AH568" i="2"/>
  <c r="AD568" i="2"/>
  <c r="AF568" i="2" s="1"/>
  <c r="X568" i="2"/>
  <c r="AB568" i="2" s="1"/>
  <c r="AK568" i="2" s="1"/>
  <c r="W568" i="2"/>
  <c r="AH567" i="2"/>
  <c r="AD567" i="2"/>
  <c r="AF567" i="2" s="1"/>
  <c r="X567" i="2"/>
  <c r="W567" i="2"/>
  <c r="AH566" i="2"/>
  <c r="AD566" i="2"/>
  <c r="X566" i="2"/>
  <c r="AB566" i="2" s="1"/>
  <c r="AK566" i="2" s="1"/>
  <c r="W566" i="2"/>
  <c r="AH565" i="2"/>
  <c r="AD565" i="2"/>
  <c r="AF565" i="2" s="1"/>
  <c r="X565" i="2"/>
  <c r="W565" i="2"/>
  <c r="AH564" i="2"/>
  <c r="AD564" i="2"/>
  <c r="AF564" i="2" s="1"/>
  <c r="X564" i="2"/>
  <c r="AB564" i="2" s="1"/>
  <c r="AK564" i="2" s="1"/>
  <c r="W564" i="2"/>
  <c r="AH563" i="2"/>
  <c r="AD563" i="2"/>
  <c r="AF563" i="2" s="1"/>
  <c r="X563" i="2"/>
  <c r="AK563" i="2" s="1"/>
  <c r="AH562" i="2"/>
  <c r="AD562" i="2"/>
  <c r="AF562" i="2" s="1"/>
  <c r="X562" i="2"/>
  <c r="AC562" i="2" s="1"/>
  <c r="W562" i="2"/>
  <c r="AH561" i="2"/>
  <c r="AD561" i="2"/>
  <c r="AF561" i="2" s="1"/>
  <c r="X561" i="2"/>
  <c r="AB561" i="2" s="1"/>
  <c r="AK561" i="2" s="1"/>
  <c r="W561" i="2"/>
  <c r="AH560" i="2"/>
  <c r="AD560" i="2"/>
  <c r="AF560" i="2" s="1"/>
  <c r="X560" i="2"/>
  <c r="W560" i="2"/>
  <c r="AH559" i="2"/>
  <c r="AD559" i="2"/>
  <c r="AF559" i="2" s="1"/>
  <c r="X559" i="2"/>
  <c r="AC559" i="2" s="1"/>
  <c r="W559" i="2"/>
  <c r="AH558" i="2"/>
  <c r="AD558" i="2"/>
  <c r="AF558" i="2" s="1"/>
  <c r="X558" i="2"/>
  <c r="AC558" i="2" s="1"/>
  <c r="W558" i="2"/>
  <c r="AH557" i="2"/>
  <c r="AD557" i="2"/>
  <c r="AF557" i="2" s="1"/>
  <c r="X557" i="2"/>
  <c r="AC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C554" i="2" s="1"/>
  <c r="W554" i="2"/>
  <c r="AH553" i="2"/>
  <c r="AD553" i="2"/>
  <c r="X553" i="2"/>
  <c r="AB553" i="2" s="1"/>
  <c r="AK553" i="2" s="1"/>
  <c r="W553" i="2"/>
  <c r="AH552" i="2"/>
  <c r="AD552" i="2"/>
  <c r="AF552" i="2" s="1"/>
  <c r="X552" i="2"/>
  <c r="AB552" i="2" s="1"/>
  <c r="AK552" i="2" s="1"/>
  <c r="W552" i="2"/>
  <c r="AH551" i="2"/>
  <c r="AD551" i="2"/>
  <c r="AF551" i="2" s="1"/>
  <c r="X551" i="2"/>
  <c r="AB551" i="2" s="1"/>
  <c r="AK551" i="2" s="1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B549" i="2" s="1"/>
  <c r="AK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C546" i="2" s="1"/>
  <c r="W546" i="2"/>
  <c r="AH545" i="2"/>
  <c r="AD545" i="2"/>
  <c r="AF545" i="2" s="1"/>
  <c r="X545" i="2"/>
  <c r="AB545" i="2" s="1"/>
  <c r="AK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AB543" i="2" s="1"/>
  <c r="AK543" i="2" s="1"/>
  <c r="W543" i="2"/>
  <c r="AH542" i="2"/>
  <c r="AD542" i="2"/>
  <c r="AF542" i="2" s="1"/>
  <c r="X542" i="2"/>
  <c r="W542" i="2"/>
  <c r="AH541" i="2"/>
  <c r="AD541" i="2"/>
  <c r="AF541" i="2" s="1"/>
  <c r="X541" i="2"/>
  <c r="AB541" i="2" s="1"/>
  <c r="AK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C538" i="2" s="1"/>
  <c r="W538" i="2"/>
  <c r="AH537" i="2"/>
  <c r="AD537" i="2"/>
  <c r="AF537" i="2" s="1"/>
  <c r="X537" i="2"/>
  <c r="W537" i="2"/>
  <c r="AH536" i="2"/>
  <c r="AD536" i="2"/>
  <c r="AF536" i="2" s="1"/>
  <c r="X536" i="2"/>
  <c r="AC536" i="2" s="1"/>
  <c r="W536" i="2"/>
  <c r="AH535" i="2"/>
  <c r="AD535" i="2"/>
  <c r="AF535" i="2" s="1"/>
  <c r="X535" i="2"/>
  <c r="W535" i="2"/>
  <c r="AH534" i="2"/>
  <c r="AD534" i="2"/>
  <c r="AF534" i="2" s="1"/>
  <c r="X534" i="2"/>
  <c r="AC534" i="2" s="1"/>
  <c r="W534" i="2"/>
  <c r="AH533" i="2"/>
  <c r="AD533" i="2"/>
  <c r="AF533" i="2" s="1"/>
  <c r="X533" i="2"/>
  <c r="AB533" i="2" s="1"/>
  <c r="AK533" i="2" s="1"/>
  <c r="W533" i="2"/>
  <c r="AH532" i="2"/>
  <c r="AD532" i="2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X530" i="2"/>
  <c r="AC530" i="2" s="1"/>
  <c r="W530" i="2"/>
  <c r="AH529" i="2"/>
  <c r="AD529" i="2"/>
  <c r="X529" i="2"/>
  <c r="AC529" i="2" s="1"/>
  <c r="W529" i="2"/>
  <c r="AH528" i="2"/>
  <c r="AD528" i="2"/>
  <c r="AF528" i="2" s="1"/>
  <c r="X528" i="2"/>
  <c r="AB528" i="2" s="1"/>
  <c r="AK528" i="2" s="1"/>
  <c r="W528" i="2"/>
  <c r="AH527" i="2"/>
  <c r="AD527" i="2"/>
  <c r="AF527" i="2" s="1"/>
  <c r="X527" i="2"/>
  <c r="AB527" i="2" s="1"/>
  <c r="AK527" i="2" s="1"/>
  <c r="W527" i="2"/>
  <c r="AH526" i="2"/>
  <c r="AD526" i="2"/>
  <c r="AF526" i="2" s="1"/>
  <c r="X526" i="2"/>
  <c r="W526" i="2"/>
  <c r="AH525" i="2"/>
  <c r="AD525" i="2"/>
  <c r="AF525" i="2" s="1"/>
  <c r="X525" i="2"/>
  <c r="W525" i="2"/>
  <c r="AH524" i="2"/>
  <c r="AD524" i="2"/>
  <c r="AF524" i="2" s="1"/>
  <c r="X524" i="2"/>
  <c r="AC524" i="2" s="1"/>
  <c r="W524" i="2"/>
  <c r="AH523" i="2"/>
  <c r="AD523" i="2"/>
  <c r="AF523" i="2" s="1"/>
  <c r="X523" i="2"/>
  <c r="W523" i="2"/>
  <c r="AH522" i="2"/>
  <c r="AD522" i="2"/>
  <c r="AF522" i="2" s="1"/>
  <c r="X522" i="2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AB519" i="2" s="1"/>
  <c r="AK519" i="2" s="1"/>
  <c r="W519" i="2"/>
  <c r="AH518" i="2"/>
  <c r="AD518" i="2"/>
  <c r="AF518" i="2" s="1"/>
  <c r="X518" i="2"/>
  <c r="AC518" i="2" s="1"/>
  <c r="W518" i="2"/>
  <c r="AH517" i="2"/>
  <c r="AD517" i="2"/>
  <c r="AF517" i="2" s="1"/>
  <c r="X517" i="2"/>
  <c r="AB517" i="2" s="1"/>
  <c r="AK517" i="2" s="1"/>
  <c r="W517" i="2"/>
  <c r="AH516" i="2"/>
  <c r="AD516" i="2"/>
  <c r="X516" i="2"/>
  <c r="W516" i="2"/>
  <c r="AH515" i="2"/>
  <c r="AD515" i="2"/>
  <c r="X515" i="2"/>
  <c r="AB515" i="2" s="1"/>
  <c r="AK515" i="2" s="1"/>
  <c r="W515" i="2"/>
  <c r="AH514" i="2"/>
  <c r="AD514" i="2"/>
  <c r="AF514" i="2" s="1"/>
  <c r="X514" i="2"/>
  <c r="AB514" i="2" s="1"/>
  <c r="AK514" i="2" s="1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W512" i="2"/>
  <c r="AH511" i="2"/>
  <c r="AD511" i="2"/>
  <c r="X511" i="2"/>
  <c r="AB511" i="2" s="1"/>
  <c r="AK511" i="2" s="1"/>
  <c r="W511" i="2"/>
  <c r="AH510" i="2"/>
  <c r="AD510" i="2"/>
  <c r="AF510" i="2" s="1"/>
  <c r="X510" i="2"/>
  <c r="AB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W508" i="2"/>
  <c r="AH507" i="2"/>
  <c r="AD507" i="2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AF504" i="2" s="1"/>
  <c r="X504" i="2"/>
  <c r="AB504" i="2" s="1"/>
  <c r="AK504" i="2" s="1"/>
  <c r="W504" i="2"/>
  <c r="AH503" i="2"/>
  <c r="AD503" i="2"/>
  <c r="X503" i="2"/>
  <c r="AB503" i="2" s="1"/>
  <c r="AK503" i="2" s="1"/>
  <c r="W503" i="2"/>
  <c r="AH502" i="2"/>
  <c r="AD502" i="2"/>
  <c r="X502" i="2"/>
  <c r="W502" i="2"/>
  <c r="AH501" i="2"/>
  <c r="AD501" i="2"/>
  <c r="AF501" i="2" s="1"/>
  <c r="X501" i="2"/>
  <c r="AC501" i="2" s="1"/>
  <c r="W501" i="2"/>
  <c r="AH500" i="2"/>
  <c r="AD500" i="2"/>
  <c r="AF500" i="2" s="1"/>
  <c r="X500" i="2"/>
  <c r="AB500" i="2" s="1"/>
  <c r="AK500" i="2" s="1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C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W492" i="2"/>
  <c r="AH491" i="2"/>
  <c r="AD491" i="2"/>
  <c r="AF491" i="2" s="1"/>
  <c r="X491" i="2"/>
  <c r="AB491" i="2" s="1"/>
  <c r="AK491" i="2" s="1"/>
  <c r="W491" i="2"/>
  <c r="AH490" i="2"/>
  <c r="AD490" i="2"/>
  <c r="AF490" i="2" s="1"/>
  <c r="X490" i="2"/>
  <c r="AC490" i="2" s="1"/>
  <c r="W490" i="2"/>
  <c r="AH489" i="2"/>
  <c r="AD489" i="2"/>
  <c r="AF489" i="2" s="1"/>
  <c r="X489" i="2"/>
  <c r="AB489" i="2" s="1"/>
  <c r="AK489" i="2" s="1"/>
  <c r="W489" i="2"/>
  <c r="AH488" i="2"/>
  <c r="AD488" i="2"/>
  <c r="AF488" i="2" s="1"/>
  <c r="X488" i="2"/>
  <c r="AB488" i="2" s="1"/>
  <c r="AK488" i="2" s="1"/>
  <c r="W488" i="2"/>
  <c r="AH487" i="2"/>
  <c r="AD487" i="2"/>
  <c r="X487" i="2"/>
  <c r="AB487" i="2" s="1"/>
  <c r="AK487" i="2" s="1"/>
  <c r="W487" i="2"/>
  <c r="AH486" i="2"/>
  <c r="AD486" i="2"/>
  <c r="AF486" i="2" s="1"/>
  <c r="X486" i="2"/>
  <c r="AC486" i="2" s="1"/>
  <c r="W486" i="2"/>
  <c r="AH485" i="2"/>
  <c r="AD485" i="2"/>
  <c r="AF485" i="2" s="1"/>
  <c r="X485" i="2"/>
  <c r="W485" i="2"/>
  <c r="AH484" i="2"/>
  <c r="AD484" i="2"/>
  <c r="AF484" i="2" s="1"/>
  <c r="X484" i="2"/>
  <c r="AC484" i="2" s="1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AC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C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W474" i="2"/>
  <c r="AH473" i="2"/>
  <c r="AD473" i="2"/>
  <c r="AF473" i="2" s="1"/>
  <c r="X473" i="2"/>
  <c r="AB473" i="2" s="1"/>
  <c r="AK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AF470" i="2" s="1"/>
  <c r="X470" i="2"/>
  <c r="AC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W468" i="2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W466" i="2"/>
  <c r="AH465" i="2"/>
  <c r="AD465" i="2"/>
  <c r="AF465" i="2" s="1"/>
  <c r="X465" i="2"/>
  <c r="AC465" i="2" s="1"/>
  <c r="W465" i="2"/>
  <c r="AH464" i="2"/>
  <c r="AD464" i="2"/>
  <c r="AF464" i="2" s="1"/>
  <c r="X464" i="2"/>
  <c r="AC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B461" i="2" s="1"/>
  <c r="AK461" i="2" s="1"/>
  <c r="W461" i="2"/>
  <c r="AH460" i="2"/>
  <c r="AD460" i="2"/>
  <c r="AF460" i="2" s="1"/>
  <c r="X460" i="2"/>
  <c r="AC460" i="2" s="1"/>
  <c r="W460" i="2"/>
  <c r="AH459" i="2"/>
  <c r="AD459" i="2"/>
  <c r="AF459" i="2" s="1"/>
  <c r="X459" i="2"/>
  <c r="W459" i="2"/>
  <c r="AH458" i="2"/>
  <c r="AD458" i="2"/>
  <c r="AF458" i="2" s="1"/>
  <c r="X458" i="2"/>
  <c r="AC458" i="2" s="1"/>
  <c r="W458" i="2"/>
  <c r="AH457" i="2"/>
  <c r="AD457" i="2"/>
  <c r="AF457" i="2" s="1"/>
  <c r="X457" i="2"/>
  <c r="AB457" i="2" s="1"/>
  <c r="AK457" i="2" s="1"/>
  <c r="W457" i="2"/>
  <c r="AH456" i="2"/>
  <c r="AD456" i="2"/>
  <c r="AF456" i="2" s="1"/>
  <c r="X456" i="2"/>
  <c r="AB456" i="2" s="1"/>
  <c r="AK456" i="2" s="1"/>
  <c r="W456" i="2"/>
  <c r="AH455" i="2"/>
  <c r="AD455" i="2"/>
  <c r="AF455" i="2" s="1"/>
  <c r="X455" i="2"/>
  <c r="AC455" i="2" s="1"/>
  <c r="W455" i="2"/>
  <c r="AH454" i="2"/>
  <c r="AD454" i="2"/>
  <c r="AF454" i="2" s="1"/>
  <c r="X454" i="2"/>
  <c r="AB454" i="2" s="1"/>
  <c r="AK454" i="2" s="1"/>
  <c r="W454" i="2"/>
  <c r="AH453" i="2"/>
  <c r="AD453" i="2"/>
  <c r="AF453" i="2" s="1"/>
  <c r="X453" i="2"/>
  <c r="AB453" i="2" s="1"/>
  <c r="AK453" i="2" s="1"/>
  <c r="W453" i="2"/>
  <c r="AH452" i="2"/>
  <c r="AD452" i="2"/>
  <c r="AF452" i="2" s="1"/>
  <c r="X452" i="2"/>
  <c r="AC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B448" i="2" s="1"/>
  <c r="AK448" i="2" s="1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AB445" i="2" s="1"/>
  <c r="AK445" i="2" s="1"/>
  <c r="W445" i="2"/>
  <c r="AH444" i="2"/>
  <c r="AD444" i="2"/>
  <c r="AF444" i="2" s="1"/>
  <c r="X444" i="2"/>
  <c r="AC444" i="2" s="1"/>
  <c r="W444" i="2"/>
  <c r="AH443" i="2"/>
  <c r="AD443" i="2"/>
  <c r="AF443" i="2" s="1"/>
  <c r="X443" i="2"/>
  <c r="AK443" i="2" s="1"/>
  <c r="W443" i="2"/>
  <c r="AH442" i="2"/>
  <c r="AD442" i="2"/>
  <c r="AF442" i="2" s="1"/>
  <c r="X442" i="2"/>
  <c r="AC442" i="2" s="1"/>
  <c r="W442" i="2"/>
  <c r="AH441" i="2"/>
  <c r="AD441" i="2"/>
  <c r="AF441" i="2" s="1"/>
  <c r="X441" i="2"/>
  <c r="AB441" i="2" s="1"/>
  <c r="AK441" i="2" s="1"/>
  <c r="W441" i="2"/>
  <c r="AH440" i="2"/>
  <c r="AD440" i="2"/>
  <c r="AF440" i="2" s="1"/>
  <c r="X440" i="2"/>
  <c r="W440" i="2"/>
  <c r="AH439" i="2"/>
  <c r="AD439" i="2"/>
  <c r="AF439" i="2" s="1"/>
  <c r="X439" i="2"/>
  <c r="AB439" i="2" s="1"/>
  <c r="AK439" i="2" s="1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B437" i="2" s="1"/>
  <c r="AK437" i="2" s="1"/>
  <c r="W437" i="2"/>
  <c r="AH436" i="2"/>
  <c r="AD436" i="2"/>
  <c r="AF436" i="2" s="1"/>
  <c r="X436" i="2"/>
  <c r="W436" i="2"/>
  <c r="AH435" i="2"/>
  <c r="AD435" i="2"/>
  <c r="AF435" i="2" s="1"/>
  <c r="X435" i="2"/>
  <c r="AB435" i="2" s="1"/>
  <c r="AK435" i="2" s="1"/>
  <c r="W435" i="2"/>
  <c r="AH434" i="2"/>
  <c r="AD434" i="2"/>
  <c r="AF434" i="2" s="1"/>
  <c r="X434" i="2"/>
  <c r="W434" i="2"/>
  <c r="AH433" i="2"/>
  <c r="AD433" i="2"/>
  <c r="AF433" i="2" s="1"/>
  <c r="X433" i="2"/>
  <c r="AB433" i="2" s="1"/>
  <c r="AK433" i="2" s="1"/>
  <c r="W433" i="2"/>
  <c r="AH432" i="2"/>
  <c r="AD432" i="2"/>
  <c r="AF432" i="2" s="1"/>
  <c r="X432" i="2"/>
  <c r="AB432" i="2" s="1"/>
  <c r="AK432" i="2" s="1"/>
  <c r="W432" i="2"/>
  <c r="AH431" i="2"/>
  <c r="AD431" i="2"/>
  <c r="AF431" i="2" s="1"/>
  <c r="X431" i="2"/>
  <c r="W431" i="2"/>
  <c r="AH430" i="2"/>
  <c r="AD430" i="2"/>
  <c r="X430" i="2"/>
  <c r="AB430" i="2" s="1"/>
  <c r="W430" i="2"/>
  <c r="AH429" i="2"/>
  <c r="AD429" i="2"/>
  <c r="AF429" i="2" s="1"/>
  <c r="X429" i="2"/>
  <c r="AB429" i="2" s="1"/>
  <c r="AK429" i="2" s="1"/>
  <c r="W429" i="2"/>
  <c r="AH428" i="2"/>
  <c r="AD428" i="2"/>
  <c r="X428" i="2"/>
  <c r="AB428" i="2" s="1"/>
  <c r="AK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C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B423" i="2" s="1"/>
  <c r="AK423" i="2" s="1"/>
  <c r="W423" i="2"/>
  <c r="AH422" i="2"/>
  <c r="AD422" i="2"/>
  <c r="AF422" i="2" s="1"/>
  <c r="X422" i="2"/>
  <c r="AB422" i="2" s="1"/>
  <c r="W422" i="2"/>
  <c r="AH421" i="2"/>
  <c r="AD421" i="2"/>
  <c r="AF421" i="2" s="1"/>
  <c r="X421" i="2"/>
  <c r="AC421" i="2" s="1"/>
  <c r="W421" i="2"/>
  <c r="AH420" i="2"/>
  <c r="AD420" i="2"/>
  <c r="AF420" i="2" s="1"/>
  <c r="X420" i="2"/>
  <c r="AB420" i="2" s="1"/>
  <c r="AK420" i="2" s="1"/>
  <c r="W420" i="2"/>
  <c r="AH419" i="2"/>
  <c r="AD419" i="2"/>
  <c r="AF419" i="2" s="1"/>
  <c r="X419" i="2"/>
  <c r="AB419" i="2" s="1"/>
  <c r="AK419" i="2" s="1"/>
  <c r="W419" i="2"/>
  <c r="AH418" i="2"/>
  <c r="AD418" i="2"/>
  <c r="X418" i="2"/>
  <c r="W418" i="2"/>
  <c r="AH417" i="2"/>
  <c r="AD417" i="2"/>
  <c r="AF417" i="2" s="1"/>
  <c r="X417" i="2"/>
  <c r="AC417" i="2" s="1"/>
  <c r="W417" i="2"/>
  <c r="AH416" i="2"/>
  <c r="AD416" i="2"/>
  <c r="AF416" i="2" s="1"/>
  <c r="X416" i="2"/>
  <c r="AB416" i="2" s="1"/>
  <c r="AK416" i="2" s="1"/>
  <c r="W416" i="2"/>
  <c r="AH415" i="2"/>
  <c r="AD415" i="2"/>
  <c r="AF415" i="2" s="1"/>
  <c r="X415" i="2"/>
  <c r="AB415" i="2" s="1"/>
  <c r="AK415" i="2" s="1"/>
  <c r="W415" i="2"/>
  <c r="AH414" i="2"/>
  <c r="AD414" i="2"/>
  <c r="AF414" i="2" s="1"/>
  <c r="X414" i="2"/>
  <c r="AC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AF406" i="2" s="1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C400" i="2" s="1"/>
  <c r="W400" i="2"/>
  <c r="AH399" i="2"/>
  <c r="AD399" i="2"/>
  <c r="AF399" i="2" s="1"/>
  <c r="X399" i="2"/>
  <c r="AC399" i="2" s="1"/>
  <c r="W399" i="2"/>
  <c r="AH398" i="2"/>
  <c r="AD398" i="2"/>
  <c r="AF398" i="2" s="1"/>
  <c r="X398" i="2"/>
  <c r="AC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C396" i="2" s="1"/>
  <c r="W396" i="2"/>
  <c r="AH395" i="2"/>
  <c r="AD395" i="2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W393" i="2"/>
  <c r="AH392" i="2"/>
  <c r="AD392" i="2"/>
  <c r="AF392" i="2" s="1"/>
  <c r="X392" i="2"/>
  <c r="AC392" i="2" s="1"/>
  <c r="W392" i="2"/>
  <c r="AH391" i="2"/>
  <c r="AD391" i="2"/>
  <c r="AF391" i="2" s="1"/>
  <c r="X391" i="2"/>
  <c r="AB391" i="2" s="1"/>
  <c r="AK391" i="2" s="1"/>
  <c r="W391" i="2"/>
  <c r="AH390" i="2"/>
  <c r="AD390" i="2"/>
  <c r="AF390" i="2" s="1"/>
  <c r="X390" i="2"/>
  <c r="AB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C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AF383" i="2" s="1"/>
  <c r="X383" i="2"/>
  <c r="AB383" i="2" s="1"/>
  <c r="AK383" i="2" s="1"/>
  <c r="W383" i="2"/>
  <c r="AH382" i="2"/>
  <c r="AD382" i="2"/>
  <c r="AF382" i="2" s="1"/>
  <c r="X382" i="2"/>
  <c r="AB382" i="2" s="1"/>
  <c r="AK382" i="2" s="1"/>
  <c r="W382" i="2"/>
  <c r="AH381" i="2"/>
  <c r="AD381" i="2"/>
  <c r="AF381" i="2" s="1"/>
  <c r="X381" i="2"/>
  <c r="AB381" i="2" s="1"/>
  <c r="AK381" i="2" s="1"/>
  <c r="W381" i="2"/>
  <c r="AH380" i="2"/>
  <c r="AD380" i="2"/>
  <c r="AF380" i="2" s="1"/>
  <c r="X380" i="2"/>
  <c r="AB380" i="2" s="1"/>
  <c r="AK380" i="2" s="1"/>
  <c r="W380" i="2"/>
  <c r="AH379" i="2"/>
  <c r="AD379" i="2"/>
  <c r="AF379" i="2" s="1"/>
  <c r="X379" i="2"/>
  <c r="AB379" i="2" s="1"/>
  <c r="AK379" i="2" s="1"/>
  <c r="W379" i="2"/>
  <c r="AH378" i="2"/>
  <c r="AD378" i="2"/>
  <c r="AF378" i="2" s="1"/>
  <c r="X378" i="2"/>
  <c r="AB378" i="2" s="1"/>
  <c r="AK378" i="2" s="1"/>
  <c r="W378" i="2"/>
  <c r="AH377" i="2"/>
  <c r="AD377" i="2"/>
  <c r="AF377" i="2" s="1"/>
  <c r="X377" i="2"/>
  <c r="AB377" i="2" s="1"/>
  <c r="AK377" i="2" s="1"/>
  <c r="W377" i="2"/>
  <c r="AH376" i="2"/>
  <c r="AD376" i="2"/>
  <c r="AF376" i="2" s="1"/>
  <c r="X376" i="2"/>
  <c r="W376" i="2"/>
  <c r="AH375" i="2"/>
  <c r="AD375" i="2"/>
  <c r="AF375" i="2" s="1"/>
  <c r="X375" i="2"/>
  <c r="AC375" i="2" s="1"/>
  <c r="W375" i="2"/>
  <c r="AH374" i="2"/>
  <c r="AD374" i="2"/>
  <c r="AF374" i="2" s="1"/>
  <c r="X374" i="2"/>
  <c r="AC374" i="2" s="1"/>
  <c r="W374" i="2"/>
  <c r="AH373" i="2"/>
  <c r="AD373" i="2"/>
  <c r="AF373" i="2" s="1"/>
  <c r="X373" i="2"/>
  <c r="AB373" i="2" s="1"/>
  <c r="AK373" i="2" s="1"/>
  <c r="W373" i="2"/>
  <c r="AH372" i="2"/>
  <c r="AD372" i="2"/>
  <c r="AF372" i="2" s="1"/>
  <c r="X372" i="2"/>
  <c r="AB372" i="2" s="1"/>
  <c r="AK372" i="2" s="1"/>
  <c r="W372" i="2"/>
  <c r="AH371" i="2"/>
  <c r="AD371" i="2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B369" i="2" s="1"/>
  <c r="AK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C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B365" i="2" s="1"/>
  <c r="AK365" i="2" s="1"/>
  <c r="W365" i="2"/>
  <c r="AH364" i="2"/>
  <c r="AD364" i="2"/>
  <c r="AF364" i="2" s="1"/>
  <c r="X364" i="2"/>
  <c r="AC364" i="2" s="1"/>
  <c r="W364" i="2"/>
  <c r="AH363" i="2"/>
  <c r="AD363" i="2"/>
  <c r="X363" i="2"/>
  <c r="AB363" i="2" s="1"/>
  <c r="AK363" i="2" s="1"/>
  <c r="W363" i="2"/>
  <c r="AH362" i="2"/>
  <c r="AD362" i="2"/>
  <c r="AF362" i="2" s="1"/>
  <c r="X362" i="2"/>
  <c r="W362" i="2"/>
  <c r="AH361" i="2"/>
  <c r="AD361" i="2"/>
  <c r="AF361" i="2" s="1"/>
  <c r="X361" i="2"/>
  <c r="AB361" i="2" s="1"/>
  <c r="AK361" i="2" s="1"/>
  <c r="W361" i="2"/>
  <c r="AH360" i="2"/>
  <c r="AD360" i="2"/>
  <c r="AF360" i="2" s="1"/>
  <c r="X360" i="2"/>
  <c r="AC360" i="2" s="1"/>
  <c r="W360" i="2"/>
  <c r="AH359" i="2"/>
  <c r="AD359" i="2"/>
  <c r="AF359" i="2" s="1"/>
  <c r="X359" i="2"/>
  <c r="AB359" i="2" s="1"/>
  <c r="AK359" i="2" s="1"/>
  <c r="W359" i="2"/>
  <c r="AH358" i="2"/>
  <c r="AD358" i="2"/>
  <c r="X358" i="2"/>
  <c r="AB358" i="2" s="1"/>
  <c r="AK358" i="2" s="1"/>
  <c r="W358" i="2"/>
  <c r="AH357" i="2"/>
  <c r="AD357" i="2"/>
  <c r="AF357" i="2" s="1"/>
  <c r="X357" i="2"/>
  <c r="AB357" i="2" s="1"/>
  <c r="AK357" i="2" s="1"/>
  <c r="W357" i="2"/>
  <c r="AH356" i="2"/>
  <c r="AD356" i="2"/>
  <c r="AF356" i="2" s="1"/>
  <c r="X356" i="2"/>
  <c r="AB356" i="2" s="1"/>
  <c r="W356" i="2"/>
  <c r="AH355" i="2"/>
  <c r="AD355" i="2"/>
  <c r="AF355" i="2" s="1"/>
  <c r="X355" i="2"/>
  <c r="AB355" i="2" s="1"/>
  <c r="AK355" i="2" s="1"/>
  <c r="W355" i="2"/>
  <c r="AH354" i="2"/>
  <c r="AD354" i="2"/>
  <c r="AF354" i="2" s="1"/>
  <c r="X354" i="2"/>
  <c r="W354" i="2"/>
  <c r="AH353" i="2"/>
  <c r="AD353" i="2"/>
  <c r="AF353" i="2" s="1"/>
  <c r="X353" i="2"/>
  <c r="AB353" i="2" s="1"/>
  <c r="AK353" i="2" s="1"/>
  <c r="W353" i="2"/>
  <c r="AH352" i="2"/>
  <c r="AD352" i="2"/>
  <c r="AF352" i="2" s="1"/>
  <c r="X352" i="2"/>
  <c r="AB352" i="2" s="1"/>
  <c r="W352" i="2"/>
  <c r="AH351" i="2"/>
  <c r="AD351" i="2"/>
  <c r="AF351" i="2" s="1"/>
  <c r="X351" i="2"/>
  <c r="AB351" i="2" s="1"/>
  <c r="AK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B347" i="2" s="1"/>
  <c r="AK347" i="2" s="1"/>
  <c r="W347" i="2"/>
  <c r="AH346" i="2"/>
  <c r="AD346" i="2"/>
  <c r="AF346" i="2" s="1"/>
  <c r="X346" i="2"/>
  <c r="W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AB344" i="2" s="1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AF341" i="2" s="1"/>
  <c r="W341" i="2"/>
  <c r="AH340" i="2"/>
  <c r="AD340" i="2"/>
  <c r="AF340" i="2" s="1"/>
  <c r="X340" i="2"/>
  <c r="AB340" i="2" s="1"/>
  <c r="W340" i="2"/>
  <c r="AH339" i="2"/>
  <c r="AD339" i="2"/>
  <c r="AF339" i="2" s="1"/>
  <c r="X339" i="2"/>
  <c r="AB339" i="2" s="1"/>
  <c r="AK339" i="2" s="1"/>
  <c r="AH338" i="2"/>
  <c r="AD338" i="2"/>
  <c r="AF338" i="2" s="1"/>
  <c r="X338" i="2"/>
  <c r="AB338" i="2" s="1"/>
  <c r="AK338" i="2" s="1"/>
  <c r="AH337" i="2"/>
  <c r="AD337" i="2"/>
  <c r="X337" i="2"/>
  <c r="AC337" i="2" s="1"/>
  <c r="W337" i="2"/>
  <c r="AH336" i="2"/>
  <c r="AD336" i="2"/>
  <c r="AF336" i="2" s="1"/>
  <c r="X336" i="2"/>
  <c r="AC336" i="2" s="1"/>
  <c r="W336" i="2"/>
  <c r="AH335" i="2"/>
  <c r="AD335" i="2"/>
  <c r="AF335" i="2" s="1"/>
  <c r="X335" i="2"/>
  <c r="AC335" i="2" s="1"/>
  <c r="W335" i="2"/>
  <c r="AH334" i="2"/>
  <c r="AD334" i="2"/>
  <c r="AF334" i="2" s="1"/>
  <c r="X334" i="2"/>
  <c r="AB334" i="2" s="1"/>
  <c r="AK334" i="2" s="1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AF330" i="2" s="1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AB328" i="2" s="1"/>
  <c r="AK328" i="2" s="1"/>
  <c r="W328" i="2"/>
  <c r="AH327" i="2"/>
  <c r="AD327" i="2"/>
  <c r="AF327" i="2" s="1"/>
  <c r="X327" i="2"/>
  <c r="AB327" i="2" s="1"/>
  <c r="W327" i="2"/>
  <c r="AH326" i="2"/>
  <c r="AD326" i="2"/>
  <c r="AF326" i="2" s="1"/>
  <c r="X326" i="2"/>
  <c r="W326" i="2"/>
  <c r="AH325" i="2"/>
  <c r="AD325" i="2"/>
  <c r="AF325" i="2" s="1"/>
  <c r="X325" i="2"/>
  <c r="W325" i="2"/>
  <c r="AH324" i="2"/>
  <c r="AD324" i="2"/>
  <c r="AF324" i="2" s="1"/>
  <c r="X324" i="2"/>
  <c r="AB324" i="2" s="1"/>
  <c r="AK324" i="2" s="1"/>
  <c r="W324" i="2"/>
  <c r="AH323" i="2"/>
  <c r="AD323" i="2"/>
  <c r="AF323" i="2" s="1"/>
  <c r="X323" i="2"/>
  <c r="AB323" i="2" s="1"/>
  <c r="AK323" i="2" s="1"/>
  <c r="W323" i="2"/>
  <c r="AH322" i="2"/>
  <c r="AD322" i="2"/>
  <c r="AF322" i="2" s="1"/>
  <c r="X322" i="2"/>
  <c r="AB322" i="2" s="1"/>
  <c r="AK322" i="2" s="1"/>
  <c r="W322" i="2"/>
  <c r="AH321" i="2"/>
  <c r="AD321" i="2"/>
  <c r="AF321" i="2" s="1"/>
  <c r="X321" i="2"/>
  <c r="AC321" i="2" s="1"/>
  <c r="W321" i="2"/>
  <c r="AH320" i="2"/>
  <c r="AD320" i="2"/>
  <c r="AF320" i="2" s="1"/>
  <c r="X320" i="2"/>
  <c r="AB320" i="2" s="1"/>
  <c r="AK320" i="2" s="1"/>
  <c r="W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B318" i="2" s="1"/>
  <c r="AK318" i="2" s="1"/>
  <c r="W318" i="2"/>
  <c r="AH317" i="2"/>
  <c r="AD317" i="2"/>
  <c r="X317" i="2"/>
  <c r="AB317" i="2" s="1"/>
  <c r="AK317" i="2" s="1"/>
  <c r="W317" i="2"/>
  <c r="AH316" i="2"/>
  <c r="AD316" i="2"/>
  <c r="AF316" i="2" s="1"/>
  <c r="X316" i="2"/>
  <c r="AB316" i="2" s="1"/>
  <c r="AK316" i="2" s="1"/>
  <c r="W316" i="2"/>
  <c r="AH315" i="2"/>
  <c r="AD315" i="2"/>
  <c r="X315" i="2"/>
  <c r="AB315" i="2" s="1"/>
  <c r="AK315" i="2" s="1"/>
  <c r="W315" i="2"/>
  <c r="AH314" i="2"/>
  <c r="AD314" i="2"/>
  <c r="AF314" i="2" s="1"/>
  <c r="X314" i="2"/>
  <c r="AB314" i="2" s="1"/>
  <c r="AK314" i="2" s="1"/>
  <c r="W314" i="2"/>
  <c r="AH313" i="2"/>
  <c r="AD313" i="2"/>
  <c r="AF313" i="2" s="1"/>
  <c r="X313" i="2"/>
  <c r="W313" i="2"/>
  <c r="AH312" i="2"/>
  <c r="AD312" i="2"/>
  <c r="X312" i="2"/>
  <c r="AB312" i="2" s="1"/>
  <c r="AK312" i="2" s="1"/>
  <c r="W312" i="2"/>
  <c r="AH311" i="2"/>
  <c r="AD311" i="2"/>
  <c r="X311" i="2"/>
  <c r="W311" i="2"/>
  <c r="AH310" i="2"/>
  <c r="AD310" i="2"/>
  <c r="AF310" i="2" s="1"/>
  <c r="X310" i="2"/>
  <c r="AB310" i="2" s="1"/>
  <c r="AK310" i="2" s="1"/>
  <c r="W310" i="2"/>
  <c r="AH309" i="2"/>
  <c r="AD309" i="2"/>
  <c r="AF309" i="2" s="1"/>
  <c r="X309" i="2"/>
  <c r="AB309" i="2" s="1"/>
  <c r="AK309" i="2" s="1"/>
  <c r="W309" i="2"/>
  <c r="AH308" i="2"/>
  <c r="AD308" i="2"/>
  <c r="AF308" i="2" s="1"/>
  <c r="X308" i="2"/>
  <c r="AB308" i="2" s="1"/>
  <c r="AK308" i="2" s="1"/>
  <c r="W308" i="2"/>
  <c r="AH307" i="2"/>
  <c r="AD307" i="2"/>
  <c r="AF307" i="2" s="1"/>
  <c r="X307" i="2"/>
  <c r="AC307" i="2" s="1"/>
  <c r="W307" i="2"/>
  <c r="AH306" i="2"/>
  <c r="AD306" i="2"/>
  <c r="AF306" i="2" s="1"/>
  <c r="X306" i="2"/>
  <c r="AB306" i="2" s="1"/>
  <c r="AK306" i="2" s="1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W300" i="2"/>
  <c r="AH299" i="2"/>
  <c r="AD299" i="2"/>
  <c r="AF299" i="2" s="1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X296" i="2"/>
  <c r="AC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AB292" i="2" s="1"/>
  <c r="AK292" i="2" s="1"/>
  <c r="W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X288" i="2"/>
  <c r="AB288" i="2" s="1"/>
  <c r="AK288" i="2" s="1"/>
  <c r="W288" i="2"/>
  <c r="AH287" i="2"/>
  <c r="AD287" i="2"/>
  <c r="AF287" i="2" s="1"/>
  <c r="X287" i="2"/>
  <c r="AB287" i="2" s="1"/>
  <c r="AK287" i="2" s="1"/>
  <c r="W287" i="2"/>
  <c r="AH286" i="2"/>
  <c r="AD286" i="2"/>
  <c r="AF286" i="2" s="1"/>
  <c r="X286" i="2"/>
  <c r="AB286" i="2" s="1"/>
  <c r="AK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C284" i="2" s="1"/>
  <c r="W284" i="2"/>
  <c r="AH283" i="2"/>
  <c r="AD283" i="2"/>
  <c r="AF283" i="2" s="1"/>
  <c r="X283" i="2"/>
  <c r="AB283" i="2" s="1"/>
  <c r="AK283" i="2" s="1"/>
  <c r="W283" i="2"/>
  <c r="AH282" i="2"/>
  <c r="AD282" i="2"/>
  <c r="AF282" i="2" s="1"/>
  <c r="X282" i="2"/>
  <c r="AB282" i="2" s="1"/>
  <c r="AK282" i="2" s="1"/>
  <c r="W282" i="2"/>
  <c r="AH281" i="2"/>
  <c r="AD281" i="2"/>
  <c r="X281" i="2"/>
  <c r="AB281" i="2" s="1"/>
  <c r="AK281" i="2" s="1"/>
  <c r="W281" i="2"/>
  <c r="AH280" i="2"/>
  <c r="AD280" i="2"/>
  <c r="X280" i="2"/>
  <c r="AB280" i="2" s="1"/>
  <c r="AK280" i="2" s="1"/>
  <c r="W280" i="2"/>
  <c r="AH279" i="2"/>
  <c r="AD279" i="2"/>
  <c r="AF279" i="2" s="1"/>
  <c r="X279" i="2"/>
  <c r="AB279" i="2" s="1"/>
  <c r="AK279" i="2" s="1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W276" i="2"/>
  <c r="AH275" i="2"/>
  <c r="AD275" i="2"/>
  <c r="X275" i="2"/>
  <c r="AB275" i="2" s="1"/>
  <c r="AK275" i="2" s="1"/>
  <c r="W275" i="2"/>
  <c r="AH274" i="2"/>
  <c r="AD274" i="2"/>
  <c r="AF274" i="2" s="1"/>
  <c r="X274" i="2"/>
  <c r="AB274" i="2" s="1"/>
  <c r="AK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H267" i="2"/>
  <c r="AD267" i="2"/>
  <c r="AF267" i="2" s="1"/>
  <c r="X267" i="2"/>
  <c r="AB267" i="2" s="1"/>
  <c r="AK267" i="2" s="1"/>
  <c r="W267" i="2"/>
  <c r="AH266" i="2"/>
  <c r="AD266" i="2"/>
  <c r="X266" i="2"/>
  <c r="AB266" i="2" s="1"/>
  <c r="AK266" i="2" s="1"/>
  <c r="W266" i="2"/>
  <c r="AH265" i="2"/>
  <c r="AD265" i="2"/>
  <c r="AF265" i="2" s="1"/>
  <c r="X265" i="2"/>
  <c r="AC265" i="2" s="1"/>
  <c r="W265" i="2"/>
  <c r="AH264" i="2"/>
  <c r="AD264" i="2"/>
  <c r="AF264" i="2" s="1"/>
  <c r="X264" i="2"/>
  <c r="AB264" i="2" s="1"/>
  <c r="AK264" i="2" s="1"/>
  <c r="AH263" i="2"/>
  <c r="AD263" i="2"/>
  <c r="AF263" i="2" s="1"/>
  <c r="X263" i="2"/>
  <c r="AB263" i="2" s="1"/>
  <c r="AK263" i="2" s="1"/>
  <c r="W263" i="2"/>
  <c r="AH262" i="2"/>
  <c r="AD262" i="2"/>
  <c r="AF262" i="2" s="1"/>
  <c r="X262" i="2"/>
  <c r="AC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W259" i="2"/>
  <c r="AH258" i="2"/>
  <c r="AD258" i="2"/>
  <c r="AF258" i="2" s="1"/>
  <c r="X258" i="2"/>
  <c r="W258" i="2"/>
  <c r="AH257" i="2"/>
  <c r="AD257" i="2"/>
  <c r="AF257" i="2" s="1"/>
  <c r="X257" i="2"/>
  <c r="AB257" i="2" s="1"/>
  <c r="AK257" i="2" s="1"/>
  <c r="W257" i="2"/>
  <c r="AH256" i="2"/>
  <c r="AD256" i="2"/>
  <c r="AF256" i="2" s="1"/>
  <c r="X256" i="2"/>
  <c r="AB256" i="2" s="1"/>
  <c r="AK256" i="2" s="1"/>
  <c r="W256" i="2"/>
  <c r="AH255" i="2"/>
  <c r="AD255" i="2"/>
  <c r="X255" i="2"/>
  <c r="AB255" i="2" s="1"/>
  <c r="AK255" i="2" s="1"/>
  <c r="W255" i="2"/>
  <c r="AH254" i="2"/>
  <c r="AD254" i="2"/>
  <c r="AF254" i="2" s="1"/>
  <c r="X254" i="2"/>
  <c r="AB254" i="2" s="1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C252" i="2" s="1"/>
  <c r="W252" i="2"/>
  <c r="AH251" i="2"/>
  <c r="AD251" i="2"/>
  <c r="AF251" i="2" s="1"/>
  <c r="X251" i="2"/>
  <c r="AB251" i="2" s="1"/>
  <c r="AK251" i="2" s="1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AB246" i="2" s="1"/>
  <c r="AK246" i="2" s="1"/>
  <c r="AH245" i="2"/>
  <c r="AD245" i="2"/>
  <c r="X245" i="2"/>
  <c r="AH244" i="2"/>
  <c r="AD244" i="2"/>
  <c r="AF244" i="2" s="1"/>
  <c r="X244" i="2"/>
  <c r="AC244" i="2" s="1"/>
  <c r="W244" i="2"/>
  <c r="AH243" i="2"/>
  <c r="AD243" i="2"/>
  <c r="AF243" i="2" s="1"/>
  <c r="X243" i="2"/>
  <c r="AC243" i="2" s="1"/>
  <c r="W243" i="2"/>
  <c r="AH242" i="2"/>
  <c r="AD242" i="2"/>
  <c r="AF242" i="2" s="1"/>
  <c r="X242" i="2"/>
  <c r="AB242" i="2" s="1"/>
  <c r="AK242" i="2" s="1"/>
  <c r="AH241" i="2"/>
  <c r="AD241" i="2"/>
  <c r="X241" i="2"/>
  <c r="AH240" i="2"/>
  <c r="AD240" i="2"/>
  <c r="AF240" i="2" s="1"/>
  <c r="X240" i="2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B237" i="2" s="1"/>
  <c r="AK237" i="2" s="1"/>
  <c r="W237" i="2"/>
  <c r="AH236" i="2"/>
  <c r="AD236" i="2"/>
  <c r="AF236" i="2" s="1"/>
  <c r="X236" i="2"/>
  <c r="AB236" i="2" s="1"/>
  <c r="AK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W232" i="2"/>
  <c r="AH231" i="2"/>
  <c r="AD231" i="2"/>
  <c r="X231" i="2"/>
  <c r="AB231" i="2" s="1"/>
  <c r="AK231" i="2" s="1"/>
  <c r="W231" i="2"/>
  <c r="AH230" i="2"/>
  <c r="AD230" i="2"/>
  <c r="AF230" i="2" s="1"/>
  <c r="X230" i="2"/>
  <c r="W230" i="2"/>
  <c r="AH229" i="2"/>
  <c r="AD229" i="2"/>
  <c r="AF229" i="2" s="1"/>
  <c r="X229" i="2"/>
  <c r="AC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C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B224" i="2" s="1"/>
  <c r="AK224" i="2" s="1"/>
  <c r="W224" i="2"/>
  <c r="AH223" i="2"/>
  <c r="AD223" i="2"/>
  <c r="AF223" i="2" s="1"/>
  <c r="X223" i="2"/>
  <c r="AB223" i="2" s="1"/>
  <c r="AK223" i="2" s="1"/>
  <c r="W223" i="2"/>
  <c r="AH222" i="2"/>
  <c r="AD222" i="2"/>
  <c r="AF222" i="2" s="1"/>
  <c r="X222" i="2"/>
  <c r="AB222" i="2" s="1"/>
  <c r="AK222" i="2" s="1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W220" i="2"/>
  <c r="AH219" i="2"/>
  <c r="AD219" i="2"/>
  <c r="X219" i="2"/>
  <c r="AB219" i="2" s="1"/>
  <c r="AK219" i="2" s="1"/>
  <c r="W219" i="2"/>
  <c r="AH218" i="2"/>
  <c r="AD218" i="2"/>
  <c r="AF218" i="2" s="1"/>
  <c r="X218" i="2"/>
  <c r="AB218" i="2" s="1"/>
  <c r="AK218" i="2" s="1"/>
  <c r="W218" i="2"/>
  <c r="AH217" i="2"/>
  <c r="AD217" i="2"/>
  <c r="X217" i="2"/>
  <c r="AB217" i="2" s="1"/>
  <c r="AK217" i="2" s="1"/>
  <c r="W217" i="2"/>
  <c r="AH216" i="2"/>
  <c r="AD216" i="2"/>
  <c r="AF216" i="2" s="1"/>
  <c r="X216" i="2"/>
  <c r="AB216" i="2" s="1"/>
  <c r="AK216" i="2" s="1"/>
  <c r="W216" i="2"/>
  <c r="AH215" i="2"/>
  <c r="AD215" i="2"/>
  <c r="AF215" i="2" s="1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W212" i="2"/>
  <c r="AH211" i="2"/>
  <c r="AD211" i="2"/>
  <c r="AF211" i="2" s="1"/>
  <c r="X211" i="2"/>
  <c r="AB211" i="2" s="1"/>
  <c r="AK211" i="2" s="1"/>
  <c r="W211" i="2"/>
  <c r="AH210" i="2"/>
  <c r="AD210" i="2"/>
  <c r="AF210" i="2" s="1"/>
  <c r="X210" i="2"/>
  <c r="AK210" i="2" s="1"/>
  <c r="W210" i="2"/>
  <c r="AH209" i="2"/>
  <c r="AD209" i="2"/>
  <c r="AF209" i="2" s="1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AB207" i="2" s="1"/>
  <c r="AK207" i="2" s="1"/>
  <c r="W207" i="2"/>
  <c r="AH206" i="2"/>
  <c r="AD206" i="2"/>
  <c r="AF206" i="2" s="1"/>
  <c r="X206" i="2"/>
  <c r="AB206" i="2" s="1"/>
  <c r="AK206" i="2" s="1"/>
  <c r="W206" i="2"/>
  <c r="AH205" i="2"/>
  <c r="AD205" i="2"/>
  <c r="X205" i="2"/>
  <c r="AB205" i="2" s="1"/>
  <c r="AK205" i="2" s="1"/>
  <c r="W205" i="2"/>
  <c r="AH204" i="2"/>
  <c r="AD204" i="2"/>
  <c r="AF204" i="2" s="1"/>
  <c r="X204" i="2"/>
  <c r="AB204" i="2" s="1"/>
  <c r="AK204" i="2" s="1"/>
  <c r="W204" i="2"/>
  <c r="AH203" i="2"/>
  <c r="AD203" i="2"/>
  <c r="AF203" i="2" s="1"/>
  <c r="X203" i="2"/>
  <c r="AC203" i="2" s="1"/>
  <c r="AH202" i="2"/>
  <c r="AD202" i="2"/>
  <c r="X202" i="2"/>
  <c r="AB202" i="2" s="1"/>
  <c r="AK202" i="2" s="1"/>
  <c r="W202" i="2"/>
  <c r="AH201" i="2"/>
  <c r="AD201" i="2"/>
  <c r="AF201" i="2" s="1"/>
  <c r="X201" i="2"/>
  <c r="AC201" i="2" s="1"/>
  <c r="W201" i="2"/>
  <c r="AH200" i="2"/>
  <c r="AD200" i="2"/>
  <c r="AF200" i="2" s="1"/>
  <c r="X200" i="2"/>
  <c r="AB200" i="2" s="1"/>
  <c r="AK200" i="2" s="1"/>
  <c r="W200" i="2"/>
  <c r="AH199" i="2"/>
  <c r="AD199" i="2"/>
  <c r="AF199" i="2" s="1"/>
  <c r="X199" i="2"/>
  <c r="AB199" i="2" s="1"/>
  <c r="AK199" i="2" s="1"/>
  <c r="W199" i="2"/>
  <c r="AH198" i="2"/>
  <c r="AD198" i="2"/>
  <c r="X198" i="2"/>
  <c r="AB198" i="2" s="1"/>
  <c r="AK198" i="2" s="1"/>
  <c r="W198" i="2"/>
  <c r="AH197" i="2"/>
  <c r="AD197" i="2"/>
  <c r="AF197" i="2" s="1"/>
  <c r="X197" i="2"/>
  <c r="AB197" i="2" s="1"/>
  <c r="AK197" i="2" s="1"/>
  <c r="W197" i="2"/>
  <c r="AH196" i="2"/>
  <c r="AD196" i="2"/>
  <c r="AF196" i="2" s="1"/>
  <c r="X196" i="2"/>
  <c r="AB196" i="2" s="1"/>
  <c r="AK196" i="2" s="1"/>
  <c r="W196" i="2"/>
  <c r="AH195" i="2"/>
  <c r="AD195" i="2"/>
  <c r="AF195" i="2" s="1"/>
  <c r="X195" i="2"/>
  <c r="AB195" i="2" s="1"/>
  <c r="AK195" i="2" s="1"/>
  <c r="W195" i="2"/>
  <c r="AH194" i="2"/>
  <c r="AD194" i="2"/>
  <c r="X194" i="2"/>
  <c r="AB194" i="2" s="1"/>
  <c r="AK194" i="2" s="1"/>
  <c r="W194" i="2"/>
  <c r="AH193" i="2"/>
  <c r="AD193" i="2"/>
  <c r="AF193" i="2" s="1"/>
  <c r="X193" i="2"/>
  <c r="AB193" i="2" s="1"/>
  <c r="AK193" i="2" s="1"/>
  <c r="W193" i="2"/>
  <c r="AH192" i="2"/>
  <c r="AD192" i="2"/>
  <c r="X192" i="2"/>
  <c r="AB192" i="2" s="1"/>
  <c r="AK192" i="2" s="1"/>
  <c r="W192" i="2"/>
  <c r="AH191" i="2"/>
  <c r="AD191" i="2"/>
  <c r="AF191" i="2" s="1"/>
  <c r="X191" i="2"/>
  <c r="AC191" i="2" s="1"/>
  <c r="W191" i="2"/>
  <c r="AH190" i="2"/>
  <c r="AD190" i="2"/>
  <c r="AF190" i="2" s="1"/>
  <c r="X190" i="2"/>
  <c r="AC190" i="2" s="1"/>
  <c r="W190" i="2"/>
  <c r="AH189" i="2"/>
  <c r="AD189" i="2"/>
  <c r="X189" i="2"/>
  <c r="AB189" i="2" s="1"/>
  <c r="AK189" i="2" s="1"/>
  <c r="W189" i="2"/>
  <c r="AH188" i="2"/>
  <c r="AD188" i="2"/>
  <c r="X188" i="2"/>
  <c r="AC188" i="2" s="1"/>
  <c r="W188" i="2"/>
  <c r="AH187" i="2"/>
  <c r="AD187" i="2"/>
  <c r="AF187" i="2" s="1"/>
  <c r="X187" i="2"/>
  <c r="AB187" i="2" s="1"/>
  <c r="AK187" i="2" s="1"/>
  <c r="AH186" i="2"/>
  <c r="AD186" i="2"/>
  <c r="AF186" i="2" s="1"/>
  <c r="X186" i="2"/>
  <c r="AB186" i="2" s="1"/>
  <c r="AK186" i="2" s="1"/>
  <c r="W186" i="2"/>
  <c r="AH185" i="2"/>
  <c r="AD185" i="2"/>
  <c r="AF185" i="2" s="1"/>
  <c r="X185" i="2"/>
  <c r="AB185" i="2" s="1"/>
  <c r="AK185" i="2" s="1"/>
  <c r="W185" i="2"/>
  <c r="AH184" i="2"/>
  <c r="AD184" i="2"/>
  <c r="AF184" i="2" s="1"/>
  <c r="X184" i="2"/>
  <c r="AC184" i="2" s="1"/>
  <c r="W184" i="2"/>
  <c r="AH183" i="2"/>
  <c r="AD183" i="2"/>
  <c r="AF183" i="2" s="1"/>
  <c r="X183" i="2"/>
  <c r="AB183" i="2" s="1"/>
  <c r="AK183" i="2" s="1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AC180" i="2" s="1"/>
  <c r="W180" i="2"/>
  <c r="AH179" i="2"/>
  <c r="AD179" i="2"/>
  <c r="AF179" i="2" s="1"/>
  <c r="X179" i="2"/>
  <c r="AB179" i="2" s="1"/>
  <c r="AK179" i="2" s="1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AB177" i="2" s="1"/>
  <c r="AK177" i="2" s="1"/>
  <c r="W177" i="2"/>
  <c r="AH176" i="2"/>
  <c r="AD176" i="2"/>
  <c r="AF176" i="2" s="1"/>
  <c r="X176" i="2"/>
  <c r="AC176" i="2" s="1"/>
  <c r="W176" i="2"/>
  <c r="AH175" i="2"/>
  <c r="AD175" i="2"/>
  <c r="Y175" i="2" s="1"/>
  <c r="AC175" i="2"/>
  <c r="W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B173" i="2" s="1"/>
  <c r="AK173" i="2" s="1"/>
  <c r="W173" i="2"/>
  <c r="AH172" i="2"/>
  <c r="AD172" i="2"/>
  <c r="AF172" i="2" s="1"/>
  <c r="X172" i="2"/>
  <c r="AC172" i="2" s="1"/>
  <c r="AH171" i="2"/>
  <c r="AD171" i="2"/>
  <c r="AF171" i="2" s="1"/>
  <c r="X171" i="2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AB169" i="2" s="1"/>
  <c r="AK169" i="2" s="1"/>
  <c r="W169" i="2"/>
  <c r="AH168" i="2"/>
  <c r="AD168" i="2"/>
  <c r="AF168" i="2" s="1"/>
  <c r="X168" i="2"/>
  <c r="AC168" i="2" s="1"/>
  <c r="W168" i="2"/>
  <c r="AH167" i="2"/>
  <c r="AD167" i="2"/>
  <c r="AF167" i="2" s="1"/>
  <c r="X167" i="2"/>
  <c r="W167" i="2"/>
  <c r="AH166" i="2"/>
  <c r="AD166" i="2"/>
  <c r="X166" i="2"/>
  <c r="AB166" i="2" s="1"/>
  <c r="AK166" i="2" s="1"/>
  <c r="W166" i="2"/>
  <c r="AH165" i="2"/>
  <c r="AD165" i="2"/>
  <c r="AF165" i="2" s="1"/>
  <c r="X165" i="2"/>
  <c r="W165" i="2"/>
  <c r="AH164" i="2"/>
  <c r="AD164" i="2"/>
  <c r="X164" i="2"/>
  <c r="AB164" i="2" s="1"/>
  <c r="AK164" i="2" s="1"/>
  <c r="W164" i="2"/>
  <c r="AH163" i="2"/>
  <c r="AD163" i="2"/>
  <c r="AF163" i="2" s="1"/>
  <c r="X163" i="2"/>
  <c r="AB163" i="2" s="1"/>
  <c r="AK163" i="2" s="1"/>
  <c r="W163" i="2"/>
  <c r="AH162" i="2"/>
  <c r="AD162" i="2"/>
  <c r="X162" i="2"/>
  <c r="AB162" i="2" s="1"/>
  <c r="AK162" i="2" s="1"/>
  <c r="W162" i="2"/>
  <c r="AH161" i="2"/>
  <c r="AD161" i="2"/>
  <c r="AF161" i="2" s="1"/>
  <c r="X161" i="2"/>
  <c r="AC161" i="2" s="1"/>
  <c r="W161" i="2"/>
  <c r="AH160" i="2"/>
  <c r="AD160" i="2"/>
  <c r="AF160" i="2" s="1"/>
  <c r="X160" i="2"/>
  <c r="W160" i="2"/>
  <c r="AH159" i="2"/>
  <c r="AD159" i="2"/>
  <c r="AF159" i="2" s="1"/>
  <c r="X159" i="2"/>
  <c r="AB159" i="2" s="1"/>
  <c r="AK159" i="2" s="1"/>
  <c r="W159" i="2"/>
  <c r="AH158" i="2"/>
  <c r="AD158" i="2"/>
  <c r="AF158" i="2" s="1"/>
  <c r="X158" i="2"/>
  <c r="AC158" i="2" s="1"/>
  <c r="W158" i="2"/>
  <c r="AH157" i="2"/>
  <c r="AD157" i="2"/>
  <c r="AF157" i="2" s="1"/>
  <c r="X157" i="2"/>
  <c r="W157" i="2"/>
  <c r="AH156" i="2"/>
  <c r="AD156" i="2"/>
  <c r="X156" i="2"/>
  <c r="AB156" i="2" s="1"/>
  <c r="AK156" i="2" s="1"/>
  <c r="W156" i="2"/>
  <c r="AH155" i="2"/>
  <c r="AD155" i="2"/>
  <c r="AF155" i="2" s="1"/>
  <c r="X155" i="2"/>
  <c r="AC155" i="2" s="1"/>
  <c r="W155" i="2"/>
  <c r="AH154" i="2"/>
  <c r="AD154" i="2"/>
  <c r="X154" i="2"/>
  <c r="W154" i="2"/>
  <c r="AH153" i="2"/>
  <c r="AD153" i="2"/>
  <c r="AF153" i="2" s="1"/>
  <c r="X153" i="2"/>
  <c r="AC153" i="2" s="1"/>
  <c r="W153" i="2"/>
  <c r="AH152" i="2"/>
  <c r="AD152" i="2"/>
  <c r="AF152" i="2" s="1"/>
  <c r="X152" i="2"/>
  <c r="AC152" i="2" s="1"/>
  <c r="W152" i="2"/>
  <c r="AH151" i="2"/>
  <c r="AD151" i="2"/>
  <c r="AF151" i="2" s="1"/>
  <c r="X151" i="2"/>
  <c r="AB151" i="2" s="1"/>
  <c r="AK151" i="2" s="1"/>
  <c r="W151" i="2"/>
  <c r="AH150" i="2"/>
  <c r="AD150" i="2"/>
  <c r="AF150" i="2" s="1"/>
  <c r="X150" i="2"/>
  <c r="AC150" i="2" s="1"/>
  <c r="W150" i="2"/>
  <c r="AH149" i="2"/>
  <c r="AD149" i="2"/>
  <c r="X149" i="2"/>
  <c r="AB149" i="2" s="1"/>
  <c r="AK149" i="2" s="1"/>
  <c r="AH148" i="2"/>
  <c r="AD148" i="2"/>
  <c r="AF148" i="2" s="1"/>
  <c r="X148" i="2"/>
  <c r="AB148" i="2" s="1"/>
  <c r="W148" i="2"/>
  <c r="AH147" i="2"/>
  <c r="AD147" i="2"/>
  <c r="AF147" i="2" s="1"/>
  <c r="X147" i="2"/>
  <c r="AB147" i="2" s="1"/>
  <c r="AK147" i="2" s="1"/>
  <c r="AH146" i="2"/>
  <c r="AD146" i="2"/>
  <c r="X146" i="2"/>
  <c r="AB146" i="2" s="1"/>
  <c r="AK146" i="2" s="1"/>
  <c r="W146" i="2"/>
  <c r="AH145" i="2"/>
  <c r="AD145" i="2"/>
  <c r="AF145" i="2" s="1"/>
  <c r="X145" i="2"/>
  <c r="AC145" i="2" s="1"/>
  <c r="W145" i="2"/>
  <c r="AH144" i="2"/>
  <c r="AD144" i="2"/>
  <c r="AF144" i="2" s="1"/>
  <c r="X144" i="2"/>
  <c r="AC144" i="2" s="1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AC142" i="2" s="1"/>
  <c r="W142" i="2"/>
  <c r="AH141" i="2"/>
  <c r="AD141" i="2"/>
  <c r="X141" i="2"/>
  <c r="AB141" i="2" s="1"/>
  <c r="AK141" i="2" s="1"/>
  <c r="W141" i="2"/>
  <c r="AH140" i="2"/>
  <c r="AD140" i="2"/>
  <c r="AF140" i="2" s="1"/>
  <c r="X140" i="2"/>
  <c r="AB140" i="2" s="1"/>
  <c r="AK140" i="2" s="1"/>
  <c r="W140" i="2"/>
  <c r="AH139" i="2"/>
  <c r="AD139" i="2"/>
  <c r="X139" i="2"/>
  <c r="AB139" i="2" s="1"/>
  <c r="AK139" i="2" s="1"/>
  <c r="W139" i="2"/>
  <c r="AH138" i="2"/>
  <c r="AD138" i="2"/>
  <c r="AF138" i="2" s="1"/>
  <c r="X138" i="2"/>
  <c r="W138" i="2"/>
  <c r="AH137" i="2"/>
  <c r="AD137" i="2"/>
  <c r="AF137" i="2" s="1"/>
  <c r="X137" i="2"/>
  <c r="AB137" i="2" s="1"/>
  <c r="AK137" i="2" s="1"/>
  <c r="W137" i="2"/>
  <c r="AH136" i="2"/>
  <c r="AD136" i="2"/>
  <c r="AF136" i="2" s="1"/>
  <c r="X136" i="2"/>
  <c r="AB136" i="2" s="1"/>
  <c r="AK136" i="2" s="1"/>
  <c r="W136" i="2"/>
  <c r="AH135" i="2"/>
  <c r="AD135" i="2"/>
  <c r="AF135" i="2" s="1"/>
  <c r="X135" i="2"/>
  <c r="W135" i="2"/>
  <c r="AH134" i="2"/>
  <c r="AD134" i="2"/>
  <c r="AF134" i="2" s="1"/>
  <c r="X134" i="2"/>
  <c r="AC134" i="2" s="1"/>
  <c r="AH133" i="2"/>
  <c r="AD133" i="2"/>
  <c r="AF133" i="2" s="1"/>
  <c r="X133" i="2"/>
  <c r="AC133" i="2" s="1"/>
  <c r="W133" i="2"/>
  <c r="AH132" i="2"/>
  <c r="AD132" i="2"/>
  <c r="AF132" i="2" s="1"/>
  <c r="X132" i="2"/>
  <c r="AB132" i="2" s="1"/>
  <c r="AK132" i="2" s="1"/>
  <c r="W132" i="2"/>
  <c r="AH131" i="2"/>
  <c r="AD131" i="2"/>
  <c r="AF131" i="2" s="1"/>
  <c r="X131" i="2"/>
  <c r="AB131" i="2" s="1"/>
  <c r="AK131" i="2" s="1"/>
  <c r="U131" i="2"/>
  <c r="AH130" i="2"/>
  <c r="AD130" i="2"/>
  <c r="AF130" i="2" s="1"/>
  <c r="X130" i="2"/>
  <c r="AB130" i="2" s="1"/>
  <c r="AK130" i="2" s="1"/>
  <c r="W130" i="2"/>
  <c r="AH129" i="2"/>
  <c r="AD129" i="2"/>
  <c r="AF129" i="2" s="1"/>
  <c r="X129" i="2"/>
  <c r="AC129" i="2" s="1"/>
  <c r="W129" i="2"/>
  <c r="AH128" i="2"/>
  <c r="AD128" i="2"/>
  <c r="AF128" i="2" s="1"/>
  <c r="X128" i="2"/>
  <c r="AB128" i="2" s="1"/>
  <c r="AK128" i="2" s="1"/>
  <c r="W128" i="2"/>
  <c r="AH127" i="2"/>
  <c r="AD127" i="2"/>
  <c r="AF127" i="2" s="1"/>
  <c r="X127" i="2"/>
  <c r="AC127" i="2" s="1"/>
  <c r="W127" i="2"/>
  <c r="AH126" i="2"/>
  <c r="AD126" i="2"/>
  <c r="AF126" i="2" s="1"/>
  <c r="X126" i="2"/>
  <c r="AC126" i="2" s="1"/>
  <c r="W126" i="2"/>
  <c r="AH125" i="2"/>
  <c r="AD125" i="2"/>
  <c r="AF125" i="2" s="1"/>
  <c r="X125" i="2"/>
  <c r="AC125" i="2" s="1"/>
  <c r="W125" i="2"/>
  <c r="AH124" i="2"/>
  <c r="AD124" i="2"/>
  <c r="AF124" i="2" s="1"/>
  <c r="X124" i="2"/>
  <c r="AB124" i="2" s="1"/>
  <c r="AK124" i="2" s="1"/>
  <c r="W124" i="2"/>
  <c r="AH123" i="2"/>
  <c r="AD123" i="2"/>
  <c r="AF123" i="2" s="1"/>
  <c r="X123" i="2"/>
  <c r="AC123" i="2" s="1"/>
  <c r="W123" i="2"/>
  <c r="AH122" i="2"/>
  <c r="AD122" i="2"/>
  <c r="X122" i="2"/>
  <c r="AB122" i="2" s="1"/>
  <c r="AK122" i="2" s="1"/>
  <c r="W122" i="2"/>
  <c r="AH121" i="2"/>
  <c r="AD121" i="2"/>
  <c r="AF121" i="2" s="1"/>
  <c r="X121" i="2"/>
  <c r="AC121" i="2" s="1"/>
  <c r="W121" i="2"/>
  <c r="AH120" i="2"/>
  <c r="AD120" i="2"/>
  <c r="AF120" i="2" s="1"/>
  <c r="X120" i="2"/>
  <c r="W120" i="2"/>
  <c r="AH119" i="2"/>
  <c r="AD119" i="2"/>
  <c r="AF119" i="2" s="1"/>
  <c r="X119" i="2"/>
  <c r="AC119" i="2" s="1"/>
  <c r="W119" i="2"/>
  <c r="AH118" i="2"/>
  <c r="AD118" i="2"/>
  <c r="AF118" i="2" s="1"/>
  <c r="X118" i="2"/>
  <c r="AB118" i="2" s="1"/>
  <c r="AK118" i="2" s="1"/>
  <c r="W118" i="2"/>
  <c r="AH117" i="2"/>
  <c r="AD117" i="2"/>
  <c r="AF117" i="2" s="1"/>
  <c r="X117" i="2"/>
  <c r="AB117" i="2" s="1"/>
  <c r="W117" i="2"/>
  <c r="AH116" i="2"/>
  <c r="AD116" i="2"/>
  <c r="X116" i="2"/>
  <c r="AB116" i="2" s="1"/>
  <c r="AK116" i="2" s="1"/>
  <c r="AH115" i="2"/>
  <c r="AD115" i="2"/>
  <c r="AF115" i="2" s="1"/>
  <c r="X115" i="2"/>
  <c r="AB115" i="2" s="1"/>
  <c r="AK115" i="2" s="1"/>
  <c r="W115" i="2"/>
  <c r="AH114" i="2"/>
  <c r="AD114" i="2"/>
  <c r="X114" i="2"/>
  <c r="AC114" i="2" s="1"/>
  <c r="W114" i="2"/>
  <c r="AH113" i="2"/>
  <c r="AD113" i="2"/>
  <c r="AF113" i="2" s="1"/>
  <c r="X113" i="2"/>
  <c r="AB113" i="2" s="1"/>
  <c r="AK113" i="2" s="1"/>
  <c r="W113" i="2"/>
  <c r="AH112" i="2"/>
  <c r="AD112" i="2"/>
  <c r="AF112" i="2" s="1"/>
  <c r="X112" i="2"/>
  <c r="AB112" i="2" s="1"/>
  <c r="AK112" i="2" s="1"/>
  <c r="W112" i="2"/>
  <c r="AH111" i="2"/>
  <c r="AD111" i="2"/>
  <c r="X111" i="2"/>
  <c r="AB111" i="2" s="1"/>
  <c r="AK111" i="2" s="1"/>
  <c r="W111" i="2"/>
  <c r="AH110" i="2"/>
  <c r="AD110" i="2"/>
  <c r="AF110" i="2" s="1"/>
  <c r="X110" i="2"/>
  <c r="AB110" i="2" s="1"/>
  <c r="AK110" i="2" s="1"/>
  <c r="W110" i="2"/>
  <c r="AH109" i="2"/>
  <c r="AD109" i="2"/>
  <c r="X109" i="2"/>
  <c r="AB109" i="2" s="1"/>
  <c r="AK109" i="2" s="1"/>
  <c r="W109" i="2"/>
  <c r="AH108" i="2"/>
  <c r="AD108" i="2"/>
  <c r="X108" i="2"/>
  <c r="AB108" i="2" s="1"/>
  <c r="AK108" i="2" s="1"/>
  <c r="W108" i="2"/>
  <c r="AH107" i="2"/>
  <c r="AD107" i="2"/>
  <c r="AF107" i="2" s="1"/>
  <c r="X107" i="2"/>
  <c r="AB107" i="2" s="1"/>
  <c r="W107" i="2"/>
  <c r="AH106" i="2"/>
  <c r="AD106" i="2"/>
  <c r="AF106" i="2" s="1"/>
  <c r="X106" i="2"/>
  <c r="AB106" i="2" s="1"/>
  <c r="AK106" i="2" s="1"/>
  <c r="W106" i="2"/>
  <c r="AH105" i="2"/>
  <c r="AD105" i="2"/>
  <c r="AF105" i="2" s="1"/>
  <c r="X105" i="2"/>
  <c r="AB105" i="2" s="1"/>
  <c r="AK105" i="2" s="1"/>
  <c r="W105" i="2"/>
  <c r="AH104" i="2"/>
  <c r="AD104" i="2"/>
  <c r="AF104" i="2" s="1"/>
  <c r="X104" i="2"/>
  <c r="AB104" i="2" s="1"/>
  <c r="AK104" i="2" s="1"/>
  <c r="W104" i="2"/>
  <c r="AH103" i="2"/>
  <c r="AD103" i="2"/>
  <c r="AF103" i="2" s="1"/>
  <c r="X103" i="2"/>
  <c r="W103" i="2"/>
  <c r="AH102" i="2"/>
  <c r="AD102" i="2"/>
  <c r="AF102" i="2" s="1"/>
  <c r="X102" i="2"/>
  <c r="AC102" i="2" s="1"/>
  <c r="W102" i="2"/>
  <c r="AH101" i="2"/>
  <c r="AD101" i="2"/>
  <c r="X101" i="2"/>
  <c r="AB101" i="2" s="1"/>
  <c r="AK101" i="2" s="1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B99" i="2" s="1"/>
  <c r="AK99" i="2" s="1"/>
  <c r="W99" i="2"/>
  <c r="AH98" i="2"/>
  <c r="AD98" i="2"/>
  <c r="AF98" i="2" s="1"/>
  <c r="X98" i="2"/>
  <c r="AC98" i="2" s="1"/>
  <c r="W98" i="2"/>
  <c r="AH97" i="2"/>
  <c r="AD97" i="2"/>
  <c r="AF97" i="2" s="1"/>
  <c r="X97" i="2"/>
  <c r="AC97" i="2" s="1"/>
  <c r="W97" i="2"/>
  <c r="AH96" i="2"/>
  <c r="AD96" i="2"/>
  <c r="X96" i="2"/>
  <c r="AB96" i="2" s="1"/>
  <c r="AK96" i="2" s="1"/>
  <c r="W96" i="2"/>
  <c r="AH95" i="2"/>
  <c r="AD95" i="2"/>
  <c r="AF95" i="2" s="1"/>
  <c r="X95" i="2"/>
  <c r="AB95" i="2" s="1"/>
  <c r="AK95" i="2" s="1"/>
  <c r="AH94" i="2"/>
  <c r="AD94" i="2"/>
  <c r="AF94" i="2" s="1"/>
  <c r="X94" i="2"/>
  <c r="AB94" i="2" s="1"/>
  <c r="AK94" i="2" s="1"/>
  <c r="W94" i="2"/>
  <c r="AH93" i="2"/>
  <c r="AD93" i="2"/>
  <c r="X93" i="2"/>
  <c r="AB93" i="2" s="1"/>
  <c r="AK93" i="2" s="1"/>
  <c r="AH92" i="2"/>
  <c r="AD92" i="2"/>
  <c r="X92" i="2"/>
  <c r="AB92" i="2" s="1"/>
  <c r="AK92" i="2" s="1"/>
  <c r="W92" i="2"/>
  <c r="AH91" i="2"/>
  <c r="AD91" i="2"/>
  <c r="AF91" i="2" s="1"/>
  <c r="X91" i="2"/>
  <c r="AC91" i="2" s="1"/>
  <c r="W91" i="2"/>
  <c r="AH90" i="2"/>
  <c r="AD90" i="2"/>
  <c r="AF90" i="2" s="1"/>
  <c r="W90" i="2"/>
  <c r="AH89" i="2"/>
  <c r="AD89" i="2"/>
  <c r="AF89" i="2" s="1"/>
  <c r="X89" i="2"/>
  <c r="AB89" i="2" s="1"/>
  <c r="AK89" i="2" s="1"/>
  <c r="W89" i="2"/>
  <c r="AH88" i="2"/>
  <c r="AD88" i="2"/>
  <c r="AF88" i="2" s="1"/>
  <c r="X88" i="2"/>
  <c r="AC88" i="2" s="1"/>
  <c r="W88" i="2"/>
  <c r="AH87" i="2"/>
  <c r="AD87" i="2"/>
  <c r="AF87" i="2" s="1"/>
  <c r="X87" i="2"/>
  <c r="AB87" i="2" s="1"/>
  <c r="AK87" i="2" s="1"/>
  <c r="W87" i="2"/>
  <c r="V86" i="2"/>
  <c r="AD86" i="2"/>
  <c r="AF86" i="2" s="1"/>
  <c r="V85" i="2"/>
  <c r="AD85" i="2"/>
  <c r="AF85" i="2" s="1"/>
  <c r="AH84" i="2"/>
  <c r="AD84" i="2"/>
  <c r="Y84" i="2" s="1"/>
  <c r="W84" i="2"/>
  <c r="AH83" i="2"/>
  <c r="AD83" i="2"/>
  <c r="AF83" i="2" s="1"/>
  <c r="X83" i="2"/>
  <c r="AB83" i="2" s="1"/>
  <c r="AK83" i="2" s="1"/>
  <c r="W83" i="2"/>
  <c r="AH82" i="2"/>
  <c r="AD82" i="2"/>
  <c r="AF82" i="2" s="1"/>
  <c r="X82" i="2"/>
  <c r="AB82" i="2" s="1"/>
  <c r="AK82" i="2" s="1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AB79" i="2" s="1"/>
  <c r="AK79" i="2" s="1"/>
  <c r="W79" i="2"/>
  <c r="AH78" i="2"/>
  <c r="AD78" i="2"/>
  <c r="AF78" i="2" s="1"/>
  <c r="X78" i="2"/>
  <c r="AB78" i="2" s="1"/>
  <c r="AK78" i="2" s="1"/>
  <c r="W78" i="2"/>
  <c r="AH77" i="2"/>
  <c r="AD77" i="2"/>
  <c r="AF77" i="2" s="1"/>
  <c r="X77" i="2"/>
  <c r="AB77" i="2" s="1"/>
  <c r="AK77" i="2" s="1"/>
  <c r="W77" i="2"/>
  <c r="AH76" i="2"/>
  <c r="AD76" i="2"/>
  <c r="X76" i="2"/>
  <c r="AB76" i="2" s="1"/>
  <c r="AH75" i="2"/>
  <c r="AD75" i="2"/>
  <c r="AF75" i="2" s="1"/>
  <c r="X75" i="2"/>
  <c r="W75" i="2"/>
  <c r="AH74" i="2"/>
  <c r="AD74" i="2"/>
  <c r="AF74" i="2" s="1"/>
  <c r="X74" i="2"/>
  <c r="AC74" i="2" s="1"/>
  <c r="W74" i="2"/>
  <c r="AH73" i="2"/>
  <c r="AD73" i="2"/>
  <c r="AF73" i="2" s="1"/>
  <c r="X73" i="2"/>
  <c r="AB73" i="2" s="1"/>
  <c r="AK73" i="2" s="1"/>
  <c r="W73" i="2"/>
  <c r="AH72" i="2"/>
  <c r="AD72" i="2"/>
  <c r="AF72" i="2" s="1"/>
  <c r="X72" i="2"/>
  <c r="AB72" i="2" s="1"/>
  <c r="AK72" i="2" s="1"/>
  <c r="W72" i="2"/>
  <c r="AH71" i="2"/>
  <c r="AD71" i="2"/>
  <c r="AF71" i="2" s="1"/>
  <c r="X71" i="2"/>
  <c r="AB71" i="2" s="1"/>
  <c r="AK71" i="2" s="1"/>
  <c r="W71" i="2"/>
  <c r="AH70" i="2"/>
  <c r="AD70" i="2"/>
  <c r="AF70" i="2" s="1"/>
  <c r="X70" i="2"/>
  <c r="AC70" i="2" s="1"/>
  <c r="AH69" i="2"/>
  <c r="AD69" i="2"/>
  <c r="AF69" i="2" s="1"/>
  <c r="X69" i="2"/>
  <c r="AC69" i="2" s="1"/>
  <c r="W69" i="2"/>
  <c r="AH68" i="2"/>
  <c r="AD68" i="2"/>
  <c r="W68" i="2"/>
  <c r="AH67" i="2"/>
  <c r="AD67" i="2"/>
  <c r="AF67" i="2" s="1"/>
  <c r="X67" i="2"/>
  <c r="AB67" i="2" s="1"/>
  <c r="AK67" i="2" s="1"/>
  <c r="W67" i="2"/>
  <c r="AH66" i="2"/>
  <c r="AD66" i="2"/>
  <c r="AH65" i="2"/>
  <c r="AD65" i="2"/>
  <c r="AF65" i="2" s="1"/>
  <c r="X65" i="2"/>
  <c r="AB65" i="2" s="1"/>
  <c r="W65" i="2"/>
  <c r="AH64" i="2"/>
  <c r="AD64" i="2"/>
  <c r="AF64" i="2" s="1"/>
  <c r="X64" i="2"/>
  <c r="AB64" i="2" s="1"/>
  <c r="AK64" i="2" s="1"/>
  <c r="W64" i="2"/>
  <c r="AH63" i="2"/>
  <c r="AD63" i="2"/>
  <c r="X63" i="2"/>
  <c r="W63" i="2"/>
  <c r="AH62" i="2"/>
  <c r="AD62" i="2"/>
  <c r="AF62" i="2" s="1"/>
  <c r="X62" i="2"/>
  <c r="AB62" i="2" s="1"/>
  <c r="AK62" i="2" s="1"/>
  <c r="W62" i="2"/>
  <c r="AH61" i="2"/>
  <c r="AD61" i="2"/>
  <c r="AF61" i="2" s="1"/>
  <c r="X61" i="2"/>
  <c r="AB61" i="2" s="1"/>
  <c r="AK61" i="2" s="1"/>
  <c r="W61" i="2"/>
  <c r="AH60" i="2"/>
  <c r="AD60" i="2"/>
  <c r="AF60" i="2" s="1"/>
  <c r="X60" i="2"/>
  <c r="AC60" i="2" s="1"/>
  <c r="W60" i="2"/>
  <c r="AH59" i="2"/>
  <c r="AD59" i="2"/>
  <c r="AF59" i="2" s="1"/>
  <c r="X59" i="2"/>
  <c r="AC59" i="2" s="1"/>
  <c r="W59" i="2"/>
  <c r="AH58" i="2"/>
  <c r="AD58" i="2"/>
  <c r="AF58" i="2" s="1"/>
  <c r="X58" i="2"/>
  <c r="AB58" i="2" s="1"/>
  <c r="AK58" i="2" s="1"/>
  <c r="W58" i="2"/>
  <c r="AH57" i="2"/>
  <c r="AD57" i="2"/>
  <c r="AF57" i="2" s="1"/>
  <c r="X57" i="2"/>
  <c r="W57" i="2"/>
  <c r="AH56" i="2"/>
  <c r="AD56" i="2"/>
  <c r="AF56" i="2" s="1"/>
  <c r="X56" i="2"/>
  <c r="AB56" i="2" s="1"/>
  <c r="AK56" i="2" s="1"/>
  <c r="W56" i="2"/>
  <c r="AH55" i="2"/>
  <c r="AD55" i="2"/>
  <c r="AF55" i="2" s="1"/>
  <c r="X55" i="2"/>
  <c r="AC55" i="2" s="1"/>
  <c r="W55" i="2"/>
  <c r="AH54" i="2"/>
  <c r="AD54" i="2"/>
  <c r="AF54" i="2" s="1"/>
  <c r="X54" i="2"/>
  <c r="AB54" i="2" s="1"/>
  <c r="AK54" i="2" s="1"/>
  <c r="W54" i="2"/>
  <c r="AH53" i="2"/>
  <c r="AD53" i="2"/>
  <c r="AF53" i="2" s="1"/>
  <c r="X53" i="2"/>
  <c r="AB53" i="2" s="1"/>
  <c r="W53" i="2"/>
  <c r="AH52" i="2"/>
  <c r="AD52" i="2"/>
  <c r="AF52" i="2" s="1"/>
  <c r="X52" i="2"/>
  <c r="AB52" i="2" s="1"/>
  <c r="AK52" i="2" s="1"/>
  <c r="W52" i="2"/>
  <c r="AH51" i="2"/>
  <c r="AD51" i="2"/>
  <c r="AF51" i="2" s="1"/>
  <c r="X51" i="2"/>
  <c r="AB51" i="2" s="1"/>
  <c r="AK51" i="2" s="1"/>
  <c r="W51" i="2"/>
  <c r="AH50" i="2"/>
  <c r="AD50" i="2"/>
  <c r="AF50" i="2" s="1"/>
  <c r="X50" i="2"/>
  <c r="AC50" i="2" s="1"/>
  <c r="W50" i="2"/>
  <c r="AH49" i="2"/>
  <c r="AD49" i="2"/>
  <c r="AF49" i="2" s="1"/>
  <c r="X49" i="2"/>
  <c r="AB49" i="2" s="1"/>
  <c r="AK49" i="2" s="1"/>
  <c r="W49" i="2"/>
  <c r="AH48" i="2"/>
  <c r="AD48" i="2"/>
  <c r="AF48" i="2" s="1"/>
  <c r="X48" i="2"/>
  <c r="AC48" i="2" s="1"/>
  <c r="AH47" i="2"/>
  <c r="AD47" i="2"/>
  <c r="AF47" i="2" s="1"/>
  <c r="X47" i="2"/>
  <c r="AC47" i="2" s="1"/>
  <c r="W47" i="2"/>
  <c r="AH46" i="2"/>
  <c r="AD46" i="2"/>
  <c r="AF46" i="2" s="1"/>
  <c r="X46" i="2"/>
  <c r="AB46" i="2" s="1"/>
  <c r="AK46" i="2" s="1"/>
  <c r="W46" i="2"/>
  <c r="AH45" i="2"/>
  <c r="AD45" i="2"/>
  <c r="AF45" i="2" s="1"/>
  <c r="X45" i="2"/>
  <c r="AB45" i="2" s="1"/>
  <c r="AK45" i="2" s="1"/>
  <c r="W45" i="2"/>
  <c r="AH44" i="2"/>
  <c r="AD44" i="2"/>
  <c r="AF44" i="2" s="1"/>
  <c r="X44" i="2"/>
  <c r="AB44" i="2" s="1"/>
  <c r="AK44" i="2" s="1"/>
  <c r="W44" i="2"/>
  <c r="AH43" i="2"/>
  <c r="AD43" i="2"/>
  <c r="AF43" i="2" s="1"/>
  <c r="X43" i="2"/>
  <c r="AB43" i="2" s="1"/>
  <c r="AK43" i="2" s="1"/>
  <c r="W43" i="2"/>
  <c r="AH42" i="2"/>
  <c r="AD42" i="2"/>
  <c r="AF42" i="2" s="1"/>
  <c r="X42" i="2"/>
  <c r="AB42" i="2" s="1"/>
  <c r="AK42" i="2" s="1"/>
  <c r="W42" i="2"/>
  <c r="AH41" i="2"/>
  <c r="AD41" i="2"/>
  <c r="AF41" i="2" s="1"/>
  <c r="X41" i="2"/>
  <c r="AC41" i="2" s="1"/>
  <c r="W41" i="2"/>
  <c r="AH40" i="2"/>
  <c r="AD40" i="2"/>
  <c r="AF40" i="2" s="1"/>
  <c r="X40" i="2"/>
  <c r="AB40" i="2" s="1"/>
  <c r="AK40" i="2" s="1"/>
  <c r="W40" i="2"/>
  <c r="AH39" i="2"/>
  <c r="AD39" i="2"/>
  <c r="AF39" i="2" s="1"/>
  <c r="X39" i="2"/>
  <c r="W39" i="2"/>
  <c r="AH38" i="2"/>
  <c r="AD38" i="2"/>
  <c r="AF38" i="2" s="1"/>
  <c r="X38" i="2"/>
  <c r="AC38" i="2" s="1"/>
  <c r="W38" i="2"/>
  <c r="AH37" i="2"/>
  <c r="AD37" i="2"/>
  <c r="AF37" i="2" s="1"/>
  <c r="X37" i="2"/>
  <c r="AB37" i="2" s="1"/>
  <c r="AK37" i="2" s="1"/>
  <c r="W37" i="2"/>
  <c r="AH36" i="2"/>
  <c r="AD36" i="2"/>
  <c r="AF36" i="2" s="1"/>
  <c r="X36" i="2"/>
  <c r="AB36" i="2" s="1"/>
  <c r="AK36" i="2" s="1"/>
  <c r="W36" i="2"/>
  <c r="AH35" i="2"/>
  <c r="AD35" i="2"/>
  <c r="AF35" i="2" s="1"/>
  <c r="X35" i="2"/>
  <c r="AC35" i="2" s="1"/>
  <c r="W35" i="2"/>
  <c r="AH34" i="2"/>
  <c r="AD34" i="2"/>
  <c r="AF34" i="2" s="1"/>
  <c r="X34" i="2"/>
  <c r="AB34" i="2" s="1"/>
  <c r="W34" i="2"/>
  <c r="AH33" i="2"/>
  <c r="AD33" i="2"/>
  <c r="AF33" i="2" s="1"/>
  <c r="X33" i="2"/>
  <c r="AC33" i="2" s="1"/>
  <c r="W33" i="2"/>
  <c r="AH32" i="2"/>
  <c r="AD32" i="2"/>
  <c r="AF32" i="2" s="1"/>
  <c r="X32" i="2"/>
  <c r="AB32" i="2" s="1"/>
  <c r="AK32" i="2" s="1"/>
  <c r="W32" i="2"/>
  <c r="AH31" i="2"/>
  <c r="AD31" i="2"/>
  <c r="Y31" i="2" s="1"/>
  <c r="AC31" i="2"/>
  <c r="W31" i="2"/>
  <c r="AH30" i="2"/>
  <c r="AD30" i="2"/>
  <c r="AF30" i="2" s="1"/>
  <c r="X30" i="2"/>
  <c r="AB30" i="2" s="1"/>
  <c r="AK30" i="2" s="1"/>
  <c r="W30" i="2"/>
  <c r="AH29" i="2"/>
  <c r="AD29" i="2"/>
  <c r="AF29" i="2" s="1"/>
  <c r="X29" i="2"/>
  <c r="AC29" i="2" s="1"/>
  <c r="W29" i="2"/>
  <c r="AH28" i="2"/>
  <c r="AD28" i="2"/>
  <c r="AF28" i="2" s="1"/>
  <c r="X28" i="2"/>
  <c r="AB28" i="2" s="1"/>
  <c r="AK28" i="2" s="1"/>
  <c r="W28" i="2"/>
  <c r="AH27" i="2"/>
  <c r="AD27" i="2"/>
  <c r="AF27" i="2" s="1"/>
  <c r="X27" i="2"/>
  <c r="U27" i="2"/>
  <c r="AH26" i="2"/>
  <c r="AD26" i="2"/>
  <c r="X26" i="2"/>
  <c r="AB26" i="2" s="1"/>
  <c r="AK26" i="2" s="1"/>
  <c r="W26" i="2"/>
  <c r="AH25" i="2"/>
  <c r="AD25" i="2"/>
  <c r="AF25" i="2" s="1"/>
  <c r="X25" i="2"/>
  <c r="AB25" i="2" s="1"/>
  <c r="AK25" i="2" s="1"/>
  <c r="W25" i="2"/>
  <c r="AH24" i="2"/>
  <c r="AD24" i="2"/>
  <c r="AF24" i="2" s="1"/>
  <c r="X24" i="2"/>
  <c r="AB24" i="2" s="1"/>
  <c r="AK24" i="2" s="1"/>
  <c r="W24" i="2"/>
  <c r="AH23" i="2"/>
  <c r="AD23" i="2"/>
  <c r="AF23" i="2" s="1"/>
  <c r="X23" i="2"/>
  <c r="AB23" i="2" s="1"/>
  <c r="AK23" i="2" s="1"/>
  <c r="W23" i="2"/>
  <c r="AH22" i="2"/>
  <c r="AD22" i="2"/>
  <c r="AF22" i="2" s="1"/>
  <c r="X22" i="2"/>
  <c r="AC22" i="2" s="1"/>
  <c r="W22" i="2"/>
  <c r="AH21" i="2"/>
  <c r="AD21" i="2"/>
  <c r="AF21" i="2" s="1"/>
  <c r="X21" i="2"/>
  <c r="W21" i="2"/>
  <c r="AH20" i="2"/>
  <c r="AD20" i="2"/>
  <c r="X20" i="2"/>
  <c r="AB20" i="2" s="1"/>
  <c r="AK20" i="2" s="1"/>
  <c r="W20" i="2"/>
  <c r="AH19" i="2"/>
  <c r="AD19" i="2"/>
  <c r="AF19" i="2" s="1"/>
  <c r="X19" i="2"/>
  <c r="AB19" i="2" s="1"/>
  <c r="AK19" i="2" s="1"/>
  <c r="W19" i="2"/>
  <c r="AH18" i="2"/>
  <c r="AD18" i="2"/>
  <c r="AF18" i="2" s="1"/>
  <c r="X18" i="2"/>
  <c r="W18" i="2"/>
  <c r="AH17" i="2"/>
  <c r="AF17" i="2"/>
  <c r="X17" i="2"/>
  <c r="Y17" i="2" s="1"/>
  <c r="W17" i="2"/>
  <c r="AH16" i="2"/>
  <c r="AF16" i="2"/>
  <c r="X16" i="2"/>
  <c r="Y16" i="2" s="1"/>
  <c r="W16" i="2"/>
  <c r="AH15" i="2"/>
  <c r="AF15" i="2"/>
  <c r="X15" i="2"/>
  <c r="AB15" i="2" s="1"/>
  <c r="AK15" i="2" s="1"/>
  <c r="W15" i="2"/>
  <c r="AH14" i="2"/>
  <c r="AF14" i="2"/>
  <c r="X14" i="2"/>
  <c r="W14" i="2"/>
  <c r="AH13" i="2"/>
  <c r="AF13" i="2"/>
  <c r="X13" i="2"/>
  <c r="AC13" i="2" s="1"/>
  <c r="W13" i="2"/>
  <c r="AH12" i="2"/>
  <c r="AF12" i="2"/>
  <c r="X12" i="2"/>
  <c r="Y12" i="2" s="1"/>
  <c r="W12" i="2"/>
  <c r="AH11" i="2"/>
  <c r="AF11" i="2"/>
  <c r="X11" i="2"/>
  <c r="W11" i="2"/>
  <c r="AH10" i="2"/>
  <c r="AF10" i="2"/>
  <c r="X10" i="2"/>
  <c r="AC10" i="2" s="1"/>
  <c r="W10" i="2"/>
  <c r="AH9" i="2"/>
  <c r="AF9" i="2"/>
  <c r="X9" i="2"/>
  <c r="Y9" i="2" s="1"/>
  <c r="W9" i="2"/>
  <c r="AH8" i="2"/>
  <c r="AF8" i="2"/>
  <c r="X8" i="2"/>
  <c r="AB8" i="2" s="1"/>
  <c r="AK8" i="2" s="1"/>
  <c r="W8" i="2"/>
  <c r="AH7" i="2"/>
  <c r="AF7" i="2"/>
  <c r="X7" i="2"/>
  <c r="AC7" i="2" s="1"/>
  <c r="W7" i="2"/>
  <c r="AH6" i="2"/>
  <c r="AF6" i="2"/>
  <c r="X6" i="2"/>
  <c r="AC6" i="2" s="1"/>
  <c r="W6" i="2"/>
  <c r="AH5" i="2"/>
  <c r="AF5" i="2"/>
  <c r="X5" i="2"/>
  <c r="AC5" i="2" s="1"/>
  <c r="W5" i="2"/>
  <c r="AH4" i="2"/>
  <c r="AF4" i="2"/>
  <c r="X4" i="2"/>
  <c r="Y4" i="2" s="1"/>
  <c r="W4" i="2"/>
  <c r="AH3" i="2"/>
  <c r="AF3" i="2"/>
  <c r="X3" i="2"/>
  <c r="AC3" i="2" s="1"/>
  <c r="W3" i="2"/>
  <c r="AH2" i="2"/>
  <c r="AF2" i="2"/>
  <c r="X2" i="2"/>
  <c r="AA2" i="2" s="1"/>
  <c r="AB2" i="2" s="1"/>
  <c r="AK2" i="2" s="1"/>
  <c r="W2" i="2"/>
  <c r="AC2572" i="2"/>
  <c r="AF2639" i="2"/>
  <c r="X85" i="2"/>
  <c r="AC85" i="2" s="1"/>
  <c r="W85" i="2"/>
  <c r="AB2475" i="2"/>
  <c r="AK2475" i="2" s="1"/>
  <c r="AB2479" i="2"/>
  <c r="AK2479" i="2" s="1"/>
  <c r="AB2523" i="2"/>
  <c r="AK2523" i="2" s="1"/>
  <c r="AB2545" i="2"/>
  <c r="AK2545" i="2" s="1"/>
  <c r="AB2553" i="2"/>
  <c r="AK2553" i="2" s="1"/>
  <c r="AB2617" i="2"/>
  <c r="AK2617" i="2" s="1"/>
  <c r="AB2646" i="2"/>
  <c r="AK2646" i="2" s="1"/>
  <c r="AB2673" i="2"/>
  <c r="AK2673" i="2" s="1"/>
  <c r="Y2698" i="2"/>
  <c r="AB2717" i="2"/>
  <c r="AK2717" i="2" s="1"/>
  <c r="AB1822" i="2"/>
  <c r="AK1822" i="2" s="1"/>
  <c r="AB1856" i="2"/>
  <c r="AK1856" i="2" s="1"/>
  <c r="AB1912" i="2"/>
  <c r="AK1912" i="2" s="1"/>
  <c r="AB1932" i="2"/>
  <c r="AK1932" i="2" s="1"/>
  <c r="Y1934" i="2"/>
  <c r="AB1954" i="2"/>
  <c r="AK1954" i="2" s="1"/>
  <c r="AB2018" i="2"/>
  <c r="AK2018" i="2" s="1"/>
  <c r="AB2030" i="2"/>
  <c r="AK2030" i="2" s="1"/>
  <c r="AB2058" i="2"/>
  <c r="AK2058" i="2" s="1"/>
  <c r="AB1512" i="2"/>
  <c r="AK1512" i="2" s="1"/>
  <c r="Y1718" i="2"/>
  <c r="Y1734" i="2"/>
  <c r="AB2337" i="2"/>
  <c r="AK2337" i="2" s="1"/>
  <c r="AB2480" i="2"/>
  <c r="AK2480" i="2" s="1"/>
  <c r="Y2560" i="2"/>
  <c r="Y1601" i="2"/>
  <c r="Y1684" i="2"/>
  <c r="AB2129" i="2"/>
  <c r="AK2129" i="2" s="1"/>
  <c r="AB2131" i="2"/>
  <c r="AK2131" i="2" s="1"/>
  <c r="AB2133" i="2"/>
  <c r="AK2133" i="2" s="1"/>
  <c r="Y2133" i="2"/>
  <c r="AB2139" i="2"/>
  <c r="AK2139" i="2" s="1"/>
  <c r="AC2141" i="2"/>
  <c r="AB2141" i="2"/>
  <c r="AK2141" i="2" s="1"/>
  <c r="Y2141" i="2"/>
  <c r="AB2145" i="2"/>
  <c r="AK2145" i="2" s="1"/>
  <c r="Y2149" i="2"/>
  <c r="Y2153" i="2"/>
  <c r="AC2155" i="2"/>
  <c r="AB2157" i="2"/>
  <c r="AK2157" i="2" s="1"/>
  <c r="AB2159" i="2"/>
  <c r="AK2159" i="2" s="1"/>
  <c r="AB2163" i="2"/>
  <c r="AK2163" i="2" s="1"/>
  <c r="Y2167" i="2"/>
  <c r="AB2175" i="2"/>
  <c r="AK2175" i="2" s="1"/>
  <c r="AB2177" i="2"/>
  <c r="AK2177" i="2" s="1"/>
  <c r="AC2179" i="2"/>
  <c r="Y2179" i="2"/>
  <c r="AC2181" i="2"/>
  <c r="AB2181" i="2"/>
  <c r="AK2181" i="2" s="1"/>
  <c r="Y2183" i="2"/>
  <c r="AB2189" i="2"/>
  <c r="AK2189" i="2" s="1"/>
  <c r="Y2189" i="2"/>
  <c r="AB2191" i="2"/>
  <c r="AK2191" i="2" s="1"/>
  <c r="Y2193" i="2"/>
  <c r="AB2197" i="2"/>
  <c r="AK2197" i="2" s="1"/>
  <c r="AC2199" i="2"/>
  <c r="AC2205" i="2"/>
  <c r="AB2205" i="2"/>
  <c r="AK2205" i="2" s="1"/>
  <c r="Y2207" i="2"/>
  <c r="AC2211" i="2"/>
  <c r="AB2211" i="2"/>
  <c r="AK2211" i="2" s="1"/>
  <c r="AB2213" i="2"/>
  <c r="AK2213" i="2" s="1"/>
  <c r="AC2215" i="2"/>
  <c r="AC2221" i="2"/>
  <c r="AB2221" i="2"/>
  <c r="AK2221" i="2" s="1"/>
  <c r="AC2223" i="2"/>
  <c r="Y2223" i="2"/>
  <c r="AB2227" i="2"/>
  <c r="AK2227" i="2" s="1"/>
  <c r="AC2231" i="2"/>
  <c r="AB2233" i="2"/>
  <c r="AK2233" i="2" s="1"/>
  <c r="Y2235" i="2"/>
  <c r="AB2237" i="2"/>
  <c r="AK2237" i="2" s="1"/>
  <c r="AB2239" i="2"/>
  <c r="AK2239" i="2" s="1"/>
  <c r="AC2245" i="2"/>
  <c r="AC2247" i="2"/>
  <c r="AB2247" i="2"/>
  <c r="AK2247" i="2" s="1"/>
  <c r="AC2251" i="2"/>
  <c r="AB2251" i="2"/>
  <c r="AK2251" i="2" s="1"/>
  <c r="AB2253" i="2"/>
  <c r="AK2253" i="2" s="1"/>
  <c r="AC2255" i="2"/>
  <c r="AC2261" i="2"/>
  <c r="AB2261" i="2"/>
  <c r="AK2261" i="2" s="1"/>
  <c r="AC2263" i="2"/>
  <c r="AB2265" i="2"/>
  <c r="AK2265" i="2" s="1"/>
  <c r="AC2267" i="2"/>
  <c r="AB2267" i="2"/>
  <c r="AK2267" i="2" s="1"/>
  <c r="AB2269" i="2"/>
  <c r="AK2269" i="2" s="1"/>
  <c r="AC2273" i="2"/>
  <c r="AC2275" i="2"/>
  <c r="AB2275" i="2"/>
  <c r="AK2275" i="2" s="1"/>
  <c r="AB2277" i="2"/>
  <c r="AK2277" i="2" s="1"/>
  <c r="AB2281" i="2"/>
  <c r="AK2281" i="2" s="1"/>
  <c r="AC2283" i="2"/>
  <c r="AC2285" i="2"/>
  <c r="AC2291" i="2"/>
  <c r="AB2291" i="2"/>
  <c r="AK2291" i="2" s="1"/>
  <c r="AC2293" i="2"/>
  <c r="AB2293" i="2"/>
  <c r="AK2293" i="2" s="1"/>
  <c r="AC2295" i="2"/>
  <c r="AB2299" i="2"/>
  <c r="AK2299" i="2" s="1"/>
  <c r="AC2301" i="2"/>
  <c r="AC2303" i="2"/>
  <c r="AB2303" i="2"/>
  <c r="AK2303" i="2" s="1"/>
  <c r="AC2305" i="2"/>
  <c r="AC2307" i="2"/>
  <c r="AC2311" i="2"/>
  <c r="AB2311" i="2"/>
  <c r="AK2311" i="2" s="1"/>
  <c r="Y2313" i="2"/>
  <c r="AC2317" i="2"/>
  <c r="AC2319" i="2"/>
  <c r="AC2321" i="2"/>
  <c r="AB2499" i="2"/>
  <c r="AK2499" i="2" s="1"/>
  <c r="AB2526" i="2"/>
  <c r="AK2526" i="2" s="1"/>
  <c r="AC2530" i="2"/>
  <c r="AB2530" i="2"/>
  <c r="AK2530" i="2" s="1"/>
  <c r="AB2536" i="2"/>
  <c r="AK2536" i="2" s="1"/>
  <c r="AB2538" i="2"/>
  <c r="AK2538" i="2" s="1"/>
  <c r="AC2542" i="2"/>
  <c r="Y2546" i="2"/>
  <c r="AC2548" i="2"/>
  <c r="AB2548" i="2"/>
  <c r="AK2548" i="2" s="1"/>
  <c r="AC2554" i="2"/>
  <c r="AC2605" i="2"/>
  <c r="Y2653" i="2"/>
  <c r="Y2707" i="2"/>
  <c r="AB890" i="2"/>
  <c r="AK890" i="2" s="1"/>
  <c r="AB922" i="2"/>
  <c r="AK922" i="2" s="1"/>
  <c r="AB1316" i="2"/>
  <c r="AK1316" i="2" s="1"/>
  <c r="AB1322" i="2"/>
  <c r="AK1322" i="2" s="1"/>
  <c r="AB1326" i="2"/>
  <c r="AK1326" i="2" s="1"/>
  <c r="Y1332" i="2"/>
  <c r="Y1362" i="2"/>
  <c r="AB1364" i="2"/>
  <c r="AK1364" i="2" s="1"/>
  <c r="AB1595" i="2"/>
  <c r="AK1595" i="2" s="1"/>
  <c r="AB1599" i="2"/>
  <c r="AK1599" i="2" s="1"/>
  <c r="Y1678" i="2"/>
  <c r="Y2063" i="2"/>
  <c r="Y2067" i="2"/>
  <c r="AB2069" i="2"/>
  <c r="AK2069" i="2" s="1"/>
  <c r="Y2069" i="2"/>
  <c r="AB2071" i="2"/>
  <c r="AK2071" i="2" s="1"/>
  <c r="AB2073" i="2"/>
  <c r="AK2073" i="2" s="1"/>
  <c r="Y2073" i="2"/>
  <c r="Y2077" i="2"/>
  <c r="AB2079" i="2"/>
  <c r="AK2079" i="2" s="1"/>
  <c r="Y2081" i="2"/>
  <c r="AB2083" i="2"/>
  <c r="AK2083" i="2" s="1"/>
  <c r="AB2085" i="2"/>
  <c r="AK2085" i="2" s="1"/>
  <c r="AB2087" i="2"/>
  <c r="AK2087" i="2" s="1"/>
  <c r="AB2089" i="2"/>
  <c r="AK2089" i="2" s="1"/>
  <c r="Y2093" i="2"/>
  <c r="AB2095" i="2"/>
  <c r="AK2095" i="2" s="1"/>
  <c r="AB2097" i="2"/>
  <c r="AK2097" i="2" s="1"/>
  <c r="AB2099" i="2"/>
  <c r="AK2099" i="2" s="1"/>
  <c r="AB2101" i="2"/>
  <c r="AK2101" i="2" s="1"/>
  <c r="AB2103" i="2"/>
  <c r="AK2103" i="2" s="1"/>
  <c r="AB2109" i="2"/>
  <c r="AK2109" i="2" s="1"/>
  <c r="AB2111" i="2"/>
  <c r="AK2111" i="2" s="1"/>
  <c r="Y2113" i="2"/>
  <c r="AB2115" i="2"/>
  <c r="AK2115" i="2" s="1"/>
  <c r="AB2119" i="2"/>
  <c r="AK2119" i="2" s="1"/>
  <c r="AB2123" i="2"/>
  <c r="AK2123" i="2" s="1"/>
  <c r="Y2125" i="2"/>
  <c r="AB2446" i="2"/>
  <c r="AK2446" i="2" s="1"/>
  <c r="AB2448" i="2"/>
  <c r="AK2448" i="2" s="1"/>
  <c r="Y2468" i="2"/>
  <c r="Y2493" i="2"/>
  <c r="Y2518" i="2"/>
  <c r="Y2520" i="2"/>
  <c r="AB2608" i="2"/>
  <c r="AK2608" i="2" s="1"/>
  <c r="Y2648" i="2"/>
  <c r="Y2664" i="2"/>
  <c r="Y2672" i="2"/>
  <c r="Y2685" i="2"/>
  <c r="Y2689" i="2"/>
  <c r="AB270" i="2"/>
  <c r="AK270" i="2" s="1"/>
  <c r="AB756" i="2"/>
  <c r="AK756" i="2" s="1"/>
  <c r="AB1001" i="2"/>
  <c r="AK1001" i="2" s="1"/>
  <c r="AB1252" i="2"/>
  <c r="AK1252" i="2" s="1"/>
  <c r="AB1254" i="2"/>
  <c r="AK1254" i="2" s="1"/>
  <c r="AB1256" i="2"/>
  <c r="AK1256" i="2" s="1"/>
  <c r="AB1262" i="2"/>
  <c r="AK1262" i="2" s="1"/>
  <c r="AB1264" i="2"/>
  <c r="AK1264" i="2" s="1"/>
  <c r="AB1268" i="2"/>
  <c r="AK1268" i="2" s="1"/>
  <c r="AB1274" i="2"/>
  <c r="AK1274" i="2" s="1"/>
  <c r="AB1282" i="2"/>
  <c r="AK1282" i="2" s="1"/>
  <c r="AB1290" i="2"/>
  <c r="AK1290" i="2" s="1"/>
  <c r="AB1636" i="2"/>
  <c r="AK1636" i="2" s="1"/>
  <c r="AB1662" i="2"/>
  <c r="AK1662" i="2" s="1"/>
  <c r="AB1672" i="2"/>
  <c r="AK1672" i="2" s="1"/>
  <c r="AB1676" i="2"/>
  <c r="AK1676" i="2" s="1"/>
  <c r="AB1785" i="2"/>
  <c r="AK1785" i="2" s="1"/>
  <c r="Y1805" i="2"/>
  <c r="AB1807" i="2"/>
  <c r="AK1807" i="2" s="1"/>
  <c r="AB1809" i="2"/>
  <c r="AK1809" i="2" s="1"/>
  <c r="AB1823" i="2"/>
  <c r="AK1823" i="2" s="1"/>
  <c r="AB1833" i="2"/>
  <c r="AK1833" i="2" s="1"/>
  <c r="Y1833" i="2"/>
  <c r="AB1839" i="2"/>
  <c r="AK1839" i="2" s="1"/>
  <c r="Y1843" i="2"/>
  <c r="Y1851" i="2"/>
  <c r="Y1861" i="2"/>
  <c r="AB1865" i="2"/>
  <c r="AK1865" i="2" s="1"/>
  <c r="AB1871" i="2"/>
  <c r="AK1871" i="2" s="1"/>
  <c r="Y1873" i="2"/>
  <c r="AB1881" i="2"/>
  <c r="AK1881" i="2" s="1"/>
  <c r="Y1881" i="2"/>
  <c r="Y1889" i="2"/>
  <c r="Y1893" i="2"/>
  <c r="Y1897" i="2"/>
  <c r="Y1899" i="2"/>
  <c r="AB1903" i="2"/>
  <c r="AK1903" i="2" s="1"/>
  <c r="Y1905" i="2"/>
  <c r="Y1915" i="2"/>
  <c r="AB1919" i="2"/>
  <c r="AK1919" i="2" s="1"/>
  <c r="AB1921" i="2"/>
  <c r="AK1921" i="2" s="1"/>
  <c r="Y1921" i="2"/>
  <c r="AB1929" i="2"/>
  <c r="AK1929" i="2" s="1"/>
  <c r="Y1929" i="2"/>
  <c r="Y1931" i="2"/>
  <c r="AB1937" i="2"/>
  <c r="AK1937" i="2" s="1"/>
  <c r="Y1937" i="2"/>
  <c r="AB1943" i="2"/>
  <c r="AK1943" i="2" s="1"/>
  <c r="AB1945" i="2"/>
  <c r="AK1945" i="2" s="1"/>
  <c r="Y1945" i="2"/>
  <c r="Y1947" i="2"/>
  <c r="Y1949" i="2"/>
  <c r="Y1963" i="2"/>
  <c r="AC1969" i="2"/>
  <c r="AB1969" i="2"/>
  <c r="AK1969" i="2" s="1"/>
  <c r="AB1975" i="2"/>
  <c r="AK1975" i="2" s="1"/>
  <c r="AB1981" i="2"/>
  <c r="AK1981" i="2" s="1"/>
  <c r="AB1993" i="2"/>
  <c r="AK1993" i="2" s="1"/>
  <c r="AB2007" i="2"/>
  <c r="AK2007" i="2" s="1"/>
  <c r="AB2009" i="2"/>
  <c r="AK2009" i="2" s="1"/>
  <c r="AB2011" i="2"/>
  <c r="AK2011" i="2" s="1"/>
  <c r="Y2013" i="2"/>
  <c r="AB2017" i="2"/>
  <c r="AK2017" i="2" s="1"/>
  <c r="AB2021" i="2"/>
  <c r="AK2021" i="2" s="1"/>
  <c r="AB2025" i="2"/>
  <c r="AK2025" i="2" s="1"/>
  <c r="AB2033" i="2"/>
  <c r="AK2033" i="2" s="1"/>
  <c r="AB2035" i="2"/>
  <c r="AK2035" i="2" s="1"/>
  <c r="AB2039" i="2"/>
  <c r="AK2039" i="2" s="1"/>
  <c r="AB2041" i="2"/>
  <c r="AK2041" i="2" s="1"/>
  <c r="AB2045" i="2"/>
  <c r="AK2045" i="2" s="1"/>
  <c r="AB2055" i="2"/>
  <c r="AK2055" i="2" s="1"/>
  <c r="Y2059" i="2"/>
  <c r="AB2366" i="2"/>
  <c r="AK2366" i="2" s="1"/>
  <c r="AB2370" i="2"/>
  <c r="AK2370" i="2" s="1"/>
  <c r="AB2372" i="2"/>
  <c r="AK2372" i="2" s="1"/>
  <c r="Y2372" i="2"/>
  <c r="AB2376" i="2"/>
  <c r="AK2376" i="2" s="1"/>
  <c r="AB2382" i="2"/>
  <c r="AK2382" i="2" s="1"/>
  <c r="AB2384" i="2"/>
  <c r="AK2384" i="2" s="1"/>
  <c r="AB2386" i="2"/>
  <c r="AK2386" i="2" s="1"/>
  <c r="AB2388" i="2"/>
  <c r="AK2388" i="2" s="1"/>
  <c r="AB2390" i="2"/>
  <c r="AK2390" i="2" s="1"/>
  <c r="AB2392" i="2"/>
  <c r="AK2392" i="2" s="1"/>
  <c r="AB2394" i="2"/>
  <c r="AK2394" i="2" s="1"/>
  <c r="AB2400" i="2"/>
  <c r="AK2400" i="2" s="1"/>
  <c r="AB2402" i="2"/>
  <c r="AK2402" i="2" s="1"/>
  <c r="AB2404" i="2"/>
  <c r="AK2404" i="2" s="1"/>
  <c r="AB2406" i="2"/>
  <c r="AK2406" i="2" s="1"/>
  <c r="AB2408" i="2"/>
  <c r="AK2408" i="2" s="1"/>
  <c r="Y2416" i="2"/>
  <c r="AB2485" i="2"/>
  <c r="AK2485" i="2" s="1"/>
  <c r="AB2487" i="2"/>
  <c r="AK2487" i="2" s="1"/>
  <c r="Y2487" i="2"/>
  <c r="AB2489" i="2"/>
  <c r="AK2489" i="2" s="1"/>
  <c r="AB2491" i="2"/>
  <c r="AK2491" i="2" s="1"/>
  <c r="AB2502" i="2"/>
  <c r="AK2502" i="2" s="1"/>
  <c r="Y2504" i="2"/>
  <c r="AB2506" i="2"/>
  <c r="AK2506" i="2" s="1"/>
  <c r="Y2506" i="2"/>
  <c r="AB2508" i="2"/>
  <c r="AK2508" i="2" s="1"/>
  <c r="AB2510" i="2"/>
  <c r="AK2510" i="2" s="1"/>
  <c r="Y2510" i="2"/>
  <c r="AB2611" i="2"/>
  <c r="AK2611" i="2" s="1"/>
  <c r="AB2619" i="2"/>
  <c r="AK2619" i="2" s="1"/>
  <c r="Y2619" i="2"/>
  <c r="AB2651" i="2"/>
  <c r="AK2651" i="2" s="1"/>
  <c r="AB2659" i="2"/>
  <c r="AK2659" i="2" s="1"/>
  <c r="Y2659" i="2"/>
  <c r="AB2667" i="2"/>
  <c r="AK2667" i="2" s="1"/>
  <c r="Y2667" i="2"/>
  <c r="Y2675" i="2"/>
  <c r="AB2701" i="2"/>
  <c r="AK2701" i="2" s="1"/>
  <c r="AB2708" i="2"/>
  <c r="AK2708" i="2" s="1"/>
  <c r="Y2708" i="2"/>
  <c r="AB2712" i="2"/>
  <c r="AK2712" i="2" s="1"/>
  <c r="Y2712" i="2"/>
  <c r="AC2716" i="2"/>
  <c r="Y2716" i="2"/>
  <c r="AB2720" i="2"/>
  <c r="AK2720" i="2" s="1"/>
  <c r="Y2720" i="2"/>
  <c r="AB2724" i="2"/>
  <c r="AK2724" i="2" s="1"/>
  <c r="Y2724" i="2"/>
  <c r="AB2726" i="2"/>
  <c r="AK2726" i="2" s="1"/>
  <c r="Y2726" i="2"/>
  <c r="Y1072" i="2"/>
  <c r="AB1074" i="2"/>
  <c r="AK1074" i="2" s="1"/>
  <c r="AB1078" i="2"/>
  <c r="AK1078" i="2" s="1"/>
  <c r="AB1080" i="2"/>
  <c r="AK1080" i="2" s="1"/>
  <c r="AB1084" i="2"/>
  <c r="AK1084" i="2" s="1"/>
  <c r="AB1090" i="2"/>
  <c r="AK1090" i="2" s="1"/>
  <c r="AB1094" i="2"/>
  <c r="AK1094" i="2" s="1"/>
  <c r="AB1096" i="2"/>
  <c r="AK1096" i="2" s="1"/>
  <c r="Y1104" i="2"/>
  <c r="AB1106" i="2"/>
  <c r="AK1106" i="2" s="1"/>
  <c r="AB1110" i="2"/>
  <c r="AK1110" i="2" s="1"/>
  <c r="AB1112" i="2"/>
  <c r="AK1112" i="2" s="1"/>
  <c r="AB1116" i="2"/>
  <c r="AK1116" i="2" s="1"/>
  <c r="AB1118" i="2"/>
  <c r="AK1118" i="2" s="1"/>
  <c r="AB1130" i="2"/>
  <c r="AK1130" i="2" s="1"/>
  <c r="AB1140" i="2"/>
  <c r="AK1140" i="2" s="1"/>
  <c r="AB1144" i="2"/>
  <c r="AK1144" i="2" s="1"/>
  <c r="AB1150" i="2"/>
  <c r="AK1150" i="2" s="1"/>
  <c r="AB1152" i="2"/>
  <c r="AK1152" i="2" s="1"/>
  <c r="AB1156" i="2"/>
  <c r="AK1156" i="2" s="1"/>
  <c r="AB1160" i="2"/>
  <c r="AK1160" i="2" s="1"/>
  <c r="AB1162" i="2"/>
  <c r="AK1162" i="2" s="1"/>
  <c r="AB1172" i="2"/>
  <c r="AK1172" i="2" s="1"/>
  <c r="AB1174" i="2"/>
  <c r="AK1174" i="2" s="1"/>
  <c r="AB1176" i="2"/>
  <c r="AK1176" i="2" s="1"/>
  <c r="AB1178" i="2"/>
  <c r="AK1178" i="2" s="1"/>
  <c r="AB1184" i="2"/>
  <c r="AK1184" i="2" s="1"/>
  <c r="AB1186" i="2"/>
  <c r="AK1186" i="2" s="1"/>
  <c r="AB1188" i="2"/>
  <c r="AK1188" i="2" s="1"/>
  <c r="AB1196" i="2"/>
  <c r="AK1196" i="2" s="1"/>
  <c r="AB1200" i="2"/>
  <c r="AK1200" i="2" s="1"/>
  <c r="AB1202" i="2"/>
  <c r="AK1202" i="2" s="1"/>
  <c r="AB1204" i="2"/>
  <c r="AK1204" i="2" s="1"/>
  <c r="AB1208" i="2"/>
  <c r="AK1208" i="2" s="1"/>
  <c r="AB1212" i="2"/>
  <c r="AK1212" i="2" s="1"/>
  <c r="AB1224" i="2"/>
  <c r="AK1224" i="2" s="1"/>
  <c r="AB1228" i="2"/>
  <c r="AK1228" i="2" s="1"/>
  <c r="AB1234" i="2"/>
  <c r="AK1234" i="2" s="1"/>
  <c r="AB1236" i="2"/>
  <c r="AK1236" i="2" s="1"/>
  <c r="AB1246" i="2"/>
  <c r="AK1246" i="2" s="1"/>
  <c r="AB1523" i="2"/>
  <c r="AK1523" i="2" s="1"/>
  <c r="AB1699" i="2"/>
  <c r="AK1699" i="2" s="1"/>
  <c r="AB1731" i="2"/>
  <c r="AK1731" i="2" s="1"/>
  <c r="AB1743" i="2"/>
  <c r="AK1743" i="2" s="1"/>
  <c r="Y1743" i="2"/>
  <c r="AB2326" i="2"/>
  <c r="AK2326" i="2" s="1"/>
  <c r="AB2481" i="2"/>
  <c r="AK2481" i="2" s="1"/>
  <c r="AB2483" i="2"/>
  <c r="AK2483" i="2" s="1"/>
  <c r="AB2500" i="2"/>
  <c r="AK2500" i="2" s="1"/>
  <c r="AB2557" i="2"/>
  <c r="AK2557" i="2" s="1"/>
  <c r="Y2557" i="2"/>
  <c r="AB2559" i="2"/>
  <c r="AK2559" i="2" s="1"/>
  <c r="Y2559" i="2"/>
  <c r="AB2565" i="2"/>
  <c r="AK2565" i="2" s="1"/>
  <c r="Y2565" i="2"/>
  <c r="AB2567" i="2"/>
  <c r="AK2567" i="2" s="1"/>
  <c r="AB2569" i="2"/>
  <c r="AK2569" i="2" s="1"/>
  <c r="Y2569" i="2"/>
  <c r="AB2571" i="2"/>
  <c r="AK2571" i="2" s="1"/>
  <c r="Y2573" i="2"/>
  <c r="AB2575" i="2"/>
  <c r="AK2575" i="2" s="1"/>
  <c r="Y2575" i="2"/>
  <c r="AB2577" i="2"/>
  <c r="AK2577" i="2" s="1"/>
  <c r="AB2579" i="2"/>
  <c r="AK2579" i="2" s="1"/>
  <c r="AB2606" i="2"/>
  <c r="AK2606" i="2" s="1"/>
  <c r="AB2614" i="2"/>
  <c r="AK2614" i="2" s="1"/>
  <c r="Y2614" i="2"/>
  <c r="AB2622" i="2"/>
  <c r="AK2622" i="2" s="1"/>
  <c r="Y2622" i="2"/>
  <c r="AB2630" i="2"/>
  <c r="AK2630" i="2" s="1"/>
  <c r="AB2643" i="2"/>
  <c r="AK2643" i="2" s="1"/>
  <c r="Y2643" i="2"/>
  <c r="Y2654" i="2"/>
  <c r="AB2662" i="2"/>
  <c r="AK2662" i="2" s="1"/>
  <c r="Y2662" i="2"/>
  <c r="AB2670" i="2"/>
  <c r="AK2670" i="2" s="1"/>
  <c r="Y2670" i="2"/>
  <c r="AB2678" i="2"/>
  <c r="AK2678" i="2" s="1"/>
  <c r="Y2678" i="2"/>
  <c r="Y2682" i="2"/>
  <c r="AB2686" i="2"/>
  <c r="AK2686" i="2" s="1"/>
  <c r="Y2686" i="2"/>
  <c r="AB2690" i="2"/>
  <c r="AK2690" i="2" s="1"/>
  <c r="Y2690" i="2"/>
  <c r="AB2694" i="2"/>
  <c r="AK2694" i="2" s="1"/>
  <c r="Y2694" i="2"/>
  <c r="AH85" i="2"/>
  <c r="AC2313" i="2"/>
  <c r="AC2279" i="2"/>
  <c r="AC2289" i="2"/>
  <c r="AC2235" i="2"/>
  <c r="AC2165" i="2"/>
  <c r="O7" i="3"/>
  <c r="O2" i="3"/>
  <c r="O12" i="3"/>
  <c r="R42" i="3"/>
  <c r="T42" i="3" s="1"/>
  <c r="U42" i="3" s="1"/>
  <c r="V42" i="3" s="1"/>
  <c r="AC68" i="2"/>
  <c r="AC598" i="2"/>
  <c r="AC644" i="2"/>
  <c r="AC2438" i="2"/>
  <c r="AC2493" i="2"/>
  <c r="AA2583" i="2"/>
  <c r="AB2583" i="2" s="1"/>
  <c r="AK2583" i="2" s="1"/>
  <c r="AC1959" i="2"/>
  <c r="AC1967" i="2"/>
  <c r="AC1983" i="2"/>
  <c r="AC1985" i="2"/>
  <c r="AC1987" i="2"/>
  <c r="AC1989" i="2"/>
  <c r="AC2019" i="2"/>
  <c r="AC2049" i="2"/>
  <c r="AA2053" i="2"/>
  <c r="AB2053" i="2" s="1"/>
  <c r="AK2053" i="2" s="1"/>
  <c r="AH2632" i="2"/>
  <c r="AH2640" i="2"/>
  <c r="AC2561" i="2"/>
  <c r="AH2635" i="2"/>
  <c r="AC1518" i="2"/>
  <c r="AC2541" i="2"/>
  <c r="AF2638" i="2"/>
  <c r="AC824" i="2"/>
  <c r="AF1617" i="2"/>
  <c r="AF864" i="2"/>
  <c r="AC1318" i="2"/>
  <c r="AC1322" i="2"/>
  <c r="AC1326" i="2"/>
  <c r="AC1332" i="2"/>
  <c r="AC1342" i="2"/>
  <c r="AC1350" i="2"/>
  <c r="AC1368" i="2"/>
  <c r="AC1370" i="2"/>
  <c r="AC1593" i="2"/>
  <c r="AC1595" i="2"/>
  <c r="AC1812" i="2"/>
  <c r="AC1930" i="2"/>
  <c r="AC1958" i="2"/>
  <c r="AC1964" i="2"/>
  <c r="AA1972" i="2"/>
  <c r="AB1972" i="2" s="1"/>
  <c r="AK1972" i="2" s="1"/>
  <c r="AC1256" i="2"/>
  <c r="AC1278" i="2"/>
  <c r="AC1300" i="2"/>
  <c r="AC1654" i="2"/>
  <c r="AC1678" i="2"/>
  <c r="AC1694" i="2"/>
  <c r="AC1710" i="2"/>
  <c r="AF2361" i="2"/>
  <c r="AC1054" i="2"/>
  <c r="AC1068" i="2"/>
  <c r="AC1070" i="2"/>
  <c r="AC1072" i="2"/>
  <c r="AC1098" i="2"/>
  <c r="AC1108" i="2"/>
  <c r="AC1118" i="2"/>
  <c r="AC1122" i="2"/>
  <c r="AC1134" i="2"/>
  <c r="AC1138" i="2"/>
  <c r="AC1162" i="2"/>
  <c r="AC1188" i="2"/>
  <c r="AC1194" i="2"/>
  <c r="AC1202" i="2"/>
  <c r="AC1210" i="2"/>
  <c r="AC1216" i="2"/>
  <c r="AC1228" i="2"/>
  <c r="AC1244" i="2"/>
  <c r="AC2169" i="2"/>
  <c r="AC2193" i="2"/>
  <c r="O59" i="3"/>
  <c r="O60" i="3"/>
  <c r="O51" i="3"/>
  <c r="AA1979" i="2"/>
  <c r="AB1979" i="2" s="1"/>
  <c r="AK1979" i="2" s="1"/>
  <c r="AC2029" i="2"/>
  <c r="AC1919" i="2"/>
  <c r="AA2047" i="2"/>
  <c r="AB2047" i="2" s="1"/>
  <c r="AK2047" i="2" s="1"/>
  <c r="AA2019" i="2"/>
  <c r="AB2019" i="2" s="1"/>
  <c r="AK2019" i="2" s="1"/>
  <c r="AC2041" i="2"/>
  <c r="AC1911" i="2"/>
  <c r="AA1999" i="2"/>
  <c r="AB1999" i="2" s="1"/>
  <c r="AK1999" i="2" s="1"/>
  <c r="AC2011" i="2"/>
  <c r="AC1871" i="2"/>
  <c r="AC1997" i="2"/>
  <c r="AC1935" i="2"/>
  <c r="AA1989" i="2"/>
  <c r="AB1989" i="2" s="1"/>
  <c r="AK1989" i="2" s="1"/>
  <c r="AC2035" i="2"/>
  <c r="AC2027" i="2"/>
  <c r="AC2059" i="2"/>
  <c r="AC2033" i="2"/>
  <c r="AC1895" i="2"/>
  <c r="AC2433" i="2"/>
  <c r="AC2667" i="2"/>
  <c r="AC2606" i="2"/>
  <c r="AC2579" i="2"/>
  <c r="R39" i="3"/>
  <c r="T39" i="3" s="1"/>
  <c r="U39" i="3" s="1"/>
  <c r="V39" i="3" s="1"/>
  <c r="AC2565" i="2"/>
  <c r="AF2619" i="2"/>
  <c r="AF2627" i="2"/>
  <c r="AC2720" i="2"/>
  <c r="AC2708" i="2"/>
  <c r="AC2652" i="2"/>
  <c r="AC2519" i="2"/>
  <c r="AC2465" i="2"/>
  <c r="AC2726" i="2"/>
  <c r="AF2617" i="2"/>
  <c r="AC2724" i="2"/>
  <c r="AC2701" i="2"/>
  <c r="AC1357" i="2"/>
  <c r="AC1669" i="2"/>
  <c r="AC1677" i="2"/>
  <c r="AC2643" i="2"/>
  <c r="AC2577" i="2"/>
  <c r="AC2559" i="2"/>
  <c r="AC1665" i="2"/>
  <c r="Y1665" i="2" s="1"/>
  <c r="AC2575" i="2"/>
  <c r="AC2360" i="2"/>
  <c r="AC1771" i="2"/>
  <c r="AC1763" i="2"/>
  <c r="AF2635" i="2"/>
  <c r="AA2561" i="2"/>
  <c r="AB2561" i="2" s="1"/>
  <c r="AK2561" i="2" s="1"/>
  <c r="AC2573" i="2"/>
  <c r="AC2571" i="2"/>
  <c r="AC2356" i="2"/>
  <c r="AC2677" i="2"/>
  <c r="AC2622" i="2"/>
  <c r="AC2569" i="2"/>
  <c r="AC1671" i="2"/>
  <c r="AC2567" i="2"/>
  <c r="AC1719" i="2"/>
  <c r="AC2500" i="2"/>
  <c r="AC2348" i="2"/>
  <c r="AC1601" i="2"/>
  <c r="AC2483" i="2"/>
  <c r="AC2481" i="2"/>
  <c r="AC2342" i="2"/>
  <c r="AC1380" i="2"/>
  <c r="AC1376" i="2"/>
  <c r="AC1400" i="2"/>
  <c r="AC1396" i="2"/>
  <c r="AC924" i="2"/>
  <c r="AC1831" i="2"/>
  <c r="AC1855" i="2"/>
  <c r="AC1879" i="2"/>
  <c r="AC2362" i="2"/>
  <c r="AC1386" i="2"/>
  <c r="AC1384" i="2"/>
  <c r="AC1382" i="2"/>
  <c r="AC1394" i="2"/>
  <c r="AC1378" i="2"/>
  <c r="AC2659" i="2"/>
  <c r="AC2388" i="2"/>
  <c r="AC2404" i="2"/>
  <c r="AC2619" i="2"/>
  <c r="AC2380" i="2"/>
  <c r="AF2632" i="2"/>
  <c r="AH2616" i="2"/>
  <c r="AF2624" i="2"/>
  <c r="AC2491" i="2"/>
  <c r="AC2372" i="2"/>
  <c r="AC2688" i="2"/>
  <c r="AC2485" i="2"/>
  <c r="AC2406" i="2"/>
  <c r="AC2398" i="2"/>
  <c r="AC2374" i="2"/>
  <c r="AC2439" i="2"/>
  <c r="AC2651" i="2"/>
  <c r="AC2611" i="2"/>
  <c r="AC2489" i="2"/>
  <c r="AC2418" i="2"/>
  <c r="AC2402" i="2"/>
  <c r="AC2386" i="2"/>
  <c r="AC2370" i="2"/>
  <c r="AF2640" i="2"/>
  <c r="AC2487" i="2"/>
  <c r="AC2424" i="2"/>
  <c r="AC2400" i="2"/>
  <c r="AC2392" i="2"/>
  <c r="AC2376" i="2"/>
  <c r="AC2366" i="2"/>
  <c r="AC2413" i="2"/>
  <c r="AC2678" i="2"/>
  <c r="AC2361" i="2"/>
  <c r="AC2639" i="2"/>
  <c r="AC2690" i="2"/>
  <c r="AC2385" i="2"/>
  <c r="AA1218" i="2"/>
  <c r="AB1218" i="2" s="1"/>
  <c r="AK1218" i="2" s="1"/>
  <c r="AC2670" i="2"/>
  <c r="AF2612" i="2"/>
  <c r="AC2686" i="2"/>
  <c r="AC2662" i="2"/>
  <c r="AC2383" i="2"/>
  <c r="AC2363" i="2"/>
  <c r="AC1507" i="2"/>
  <c r="AA1216" i="2"/>
  <c r="AB1216" i="2" s="1"/>
  <c r="AK1216" i="2" s="1"/>
  <c r="AC1232" i="2"/>
  <c r="AC1222" i="2"/>
  <c r="AC1738" i="2"/>
  <c r="AC1704" i="2"/>
  <c r="AC1662" i="2"/>
  <c r="AA2048" i="2"/>
  <c r="AB2048" i="2" s="1"/>
  <c r="AK2048" i="2" s="1"/>
  <c r="R3" i="3"/>
  <c r="T3" i="3" s="1"/>
  <c r="U3" i="3" s="1"/>
  <c r="V3" i="3" s="1"/>
  <c r="AC1196" i="2"/>
  <c r="AC1778" i="2"/>
  <c r="AC1660" i="2"/>
  <c r="AC1164" i="2"/>
  <c r="AC2088" i="2"/>
  <c r="AA1978" i="2"/>
  <c r="AB1978" i="2" s="1"/>
  <c r="AC1970" i="2"/>
  <c r="AA1990" i="2"/>
  <c r="AB1990" i="2" s="1"/>
  <c r="AC2002" i="2"/>
  <c r="AC2008" i="2"/>
  <c r="AC1972" i="2"/>
  <c r="AC1348" i="2"/>
  <c r="AC1352" i="2"/>
  <c r="AA1352" i="2"/>
  <c r="AB1352" i="2" s="1"/>
  <c r="AC1854" i="2"/>
  <c r="AA1982" i="2"/>
  <c r="AB1982" i="2" s="1"/>
  <c r="AC1988" i="2"/>
  <c r="AC2010" i="2"/>
  <c r="AA1964" i="2"/>
  <c r="AB1964" i="2" s="1"/>
  <c r="AK1964" i="2" s="1"/>
  <c r="AF1398" i="2"/>
  <c r="AC1840" i="2"/>
  <c r="AC1986" i="2"/>
  <c r="AC1992" i="2"/>
  <c r="AC2596" i="2"/>
  <c r="AC2016" i="2"/>
  <c r="AC2024" i="2"/>
  <c r="AC2026" i="2"/>
  <c r="AC2028" i="2"/>
  <c r="AC2036" i="2"/>
  <c r="AC2084" i="2"/>
  <c r="AC2122" i="2"/>
  <c r="AC2138" i="2"/>
  <c r="AC2184" i="2"/>
  <c r="AC2234" i="2"/>
  <c r="AC2288" i="2"/>
  <c r="AF2324" i="2"/>
  <c r="AC2479" i="2"/>
  <c r="AF2500" i="2"/>
  <c r="AC2523" i="2"/>
  <c r="AC2529" i="2"/>
  <c r="AC2531" i="2"/>
  <c r="AC2539" i="2"/>
  <c r="AC2553" i="2"/>
  <c r="AC2555" i="2"/>
  <c r="AF2557" i="2"/>
  <c r="AF2559" i="2"/>
  <c r="AF2565" i="2"/>
  <c r="AF2567" i="2"/>
  <c r="AF2573" i="2"/>
  <c r="AF2579" i="2"/>
  <c r="AC2592" i="2"/>
  <c r="AC2600" i="2"/>
  <c r="AC2602" i="2"/>
  <c r="AF2606" i="2"/>
  <c r="AC2617" i="2"/>
  <c r="AF2622" i="2"/>
  <c r="AF2630" i="2"/>
  <c r="AH2638" i="2"/>
  <c r="AC2672" i="2"/>
  <c r="AC2704" i="2"/>
  <c r="AA2032" i="2"/>
  <c r="AB2032" i="2" s="1"/>
  <c r="AK2032" i="2" s="1"/>
  <c r="AC2525" i="2"/>
  <c r="AC2535" i="2"/>
  <c r="AC2496" i="2"/>
  <c r="AC2609" i="2"/>
  <c r="AC2477" i="2"/>
  <c r="AC2262" i="2"/>
  <c r="AC2551" i="2"/>
  <c r="AC2156" i="2"/>
  <c r="AC2604" i="2"/>
  <c r="AC2527" i="2"/>
  <c r="AC1774" i="2"/>
  <c r="AC1736" i="2"/>
  <c r="AC1712" i="2"/>
  <c r="AC1688" i="2"/>
  <c r="AC1698" i="2"/>
  <c r="AC1674" i="2"/>
  <c r="AC1732" i="2"/>
  <c r="AC1634" i="2"/>
  <c r="AC1720" i="2"/>
  <c r="AC1630" i="2"/>
  <c r="AC1740" i="2"/>
  <c r="AC1706" i="2"/>
  <c r="AC1682" i="2"/>
  <c r="AC1626" i="2"/>
  <c r="X86" i="2"/>
  <c r="AH86" i="2"/>
  <c r="W86" i="2"/>
  <c r="R7" i="3"/>
  <c r="T7" i="3" s="1"/>
  <c r="U7" i="3" s="1"/>
  <c r="V7" i="3" s="1"/>
  <c r="AC1170" i="2"/>
  <c r="AC1994" i="2"/>
  <c r="AC952" i="2"/>
  <c r="AC1633" i="2"/>
  <c r="AC1307" i="2"/>
  <c r="AC1611" i="2"/>
  <c r="R15" i="3"/>
  <c r="T15" i="3" s="1"/>
  <c r="U15" i="3" s="1"/>
  <c r="V15" i="3" s="1"/>
  <c r="AC2000" i="2"/>
  <c r="AC1247" i="2"/>
  <c r="AC1198" i="2"/>
  <c r="AC1132" i="2"/>
  <c r="AC858" i="2"/>
  <c r="AC1224" i="2"/>
  <c r="AC1966" i="2"/>
  <c r="AC1822" i="2"/>
  <c r="AC968" i="2"/>
  <c r="AC1673" i="2"/>
  <c r="AC1661" i="2"/>
  <c r="AC1086" i="2"/>
  <c r="AC2616" i="2"/>
  <c r="AC904" i="2"/>
  <c r="AC1011" i="2"/>
  <c r="AC940" i="2"/>
  <c r="AC820" i="2"/>
  <c r="AC1613" i="2"/>
  <c r="AC1182" i="2"/>
  <c r="AC932" i="2"/>
  <c r="AC814" i="2"/>
  <c r="AC1082" i="2"/>
  <c r="AC1037" i="2"/>
  <c r="AC894" i="2"/>
  <c r="AC1229" i="2"/>
  <c r="Y1229" i="2" s="1"/>
  <c r="AC1293" i="2"/>
  <c r="AC1206" i="2"/>
  <c r="AC974" i="2"/>
  <c r="AC926" i="2"/>
  <c r="AC1498" i="2"/>
  <c r="AF2141" i="2"/>
  <c r="AF2522" i="2"/>
  <c r="AC1184" i="2"/>
  <c r="AC1850" i="2"/>
  <c r="AC1330" i="2"/>
  <c r="AC1140" i="2"/>
  <c r="AC1204" i="2"/>
  <c r="AC1214" i="2"/>
  <c r="AC1336" i="2"/>
  <c r="AC1980" i="2"/>
  <c r="AC1998" i="2"/>
  <c r="AC2006" i="2"/>
  <c r="AC2022" i="2"/>
  <c r="AC2044" i="2"/>
  <c r="AC1248" i="2"/>
  <c r="R14" i="3"/>
  <c r="T14" i="3" s="1"/>
  <c r="U14" i="3" s="1"/>
  <c r="V14" i="3" s="1"/>
  <c r="AC1114" i="2"/>
  <c r="AC1076" i="2"/>
  <c r="AC1346" i="2"/>
  <c r="AC1550" i="2"/>
  <c r="AC1190" i="2"/>
  <c r="AC1142" i="2"/>
  <c r="AC1090" i="2"/>
  <c r="AC1338" i="2"/>
  <c r="AC1540" i="2"/>
  <c r="AC1426" i="2"/>
  <c r="AC1212" i="2"/>
  <c r="AC1124" i="2"/>
  <c r="AC1752" i="2"/>
  <c r="AC2557" i="2"/>
  <c r="AC950" i="2"/>
  <c r="AC906" i="2"/>
  <c r="AC688" i="2"/>
  <c r="AC1514" i="2"/>
  <c r="AC1534" i="2"/>
  <c r="AC1538" i="2"/>
  <c r="AC1562" i="2"/>
  <c r="AC1566" i="2"/>
  <c r="AC1607" i="2"/>
  <c r="AF2117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61" i="2"/>
  <c r="AF2267" i="2"/>
  <c r="AF2293" i="2"/>
  <c r="AF2303" i="2"/>
  <c r="AC2432" i="2"/>
  <c r="AC2440" i="2"/>
  <c r="AC2466" i="2"/>
  <c r="AC830" i="2"/>
  <c r="AC522" i="2"/>
  <c r="AC1106" i="2"/>
  <c r="AC1116" i="2"/>
  <c r="AC1126" i="2"/>
  <c r="AC1130" i="2"/>
  <c r="AC1148" i="2"/>
  <c r="AC1154" i="2"/>
  <c r="AC1166" i="2"/>
  <c r="AC1186" i="2"/>
  <c r="AC1192" i="2"/>
  <c r="AC1200" i="2"/>
  <c r="AC1208" i="2"/>
  <c r="AC1226" i="2"/>
  <c r="AC1312" i="2"/>
  <c r="AC1320" i="2"/>
  <c r="AC1334" i="2"/>
  <c r="AC1340" i="2"/>
  <c r="AC1344" i="2"/>
  <c r="AC1358" i="2"/>
  <c r="AC1366" i="2"/>
  <c r="AC1372" i="2"/>
  <c r="AF1374" i="2"/>
  <c r="AF1382" i="2"/>
  <c r="AF1388" i="2"/>
  <c r="AF1394" i="2"/>
  <c r="AF1396" i="2"/>
  <c r="AC1591" i="2"/>
  <c r="AC1597" i="2"/>
  <c r="AC1599" i="2"/>
  <c r="AC1804" i="2"/>
  <c r="AC1808" i="2"/>
  <c r="AC1824" i="2"/>
  <c r="AC1282" i="2"/>
  <c r="AC1288" i="2"/>
  <c r="AC698" i="2"/>
  <c r="R22" i="3"/>
  <c r="T22" i="3" s="1"/>
  <c r="U22" i="3" s="1"/>
  <c r="V22" i="3" s="1"/>
  <c r="AC1158" i="2"/>
  <c r="AC1146" i="2"/>
  <c r="AC900" i="2"/>
  <c r="AC1260" i="2"/>
  <c r="AC267" i="2"/>
  <c r="AC786" i="2"/>
  <c r="AC1558" i="2"/>
  <c r="AC828" i="2"/>
  <c r="AC886" i="2"/>
  <c r="AC892" i="2"/>
  <c r="AC896" i="2"/>
  <c r="AC898" i="2"/>
  <c r="AC908" i="2"/>
  <c r="AC918" i="2"/>
  <c r="AC922" i="2"/>
  <c r="AF2478" i="2"/>
  <c r="AF2499" i="2"/>
  <c r="AC2520" i="2"/>
  <c r="AF2528" i="2"/>
  <c r="AF2538" i="2"/>
  <c r="AF2593" i="2"/>
  <c r="AF2597" i="2"/>
  <c r="AH2621" i="2"/>
  <c r="AH2637" i="2"/>
  <c r="AC1842" i="2"/>
  <c r="AC1618" i="2"/>
  <c r="AC1009" i="2"/>
  <c r="AC946" i="2"/>
  <c r="AC2581" i="2"/>
  <c r="AC1622" i="2"/>
  <c r="AC1628" i="2"/>
  <c r="AC1668" i="2"/>
  <c r="AC1692" i="2"/>
  <c r="AC1708" i="2"/>
  <c r="AC1716" i="2"/>
  <c r="AC1848" i="2"/>
  <c r="AC1830" i="2"/>
  <c r="AC986" i="2"/>
  <c r="AC938" i="2"/>
  <c r="AC2663" i="2"/>
  <c r="AC1838" i="2"/>
  <c r="AC980" i="2"/>
  <c r="AC960" i="2"/>
  <c r="AC934" i="2"/>
  <c r="AC1173" i="2"/>
  <c r="AC928" i="2"/>
  <c r="AC948" i="2"/>
  <c r="AC954" i="2"/>
  <c r="AC966" i="2"/>
  <c r="AC972" i="2"/>
  <c r="AC982" i="2"/>
  <c r="AC990" i="2"/>
  <c r="AC1043" i="2"/>
  <c r="AC1251" i="2"/>
  <c r="AC1341" i="2"/>
  <c r="AC1303" i="2"/>
  <c r="AC1331" i="2"/>
  <c r="AC1321" i="2"/>
  <c r="AC1510" i="2"/>
  <c r="AC1556" i="2"/>
  <c r="AC428" i="2"/>
  <c r="AC1084" i="2"/>
  <c r="AC1264" i="2"/>
  <c r="AC1316" i="2"/>
  <c r="AC1362" i="2"/>
  <c r="AF1386" i="2"/>
  <c r="AC1786" i="2"/>
  <c r="AC1794" i="2"/>
  <c r="AC1810" i="2"/>
  <c r="AC606" i="2"/>
  <c r="AC798" i="2"/>
  <c r="AC449" i="2"/>
  <c r="AC999" i="2"/>
  <c r="AC584" i="2"/>
  <c r="AC816" i="2"/>
  <c r="AC796" i="2"/>
  <c r="AC888" i="2"/>
  <c r="AC914" i="2"/>
  <c r="AC930" i="2"/>
  <c r="AC1844" i="2"/>
  <c r="AC1836" i="2"/>
  <c r="AC1828" i="2"/>
  <c r="AC1015" i="2"/>
  <c r="AC984" i="2"/>
  <c r="AC970" i="2"/>
  <c r="AC958" i="2"/>
  <c r="AC944" i="2"/>
  <c r="AC1245" i="2"/>
  <c r="AC1299" i="2"/>
  <c r="AC1275" i="2"/>
  <c r="AC1001" i="2"/>
  <c r="AC664" i="2"/>
  <c r="AC756" i="2"/>
  <c r="AC740" i="2"/>
  <c r="AC724" i="2"/>
  <c r="AC660" i="2"/>
  <c r="AC602" i="2"/>
  <c r="AC680" i="2"/>
  <c r="AC995" i="2"/>
  <c r="AC700" i="2"/>
  <c r="AC676" i="2"/>
  <c r="AC656" i="2"/>
  <c r="AC596" i="2"/>
  <c r="AC696" i="2"/>
  <c r="AC764" i="2"/>
  <c r="AC748" i="2"/>
  <c r="AC732" i="2"/>
  <c r="AC716" i="2"/>
  <c r="AC692" i="2"/>
  <c r="AC672" i="2"/>
  <c r="AC620" i="2"/>
  <c r="AC668" i="2"/>
  <c r="AC614" i="2"/>
  <c r="AC1452" i="2"/>
  <c r="AC1512" i="2"/>
  <c r="AC1552" i="2"/>
  <c r="AC1560" i="2"/>
  <c r="AC1584" i="2"/>
  <c r="AF2129" i="2"/>
  <c r="AF2147" i="2"/>
  <c r="AF2165" i="2"/>
  <c r="AF2183" i="2"/>
  <c r="AF2193" i="2"/>
  <c r="AF2211" i="2"/>
  <c r="AF2229" i="2"/>
  <c r="AF2247" i="2"/>
  <c r="AF2273" i="2"/>
  <c r="AF2289" i="2"/>
  <c r="AF2315" i="2"/>
  <c r="AC2436" i="2"/>
  <c r="AC2444" i="2"/>
  <c r="AF2474" i="2"/>
  <c r="AF2497" i="2"/>
  <c r="AF2526" i="2"/>
  <c r="AF2534" i="2"/>
  <c r="AF2542" i="2"/>
  <c r="AC690" i="2"/>
  <c r="AC682" i="2"/>
  <c r="AC674" i="2"/>
  <c r="AC666" i="2"/>
  <c r="AC618" i="2"/>
  <c r="AC604" i="2"/>
  <c r="AC997" i="2"/>
  <c r="AC762" i="2"/>
  <c r="AC754" i="2"/>
  <c r="AC746" i="2"/>
  <c r="AC738" i="2"/>
  <c r="AC722" i="2"/>
  <c r="AC714" i="2"/>
  <c r="AC616" i="2"/>
  <c r="AC594" i="2"/>
  <c r="AC576" i="2"/>
  <c r="AC834" i="2"/>
  <c r="AC822" i="2"/>
  <c r="AC774" i="2"/>
  <c r="AC1274" i="2"/>
  <c r="AC1280" i="2"/>
  <c r="AC993" i="2"/>
  <c r="AC760" i="2"/>
  <c r="AC752" i="2"/>
  <c r="AC736" i="2"/>
  <c r="AC728" i="2"/>
  <c r="AC712" i="2"/>
  <c r="AC704" i="2"/>
  <c r="AC612" i="2"/>
  <c r="AC592" i="2"/>
  <c r="AC792" i="2"/>
  <c r="AC694" i="2"/>
  <c r="AC686" i="2"/>
  <c r="AC678" i="2"/>
  <c r="AC670" i="2"/>
  <c r="AC662" i="2"/>
  <c r="AC654" i="2"/>
  <c r="AC610" i="2"/>
  <c r="AC600" i="2"/>
  <c r="AC770" i="2"/>
  <c r="AC1003" i="2"/>
  <c r="AC758" i="2"/>
  <c r="AC750" i="2"/>
  <c r="AC742" i="2"/>
  <c r="AC734" i="2"/>
  <c r="AC726" i="2"/>
  <c r="AC718" i="2"/>
  <c r="AC608" i="2"/>
  <c r="AC580" i="2"/>
  <c r="AC870" i="2"/>
  <c r="AC826" i="2"/>
  <c r="AC790" i="2"/>
  <c r="AC1506" i="2"/>
  <c r="AC1404" i="2"/>
  <c r="AC1235" i="2"/>
  <c r="AC1243" i="2"/>
  <c r="AC1080" i="2"/>
  <c r="AC1088" i="2"/>
  <c r="AC1096" i="2"/>
  <c r="AC1104" i="2"/>
  <c r="AC1112" i="2"/>
  <c r="AC1120" i="2"/>
  <c r="AC1136" i="2"/>
  <c r="AC1144" i="2"/>
  <c r="AC1152" i="2"/>
  <c r="AC1160" i="2"/>
  <c r="AC1168" i="2"/>
  <c r="AC1262" i="2"/>
  <c r="AC1270" i="2"/>
  <c r="AC62" i="2"/>
  <c r="AC1364" i="2"/>
  <c r="AC1356" i="2"/>
  <c r="AC622" i="2"/>
  <c r="AC1405" i="2"/>
  <c r="AC1551" i="2"/>
  <c r="AC1533" i="2"/>
  <c r="AC1109" i="2"/>
  <c r="AC1491" i="2"/>
  <c r="AC1483" i="2"/>
  <c r="AC1475" i="2"/>
  <c r="AC1467" i="2"/>
  <c r="AC1409" i="2"/>
  <c r="AC1549" i="2"/>
  <c r="AC1531" i="2"/>
  <c r="AC2070" i="2"/>
  <c r="AC2054" i="2"/>
  <c r="AC1091" i="2"/>
  <c r="AC1610" i="2"/>
  <c r="AC1539" i="2"/>
  <c r="AC1529" i="2"/>
  <c r="AC1521" i="2"/>
  <c r="AC1513" i="2"/>
  <c r="AC1489" i="2"/>
  <c r="AC1473" i="2"/>
  <c r="AC1457" i="2"/>
  <c r="AC1441" i="2"/>
  <c r="AC574" i="2"/>
  <c r="AC238" i="2"/>
  <c r="AC1547" i="2"/>
  <c r="AC1227" i="2"/>
  <c r="AC1545" i="2"/>
  <c r="AC1519" i="2"/>
  <c r="AC1503" i="2"/>
  <c r="AC1487" i="2"/>
  <c r="AC1479" i="2"/>
  <c r="AC1471" i="2"/>
  <c r="AC1421" i="2"/>
  <c r="AC1403" i="2"/>
  <c r="AC1175" i="2"/>
  <c r="AC1553" i="2"/>
  <c r="AC1535" i="2"/>
  <c r="AC2058" i="2"/>
  <c r="AC2050" i="2"/>
  <c r="AC2042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1655" i="2"/>
  <c r="AC1647" i="2"/>
  <c r="AC1639" i="2"/>
  <c r="AC1631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420" i="2"/>
  <c r="AC1653" i="2"/>
  <c r="AC1645" i="2"/>
  <c r="AC1637" i="2"/>
  <c r="AC169" i="2"/>
  <c r="AC110" i="2"/>
  <c r="AC1799" i="2"/>
  <c r="AC1791" i="2"/>
  <c r="AC1783" i="2"/>
  <c r="AC1643" i="2"/>
  <c r="AC1635" i="2"/>
  <c r="AC1627" i="2"/>
  <c r="AC1619" i="2"/>
  <c r="AC454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456" i="2"/>
  <c r="AF1303" i="2"/>
  <c r="AC2508" i="2"/>
  <c r="AC328" i="2"/>
  <c r="AC541" i="2"/>
  <c r="AC222" i="2"/>
  <c r="AC1252" i="2"/>
  <c r="AC1266" i="2"/>
  <c r="AC2057" i="2"/>
  <c r="AC2067" i="2"/>
  <c r="AC2506" i="2"/>
  <c r="AC2624" i="2"/>
  <c r="AC1290" i="2"/>
  <c r="AC94" i="2"/>
  <c r="AC2121" i="2"/>
  <c r="AC2129" i="2"/>
  <c r="AC2137" i="2"/>
  <c r="AC2145" i="2"/>
  <c r="AC2153" i="2"/>
  <c r="AC2161" i="2"/>
  <c r="AC2177" i="2"/>
  <c r="AC2185" i="2"/>
  <c r="AC2201" i="2"/>
  <c r="AC2209" i="2"/>
  <c r="AC2217" i="2"/>
  <c r="AC2225" i="2"/>
  <c r="AF1059" i="2"/>
  <c r="AF1077" i="2"/>
  <c r="AC2510" i="2"/>
  <c r="AC2502" i="2"/>
  <c r="AC2648" i="2"/>
  <c r="AC2257" i="2"/>
  <c r="AC2249" i="2"/>
  <c r="AC2241" i="2"/>
  <c r="AC2233" i="2"/>
  <c r="AC1269" i="2"/>
  <c r="AC1053" i="2"/>
  <c r="AC216" i="2"/>
  <c r="AC884" i="2"/>
  <c r="AC876" i="2"/>
  <c r="AC868" i="2"/>
  <c r="AC856" i="2"/>
  <c r="AC848" i="2"/>
  <c r="AC832" i="2"/>
  <c r="AC1268" i="2"/>
  <c r="AC497" i="2"/>
  <c r="AC642" i="2"/>
  <c r="AC882" i="2"/>
  <c r="AC874" i="2"/>
  <c r="AC866" i="2"/>
  <c r="AC854" i="2"/>
  <c r="AC846" i="2"/>
  <c r="AC838" i="2"/>
  <c r="AC330" i="2"/>
  <c r="AC247" i="2"/>
  <c r="AC640" i="2"/>
  <c r="AC880" i="2"/>
  <c r="AC872" i="2"/>
  <c r="AC862" i="2"/>
  <c r="AC852" i="2"/>
  <c r="AC844" i="2"/>
  <c r="AC836" i="2"/>
  <c r="AC1272" i="2"/>
  <c r="AC234" i="2"/>
  <c r="AC507" i="2"/>
  <c r="AC446" i="2"/>
  <c r="AC232" i="2"/>
  <c r="AC517" i="2"/>
  <c r="AC236" i="2"/>
  <c r="AF616" i="2"/>
  <c r="AF620" i="2"/>
  <c r="AC626" i="2"/>
  <c r="AC630" i="2"/>
  <c r="AC634" i="2"/>
  <c r="AF697" i="2"/>
  <c r="AF699" i="2"/>
  <c r="AF701" i="2"/>
  <c r="AF711" i="2"/>
  <c r="AC1563" i="2"/>
  <c r="AC1571" i="2"/>
  <c r="AC1579" i="2"/>
  <c r="AC1602" i="2"/>
  <c r="AF1618" i="2"/>
  <c r="AF1622" i="2"/>
  <c r="AF1630" i="2"/>
  <c r="AF1634" i="2"/>
  <c r="AF1638" i="2"/>
  <c r="AC1648" i="2"/>
  <c r="AC1656" i="2"/>
  <c r="AC1860" i="2"/>
  <c r="AC1868" i="2"/>
  <c r="AC1884" i="2"/>
  <c r="AC1892" i="2"/>
  <c r="AC1900" i="2"/>
  <c r="AC1908" i="2"/>
  <c r="AC1916" i="2"/>
  <c r="AC1924" i="2"/>
  <c r="AC1932" i="2"/>
  <c r="AC1948" i="2"/>
  <c r="AC1956" i="2"/>
  <c r="AF2033" i="2"/>
  <c r="AF2035" i="2"/>
  <c r="AF2037" i="2"/>
  <c r="AF2039" i="2"/>
  <c r="AF2041" i="2"/>
  <c r="AC2043" i="2"/>
  <c r="AC2045" i="2"/>
  <c r="AC2051" i="2"/>
  <c r="AC2053" i="2"/>
  <c r="AC2069" i="2"/>
  <c r="AC2071" i="2"/>
  <c r="AC2073" i="2"/>
  <c r="AC2079" i="2"/>
  <c r="AC2081" i="2"/>
  <c r="AF2585" i="2"/>
  <c r="AC2608" i="2"/>
  <c r="AC2718" i="2"/>
  <c r="AC1960" i="2"/>
  <c r="AC1944" i="2"/>
  <c r="AC1912" i="2"/>
  <c r="AC1896" i="2"/>
  <c r="AC1880" i="2"/>
  <c r="AC1864" i="2"/>
  <c r="AC1652" i="2"/>
  <c r="AF358" i="2"/>
  <c r="AF1458" i="2"/>
  <c r="AF1460" i="2"/>
  <c r="AC1468" i="2"/>
  <c r="AC1472" i="2"/>
  <c r="AC1480" i="2"/>
  <c r="AC1482" i="2"/>
  <c r="AC1488" i="2"/>
  <c r="AC1496" i="2"/>
  <c r="AC1585" i="2"/>
  <c r="AC1575" i="2"/>
  <c r="AA1958" i="2"/>
  <c r="AB1958" i="2" s="1"/>
  <c r="AC1942" i="2"/>
  <c r="AC1910" i="2"/>
  <c r="AC1894" i="2"/>
  <c r="AC1878" i="2"/>
  <c r="AC1862" i="2"/>
  <c r="AC1650" i="2"/>
  <c r="AA2049" i="2"/>
  <c r="AB2049" i="2" s="1"/>
  <c r="AC290" i="2"/>
  <c r="AC1153" i="2"/>
  <c r="AC1155" i="2"/>
  <c r="AC1157" i="2"/>
  <c r="AC632" i="2"/>
  <c r="AC268" i="2"/>
  <c r="AC270" i="2"/>
  <c r="AC272" i="2"/>
  <c r="AC274" i="2"/>
  <c r="AC278" i="2"/>
  <c r="AC1608" i="2"/>
  <c r="AC1614" i="2"/>
  <c r="AC1583" i="2"/>
  <c r="AC1573" i="2"/>
  <c r="AC1954" i="2"/>
  <c r="AC1922" i="2"/>
  <c r="AC1906" i="2"/>
  <c r="AC1890" i="2"/>
  <c r="AC1874" i="2"/>
  <c r="AC1858" i="2"/>
  <c r="AC1646" i="2"/>
  <c r="AC1066" i="2"/>
  <c r="AC1952" i="2"/>
  <c r="AC1936" i="2"/>
  <c r="AC1920" i="2"/>
  <c r="AC1904" i="2"/>
  <c r="AC1872" i="2"/>
  <c r="AC1856" i="2"/>
  <c r="AC1644" i="2"/>
  <c r="AC628" i="2"/>
  <c r="AC2075" i="2"/>
  <c r="AC1606" i="2"/>
  <c r="AC1569" i="2"/>
  <c r="AC1559" i="2"/>
  <c r="AC1950" i="2"/>
  <c r="AC1934" i="2"/>
  <c r="AC1918" i="2"/>
  <c r="AC1902" i="2"/>
  <c r="AC1886" i="2"/>
  <c r="AC1658" i="2"/>
  <c r="AC624" i="2"/>
  <c r="AF893" i="2"/>
  <c r="AF957" i="2"/>
  <c r="R16" i="3"/>
  <c r="T16" i="3" s="1"/>
  <c r="U16" i="3" s="1"/>
  <c r="V16" i="3" s="1"/>
  <c r="AC292" i="2"/>
  <c r="AC567" i="2"/>
  <c r="AC573" i="2"/>
  <c r="AC1289" i="2"/>
  <c r="AC506" i="2"/>
  <c r="AC1258" i="2"/>
  <c r="AC1297" i="2"/>
  <c r="AF1963" i="2"/>
  <c r="AF149" i="2"/>
  <c r="AF1056" i="2"/>
  <c r="AC199" i="2"/>
  <c r="AC483" i="2"/>
  <c r="AC341" i="2"/>
  <c r="AC405" i="2"/>
  <c r="AC491" i="2"/>
  <c r="AC514" i="2"/>
  <c r="AC84" i="2"/>
  <c r="AF487" i="2"/>
  <c r="AF515" i="2"/>
  <c r="AC146" i="2"/>
  <c r="AF311" i="2"/>
  <c r="AC383" i="2"/>
  <c r="AF1280" i="2"/>
  <c r="AC82" i="2"/>
  <c r="AC218" i="2"/>
  <c r="AF288" i="2"/>
  <c r="AC439" i="2"/>
  <c r="AF1216" i="2"/>
  <c r="AC1254" i="2"/>
  <c r="AC1286" i="2"/>
  <c r="AC206" i="2"/>
  <c r="AF296" i="2"/>
  <c r="AC208" i="2"/>
  <c r="AC212" i="2"/>
  <c r="AC96" i="2"/>
  <c r="AC140" i="2"/>
  <c r="AC288" i="2"/>
  <c r="AC204" i="2"/>
  <c r="AC224" i="2"/>
  <c r="AC322" i="2"/>
  <c r="AF280" i="2"/>
  <c r="AF114" i="2"/>
  <c r="AC73" i="2"/>
  <c r="AC72" i="2"/>
  <c r="AF108" i="2"/>
  <c r="AC214" i="2"/>
  <c r="AF96" i="2"/>
  <c r="AC230" i="2"/>
  <c r="AC52" i="2"/>
  <c r="AC80" i="2"/>
  <c r="AC61" i="2"/>
  <c r="AC66" i="2"/>
  <c r="AK2461" i="2"/>
  <c r="AB85" i="2"/>
  <c r="AK85" i="2" s="1"/>
  <c r="O58" i="3"/>
  <c r="AB3885" i="2" l="1"/>
  <c r="AK3885" i="2" s="1"/>
  <c r="AC3885" i="2"/>
  <c r="AB4005" i="2"/>
  <c r="AK4005" i="2" s="1"/>
  <c r="AC4005" i="2"/>
  <c r="AB4021" i="2"/>
  <c r="AK4021" i="2" s="1"/>
  <c r="AC4021" i="2"/>
  <c r="AB4029" i="2"/>
  <c r="AK4029" i="2" s="1"/>
  <c r="AC4029" i="2"/>
  <c r="AB4037" i="2"/>
  <c r="AK4037" i="2" s="1"/>
  <c r="Y4037" i="2"/>
  <c r="AB4045" i="2"/>
  <c r="AK4045" i="2" s="1"/>
  <c r="Y4045" i="2"/>
  <c r="AC4045" i="2"/>
  <c r="AB4061" i="2"/>
  <c r="AK4061" i="2" s="1"/>
  <c r="AC4061" i="2"/>
  <c r="AB4244" i="2"/>
  <c r="AK4244" i="2" s="1"/>
  <c r="AC4244" i="2"/>
  <c r="AB4371" i="2"/>
  <c r="AK4371" i="2" s="1"/>
  <c r="AC4371" i="2"/>
  <c r="Y4592" i="2"/>
  <c r="AF4592" i="2"/>
  <c r="Y4632" i="2"/>
  <c r="AF4632" i="2"/>
  <c r="Y4640" i="2"/>
  <c r="AF4640" i="2"/>
  <c r="Y4683" i="2"/>
  <c r="AH4683" i="2"/>
  <c r="AB4697" i="2"/>
  <c r="AK4697" i="2" s="1"/>
  <c r="AC4697" i="2"/>
  <c r="AB4713" i="2"/>
  <c r="AK4713" i="2" s="1"/>
  <c r="AC4713" i="2"/>
  <c r="AB4745" i="2"/>
  <c r="AK4745" i="2" s="1"/>
  <c r="AC4745" i="2"/>
  <c r="AB4759" i="2"/>
  <c r="AK4759" i="2" s="1"/>
  <c r="Y4759" i="2"/>
  <c r="AK4773" i="2"/>
  <c r="AC4773" i="2"/>
  <c r="AB4928" i="2"/>
  <c r="AK4928" i="2" s="1"/>
  <c r="AC4928" i="2"/>
  <c r="AB4932" i="2"/>
  <c r="AK4932" i="2" s="1"/>
  <c r="AC4932" i="2"/>
  <c r="R88" i="3"/>
  <c r="T88" i="3" s="1"/>
  <c r="U88" i="3" s="1"/>
  <c r="V88" i="3" s="1"/>
  <c r="AB5003" i="2"/>
  <c r="AK5003" i="2" s="1"/>
  <c r="AC5003" i="2"/>
  <c r="Y5258" i="2"/>
  <c r="AB5258" i="2"/>
  <c r="AK5258" i="2" s="1"/>
  <c r="AB3446" i="2"/>
  <c r="AK3446" i="2" s="1"/>
  <c r="AC3446" i="2"/>
  <c r="AB3688" i="2"/>
  <c r="AK3688" i="2" s="1"/>
  <c r="AC3688" i="2"/>
  <c r="AK3696" i="2"/>
  <c r="AC3696" i="2"/>
  <c r="AC3704" i="2"/>
  <c r="AB3704" i="2"/>
  <c r="AK3704" i="2" s="1"/>
  <c r="AB3744" i="2"/>
  <c r="AK3744" i="2" s="1"/>
  <c r="AC3744" i="2"/>
  <c r="AK3752" i="2"/>
  <c r="AC3752" i="2"/>
  <c r="AB3792" i="2"/>
  <c r="AK3792" i="2" s="1"/>
  <c r="AC3792" i="2"/>
  <c r="Y3949" i="2"/>
  <c r="AC3949" i="2"/>
  <c r="AB3949" i="2"/>
  <c r="AK3949" i="2" s="1"/>
  <c r="AB3965" i="2"/>
  <c r="AK3965" i="2" s="1"/>
  <c r="AC3965" i="2"/>
  <c r="AC3997" i="2"/>
  <c r="AB3997" i="2"/>
  <c r="AK3997" i="2" s="1"/>
  <c r="AB4087" i="2"/>
  <c r="AK4087" i="2" s="1"/>
  <c r="AC4087" i="2"/>
  <c r="AB4095" i="2"/>
  <c r="AK4095" i="2" s="1"/>
  <c r="AC4095" i="2"/>
  <c r="Y4103" i="2"/>
  <c r="AB4103" i="2"/>
  <c r="AK4103" i="2" s="1"/>
  <c r="AB4204" i="2"/>
  <c r="AK4204" i="2" s="1"/>
  <c r="AC4204" i="2"/>
  <c r="Y4397" i="2"/>
  <c r="AF4397" i="2"/>
  <c r="AB4402" i="2"/>
  <c r="AK4402" i="2" s="1"/>
  <c r="Y4402" i="2"/>
  <c r="AC4402" i="2"/>
  <c r="Y4413" i="2"/>
  <c r="AF4413" i="2"/>
  <c r="Y4485" i="2"/>
  <c r="AF4485" i="2"/>
  <c r="Y4493" i="2"/>
  <c r="AF4493" i="2"/>
  <c r="Y4498" i="2"/>
  <c r="AC4498" i="2"/>
  <c r="Y4501" i="2"/>
  <c r="AF4501" i="2"/>
  <c r="Y4576" i="2"/>
  <c r="AB4576" i="2"/>
  <c r="AK4576" i="2" s="1"/>
  <c r="AC4576" i="2"/>
  <c r="AB4701" i="2"/>
  <c r="AK4701" i="2" s="1"/>
  <c r="AC4701" i="2"/>
  <c r="AB4769" i="2"/>
  <c r="AK4769" i="2" s="1"/>
  <c r="AC4769" i="2"/>
  <c r="Y4789" i="2"/>
  <c r="AH4789" i="2"/>
  <c r="AH4795" i="2"/>
  <c r="Y4795" i="2"/>
  <c r="Y5007" i="2"/>
  <c r="AB5007" i="2"/>
  <c r="AK5007" i="2" s="1"/>
  <c r="AC5007" i="2"/>
  <c r="Y5250" i="2"/>
  <c r="AB5250" i="2"/>
  <c r="AK5250" i="2" s="1"/>
  <c r="AC781" i="2"/>
  <c r="AC2308" i="2"/>
  <c r="AC2322" i="2"/>
  <c r="AC2280" i="2"/>
  <c r="AC2226" i="2"/>
  <c r="AC2178" i="2"/>
  <c r="AC2136" i="2"/>
  <c r="AC2166" i="2"/>
  <c r="AC2300" i="2"/>
  <c r="AC2391" i="2"/>
  <c r="AF4477" i="2"/>
  <c r="AF4789" i="2"/>
  <c r="AC5171" i="2"/>
  <c r="AC4763" i="2"/>
  <c r="AC4699" i="2"/>
  <c r="AC4442" i="2"/>
  <c r="AC4188" i="2"/>
  <c r="AC3925" i="2"/>
  <c r="AC3672" i="2"/>
  <c r="AC3510" i="2"/>
  <c r="AB3957" i="2"/>
  <c r="AK3957" i="2" s="1"/>
  <c r="AB3470" i="2"/>
  <c r="AK3470" i="2" s="1"/>
  <c r="AC3470" i="2"/>
  <c r="AB3478" i="2"/>
  <c r="AK3478" i="2" s="1"/>
  <c r="AC3478" i="2"/>
  <c r="AB3664" i="2"/>
  <c r="AK3664" i="2" s="1"/>
  <c r="AC3664" i="2"/>
  <c r="AB3768" i="2"/>
  <c r="AK3768" i="2" s="1"/>
  <c r="AC3768" i="2"/>
  <c r="AB3893" i="2"/>
  <c r="AK3893" i="2" s="1"/>
  <c r="AC3893" i="2"/>
  <c r="AB3901" i="2"/>
  <c r="AK3901" i="2" s="1"/>
  <c r="AC3901" i="2"/>
  <c r="AB4132" i="2"/>
  <c r="AK4132" i="2" s="1"/>
  <c r="AC4132" i="2"/>
  <c r="AB4180" i="2"/>
  <c r="AK4180" i="2" s="1"/>
  <c r="Y4180" i="2"/>
  <c r="AC4180" i="2"/>
  <c r="AB4220" i="2"/>
  <c r="AK4220" i="2" s="1"/>
  <c r="AC4220" i="2"/>
  <c r="AB4228" i="2"/>
  <c r="AK4228" i="2" s="1"/>
  <c r="AC4228" i="2"/>
  <c r="AB4289" i="2"/>
  <c r="AK4289" i="2" s="1"/>
  <c r="AC4289" i="2"/>
  <c r="AB4297" i="2"/>
  <c r="AK4297" i="2" s="1"/>
  <c r="AC4297" i="2"/>
  <c r="AB4334" i="2"/>
  <c r="AK4334" i="2" s="1"/>
  <c r="AC4334" i="2"/>
  <c r="AB4347" i="2"/>
  <c r="AK4347" i="2" s="1"/>
  <c r="AC4347" i="2"/>
  <c r="AB4450" i="2"/>
  <c r="AK4450" i="2" s="1"/>
  <c r="AC4450" i="2"/>
  <c r="Y4450" i="2"/>
  <c r="AB4537" i="2"/>
  <c r="AK4537" i="2" s="1"/>
  <c r="AC4537" i="2"/>
  <c r="Y4563" i="2"/>
  <c r="AF4563" i="2"/>
  <c r="AB4657" i="2"/>
  <c r="AK4657" i="2" s="1"/>
  <c r="AC4657" i="2"/>
  <c r="Y4673" i="2"/>
  <c r="AH4673" i="2"/>
  <c r="AB4729" i="2"/>
  <c r="AK4729" i="2" s="1"/>
  <c r="AC4729" i="2"/>
  <c r="AB4741" i="2"/>
  <c r="AK4741" i="2" s="1"/>
  <c r="AC4741" i="2"/>
  <c r="AB4755" i="2"/>
  <c r="AK4755" i="2" s="1"/>
  <c r="AC4755" i="2"/>
  <c r="AB4948" i="2"/>
  <c r="AK4948" i="2" s="1"/>
  <c r="AC4948" i="2"/>
  <c r="AB5005" i="2"/>
  <c r="AK5005" i="2" s="1"/>
  <c r="AC5005" i="2"/>
  <c r="R91" i="3"/>
  <c r="T91" i="3" s="1"/>
  <c r="U91" i="3" s="1"/>
  <c r="V91" i="3" s="1"/>
  <c r="AC5181" i="2"/>
  <c r="Y5282" i="2"/>
  <c r="AB5282" i="2"/>
  <c r="AK5282" i="2" s="1"/>
  <c r="AC5282" i="2"/>
  <c r="R23" i="3"/>
  <c r="T23" i="3" s="1"/>
  <c r="U23" i="3" s="1"/>
  <c r="V23" i="3" s="1"/>
  <c r="AC2072" i="2"/>
  <c r="AC2090" i="2"/>
  <c r="AC2320" i="2"/>
  <c r="AC2272" i="2"/>
  <c r="AC2224" i="2"/>
  <c r="AC2176" i="2"/>
  <c r="AC2130" i="2"/>
  <c r="AC2148" i="2"/>
  <c r="AC2399" i="2"/>
  <c r="AC2397" i="2"/>
  <c r="AB2580" i="2"/>
  <c r="AK2580" i="2" s="1"/>
  <c r="AF4461" i="2"/>
  <c r="AH4667" i="2"/>
  <c r="AF4337" i="2"/>
  <c r="AC4940" i="2"/>
  <c r="AC4759" i="2"/>
  <c r="AC3909" i="2"/>
  <c r="AC3656" i="2"/>
  <c r="AC3486" i="2"/>
  <c r="AB3728" i="2"/>
  <c r="AK3728" i="2" s="1"/>
  <c r="AB3808" i="2"/>
  <c r="AK3808" i="2" s="1"/>
  <c r="AC3808" i="2"/>
  <c r="AB3869" i="2"/>
  <c r="AK3869" i="2" s="1"/>
  <c r="AC3869" i="2"/>
  <c r="AB3933" i="2"/>
  <c r="AK3933" i="2" s="1"/>
  <c r="AC3933" i="2"/>
  <c r="AB3941" i="2"/>
  <c r="AK3941" i="2" s="1"/>
  <c r="AC3941" i="2"/>
  <c r="Y4236" i="2"/>
  <c r="AB4236" i="2"/>
  <c r="AK4236" i="2" s="1"/>
  <c r="AB4260" i="2"/>
  <c r="AK4260" i="2" s="1"/>
  <c r="AC4260" i="2"/>
  <c r="AC4329" i="2"/>
  <c r="AB4329" i="2"/>
  <c r="AK4329" i="2" s="1"/>
  <c r="Y4421" i="2"/>
  <c r="AF4421" i="2"/>
  <c r="Y4653" i="2"/>
  <c r="AF4653" i="2"/>
  <c r="AH4665" i="2"/>
  <c r="Y4665" i="2"/>
  <c r="AH4681" i="2"/>
  <c r="AF4681" i="2"/>
  <c r="Y4681" i="2"/>
  <c r="AB4709" i="2"/>
  <c r="AK4709" i="2" s="1"/>
  <c r="AC4709" i="2"/>
  <c r="AC4723" i="2"/>
  <c r="AB4723" i="2"/>
  <c r="AK4723" i="2" s="1"/>
  <c r="Y4735" i="2"/>
  <c r="AC4735" i="2"/>
  <c r="AB4735" i="2"/>
  <c r="AK4735" i="2" s="1"/>
  <c r="Y4749" i="2"/>
  <c r="AB4749" i="2"/>
  <c r="AK4749" i="2" s="1"/>
  <c r="AC4749" i="2"/>
  <c r="AB4761" i="2"/>
  <c r="AK4761" i="2" s="1"/>
  <c r="AC4761" i="2"/>
  <c r="AH4785" i="2"/>
  <c r="Y4785" i="2"/>
  <c r="AH4803" i="2"/>
  <c r="Y4803" i="2"/>
  <c r="AF4803" i="2"/>
  <c r="AB4942" i="2"/>
  <c r="AK4942" i="2" s="1"/>
  <c r="AC4942" i="2"/>
  <c r="AB5173" i="2"/>
  <c r="AK5173" i="2" s="1"/>
  <c r="AC5173" i="2"/>
  <c r="AC297" i="2"/>
  <c r="AC769" i="2"/>
  <c r="AC2264" i="2"/>
  <c r="AH2636" i="2"/>
  <c r="AC2190" i="2"/>
  <c r="Y2332" i="2"/>
  <c r="Y2323" i="2"/>
  <c r="Y2329" i="2"/>
  <c r="Y2343" i="2"/>
  <c r="Y2359" i="2"/>
  <c r="Y2466" i="2"/>
  <c r="AF4616" i="2"/>
  <c r="AF4445" i="2"/>
  <c r="AF4667" i="2"/>
  <c r="AC4747" i="2"/>
  <c r="AC4655" i="2"/>
  <c r="AC4379" i="2"/>
  <c r="AC4124" i="2"/>
  <c r="AC3861" i="2"/>
  <c r="AC3608" i="2"/>
  <c r="AB4498" i="2"/>
  <c r="AK4498" i="2" s="1"/>
  <c r="AB3374" i="2"/>
  <c r="AK3374" i="2" s="1"/>
  <c r="Y4801" i="2"/>
  <c r="Y4787" i="2"/>
  <c r="AB3438" i="2"/>
  <c r="AK3438" i="2" s="1"/>
  <c r="AC3438" i="2"/>
  <c r="AB3555" i="2"/>
  <c r="AK3555" i="2" s="1"/>
  <c r="AC3555" i="2"/>
  <c r="AB3563" i="2"/>
  <c r="AK3563" i="2" s="1"/>
  <c r="AC3563" i="2"/>
  <c r="AB3624" i="2"/>
  <c r="AK3624" i="2" s="1"/>
  <c r="AC3624" i="2"/>
  <c r="AB3640" i="2"/>
  <c r="AK3640" i="2" s="1"/>
  <c r="AC3640" i="2"/>
  <c r="AB3648" i="2"/>
  <c r="AK3648" i="2" s="1"/>
  <c r="AC3648" i="2"/>
  <c r="AK3680" i="2"/>
  <c r="AC3680" i="2"/>
  <c r="AB3776" i="2"/>
  <c r="AK3776" i="2" s="1"/>
  <c r="AC3776" i="2"/>
  <c r="AB3832" i="2"/>
  <c r="AK3832" i="2" s="1"/>
  <c r="AC3832" i="2"/>
  <c r="AB3837" i="2"/>
  <c r="AK3837" i="2" s="1"/>
  <c r="AC3837" i="2"/>
  <c r="AB3853" i="2"/>
  <c r="AK3853" i="2" s="1"/>
  <c r="AC3853" i="2"/>
  <c r="AB3917" i="2"/>
  <c r="AK3917" i="2" s="1"/>
  <c r="AC3917" i="2"/>
  <c r="AB3981" i="2"/>
  <c r="AK3981" i="2" s="1"/>
  <c r="AC3981" i="2"/>
  <c r="AB4458" i="2"/>
  <c r="AK4458" i="2" s="1"/>
  <c r="AC4458" i="2"/>
  <c r="Y4458" i="2"/>
  <c r="AB4474" i="2"/>
  <c r="AK4474" i="2" s="1"/>
  <c r="AC4474" i="2"/>
  <c r="Y4490" i="2"/>
  <c r="AB4490" i="2"/>
  <c r="AK4490" i="2" s="1"/>
  <c r="Y4587" i="2"/>
  <c r="AF4587" i="2"/>
  <c r="Y4629" i="2"/>
  <c r="AB4629" i="2"/>
  <c r="AK4629" i="2" s="1"/>
  <c r="AC4629" i="2"/>
  <c r="AB4725" i="2"/>
  <c r="AK4725" i="2" s="1"/>
  <c r="AC4725" i="2"/>
  <c r="AB4739" i="2"/>
  <c r="AK4739" i="2" s="1"/>
  <c r="AC4739" i="2"/>
  <c r="AB4753" i="2"/>
  <c r="AK4753" i="2" s="1"/>
  <c r="AC4753" i="2"/>
  <c r="AB4930" i="2"/>
  <c r="AK4930" i="2" s="1"/>
  <c r="AC4930" i="2"/>
  <c r="AB4950" i="2"/>
  <c r="AK4950" i="2" s="1"/>
  <c r="AC4950" i="2"/>
  <c r="AB5013" i="2"/>
  <c r="AK5013" i="2" s="1"/>
  <c r="AC5013" i="2"/>
  <c r="Y5179" i="2"/>
  <c r="AC5179" i="2"/>
  <c r="AB5179" i="2"/>
  <c r="AK5179" i="2" s="1"/>
  <c r="AC5302" i="2"/>
  <c r="AB5302" i="2"/>
  <c r="AK5302" i="2" s="1"/>
  <c r="AC293" i="2"/>
  <c r="AC2074" i="2"/>
  <c r="AC839" i="2"/>
  <c r="AC2292" i="2"/>
  <c r="AC2210" i="2"/>
  <c r="AC2488" i="2"/>
  <c r="R45" i="3"/>
  <c r="T45" i="3" s="1"/>
  <c r="U45" i="3" s="1"/>
  <c r="V45" i="3" s="1"/>
  <c r="AC2142" i="2"/>
  <c r="AF4469" i="2"/>
  <c r="AF4683" i="2"/>
  <c r="AF4795" i="2"/>
  <c r="AC4936" i="2"/>
  <c r="AC4743" i="2"/>
  <c r="AC4103" i="2"/>
  <c r="AC3845" i="2"/>
  <c r="Y4371" i="2"/>
  <c r="AB5181" i="2"/>
  <c r="AK5181" i="2" s="1"/>
  <c r="AB3584" i="2"/>
  <c r="AK3584" i="2" s="1"/>
  <c r="AC3584" i="2"/>
  <c r="AB3712" i="2"/>
  <c r="AK3712" i="2" s="1"/>
  <c r="AC3712" i="2"/>
  <c r="AB3816" i="2"/>
  <c r="AK3816" i="2" s="1"/>
  <c r="AC3816" i="2"/>
  <c r="AB3824" i="2"/>
  <c r="AK3824" i="2" s="1"/>
  <c r="AC3824" i="2"/>
  <c r="AB4069" i="2"/>
  <c r="AK4069" i="2" s="1"/>
  <c r="AC4069" i="2"/>
  <c r="Y4135" i="2"/>
  <c r="AF4135" i="2"/>
  <c r="AB4140" i="2"/>
  <c r="AK4140" i="2" s="1"/>
  <c r="AC4140" i="2"/>
  <c r="Y4140" i="2"/>
  <c r="AB4148" i="2"/>
  <c r="AK4148" i="2" s="1"/>
  <c r="AC4148" i="2"/>
  <c r="AB4156" i="2"/>
  <c r="AK4156" i="2" s="1"/>
  <c r="AC4156" i="2"/>
  <c r="AB4164" i="2"/>
  <c r="AK4164" i="2" s="1"/>
  <c r="AC4164" i="2"/>
  <c r="AB4355" i="2"/>
  <c r="AK4355" i="2" s="1"/>
  <c r="AC4355" i="2"/>
  <c r="AB4363" i="2"/>
  <c r="AK4363" i="2" s="1"/>
  <c r="Y4363" i="2"/>
  <c r="AB4387" i="2"/>
  <c r="AK4387" i="2" s="1"/>
  <c r="AC4387" i="2"/>
  <c r="AB4410" i="2"/>
  <c r="AK4410" i="2" s="1"/>
  <c r="AC4410" i="2"/>
  <c r="AB4418" i="2"/>
  <c r="AK4418" i="2" s="1"/>
  <c r="AC4418" i="2"/>
  <c r="AB4529" i="2"/>
  <c r="AK4529" i="2" s="1"/>
  <c r="AC4529" i="2"/>
  <c r="Y4532" i="2"/>
  <c r="AF4532" i="2"/>
  <c r="Y4540" i="2"/>
  <c r="AF4540" i="2"/>
  <c r="Y4545" i="2"/>
  <c r="AF4545" i="2"/>
  <c r="Y4550" i="2"/>
  <c r="AF4550" i="2"/>
  <c r="Y4558" i="2"/>
  <c r="AF4558" i="2"/>
  <c r="Y4600" i="2"/>
  <c r="AF4600" i="2"/>
  <c r="AB4663" i="2"/>
  <c r="AK4663" i="2" s="1"/>
  <c r="AC4663" i="2"/>
  <c r="Y4677" i="2"/>
  <c r="AF4677" i="2"/>
  <c r="AH4677" i="2"/>
  <c r="AB4695" i="2"/>
  <c r="AK4695" i="2" s="1"/>
  <c r="Y4695" i="2"/>
  <c r="AB4707" i="2"/>
  <c r="AK4707" i="2" s="1"/>
  <c r="AC4707" i="2"/>
  <c r="AB4721" i="2"/>
  <c r="AK4721" i="2" s="1"/>
  <c r="AC4721" i="2"/>
  <c r="AB4751" i="2"/>
  <c r="AK4751" i="2" s="1"/>
  <c r="AC4751" i="2"/>
  <c r="AB4765" i="2"/>
  <c r="AK4765" i="2" s="1"/>
  <c r="AC4765" i="2"/>
  <c r="AH4793" i="2"/>
  <c r="Y4793" i="2"/>
  <c r="Y4799" i="2"/>
  <c r="AH4799" i="2"/>
  <c r="AC4934" i="2"/>
  <c r="AB4934" i="2"/>
  <c r="AK4934" i="2" s="1"/>
  <c r="R12" i="3"/>
  <c r="T12" i="3" s="1"/>
  <c r="U12" i="3" s="1"/>
  <c r="V12" i="3" s="1"/>
  <c r="AC2152" i="2"/>
  <c r="AC893" i="2"/>
  <c r="AF2636" i="2"/>
  <c r="AF4679" i="2"/>
  <c r="AF4811" i="2"/>
  <c r="AF4624" i="2"/>
  <c r="AF4665" i="2"/>
  <c r="AC4731" i="2"/>
  <c r="AC4584" i="2"/>
  <c r="AC4321" i="2"/>
  <c r="AC4053" i="2"/>
  <c r="AC3800" i="2"/>
  <c r="Y4334" i="2"/>
  <c r="AB5171" i="2"/>
  <c r="AK5171" i="2" s="1"/>
  <c r="AB3526" i="2"/>
  <c r="AK3526" i="2" s="1"/>
  <c r="AC3526" i="2"/>
  <c r="AB3760" i="2"/>
  <c r="AK3760" i="2" s="1"/>
  <c r="AC3760" i="2"/>
  <c r="AB4116" i="2"/>
  <c r="AK4116" i="2" s="1"/>
  <c r="AC4116" i="2"/>
  <c r="Y4276" i="2"/>
  <c r="AF4276" i="2"/>
  <c r="AB4281" i="2"/>
  <c r="AK4281" i="2" s="1"/>
  <c r="Y4281" i="2"/>
  <c r="AC4281" i="2"/>
  <c r="Y4516" i="2"/>
  <c r="AF4516" i="2"/>
  <c r="AB4521" i="2"/>
  <c r="AK4521" i="2" s="1"/>
  <c r="AC4521" i="2"/>
  <c r="Y4521" i="2"/>
  <c r="Y4524" i="2"/>
  <c r="AF4524" i="2"/>
  <c r="Y4571" i="2"/>
  <c r="AF4571" i="2"/>
  <c r="AB4613" i="2"/>
  <c r="AK4613" i="2" s="1"/>
  <c r="Y4613" i="2"/>
  <c r="AC4613" i="2"/>
  <c r="AB4621" i="2"/>
  <c r="AK4621" i="2" s="1"/>
  <c r="AC4621" i="2"/>
  <c r="AB4705" i="2"/>
  <c r="AK4705" i="2" s="1"/>
  <c r="AC4705" i="2"/>
  <c r="AB4719" i="2"/>
  <c r="AK4719" i="2" s="1"/>
  <c r="AC4719" i="2"/>
  <c r="AB4733" i="2"/>
  <c r="AK4733" i="2" s="1"/>
  <c r="AC4733" i="2"/>
  <c r="AB4777" i="2"/>
  <c r="AK4777" i="2" s="1"/>
  <c r="AC4777" i="2"/>
  <c r="Y4791" i="2"/>
  <c r="AF4791" i="2"/>
  <c r="AH4791" i="2"/>
  <c r="Y4946" i="2"/>
  <c r="AB4946" i="2"/>
  <c r="AK4946" i="2" s="1"/>
  <c r="AC4946" i="2"/>
  <c r="AF5023" i="2"/>
  <c r="Y5023" i="2"/>
  <c r="AB5183" i="2"/>
  <c r="AK5183" i="2" s="1"/>
  <c r="AC5183" i="2"/>
  <c r="Y5286" i="2"/>
  <c r="AB5286" i="2"/>
  <c r="AK5286" i="2" s="1"/>
  <c r="AC5286" i="2"/>
  <c r="AC2278" i="2"/>
  <c r="AC2100" i="2"/>
  <c r="AC2310" i="2"/>
  <c r="AC90" i="2"/>
  <c r="AC2180" i="2"/>
  <c r="AC2268" i="2"/>
  <c r="AC2296" i="2"/>
  <c r="AC2248" i="2"/>
  <c r="AC2146" i="2"/>
  <c r="AC2094" i="2"/>
  <c r="AC2172" i="2"/>
  <c r="AC2655" i="2"/>
  <c r="Y2579" i="2"/>
  <c r="AH4679" i="2"/>
  <c r="AF4799" i="2"/>
  <c r="AC4037" i="2"/>
  <c r="AC3784" i="2"/>
  <c r="AB4196" i="2"/>
  <c r="AK4196" i="2" s="1"/>
  <c r="Y4811" i="2"/>
  <c r="AH4671" i="2"/>
  <c r="Y4671" i="2"/>
  <c r="AC281" i="2"/>
  <c r="AC2286" i="2"/>
  <c r="AC2381" i="2"/>
  <c r="AF4579" i="2"/>
  <c r="AF4453" i="2"/>
  <c r="AC5258" i="2"/>
  <c r="AC4779" i="2"/>
  <c r="AC4715" i="2"/>
  <c r="AC4506" i="2"/>
  <c r="AC4252" i="2"/>
  <c r="AC3989" i="2"/>
  <c r="AC3736" i="2"/>
  <c r="Y4148" i="2"/>
  <c r="Y4429" i="2"/>
  <c r="AB3048" i="2"/>
  <c r="AK3048" i="2" s="1"/>
  <c r="AC3048" i="2"/>
  <c r="AB3110" i="2"/>
  <c r="AK3110" i="2" s="1"/>
  <c r="AC3110" i="2"/>
  <c r="AB3454" i="2"/>
  <c r="AK3454" i="2" s="1"/>
  <c r="AC3454" i="2"/>
  <c r="AB3462" i="2"/>
  <c r="AK3462" i="2" s="1"/>
  <c r="AC3462" i="2"/>
  <c r="AB3720" i="2"/>
  <c r="AK3720" i="2" s="1"/>
  <c r="Y3720" i="2"/>
  <c r="AB3877" i="2"/>
  <c r="AK3877" i="2"/>
  <c r="Y3877" i="2"/>
  <c r="AB3973" i="2"/>
  <c r="AK3973" i="2" s="1"/>
  <c r="Y3973" i="2"/>
  <c r="AB4013" i="2"/>
  <c r="AK4013" i="2" s="1"/>
  <c r="Y4013" i="2"/>
  <c r="AB4077" i="2"/>
  <c r="AK4077" i="2" s="1"/>
  <c r="Y4077" i="2"/>
  <c r="AB4172" i="2"/>
  <c r="AK4172" i="2" s="1"/>
  <c r="Y4172" i="2"/>
  <c r="AB4212" i="2"/>
  <c r="AK4212" i="2" s="1"/>
  <c r="Y4212" i="2"/>
  <c r="AB4273" i="2"/>
  <c r="AK4273" i="2" s="1"/>
  <c r="Y4273" i="2"/>
  <c r="AB4305" i="2"/>
  <c r="AK4305" i="2" s="1"/>
  <c r="Y4305" i="2"/>
  <c r="AB4313" i="2"/>
  <c r="AK4313" i="2" s="1"/>
  <c r="Y4313" i="2"/>
  <c r="AB4342" i="2"/>
  <c r="AK4342" i="2" s="1"/>
  <c r="Y4342" i="2"/>
  <c r="AB4392" i="2"/>
  <c r="AK4392" i="2" s="1"/>
  <c r="Y4392" i="2"/>
  <c r="AB4426" i="2"/>
  <c r="AK4426" i="2" s="1"/>
  <c r="Y4426" i="2"/>
  <c r="AB4434" i="2"/>
  <c r="AK4434" i="2" s="1"/>
  <c r="Y4434" i="2"/>
  <c r="AB4466" i="2"/>
  <c r="AK4466" i="2" s="1"/>
  <c r="Y4466" i="2"/>
  <c r="AB4482" i="2"/>
  <c r="AK4482" i="2" s="1"/>
  <c r="Y4482" i="2"/>
  <c r="AB4513" i="2"/>
  <c r="AK4513" i="2" s="1"/>
  <c r="Y4513" i="2"/>
  <c r="AB4555" i="2"/>
  <c r="AK4555" i="2" s="1"/>
  <c r="Y4555" i="2"/>
  <c r="AB4568" i="2"/>
  <c r="AK4568" i="2" s="1"/>
  <c r="Y4568" i="2"/>
  <c r="AB4597" i="2"/>
  <c r="AK4597" i="2" s="1"/>
  <c r="Y4597" i="2"/>
  <c r="R80" i="3"/>
  <c r="T80" i="3" s="1"/>
  <c r="U80" i="3" s="1"/>
  <c r="V80" i="3" s="1"/>
  <c r="AB4605" i="2"/>
  <c r="AK4605" i="2" s="1"/>
  <c r="Y4605" i="2"/>
  <c r="AB4637" i="2"/>
  <c r="AK4637" i="2" s="1"/>
  <c r="Y4637" i="2"/>
  <c r="AB4650" i="2"/>
  <c r="AK4650" i="2" s="1"/>
  <c r="Y4650" i="2"/>
  <c r="AB4659" i="2"/>
  <c r="AK4659" i="2" s="1"/>
  <c r="Y4659" i="2"/>
  <c r="AB4661" i="2"/>
  <c r="AK4661" i="2" s="1"/>
  <c r="Y4661" i="2"/>
  <c r="AH4669" i="2"/>
  <c r="Y4669" i="2"/>
  <c r="AH4675" i="2"/>
  <c r="Y4675" i="2"/>
  <c r="AB4685" i="2"/>
  <c r="AK4685" i="2" s="1"/>
  <c r="Y4685" i="2"/>
  <c r="AB4703" i="2"/>
  <c r="AK4703" i="2" s="1"/>
  <c r="Y4703" i="2"/>
  <c r="AB4717" i="2"/>
  <c r="AK4717" i="2" s="1"/>
  <c r="Y4717" i="2"/>
  <c r="AB4727" i="2"/>
  <c r="AK4727" i="2" s="1"/>
  <c r="Y4727" i="2"/>
  <c r="AB4757" i="2"/>
  <c r="AK4757" i="2" s="1"/>
  <c r="Y4757" i="2"/>
  <c r="AB4767" i="2"/>
  <c r="AK4767" i="2" s="1"/>
  <c r="Y4767" i="2"/>
  <c r="AK4771" i="2"/>
  <c r="Y4771" i="2"/>
  <c r="AH4781" i="2"/>
  <c r="Y4781" i="2"/>
  <c r="AH4783" i="2"/>
  <c r="Y4783" i="2"/>
  <c r="AH4797" i="2"/>
  <c r="Y4797" i="2"/>
  <c r="AH4805" i="2"/>
  <c r="Y4805" i="2"/>
  <c r="AH4807" i="2"/>
  <c r="Y4807" i="2"/>
  <c r="AH4813" i="2"/>
  <c r="Y4813" i="2"/>
  <c r="AB4924" i="2"/>
  <c r="AK4924" i="2" s="1"/>
  <c r="Y4924" i="2"/>
  <c r="AB4926" i="2"/>
  <c r="AK4926" i="2" s="1"/>
  <c r="Y4926" i="2"/>
  <c r="R121" i="3"/>
  <c r="T121" i="3" s="1"/>
  <c r="U121" i="3" s="1"/>
  <c r="V121" i="3" s="1"/>
  <c r="AB4936" i="2"/>
  <c r="AK4936" i="2" s="1"/>
  <c r="AB4938" i="2"/>
  <c r="AK4938" i="2" s="1"/>
  <c r="Y4938" i="2"/>
  <c r="AB4944" i="2"/>
  <c r="AK4944" i="2" s="1"/>
  <c r="Y4944" i="2"/>
  <c r="AF4952" i="2"/>
  <c r="Y4952" i="2"/>
  <c r="AB5001" i="2"/>
  <c r="AK5001" i="2" s="1"/>
  <c r="AC5001" i="2"/>
  <c r="Y5001" i="2"/>
  <c r="AB5009" i="2"/>
  <c r="AK5009" i="2" s="1"/>
  <c r="Y5009" i="2"/>
  <c r="AC5011" i="2"/>
  <c r="AB5011" i="2"/>
  <c r="AK5011" i="2" s="1"/>
  <c r="AC5015" i="2"/>
  <c r="Y5015" i="2"/>
  <c r="AF5019" i="2"/>
  <c r="Y5019" i="2"/>
  <c r="AF5021" i="2"/>
  <c r="Y5021" i="2"/>
  <c r="AF5025" i="2"/>
  <c r="Y5025" i="2"/>
  <c r="AF5027" i="2"/>
  <c r="Y5027" i="2"/>
  <c r="AF5029" i="2"/>
  <c r="Y5029" i="2"/>
  <c r="AF5031" i="2"/>
  <c r="Y5031" i="2"/>
  <c r="AB5177" i="2"/>
  <c r="AK5177" i="2" s="1"/>
  <c r="Y5177" i="2"/>
  <c r="AB5185" i="2"/>
  <c r="AK5185" i="2" s="1"/>
  <c r="Y5185" i="2"/>
  <c r="AB5187" i="2"/>
  <c r="AK5187" i="2" s="1"/>
  <c r="Y5187" i="2"/>
  <c r="AF5189" i="2"/>
  <c r="Y5189" i="2"/>
  <c r="AF5191" i="2"/>
  <c r="Y5191" i="2"/>
  <c r="AF5193" i="2"/>
  <c r="Y5193" i="2"/>
  <c r="AB5269" i="2"/>
  <c r="AK5269" i="2" s="1"/>
  <c r="Y5269" i="2"/>
  <c r="AB5278" i="2"/>
  <c r="AK5278" i="2" s="1"/>
  <c r="R107" i="3"/>
  <c r="T107" i="3" s="1"/>
  <c r="U107" i="3" s="1"/>
  <c r="V107" i="3" s="1"/>
  <c r="Y5278" i="2"/>
  <c r="AB5290" i="2"/>
  <c r="AK5290" i="2" s="1"/>
  <c r="Y5290" i="2"/>
  <c r="AB5294" i="2"/>
  <c r="AK5294" i="2" s="1"/>
  <c r="Y5294" i="2"/>
  <c r="R108" i="3"/>
  <c r="T108" i="3" s="1"/>
  <c r="U108" i="3" s="1"/>
  <c r="V108" i="3" s="1"/>
  <c r="Y5302" i="2"/>
  <c r="R111" i="3"/>
  <c r="T111" i="3" s="1"/>
  <c r="U111" i="3" s="1"/>
  <c r="V111" i="3" s="1"/>
  <c r="Y5397" i="2"/>
  <c r="AF5400" i="2"/>
  <c r="AF5424" i="2"/>
  <c r="AF5461" i="2"/>
  <c r="Y5514" i="2"/>
  <c r="AF5525" i="2"/>
  <c r="AF5533" i="2"/>
  <c r="Y5546" i="2"/>
  <c r="Y5591" i="2"/>
  <c r="AF5642" i="2"/>
  <c r="AF5658" i="2"/>
  <c r="AF5666" i="2"/>
  <c r="AF5690" i="2"/>
  <c r="AF5698" i="2"/>
  <c r="AF5714" i="2"/>
  <c r="AF5722" i="2"/>
  <c r="Y5727" i="2"/>
  <c r="AF5946" i="2"/>
  <c r="AF5962" i="2"/>
  <c r="AF5978" i="2"/>
  <c r="Y3419" i="2"/>
  <c r="Y4267" i="2"/>
  <c r="Y4468" i="2"/>
  <c r="Y6433" i="2"/>
  <c r="Y6439" i="2"/>
  <c r="Y6518" i="2"/>
  <c r="Y6590" i="2"/>
  <c r="Y6598" i="2"/>
  <c r="Y6606" i="2"/>
  <c r="Y6682" i="2"/>
  <c r="Y6684" i="2"/>
  <c r="Y6686" i="2"/>
  <c r="Y6690" i="2"/>
  <c r="Y6692" i="2"/>
  <c r="Y6698" i="2"/>
  <c r="Y6700" i="2"/>
  <c r="AF6740" i="2"/>
  <c r="AF6764" i="2"/>
  <c r="AF6788" i="2"/>
  <c r="AF6844" i="2"/>
  <c r="AB3722" i="2"/>
  <c r="AK3722" i="2" s="1"/>
  <c r="Y5540" i="2"/>
  <c r="Y5735" i="2"/>
  <c r="AC5484" i="2"/>
  <c r="Y5407" i="2"/>
  <c r="AB5688" i="2"/>
  <c r="AK5688" i="2" s="1"/>
  <c r="Y5713" i="2"/>
  <c r="Y4843" i="2"/>
  <c r="AB2763" i="2"/>
  <c r="AC2763" i="2"/>
  <c r="AB2823" i="2"/>
  <c r="AC2823" i="2"/>
  <c r="AB2881" i="2"/>
  <c r="AK2881" i="2" s="1"/>
  <c r="AC2881" i="2"/>
  <c r="AB2889" i="2"/>
  <c r="AK2889" i="2" s="1"/>
  <c r="AC2889" i="2"/>
  <c r="AB2929" i="2"/>
  <c r="AK2929" i="2" s="1"/>
  <c r="AC2929" i="2"/>
  <c r="AB2961" i="2"/>
  <c r="AK2961" i="2" s="1"/>
  <c r="AC2961" i="2"/>
  <c r="AB2993" i="2"/>
  <c r="AK2993" i="2" s="1"/>
  <c r="AC2993" i="2"/>
  <c r="AB3001" i="2"/>
  <c r="AK3001" i="2" s="1"/>
  <c r="AC3001" i="2"/>
  <c r="AB3033" i="2"/>
  <c r="AK3033" i="2" s="1"/>
  <c r="AC3033" i="2"/>
  <c r="AB3150" i="2"/>
  <c r="AK3150" i="2" s="1"/>
  <c r="AC3150" i="2"/>
  <c r="AB3164" i="2"/>
  <c r="AK3164" i="2" s="1"/>
  <c r="AC3164" i="2"/>
  <c r="Y3174" i="2"/>
  <c r="AC3174" i="2"/>
  <c r="AB3194" i="2"/>
  <c r="AK3194" i="2" s="1"/>
  <c r="AC3194" i="2"/>
  <c r="AB3210" i="2"/>
  <c r="AK3210" i="2" s="1"/>
  <c r="AC3210" i="2"/>
  <c r="AB3216" i="2"/>
  <c r="AK3216" i="2" s="1"/>
  <c r="AC3216" i="2"/>
  <c r="AB3222" i="2"/>
  <c r="AK3222" i="2" s="1"/>
  <c r="AC3222" i="2"/>
  <c r="Y3230" i="2"/>
  <c r="AC3230" i="2"/>
  <c r="AB3246" i="2"/>
  <c r="AK3246" i="2" s="1"/>
  <c r="AC3246" i="2"/>
  <c r="Y3254" i="2"/>
  <c r="AC3254" i="2"/>
  <c r="Y3258" i="2"/>
  <c r="AC3258" i="2"/>
  <c r="AB3302" i="2"/>
  <c r="AC3302" i="2"/>
  <c r="AC3310" i="2"/>
  <c r="AA3310" i="2"/>
  <c r="AC3318" i="2"/>
  <c r="AA3318" i="2"/>
  <c r="AB3318" i="2" s="1"/>
  <c r="AC3334" i="2"/>
  <c r="AA3334" i="2"/>
  <c r="AB3334" i="2" s="1"/>
  <c r="AK3334" i="2" s="1"/>
  <c r="AB3350" i="2"/>
  <c r="AK3350" i="2" s="1"/>
  <c r="AC3350" i="2"/>
  <c r="AB3358" i="2"/>
  <c r="AK3358" i="2" s="1"/>
  <c r="AC3358" i="2"/>
  <c r="AB3366" i="2"/>
  <c r="AK3366" i="2" s="1"/>
  <c r="AC3366" i="2"/>
  <c r="AC3382" i="2"/>
  <c r="AA3382" i="2"/>
  <c r="AB3382" i="2" s="1"/>
  <c r="AK3382" i="2" s="1"/>
  <c r="AB3388" i="2"/>
  <c r="AK3388" i="2" s="1"/>
  <c r="AC3388" i="2"/>
  <c r="AB3398" i="2"/>
  <c r="AK3398" i="2" s="1"/>
  <c r="AC3398" i="2"/>
  <c r="AB2913" i="2"/>
  <c r="AK2913" i="2" s="1"/>
  <c r="AC2913" i="2"/>
  <c r="AB3162" i="2"/>
  <c r="AK3162" i="2" s="1"/>
  <c r="AC3162" i="2"/>
  <c r="Y3186" i="2"/>
  <c r="AC3186" i="2"/>
  <c r="AB3196" i="2"/>
  <c r="AK3196" i="2" s="1"/>
  <c r="AC3196" i="2"/>
  <c r="AB3214" i="2"/>
  <c r="AK3214" i="2" s="1"/>
  <c r="AC3214" i="2"/>
  <c r="AB3242" i="2"/>
  <c r="AK3242" i="2" s="1"/>
  <c r="AC3242" i="2"/>
  <c r="Y3250" i="2"/>
  <c r="AC3250" i="2"/>
  <c r="AB3284" i="2"/>
  <c r="AK3284" i="2" s="1"/>
  <c r="AC3284" i="2"/>
  <c r="AB3300" i="2"/>
  <c r="AK3300" i="2" s="1"/>
  <c r="AC3300" i="2"/>
  <c r="AB3308" i="2"/>
  <c r="AK3308" i="2" s="1"/>
  <c r="AC3308" i="2"/>
  <c r="AB3316" i="2"/>
  <c r="AK3316" i="2" s="1"/>
  <c r="AC3316" i="2"/>
  <c r="AC3324" i="2"/>
  <c r="AA3324" i="2"/>
  <c r="AB3324" i="2" s="1"/>
  <c r="AB3340" i="2"/>
  <c r="AK3340" i="2" s="1"/>
  <c r="AC3340" i="2"/>
  <c r="AB3348" i="2"/>
  <c r="AK3348" i="2" s="1"/>
  <c r="AC3348" i="2"/>
  <c r="AB3356" i="2"/>
  <c r="AK3356" i="2" s="1"/>
  <c r="AC3356" i="2"/>
  <c r="AB3362" i="2"/>
  <c r="AK3362" i="2" s="1"/>
  <c r="AC3362" i="2"/>
  <c r="AB3370" i="2"/>
  <c r="AK3370" i="2" s="1"/>
  <c r="AC3370" i="2"/>
  <c r="AA3378" i="2"/>
  <c r="AB3378" i="2" s="1"/>
  <c r="AC3378" i="2"/>
  <c r="AB3386" i="2"/>
  <c r="AK3386" i="2" s="1"/>
  <c r="AC3386" i="2"/>
  <c r="AA3394" i="2"/>
  <c r="AB3394" i="2" s="1"/>
  <c r="AK3394" i="2" s="1"/>
  <c r="AC3394" i="2"/>
  <c r="AB3404" i="2"/>
  <c r="AK3404" i="2" s="1"/>
  <c r="AC3404" i="2"/>
  <c r="AB525" i="2"/>
  <c r="AK525" i="2" s="1"/>
  <c r="AC525" i="2"/>
  <c r="AB1422" i="2"/>
  <c r="AK1422" i="2" s="1"/>
  <c r="AC1422" i="2"/>
  <c r="AK1536" i="2"/>
  <c r="AC1536" i="2"/>
  <c r="AB1582" i="2"/>
  <c r="AK1582" i="2" s="1"/>
  <c r="AC1582" i="2"/>
  <c r="AB2458" i="2"/>
  <c r="AK2458" i="2" s="1"/>
  <c r="AC2458" i="2"/>
  <c r="AB2514" i="2"/>
  <c r="AK2514" i="2" s="1"/>
  <c r="AC2514" i="2"/>
  <c r="Y2516" i="2"/>
  <c r="AC2516" i="2"/>
  <c r="AF2540" i="2"/>
  <c r="Y2540" i="2"/>
  <c r="AB2585" i="2"/>
  <c r="AK2585" i="2" s="1"/>
  <c r="Y2585" i="2"/>
  <c r="Y2624" i="2"/>
  <c r="AB2624" i="2"/>
  <c r="AK2624" i="2" s="1"/>
  <c r="Y2645" i="2"/>
  <c r="R38" i="3"/>
  <c r="T38" i="3" s="1"/>
  <c r="U38" i="3" s="1"/>
  <c r="V38" i="3" s="1"/>
  <c r="AB2791" i="2"/>
  <c r="AC2791" i="2"/>
  <c r="Y3160" i="2"/>
  <c r="AC3160" i="2"/>
  <c r="AB3168" i="2"/>
  <c r="AK3168" i="2" s="1"/>
  <c r="AC3168" i="2"/>
  <c r="AB3198" i="2"/>
  <c r="AK3198" i="2" s="1"/>
  <c r="AC3198" i="2"/>
  <c r="AB3234" i="2"/>
  <c r="AK3234" i="2" s="1"/>
  <c r="AC3234" i="2"/>
  <c r="Y3264" i="2"/>
  <c r="AC3264" i="2"/>
  <c r="AB3272" i="2"/>
  <c r="AK3272" i="2" s="1"/>
  <c r="AC3272" i="2"/>
  <c r="AB3276" i="2"/>
  <c r="AK3276" i="2" s="1"/>
  <c r="AC3276" i="2"/>
  <c r="AC3312" i="2"/>
  <c r="AA3312" i="2"/>
  <c r="AB3312" i="2" s="1"/>
  <c r="AK3312" i="2" s="1"/>
  <c r="AC3320" i="2"/>
  <c r="AA3320" i="2"/>
  <c r="AB3320" i="2" s="1"/>
  <c r="AK3320" i="2" s="1"/>
  <c r="AB3326" i="2"/>
  <c r="AK3326" i="2" s="1"/>
  <c r="AC3326" i="2"/>
  <c r="AC3336" i="2"/>
  <c r="AA3336" i="2"/>
  <c r="AB3336" i="2" s="1"/>
  <c r="AK3336" i="2" s="1"/>
  <c r="AB3346" i="2"/>
  <c r="AK3346" i="2" s="1"/>
  <c r="AC3346" i="2"/>
  <c r="AB3354" i="2"/>
  <c r="AK3354" i="2" s="1"/>
  <c r="AC3354" i="2"/>
  <c r="AB3364" i="2"/>
  <c r="AC3364" i="2"/>
  <c r="AB3372" i="2"/>
  <c r="AK3372" i="2" s="1"/>
  <c r="AC3372" i="2"/>
  <c r="AK3380" i="2"/>
  <c r="AC3380" i="2"/>
  <c r="AB3402" i="2"/>
  <c r="AK3402" i="2" s="1"/>
  <c r="AC3402" i="2"/>
  <c r="AB335" i="2"/>
  <c r="AK335" i="2" s="1"/>
  <c r="Y1933" i="2"/>
  <c r="AB1913" i="2"/>
  <c r="AK1913" i="2" s="1"/>
  <c r="Y1885" i="2"/>
  <c r="Y1859" i="2"/>
  <c r="AB1831" i="2"/>
  <c r="AK1831" i="2" s="1"/>
  <c r="AB1801" i="2"/>
  <c r="AK1801" i="2" s="1"/>
  <c r="AB784" i="2"/>
  <c r="AK784" i="2" s="1"/>
  <c r="AC784" i="2"/>
  <c r="AB794" i="2"/>
  <c r="AK794" i="2" s="1"/>
  <c r="AC794" i="2"/>
  <c r="AB2771" i="2"/>
  <c r="AC2771" i="2"/>
  <c r="AB2847" i="2"/>
  <c r="AC2847" i="2"/>
  <c r="AB2865" i="2"/>
  <c r="AK2865" i="2" s="1"/>
  <c r="AC2865" i="2"/>
  <c r="AB2897" i="2"/>
  <c r="AK2897" i="2" s="1"/>
  <c r="AC2897" i="2"/>
  <c r="AA2905" i="2"/>
  <c r="AC2905" i="2"/>
  <c r="AB2937" i="2"/>
  <c r="AK2937" i="2" s="1"/>
  <c r="AC2937" i="2"/>
  <c r="AB2977" i="2"/>
  <c r="AK2977" i="2" s="1"/>
  <c r="AC2977" i="2"/>
  <c r="AB3166" i="2"/>
  <c r="AC3166" i="2"/>
  <c r="Y3200" i="2"/>
  <c r="AC3200" i="2"/>
  <c r="AB3212" i="2"/>
  <c r="AK3212" i="2" s="1"/>
  <c r="AC3212" i="2"/>
  <c r="AB3224" i="2"/>
  <c r="AK3224" i="2" s="1"/>
  <c r="AC3224" i="2"/>
  <c r="AB3232" i="2"/>
  <c r="AC3232" i="2"/>
  <c r="AB3240" i="2"/>
  <c r="AK3240" i="2" s="1"/>
  <c r="AC3240" i="2"/>
  <c r="AB3248" i="2"/>
  <c r="AK3248" i="2" s="1"/>
  <c r="AC3248" i="2"/>
  <c r="AB3260" i="2"/>
  <c r="AK3260" i="2" s="1"/>
  <c r="AC3260" i="2"/>
  <c r="Y3274" i="2"/>
  <c r="AC3274" i="2"/>
  <c r="AB3282" i="2"/>
  <c r="AK3282" i="2" s="1"/>
  <c r="AC3282" i="2"/>
  <c r="Y3288" i="2"/>
  <c r="AC3288" i="2"/>
  <c r="AC3314" i="2"/>
  <c r="AA3314" i="2"/>
  <c r="AC3322" i="2"/>
  <c r="AA3322" i="2"/>
  <c r="AA3338" i="2"/>
  <c r="AB3338" i="2" s="1"/>
  <c r="AK3338" i="2" s="1"/>
  <c r="AC3338" i="2"/>
  <c r="AB3342" i="2"/>
  <c r="AK3342" i="2" s="1"/>
  <c r="AC3342" i="2"/>
  <c r="AC3360" i="2"/>
  <c r="AA3360" i="2"/>
  <c r="AB3360" i="2" s="1"/>
  <c r="AK3360" i="2" s="1"/>
  <c r="AB3368" i="2"/>
  <c r="AK3368" i="2" s="1"/>
  <c r="AC3368" i="2"/>
  <c r="AB3384" i="2"/>
  <c r="AK3384" i="2" s="1"/>
  <c r="AC3384" i="2"/>
  <c r="AB3390" i="2"/>
  <c r="AK3390" i="2" s="1"/>
  <c r="AC3390" i="2"/>
  <c r="AB3396" i="2"/>
  <c r="AK3396" i="2" s="1"/>
  <c r="AC3396" i="2"/>
  <c r="AC1306" i="2"/>
  <c r="AC1242" i="2"/>
  <c r="AC1238" i="2"/>
  <c r="AC269" i="2"/>
  <c r="AC1587" i="2"/>
  <c r="AC568" i="2"/>
  <c r="AC1284" i="2"/>
  <c r="AC1676" i="2"/>
  <c r="AC1672" i="2"/>
  <c r="AC1056" i="2"/>
  <c r="Y1088" i="2"/>
  <c r="Y1909" i="2"/>
  <c r="Y1883" i="2"/>
  <c r="AB1857" i="2"/>
  <c r="AK1857" i="2" s="1"/>
  <c r="Y1825" i="2"/>
  <c r="Y1793" i="2"/>
  <c r="AB1642" i="2"/>
  <c r="AK1642" i="2" s="1"/>
  <c r="AB578" i="2"/>
  <c r="AK578" i="2" s="1"/>
  <c r="AC578" i="2"/>
  <c r="AK588" i="2"/>
  <c r="AC588" i="2"/>
  <c r="AK702" i="2"/>
  <c r="AC702" i="2"/>
  <c r="AB730" i="2"/>
  <c r="AK730" i="2" s="1"/>
  <c r="AC730" i="2"/>
  <c r="AB1100" i="2"/>
  <c r="AK1100" i="2" s="1"/>
  <c r="AC1100" i="2"/>
  <c r="AB1170" i="2"/>
  <c r="AK1170" i="2" s="1"/>
  <c r="Y1170" i="2"/>
  <c r="AK1180" i="2"/>
  <c r="AC1180" i="2"/>
  <c r="Y1216" i="2"/>
  <c r="AA1220" i="2"/>
  <c r="AB1220" i="2" s="1"/>
  <c r="AK1220" i="2" s="1"/>
  <c r="AC1220" i="2"/>
  <c r="AB1589" i="2"/>
  <c r="AK1589" i="2" s="1"/>
  <c r="AC1589" i="2"/>
  <c r="Y2500" i="2"/>
  <c r="Y2567" i="2"/>
  <c r="AB1620" i="2"/>
  <c r="AK1620" i="2" s="1"/>
  <c r="AC1620" i="2"/>
  <c r="AB1797" i="2"/>
  <c r="AK1797" i="2" s="1"/>
  <c r="Y1797" i="2"/>
  <c r="AB1819" i="2"/>
  <c r="AK1819" i="2" s="1"/>
  <c r="Y1819" i="2"/>
  <c r="AB1821" i="2"/>
  <c r="AK1821" i="2" s="1"/>
  <c r="Y1821" i="2"/>
  <c r="AB1845" i="2"/>
  <c r="AK1845" i="2" s="1"/>
  <c r="Y1845" i="2"/>
  <c r="Y1847" i="2"/>
  <c r="AB1847" i="2"/>
  <c r="AK1847" i="2" s="1"/>
  <c r="AC1847" i="2"/>
  <c r="AB1869" i="2"/>
  <c r="AK1869" i="2" s="1"/>
  <c r="Y1869" i="2"/>
  <c r="Y1887" i="2"/>
  <c r="AB1887" i="2"/>
  <c r="AK1887" i="2" s="1"/>
  <c r="AC1887" i="2"/>
  <c r="Y1903" i="2"/>
  <c r="AC1903" i="2"/>
  <c r="AB1907" i="2"/>
  <c r="AK1907" i="2" s="1"/>
  <c r="Y1907" i="2"/>
  <c r="AB1917" i="2"/>
  <c r="AK1917" i="2" s="1"/>
  <c r="Y1917" i="2"/>
  <c r="AB1923" i="2"/>
  <c r="AK1923" i="2" s="1"/>
  <c r="Y1923" i="2"/>
  <c r="Y1935" i="2"/>
  <c r="AB1935" i="2"/>
  <c r="AK1935" i="2" s="1"/>
  <c r="AB1941" i="2"/>
  <c r="AK1941" i="2" s="1"/>
  <c r="Y1941" i="2"/>
  <c r="Y1943" i="2"/>
  <c r="AC1943" i="2"/>
  <c r="Y1951" i="2"/>
  <c r="AB1951" i="2"/>
  <c r="AK1951" i="2" s="1"/>
  <c r="AC1957" i="2"/>
  <c r="AA1957" i="2"/>
  <c r="AB1957" i="2" s="1"/>
  <c r="AK1957" i="2" s="1"/>
  <c r="AC1963" i="2"/>
  <c r="AA1963" i="2"/>
  <c r="AB1963" i="2" s="1"/>
  <c r="AK1963" i="2" s="1"/>
  <c r="AA1971" i="2"/>
  <c r="AB1971" i="2" s="1"/>
  <c r="AK1971" i="2" s="1"/>
  <c r="AC1971" i="2"/>
  <c r="AB1977" i="2"/>
  <c r="AK1977" i="2" s="1"/>
  <c r="AC1977" i="2"/>
  <c r="AA2003" i="2"/>
  <c r="AB2003" i="2" s="1"/>
  <c r="AK2003" i="2" s="1"/>
  <c r="AC2003" i="2"/>
  <c r="AB2031" i="2"/>
  <c r="AK2031" i="2" s="1"/>
  <c r="AC2031" i="2"/>
  <c r="AC2537" i="2"/>
  <c r="AB2537" i="2"/>
  <c r="AK2537" i="2" s="1"/>
  <c r="AB2543" i="2"/>
  <c r="AK2543" i="2" s="1"/>
  <c r="AC2543" i="2"/>
  <c r="AF2577" i="2"/>
  <c r="Y2577" i="2"/>
  <c r="AC1062" i="2"/>
  <c r="AB1849" i="2"/>
  <c r="AK1849" i="2" s="1"/>
  <c r="Y1813" i="2"/>
  <c r="AB1783" i="2"/>
  <c r="AK1783" i="2" s="1"/>
  <c r="AB1632" i="2"/>
  <c r="AK1632" i="2" s="1"/>
  <c r="Y1364" i="2"/>
  <c r="Y1204" i="2"/>
  <c r="Y1781" i="2"/>
  <c r="AB1304" i="2"/>
  <c r="AK1304" i="2" s="1"/>
  <c r="Y2502" i="2"/>
  <c r="Y2105" i="2"/>
  <c r="Y944" i="2"/>
  <c r="AB2576" i="2"/>
  <c r="AK2576" i="2" s="1"/>
  <c r="Y2145" i="2"/>
  <c r="AB1680" i="2"/>
  <c r="AK1680" i="2" s="1"/>
  <c r="Y1680" i="2"/>
  <c r="Y2481" i="2"/>
  <c r="AF2489" i="2"/>
  <c r="Y2489" i="2"/>
  <c r="Y2561" i="2"/>
  <c r="AK2563" i="2"/>
  <c r="AC2563" i="2"/>
  <c r="Y2606" i="2"/>
  <c r="AH2611" i="2"/>
  <c r="AF2611" i="2"/>
  <c r="AC2654" i="2"/>
  <c r="AB2654" i="2"/>
  <c r="AK2654" i="2" s="1"/>
  <c r="AC2682" i="2"/>
  <c r="AB2682" i="2"/>
  <c r="AK2682" i="2" s="1"/>
  <c r="Y2485" i="2"/>
  <c r="Y2611" i="2"/>
  <c r="AC2960" i="2"/>
  <c r="AC2872" i="2"/>
  <c r="AC2880" i="2"/>
  <c r="AF2794" i="2"/>
  <c r="AF2810" i="2"/>
  <c r="AF2818" i="2"/>
  <c r="AF2860" i="2"/>
  <c r="AF2868" i="2"/>
  <c r="AF2892" i="2"/>
  <c r="AF2900" i="2"/>
  <c r="AF2908" i="2"/>
  <c r="AF2924" i="2"/>
  <c r="AF2932" i="2"/>
  <c r="AF2940" i="2"/>
  <c r="AF2948" i="2"/>
  <c r="AF2964" i="2"/>
  <c r="AF2972" i="2"/>
  <c r="AF2996" i="2"/>
  <c r="AF3004" i="2"/>
  <c r="AF2812" i="2"/>
  <c r="AF2828" i="2"/>
  <c r="AF2850" i="2"/>
  <c r="AF2862" i="2"/>
  <c r="AF2870" i="2"/>
  <c r="AF2878" i="2"/>
  <c r="AF2886" i="2"/>
  <c r="AF2894" i="2"/>
  <c r="AF2910" i="2"/>
  <c r="AF2918" i="2"/>
  <c r="AF2926" i="2"/>
  <c r="AF2934" i="2"/>
  <c r="AF2966" i="2"/>
  <c r="Y2348" i="2"/>
  <c r="Y2354" i="2"/>
  <c r="AF2785" i="2"/>
  <c r="AF2793" i="2"/>
  <c r="AF2825" i="2"/>
  <c r="AF2891" i="2"/>
  <c r="AF2923" i="2"/>
  <c r="AF2947" i="2"/>
  <c r="AF2963" i="2"/>
  <c r="AF2971" i="2"/>
  <c r="AB2107" i="2"/>
  <c r="AK2107" i="2" s="1"/>
  <c r="AB2093" i="2"/>
  <c r="AK2093" i="2" s="1"/>
  <c r="Y2075" i="2"/>
  <c r="AB2203" i="2"/>
  <c r="AK2203" i="2" s="1"/>
  <c r="Y2169" i="2"/>
  <c r="AC2838" i="2"/>
  <c r="AC2968" i="2"/>
  <c r="Y3169" i="2"/>
  <c r="AB3169" i="2"/>
  <c r="AK3169" i="2" s="1"/>
  <c r="AC3520" i="2"/>
  <c r="AB3520" i="2"/>
  <c r="AK3520" i="2" s="1"/>
  <c r="AB4619" i="2"/>
  <c r="AK4619" i="2" s="1"/>
  <c r="Y4619" i="2"/>
  <c r="AH4852" i="2"/>
  <c r="Y4852" i="2"/>
  <c r="AF4969" i="2"/>
  <c r="Y4969" i="2"/>
  <c r="AF5032" i="2"/>
  <c r="Y5032" i="2"/>
  <c r="AF5067" i="2"/>
  <c r="Y5067" i="2"/>
  <c r="AF5117" i="2"/>
  <c r="Y5117" i="2"/>
  <c r="AF5131" i="2"/>
  <c r="Y5131" i="2"/>
  <c r="AF5196" i="2"/>
  <c r="Y5196" i="2"/>
  <c r="AF5208" i="2"/>
  <c r="Y5208" i="2"/>
  <c r="AB5389" i="2"/>
  <c r="AK5389" i="2" s="1"/>
  <c r="AC5389" i="2"/>
  <c r="AC5474" i="2"/>
  <c r="AB5474" i="2"/>
  <c r="AK5474" i="2" s="1"/>
  <c r="AC5530" i="2"/>
  <c r="Y5530" i="2"/>
  <c r="AC5554" i="2"/>
  <c r="AB5554" i="2"/>
  <c r="AK5554" i="2" s="1"/>
  <c r="AC5631" i="2"/>
  <c r="AB5631" i="2"/>
  <c r="AK5631" i="2" s="1"/>
  <c r="AK5663" i="2"/>
  <c r="Y5663" i="2"/>
  <c r="AF3488" i="2"/>
  <c r="AF3557" i="2"/>
  <c r="AF3578" i="2"/>
  <c r="AF3594" i="2"/>
  <c r="AF3618" i="2"/>
  <c r="AF3626" i="2"/>
  <c r="Y3663" i="2"/>
  <c r="AF3754" i="2"/>
  <c r="AF3802" i="2"/>
  <c r="AF3839" i="2"/>
  <c r="Y3884" i="2"/>
  <c r="Y4401" i="2"/>
  <c r="Y4409" i="2"/>
  <c r="Y4417" i="2"/>
  <c r="Y4425" i="2"/>
  <c r="Y4784" i="2"/>
  <c r="Y4786" i="2"/>
  <c r="Y4792" i="2"/>
  <c r="Y4800" i="2"/>
  <c r="Y4802" i="2"/>
  <c r="Y4808" i="2"/>
  <c r="AF4832" i="2"/>
  <c r="AC5735" i="2"/>
  <c r="AC5439" i="2"/>
  <c r="Y6626" i="2"/>
  <c r="Y6346" i="2"/>
  <c r="AB6188" i="2"/>
  <c r="AK6188" i="2" s="1"/>
  <c r="AB6089" i="2"/>
  <c r="AK6089" i="2" s="1"/>
  <c r="Y6408" i="2"/>
  <c r="Y6616" i="2"/>
  <c r="AB6461" i="2"/>
  <c r="AK6461" i="2" s="1"/>
  <c r="AC6338" i="2"/>
  <c r="AB6796" i="2"/>
  <c r="AK6796" i="2" s="1"/>
  <c r="AC6097" i="2"/>
  <c r="Y6360" i="2"/>
  <c r="Y6174" i="2"/>
  <c r="Y6157" i="2"/>
  <c r="Y6388" i="2"/>
  <c r="AC6342" i="2"/>
  <c r="AC5774" i="2"/>
  <c r="Y5774" i="2"/>
  <c r="AF5877" i="2"/>
  <c r="AF5882" i="2"/>
  <c r="AF5890" i="2"/>
  <c r="AF5922" i="2"/>
  <c r="AF5930" i="2"/>
  <c r="AF5938" i="2"/>
  <c r="AF5970" i="2"/>
  <c r="AC5996" i="2"/>
  <c r="Y5996" i="2"/>
  <c r="AF5999" i="2"/>
  <c r="Y6004" i="2"/>
  <c r="AB6004" i="2"/>
  <c r="AK6004" i="2" s="1"/>
  <c r="AC6004" i="2"/>
  <c r="Y6044" i="2"/>
  <c r="AC6049" i="2"/>
  <c r="AB6049" i="2"/>
  <c r="AK6049" i="2" s="1"/>
  <c r="Y6065" i="2"/>
  <c r="AF6065" i="2"/>
  <c r="AB6081" i="2"/>
  <c r="AK6081" i="2" s="1"/>
  <c r="Y6081" i="2"/>
  <c r="AC6081" i="2"/>
  <c r="AC6083" i="2"/>
  <c r="Y6083" i="2"/>
  <c r="AB6085" i="2"/>
  <c r="AK6085" i="2" s="1"/>
  <c r="Y6085" i="2"/>
  <c r="AC6101" i="2"/>
  <c r="AB6101" i="2"/>
  <c r="AK6101" i="2" s="1"/>
  <c r="Y6101" i="2"/>
  <c r="AC6105" i="2"/>
  <c r="AB6105" i="2"/>
  <c r="AK6105" i="2" s="1"/>
  <c r="AC6107" i="2"/>
  <c r="AB6107" i="2"/>
  <c r="AK6107" i="2" s="1"/>
  <c r="Y6115" i="2"/>
  <c r="AC6115" i="2"/>
  <c r="AB6117" i="2"/>
  <c r="AK6117" i="2" s="1"/>
  <c r="Y6117" i="2"/>
  <c r="AC6119" i="2"/>
  <c r="AB6119" i="2"/>
  <c r="AK6119" i="2" s="1"/>
  <c r="Y6119" i="2"/>
  <c r="AC6131" i="2"/>
  <c r="AB6131" i="2"/>
  <c r="AK6131" i="2" s="1"/>
  <c r="AC6133" i="2"/>
  <c r="Y6133" i="2"/>
  <c r="AC6135" i="2"/>
  <c r="AB6135" i="2"/>
  <c r="AK6135" i="2" s="1"/>
  <c r="AC6139" i="2"/>
  <c r="Y6139" i="2"/>
  <c r="Y6147" i="2"/>
  <c r="AB6147" i="2"/>
  <c r="AK6147" i="2" s="1"/>
  <c r="AC6149" i="2"/>
  <c r="Y6149" i="2"/>
  <c r="AC6153" i="2"/>
  <c r="Y6153" i="2"/>
  <c r="AC6159" i="2"/>
  <c r="Y6159" i="2"/>
  <c r="AC6165" i="2"/>
  <c r="AB6165" i="2"/>
  <c r="AK6165" i="2" s="1"/>
  <c r="AC6167" i="2"/>
  <c r="AB6167" i="2"/>
  <c r="AK6167" i="2" s="1"/>
  <c r="AB6332" i="2"/>
  <c r="AK6332" i="2" s="1"/>
  <c r="Y6332" i="2"/>
  <c r="AB6356" i="2"/>
  <c r="AK6356" i="2" s="1"/>
  <c r="Y6356" i="2"/>
  <c r="AF6396" i="2"/>
  <c r="Y6396" i="2"/>
  <c r="Y6400" i="2"/>
  <c r="AF6400" i="2"/>
  <c r="AF6404" i="2"/>
  <c r="Y6404" i="2"/>
  <c r="AF6406" i="2"/>
  <c r="Y6406" i="2"/>
  <c r="AC6457" i="2"/>
  <c r="AB6457" i="2"/>
  <c r="AK6457" i="2" s="1"/>
  <c r="Y6459" i="2"/>
  <c r="AC6459" i="2"/>
  <c r="AB6465" i="2"/>
  <c r="AK6465" i="2" s="1"/>
  <c r="AC6465" i="2"/>
  <c r="Y6465" i="2"/>
  <c r="AB6467" i="2"/>
  <c r="AK6467" i="2" s="1"/>
  <c r="Y6467" i="2"/>
  <c r="AC6475" i="2"/>
  <c r="Y6475" i="2"/>
  <c r="AF6481" i="2"/>
  <c r="Y6481" i="2"/>
  <c r="AF6620" i="2"/>
  <c r="Y6620" i="2"/>
  <c r="AF6632" i="2"/>
  <c r="Y6632" i="2"/>
  <c r="Y6659" i="2"/>
  <c r="AF6659" i="2"/>
  <c r="AF6661" i="2"/>
  <c r="Y6661" i="2"/>
  <c r="AF6671" i="2"/>
  <c r="Y6671" i="2"/>
  <c r="AF6675" i="2"/>
  <c r="Y6675" i="2"/>
  <c r="AA6740" i="2"/>
  <c r="AC6740" i="2"/>
  <c r="Y6743" i="2"/>
  <c r="AF6743" i="2"/>
  <c r="AB6756" i="2"/>
  <c r="AK6756" i="2" s="1"/>
  <c r="AC6756" i="2"/>
  <c r="Y6756" i="2"/>
  <c r="AC6772" i="2"/>
  <c r="AA6772" i="2"/>
  <c r="AB6772" i="2" s="1"/>
  <c r="AC6788" i="2"/>
  <c r="Y6788" i="2"/>
  <c r="AC6900" i="2"/>
  <c r="AB6900" i="2"/>
  <c r="AK6900" i="2" s="1"/>
  <c r="AC6937" i="2"/>
  <c r="Y6937" i="2"/>
  <c r="AB6945" i="2"/>
  <c r="AK6945" i="2" s="1"/>
  <c r="Y6945" i="2"/>
  <c r="Y6948" i="2"/>
  <c r="AF6948" i="2"/>
  <c r="AB6969" i="2"/>
  <c r="AK6969" i="2" s="1"/>
  <c r="Y6969" i="2"/>
  <c r="AF7001" i="2"/>
  <c r="Y7001" i="2"/>
  <c r="AB5612" i="2"/>
  <c r="AK5612" i="2" s="1"/>
  <c r="Y5612" i="2"/>
  <c r="AB5620" i="2"/>
  <c r="AK5620" i="2" s="1"/>
  <c r="Y5620" i="2"/>
  <c r="AC5620" i="2"/>
  <c r="AC5724" i="2"/>
  <c r="Y5724" i="2"/>
  <c r="AB5884" i="2"/>
  <c r="AK5884" i="2" s="1"/>
  <c r="AC5884" i="2"/>
  <c r="Y5900" i="2"/>
  <c r="AB5900" i="2"/>
  <c r="AK5900" i="2" s="1"/>
  <c r="AB5924" i="2"/>
  <c r="AK5924" i="2" s="1"/>
  <c r="AC5924" i="2"/>
  <c r="AC5932" i="2"/>
  <c r="Y5932" i="2"/>
  <c r="AC5948" i="2"/>
  <c r="Y5948" i="2"/>
  <c r="AC5980" i="2"/>
  <c r="Y5980" i="2"/>
  <c r="AC6033" i="2"/>
  <c r="Y6033" i="2"/>
  <c r="AC6180" i="2"/>
  <c r="Y6180" i="2"/>
  <c r="AC6192" i="2"/>
  <c r="Y6192" i="2"/>
  <c r="AC6194" i="2"/>
  <c r="AB6194" i="2"/>
  <c r="AK6194" i="2" s="1"/>
  <c r="Y6196" i="2"/>
  <c r="AC6196" i="2"/>
  <c r="AC6198" i="2"/>
  <c r="AB6198" i="2"/>
  <c r="AK6198" i="2" s="1"/>
  <c r="Y6198" i="2"/>
  <c r="AC6200" i="2"/>
  <c r="AB6200" i="2"/>
  <c r="AK6200" i="2" s="1"/>
  <c r="AB6206" i="2"/>
  <c r="AK6206" i="2" s="1"/>
  <c r="AC6206" i="2"/>
  <c r="Y6214" i="2"/>
  <c r="AB6214" i="2"/>
  <c r="AK6214" i="2" s="1"/>
  <c r="AC6423" i="2"/>
  <c r="Y6423" i="2"/>
  <c r="AC6447" i="2"/>
  <c r="AB6447" i="2"/>
  <c r="AK6447" i="2" s="1"/>
  <c r="AC6449" i="2"/>
  <c r="Y6449" i="2"/>
  <c r="AB6514" i="2"/>
  <c r="AK6514" i="2" s="1"/>
  <c r="Y6514" i="2"/>
  <c r="AB6516" i="2"/>
  <c r="AK6516" i="2" s="1"/>
  <c r="Y6516" i="2"/>
  <c r="AB6530" i="2"/>
  <c r="AK6530" i="2" s="1"/>
  <c r="Y6530" i="2"/>
  <c r="AB6532" i="2"/>
  <c r="AK6532" i="2" s="1"/>
  <c r="Y6532" i="2"/>
  <c r="AB6546" i="2"/>
  <c r="AK6546" i="2" s="1"/>
  <c r="Y6546" i="2"/>
  <c r="AB6548" i="2"/>
  <c r="AK6548" i="2" s="1"/>
  <c r="Y6548" i="2"/>
  <c r="AB6594" i="2"/>
  <c r="AK6594" i="2" s="1"/>
  <c r="AC6594" i="2"/>
  <c r="AC6610" i="2"/>
  <c r="AB6610" i="2"/>
  <c r="AK6610" i="2" s="1"/>
  <c r="AC6761" i="2"/>
  <c r="AB6761" i="2"/>
  <c r="AK6761" i="2" s="1"/>
  <c r="Y6657" i="2"/>
  <c r="Y6410" i="2"/>
  <c r="AC6354" i="2"/>
  <c r="AB6095" i="2"/>
  <c r="AK6095" i="2" s="1"/>
  <c r="AB6651" i="2"/>
  <c r="AK6651" i="2" s="1"/>
  <c r="Y6326" i="2"/>
  <c r="AB6316" i="2"/>
  <c r="AK6316" i="2" s="1"/>
  <c r="Y6310" i="2"/>
  <c r="AB6300" i="2"/>
  <c r="AK6300" i="2" s="1"/>
  <c r="Y6294" i="2"/>
  <c r="AB6284" i="2"/>
  <c r="AK6284" i="2" s="1"/>
  <c r="Y6278" i="2"/>
  <c r="AB6268" i="2"/>
  <c r="AK6268" i="2" s="1"/>
  <c r="Y6262" i="2"/>
  <c r="AB6252" i="2"/>
  <c r="AK6252" i="2" s="1"/>
  <c r="Y6246" i="2"/>
  <c r="AB6236" i="2"/>
  <c r="AK6236" i="2" s="1"/>
  <c r="Y6230" i="2"/>
  <c r="Y6224" i="2"/>
  <c r="AC6218" i="2"/>
  <c r="Y6129" i="2"/>
  <c r="AB6057" i="2"/>
  <c r="AK6057" i="2" s="1"/>
  <c r="Y6028" i="2"/>
  <c r="Y6820" i="2"/>
  <c r="AB6477" i="2"/>
  <c r="AK6477" i="2" s="1"/>
  <c r="Y6127" i="2"/>
  <c r="AB6067" i="2"/>
  <c r="AK6067" i="2" s="1"/>
  <c r="Y5708" i="2"/>
  <c r="AB6352" i="2"/>
  <c r="AK6352" i="2" s="1"/>
  <c r="Y6125" i="2"/>
  <c r="AF6815" i="2"/>
  <c r="AC6463" i="2"/>
  <c r="Y6334" i="2"/>
  <c r="AC6163" i="2"/>
  <c r="Y6839" i="2"/>
  <c r="Y6772" i="2"/>
  <c r="Y6471" i="2"/>
  <c r="Y6206" i="2"/>
  <c r="Y6107" i="2"/>
  <c r="Y6169" i="2"/>
  <c r="AC5983" i="2"/>
  <c r="AB5406" i="2"/>
  <c r="AK5406" i="2" s="1"/>
  <c r="Y6618" i="2"/>
  <c r="Y6354" i="2"/>
  <c r="Y6340" i="2"/>
  <c r="AB6326" i="2"/>
  <c r="AK6326" i="2" s="1"/>
  <c r="Y6320" i="2"/>
  <c r="AB6310" i="2"/>
  <c r="AK6310" i="2" s="1"/>
  <c r="Y6304" i="2"/>
  <c r="AB6294" i="2"/>
  <c r="AK6294" i="2" s="1"/>
  <c r="Y6288" i="2"/>
  <c r="AB6278" i="2"/>
  <c r="AK6278" i="2" s="1"/>
  <c r="Y6272" i="2"/>
  <c r="AB6262" i="2"/>
  <c r="AK6262" i="2" s="1"/>
  <c r="Y6256" i="2"/>
  <c r="AB6246" i="2"/>
  <c r="AK6246" i="2" s="1"/>
  <c r="Y6240" i="2"/>
  <c r="AB6230" i="2"/>
  <c r="AK6230" i="2" s="1"/>
  <c r="AB6224" i="2"/>
  <c r="AK6224" i="2" s="1"/>
  <c r="AC6214" i="2"/>
  <c r="AB6129" i="2"/>
  <c r="AK6129" i="2" s="1"/>
  <c r="AB6028" i="2"/>
  <c r="AK6028" i="2" s="1"/>
  <c r="Y5839" i="2"/>
  <c r="Y5511" i="2"/>
  <c r="Y6384" i="2"/>
  <c r="AB5475" i="2"/>
  <c r="AK5475" i="2" s="1"/>
  <c r="AC6820" i="2"/>
  <c r="Y6473" i="2"/>
  <c r="Y6344" i="2"/>
  <c r="AB6202" i="2"/>
  <c r="AK6202" i="2" s="1"/>
  <c r="AB6127" i="2"/>
  <c r="AK6127" i="2" s="1"/>
  <c r="Y6012" i="2"/>
  <c r="AC6364" i="2"/>
  <c r="Y5911" i="2"/>
  <c r="Y5887" i="2"/>
  <c r="AB5708" i="2"/>
  <c r="AK5708" i="2" s="1"/>
  <c r="Y6653" i="2"/>
  <c r="Y6348" i="2"/>
  <c r="AB6125" i="2"/>
  <c r="AK6125" i="2" s="1"/>
  <c r="Y6748" i="2"/>
  <c r="AC6455" i="2"/>
  <c r="Y6402" i="2"/>
  <c r="AC6334" i="2"/>
  <c r="AC5900" i="2"/>
  <c r="Y6667" i="2"/>
  <c r="Y6463" i="2"/>
  <c r="Y6190" i="2"/>
  <c r="AF6799" i="2"/>
  <c r="Y6394" i="2"/>
  <c r="AB6169" i="2"/>
  <c r="AK6169" i="2" s="1"/>
  <c r="Y6121" i="2"/>
  <c r="AB5727" i="2"/>
  <c r="AK5727" i="2" s="1"/>
  <c r="Y6655" i="2"/>
  <c r="Y6673" i="2"/>
  <c r="Y6624" i="2"/>
  <c r="Y6469" i="2"/>
  <c r="Y6194" i="2"/>
  <c r="AC5911" i="2"/>
  <c r="AC6653" i="2"/>
  <c r="Y6390" i="2"/>
  <c r="Y6828" i="2"/>
  <c r="Y6775" i="2"/>
  <c r="AB6649" i="2"/>
  <c r="AK6649" i="2" s="1"/>
  <c r="Y6336" i="2"/>
  <c r="Y6200" i="2"/>
  <c r="AB5823" i="2"/>
  <c r="AK5823" i="2" s="1"/>
  <c r="AB6748" i="2"/>
  <c r="AK6748" i="2" s="1"/>
  <c r="Y6447" i="2"/>
  <c r="Y6216" i="2"/>
  <c r="AC6190" i="2"/>
  <c r="Y6172" i="2"/>
  <c r="AF6751" i="2"/>
  <c r="AC6921" i="2"/>
  <c r="AC6473" i="2"/>
  <c r="AF3568" i="2"/>
  <c r="AF3573" i="2"/>
  <c r="AF3581" i="2"/>
  <c r="AF3637" i="2"/>
  <c r="AF3685" i="2"/>
  <c r="AF3701" i="2"/>
  <c r="AF3725" i="2"/>
  <c r="AF3781" i="2"/>
  <c r="AF3813" i="2"/>
  <c r="AF3930" i="2"/>
  <c r="AF3946" i="2"/>
  <c r="Y4105" i="2"/>
  <c r="Y4198" i="2"/>
  <c r="Y4842" i="2"/>
  <c r="Y4908" i="2"/>
  <c r="Y4965" i="2"/>
  <c r="Y4979" i="2"/>
  <c r="Y5042" i="2"/>
  <c r="Y5099" i="2"/>
  <c r="Y5113" i="2"/>
  <c r="Y5151" i="2"/>
  <c r="Y5165" i="2"/>
  <c r="Y6041" i="2"/>
  <c r="AC5732" i="2"/>
  <c r="AB5996" i="2"/>
  <c r="AK5996" i="2" s="1"/>
  <c r="AC5547" i="2"/>
  <c r="AB5547" i="2"/>
  <c r="AK5547" i="2" s="1"/>
  <c r="AC5555" i="2"/>
  <c r="AB5555" i="2"/>
  <c r="AK5555" i="2" s="1"/>
  <c r="AB6793" i="2"/>
  <c r="AK6793" i="2" s="1"/>
  <c r="AB5640" i="2"/>
  <c r="AK5640" i="2" s="1"/>
  <c r="AB6825" i="2"/>
  <c r="AK6825" i="2" s="1"/>
  <c r="AA6801" i="2"/>
  <c r="AB6801" i="2" s="1"/>
  <c r="AK6801" i="2" s="1"/>
  <c r="Y7041" i="2"/>
  <c r="AC12" i="2"/>
  <c r="AC196" i="2"/>
  <c r="AC1581" i="2"/>
  <c r="AB1581" i="2"/>
  <c r="AK1581" i="2" s="1"/>
  <c r="AF1959" i="2"/>
  <c r="Y1959" i="2"/>
  <c r="Y2641" i="2"/>
  <c r="AH2641" i="2"/>
  <c r="AC566" i="2"/>
  <c r="AC242" i="2"/>
  <c r="AC137" i="2"/>
  <c r="AC34" i="2"/>
  <c r="AC494" i="2"/>
  <c r="AC192" i="2"/>
  <c r="AC1565" i="2"/>
  <c r="AC1474" i="2"/>
  <c r="Y2" i="2"/>
  <c r="AC320" i="2"/>
  <c r="AC1413" i="2"/>
  <c r="AC1555" i="2"/>
  <c r="AC1465" i="2"/>
  <c r="AC570" i="2"/>
  <c r="AC1417" i="2"/>
  <c r="AC1427" i="2"/>
  <c r="AC64" i="2"/>
  <c r="AC264" i="2"/>
  <c r="AC1420" i="2"/>
  <c r="AC445" i="2"/>
  <c r="AC818" i="2"/>
  <c r="AC1444" i="2"/>
  <c r="AC1438" i="2"/>
  <c r="AC1007" i="2"/>
  <c r="AC1477" i="2"/>
  <c r="AC310" i="2"/>
  <c r="AC1470" i="2"/>
  <c r="AB1767" i="2"/>
  <c r="AK1767" i="2" s="1"/>
  <c r="AB190" i="2"/>
  <c r="AK190" i="2" s="1"/>
  <c r="AB2466" i="2"/>
  <c r="AK2466" i="2" s="1"/>
  <c r="AC2327" i="2"/>
  <c r="AC4" i="2"/>
  <c r="AC318" i="2"/>
  <c r="AC42" i="2"/>
  <c r="AC143" i="2"/>
  <c r="AC493" i="2"/>
  <c r="AC373" i="2"/>
  <c r="AC1412" i="2"/>
  <c r="AC545" i="2"/>
  <c r="AC423" i="2"/>
  <c r="AC1541" i="2"/>
  <c r="AC49" i="2"/>
  <c r="AB22" i="2"/>
  <c r="AK22" i="2" s="1"/>
  <c r="Y662" i="2"/>
  <c r="AB1045" i="2"/>
  <c r="AK1045" i="2" s="1"/>
  <c r="AB1758" i="2"/>
  <c r="AK1758" i="2" s="1"/>
  <c r="AC36" i="2"/>
  <c r="AC198" i="2"/>
  <c r="AC122" i="2"/>
  <c r="AC365" i="2"/>
  <c r="AC251" i="2"/>
  <c r="AC124" i="2"/>
  <c r="AB501" i="2"/>
  <c r="AK501" i="2" s="1"/>
  <c r="Y1790" i="2"/>
  <c r="AB1790" i="2"/>
  <c r="AK1790" i="2" s="1"/>
  <c r="AB1976" i="2"/>
  <c r="AK1976" i="2" s="1"/>
  <c r="AC1976" i="2"/>
  <c r="AB1996" i="2"/>
  <c r="AK1996" i="2" s="1"/>
  <c r="AC1996" i="2"/>
  <c r="AB2012" i="2"/>
  <c r="AK2012" i="2" s="1"/>
  <c r="AC2012" i="2"/>
  <c r="AB2040" i="2"/>
  <c r="AK2040" i="2" s="1"/>
  <c r="AC2040" i="2"/>
  <c r="AB1035" i="2"/>
  <c r="AK1035" i="2" s="1"/>
  <c r="AC1035" i="2"/>
  <c r="AB1458" i="2"/>
  <c r="AK1458" i="2" s="1"/>
  <c r="AC1458" i="2"/>
  <c r="AC1524" i="2"/>
  <c r="AB1524" i="2"/>
  <c r="AK1524" i="2" s="1"/>
  <c r="AB1526" i="2"/>
  <c r="AK1526" i="2" s="1"/>
  <c r="AC1526" i="2"/>
  <c r="AB1572" i="2"/>
  <c r="AK1572" i="2" s="1"/>
  <c r="AC1572" i="2"/>
  <c r="Y1774" i="2"/>
  <c r="AB1774" i="2"/>
  <c r="AK1774" i="2" s="1"/>
  <c r="AC2434" i="2"/>
  <c r="AB2434" i="2"/>
  <c r="AK2434" i="2" s="1"/>
  <c r="AB2442" i="2"/>
  <c r="AK2442" i="2" s="1"/>
  <c r="AC2442" i="2"/>
  <c r="AB2468" i="2"/>
  <c r="AK2468" i="2" s="1"/>
  <c r="AC2468" i="2"/>
  <c r="AC2472" i="2"/>
  <c r="AB2472" i="2"/>
  <c r="AK2472" i="2" s="1"/>
  <c r="AB2512" i="2"/>
  <c r="AK2512" i="2" s="1"/>
  <c r="Y2512" i="2"/>
  <c r="AB2656" i="2"/>
  <c r="AK2656" i="2" s="1"/>
  <c r="R120" i="3"/>
  <c r="T120" i="3" s="1"/>
  <c r="U120" i="3" s="1"/>
  <c r="V120" i="3" s="1"/>
  <c r="AB2693" i="2"/>
  <c r="AK2693" i="2" s="1"/>
  <c r="AC2693" i="2"/>
  <c r="AB780" i="2"/>
  <c r="AK780" i="2" s="1"/>
  <c r="AC780" i="2"/>
  <c r="AB962" i="2"/>
  <c r="AK962" i="2" s="1"/>
  <c r="AC962" i="2"/>
  <c r="AB982" i="2"/>
  <c r="AK982" i="2" s="1"/>
  <c r="Y982" i="2"/>
  <c r="AB988" i="2"/>
  <c r="AK988" i="2" s="1"/>
  <c r="AC988" i="2"/>
  <c r="AB1376" i="2"/>
  <c r="AK1376" i="2" s="1"/>
  <c r="Y1376" i="2"/>
  <c r="AB1392" i="2"/>
  <c r="AK1392" i="2" s="1"/>
  <c r="AC1392" i="2"/>
  <c r="AB1684" i="2"/>
  <c r="AK1684" i="2" s="1"/>
  <c r="AC1684" i="2"/>
  <c r="Y1690" i="2"/>
  <c r="AB1690" i="2"/>
  <c r="AK1690" i="2" s="1"/>
  <c r="AC1690" i="2"/>
  <c r="AC2065" i="2"/>
  <c r="AB2065" i="2"/>
  <c r="AK2065" i="2" s="1"/>
  <c r="Y2065" i="2"/>
  <c r="AC2077" i="2"/>
  <c r="AB2077" i="2"/>
  <c r="AK2077" i="2" s="1"/>
  <c r="AC2085" i="2"/>
  <c r="Y2085" i="2"/>
  <c r="AC2089" i="2"/>
  <c r="Y2089" i="2"/>
  <c r="AC2097" i="2"/>
  <c r="Y2097" i="2"/>
  <c r="AC2105" i="2"/>
  <c r="AB2105" i="2"/>
  <c r="AK2105" i="2" s="1"/>
  <c r="AC2109" i="2"/>
  <c r="Y2109" i="2"/>
  <c r="AC2139" i="2"/>
  <c r="Y2139" i="2"/>
  <c r="AB2151" i="2"/>
  <c r="AK2151" i="2" s="1"/>
  <c r="AC2151" i="2"/>
  <c r="Y2173" i="2"/>
  <c r="AC2173" i="2"/>
  <c r="AB2173" i="2"/>
  <c r="AK2173" i="2" s="1"/>
  <c r="AC2183" i="2"/>
  <c r="AB2183" i="2"/>
  <c r="AK2183" i="2" s="1"/>
  <c r="AB2207" i="2"/>
  <c r="AK2207" i="2" s="1"/>
  <c r="AC2207" i="2"/>
  <c r="AC2219" i="2"/>
  <c r="AB2219" i="2"/>
  <c r="AK2219" i="2" s="1"/>
  <c r="AC2243" i="2"/>
  <c r="AB2243" i="2"/>
  <c r="AK2243" i="2" s="1"/>
  <c r="AB2259" i="2"/>
  <c r="AK2259" i="2" s="1"/>
  <c r="AC2259" i="2"/>
  <c r="AC2269" i="2"/>
  <c r="Y2269" i="2"/>
  <c r="AB2271" i="2"/>
  <c r="AK2271" i="2" s="1"/>
  <c r="AC2271" i="2"/>
  <c r="AB2287" i="2"/>
  <c r="AK2287" i="2" s="1"/>
  <c r="AC2287" i="2"/>
  <c r="AC2309" i="2"/>
  <c r="AB2309" i="2"/>
  <c r="AK2309" i="2" s="1"/>
  <c r="AC2315" i="2"/>
  <c r="AB2315" i="2"/>
  <c r="AK2315" i="2" s="1"/>
  <c r="AC2378" i="2"/>
  <c r="AB2378" i="2"/>
  <c r="AK2378" i="2" s="1"/>
  <c r="AB2396" i="2"/>
  <c r="AK2396" i="2" s="1"/>
  <c r="AC2396" i="2"/>
  <c r="AC28" i="2"/>
  <c r="AC306" i="2"/>
  <c r="AC369" i="2"/>
  <c r="AC475" i="2"/>
  <c r="AC202" i="2"/>
  <c r="AC92" i="2"/>
  <c r="AC51" i="2"/>
  <c r="AC513" i="2"/>
  <c r="AC1603" i="2"/>
  <c r="AB1450" i="2"/>
  <c r="AK1450" i="2" s="1"/>
  <c r="AC2955" i="2"/>
  <c r="AB2478" i="2"/>
  <c r="AK2478" i="2" s="1"/>
  <c r="AC2478" i="2"/>
  <c r="AC2540" i="2"/>
  <c r="AB2540" i="2"/>
  <c r="AK2540" i="2" s="1"/>
  <c r="Y2550" i="2"/>
  <c r="AB2777" i="2"/>
  <c r="AC2777" i="2"/>
  <c r="AB2833" i="2"/>
  <c r="AK2833" i="2" s="1"/>
  <c r="AC2833" i="2"/>
  <c r="AK2971" i="2"/>
  <c r="AC2971" i="2"/>
  <c r="AB2979" i="2"/>
  <c r="AK2979" i="2" s="1"/>
  <c r="AC2979" i="2"/>
  <c r="AB2987" i="2"/>
  <c r="AK2987" i="2" s="1"/>
  <c r="AC2987" i="2"/>
  <c r="Y3098" i="2"/>
  <c r="AC3098" i="2"/>
  <c r="Y3102" i="2"/>
  <c r="AC3102" i="2"/>
  <c r="Y3104" i="2"/>
  <c r="AC3104" i="2"/>
  <c r="AB3118" i="2"/>
  <c r="AK3118" i="2" s="1"/>
  <c r="AC3118" i="2"/>
  <c r="AB3128" i="2"/>
  <c r="AK3128" i="2" s="1"/>
  <c r="AC3128" i="2"/>
  <c r="AC1839" i="2"/>
  <c r="Y1220" i="2"/>
  <c r="Y1200" i="2"/>
  <c r="AB2675" i="2"/>
  <c r="AK2675" i="2" s="1"/>
  <c r="AB2504" i="2"/>
  <c r="AK2504" i="2" s="1"/>
  <c r="Y1925" i="2"/>
  <c r="AB1911" i="2"/>
  <c r="AK1911" i="2" s="1"/>
  <c r="AB1895" i="2"/>
  <c r="AK1895" i="2" s="1"/>
  <c r="Y1877" i="2"/>
  <c r="Y1835" i="2"/>
  <c r="Y1817" i="2"/>
  <c r="Y1795" i="2"/>
  <c r="Y1668" i="2"/>
  <c r="AB1624" i="2"/>
  <c r="AK1624" i="2" s="1"/>
  <c r="Y2552" i="2"/>
  <c r="AB2534" i="2"/>
  <c r="AK2534" i="2" s="1"/>
  <c r="AC2907" i="2"/>
  <c r="AC1310" i="2"/>
  <c r="AB1310" i="2"/>
  <c r="AK1310" i="2" s="1"/>
  <c r="AC1666" i="2"/>
  <c r="AB1666" i="2"/>
  <c r="AK1666" i="2" s="1"/>
  <c r="AB1787" i="2"/>
  <c r="AK1787" i="2" s="1"/>
  <c r="Y1787" i="2"/>
  <c r="AC2891" i="2"/>
  <c r="AC3034" i="2"/>
  <c r="AC3506" i="2"/>
  <c r="AC2909" i="2"/>
  <c r="AC3357" i="2"/>
  <c r="AC3233" i="2"/>
  <c r="AC3139" i="2"/>
  <c r="AC2869" i="2"/>
  <c r="AC3235" i="2"/>
  <c r="AC3549" i="2"/>
  <c r="AC3185" i="2"/>
  <c r="AC3359" i="2"/>
  <c r="AC3229" i="2"/>
  <c r="AC3770" i="2"/>
  <c r="AC3371" i="2"/>
  <c r="AC3255" i="2"/>
  <c r="AC3147" i="2"/>
  <c r="AB3594" i="2"/>
  <c r="AK3594" i="2" s="1"/>
  <c r="AB3413" i="2"/>
  <c r="AK3413" i="2" s="1"/>
  <c r="AC2893" i="2"/>
  <c r="AA3399" i="2"/>
  <c r="AB3399" i="2" s="1"/>
  <c r="AC3225" i="2"/>
  <c r="AC3341" i="2"/>
  <c r="AC3223" i="2"/>
  <c r="AC3285" i="2"/>
  <c r="AC3175" i="2"/>
  <c r="AC3351" i="2"/>
  <c r="AC3221" i="2"/>
  <c r="AC3367" i="2"/>
  <c r="AC3247" i="2"/>
  <c r="AB3724" i="2"/>
  <c r="AK3724" i="2" s="1"/>
  <c r="AB3498" i="2"/>
  <c r="AK3498" i="2" s="1"/>
  <c r="Y3235" i="2"/>
  <c r="AB3586" i="2"/>
  <c r="AK3586" i="2" s="1"/>
  <c r="AF2831" i="2"/>
  <c r="AF2847" i="2"/>
  <c r="AF2857" i="2"/>
  <c r="AF2865" i="2"/>
  <c r="AF2873" i="2"/>
  <c r="AF2881" i="2"/>
  <c r="AF2889" i="2"/>
  <c r="AF2897" i="2"/>
  <c r="AF2905" i="2"/>
  <c r="AF2913" i="2"/>
  <c r="AF2937" i="2"/>
  <c r="AF2945" i="2"/>
  <c r="AF2953" i="2"/>
  <c r="AF2969" i="2"/>
  <c r="AF2977" i="2"/>
  <c r="AF2985" i="2"/>
  <c r="AF2993" i="2"/>
  <c r="AF3009" i="2"/>
  <c r="AF3017" i="2"/>
  <c r="AB3086" i="2"/>
  <c r="AK3086" i="2" s="1"/>
  <c r="AC3086" i="2"/>
  <c r="AB3415" i="2"/>
  <c r="AK3415" i="2" s="1"/>
  <c r="Y3415" i="2"/>
  <c r="AB3456" i="2"/>
  <c r="AK3456" i="2" s="1"/>
  <c r="AC3456" i="2"/>
  <c r="AB3488" i="2"/>
  <c r="AK3488" i="2" s="1"/>
  <c r="AC3488" i="2"/>
  <c r="Y3499" i="2"/>
  <c r="AF3499" i="2"/>
  <c r="AB3565" i="2"/>
  <c r="AK3565" i="2" s="1"/>
  <c r="AC3565" i="2"/>
  <c r="AC3610" i="2"/>
  <c r="AB3610" i="2"/>
  <c r="AK3610" i="2" s="1"/>
  <c r="AK3698" i="2"/>
  <c r="AC3698" i="2"/>
  <c r="AK3754" i="2"/>
  <c r="AC3754" i="2"/>
  <c r="AB3786" i="2"/>
  <c r="AK3786" i="2" s="1"/>
  <c r="AC3786" i="2"/>
  <c r="AB3855" i="2"/>
  <c r="AK3855" i="2" s="1"/>
  <c r="AC3855" i="2"/>
  <c r="AC3504" i="2"/>
  <c r="AC3415" i="2"/>
  <c r="AC3094" i="2"/>
  <c r="AC3676" i="2"/>
  <c r="AC3588" i="2"/>
  <c r="AC3458" i="2"/>
  <c r="AC3674" i="2"/>
  <c r="AC3291" i="2"/>
  <c r="AC3189" i="2"/>
  <c r="AC3287" i="2"/>
  <c r="AC3183" i="2"/>
  <c r="AC3361" i="2"/>
  <c r="AC3243" i="2"/>
  <c r="AC3618" i="2"/>
  <c r="AC3293" i="2"/>
  <c r="AC3179" i="2"/>
  <c r="AC3810" i="2"/>
  <c r="AC3730" i="2"/>
  <c r="AC3209" i="2"/>
  <c r="AB3397" i="2"/>
  <c r="AK3397" i="2" s="1"/>
  <c r="AB3195" i="2"/>
  <c r="AK3195" i="2" s="1"/>
  <c r="AB3666" i="2"/>
  <c r="AK3666" i="2" s="1"/>
  <c r="AK2917" i="2"/>
  <c r="AC2917" i="2"/>
  <c r="AB2925" i="2"/>
  <c r="AC2925" i="2"/>
  <c r="AB2957" i="2"/>
  <c r="AK2957" i="2" s="1"/>
  <c r="AC2957" i="2"/>
  <c r="AB3013" i="2"/>
  <c r="AK3013" i="2" s="1"/>
  <c r="AC3013" i="2"/>
  <c r="AB3137" i="2"/>
  <c r="AK3137" i="2" s="1"/>
  <c r="AC3137" i="2"/>
  <c r="Y3161" i="2"/>
  <c r="AC3161" i="2"/>
  <c r="AB3161" i="2"/>
  <c r="AK3161" i="2" s="1"/>
  <c r="Y3165" i="2"/>
  <c r="AC3165" i="2"/>
  <c r="AB3171" i="2"/>
  <c r="AK3171" i="2" s="1"/>
  <c r="AC3171" i="2"/>
  <c r="Y3173" i="2"/>
  <c r="AC3173" i="2"/>
  <c r="AB3187" i="2"/>
  <c r="AK3187" i="2" s="1"/>
  <c r="AC3187" i="2"/>
  <c r="Y3201" i="2"/>
  <c r="AC3201" i="2"/>
  <c r="AB3205" i="2"/>
  <c r="AK3205" i="2" s="1"/>
  <c r="AC3205" i="2"/>
  <c r="AB3207" i="2"/>
  <c r="AK3207" i="2" s="1"/>
  <c r="AC3207" i="2"/>
  <c r="AB3213" i="2"/>
  <c r="AK3213" i="2" s="1"/>
  <c r="AC3213" i="2"/>
  <c r="Y3215" i="2"/>
  <c r="AB3215" i="2"/>
  <c r="AK3215" i="2" s="1"/>
  <c r="AB3227" i="2"/>
  <c r="AK3227" i="2" s="1"/>
  <c r="AC3227" i="2"/>
  <c r="AB3239" i="2"/>
  <c r="AK3239" i="2" s="1"/>
  <c r="AC3239" i="2"/>
  <c r="AB3241" i="2"/>
  <c r="AK3241" i="2" s="1"/>
  <c r="AC3241" i="2"/>
  <c r="Y3251" i="2"/>
  <c r="AB3251" i="2"/>
  <c r="AK3251" i="2" s="1"/>
  <c r="AB3253" i="2"/>
  <c r="AK3253" i="2" s="1"/>
  <c r="AC3253" i="2"/>
  <c r="AB3273" i="2"/>
  <c r="AK3273" i="2" s="1"/>
  <c r="AC3273" i="2"/>
  <c r="AB3281" i="2"/>
  <c r="AK3281" i="2" s="1"/>
  <c r="AC3281" i="2"/>
  <c r="Y3283" i="2"/>
  <c r="AC3283" i="2"/>
  <c r="Y3295" i="2"/>
  <c r="AC3295" i="2"/>
  <c r="AB3299" i="2"/>
  <c r="AK3299" i="2" s="1"/>
  <c r="AC3299" i="2"/>
  <c r="AB3321" i="2"/>
  <c r="AK3321" i="2" s="1"/>
  <c r="AC3321" i="2"/>
  <c r="AB3337" i="2"/>
  <c r="AK3337" i="2" s="1"/>
  <c r="AC3337" i="2"/>
  <c r="AB3343" i="2"/>
  <c r="AK3343" i="2" s="1"/>
  <c r="AC3343" i="2"/>
  <c r="AB3363" i="2"/>
  <c r="AK3363" i="2" s="1"/>
  <c r="AC3363" i="2"/>
  <c r="AB3369" i="2"/>
  <c r="AK3369" i="2" s="1"/>
  <c r="AC3369" i="2"/>
  <c r="AB3381" i="2"/>
  <c r="AK3381" i="2" s="1"/>
  <c r="AC3381" i="2"/>
  <c r="AB3387" i="2"/>
  <c r="AK3387" i="2" s="1"/>
  <c r="AC3387" i="2"/>
  <c r="AB3403" i="2"/>
  <c r="AK3403" i="2" s="1"/>
  <c r="AC3403" i="2"/>
  <c r="AB3434" i="2"/>
  <c r="AK3434" i="2" s="1"/>
  <c r="AC3434" i="2"/>
  <c r="AC3466" i="2"/>
  <c r="AB3466" i="2"/>
  <c r="AK3466" i="2" s="1"/>
  <c r="AB3530" i="2"/>
  <c r="AK3530" i="2" s="1"/>
  <c r="AC3530" i="2"/>
  <c r="AB3559" i="2"/>
  <c r="AK3559" i="2" s="1"/>
  <c r="AC3559" i="2"/>
  <c r="AC3628" i="2"/>
  <c r="AB3628" i="2"/>
  <c r="AK3628" i="2" s="1"/>
  <c r="AK3692" i="2"/>
  <c r="AC3692" i="2"/>
  <c r="AK3756" i="2"/>
  <c r="AC3756" i="2"/>
  <c r="AB3788" i="2"/>
  <c r="AK3788" i="2" s="1"/>
  <c r="AC3788" i="2"/>
  <c r="AB3820" i="2"/>
  <c r="AK3820" i="2" s="1"/>
  <c r="AC3820" i="2"/>
  <c r="AC4047" i="2"/>
  <c r="AB4105" i="2"/>
  <c r="AK4105" i="2" s="1"/>
  <c r="AF3306" i="2"/>
  <c r="AF3312" i="2"/>
  <c r="AF3354" i="2"/>
  <c r="AF3388" i="2"/>
  <c r="AF3396" i="2"/>
  <c r="AF3430" i="2"/>
  <c r="AF3438" i="2"/>
  <c r="AF3576" i="2"/>
  <c r="AF3632" i="2"/>
  <c r="AF3712" i="2"/>
  <c r="AF3720" i="2"/>
  <c r="AF3728" i="2"/>
  <c r="Y3797" i="2"/>
  <c r="AF3824" i="2"/>
  <c r="Y3829" i="2"/>
  <c r="Y3842" i="2"/>
  <c r="AF3853" i="2"/>
  <c r="Y3866" i="2"/>
  <c r="Y3890" i="2"/>
  <c r="Y3938" i="2"/>
  <c r="Y3954" i="2"/>
  <c r="AC3951" i="2"/>
  <c r="AB3270" i="2"/>
  <c r="AK3270" i="2" s="1"/>
  <c r="Y3270" i="2"/>
  <c r="AB3701" i="2"/>
  <c r="AK3701" i="2" s="1"/>
  <c r="Y3701" i="2"/>
  <c r="AB3898" i="2"/>
  <c r="AK3898" i="2" s="1"/>
  <c r="Y3898" i="2"/>
  <c r="AB4858" i="2"/>
  <c r="AK4858" i="2" s="1"/>
  <c r="Y4858" i="2"/>
  <c r="AK4876" i="2"/>
  <c r="Y4876" i="2"/>
  <c r="AB5129" i="2"/>
  <c r="AK5129" i="2" s="1"/>
  <c r="Y5129" i="2"/>
  <c r="AF7478" i="2"/>
  <c r="AF7486" i="2"/>
  <c r="AF7494" i="2"/>
  <c r="AF7502" i="2"/>
  <c r="AF7510" i="2"/>
  <c r="AF7518" i="2"/>
  <c r="AF7523" i="2"/>
  <c r="AF7531" i="2"/>
  <c r="AF7539" i="2"/>
  <c r="AF7547" i="2"/>
  <c r="AF7555" i="2"/>
  <c r="AF7563" i="2"/>
  <c r="AF7571" i="2"/>
  <c r="AF7579" i="2"/>
  <c r="AF7587" i="2"/>
  <c r="AF7595" i="2"/>
  <c r="AF7603" i="2"/>
  <c r="AF7614" i="2"/>
  <c r="Y7619" i="2"/>
  <c r="AF7622" i="2"/>
  <c r="Y7627" i="2"/>
  <c r="AF7630" i="2"/>
  <c r="AF7638" i="2"/>
  <c r="AF7646" i="2"/>
  <c r="AF7654" i="2"/>
  <c r="Y7659" i="2"/>
  <c r="AF7662" i="2"/>
  <c r="Y7667" i="2"/>
  <c r="AF7670" i="2"/>
  <c r="AF7678" i="2"/>
  <c r="AF7686" i="2"/>
  <c r="AF7694" i="2"/>
  <c r="AF7702" i="2"/>
  <c r="AF7710" i="2"/>
  <c r="AF7718" i="2"/>
  <c r="AF7726" i="2"/>
  <c r="AF7736" i="2"/>
  <c r="Y7741" i="2"/>
  <c r="AF7744" i="2"/>
  <c r="AF7752" i="2"/>
  <c r="AF7760" i="2"/>
  <c r="AF7768" i="2"/>
  <c r="AF7776" i="2"/>
  <c r="AF7784" i="2"/>
  <c r="AF7792" i="2"/>
  <c r="AF7800" i="2"/>
  <c r="AF7808" i="2"/>
  <c r="AF7816" i="2"/>
  <c r="AF7824" i="2"/>
  <c r="AF7832" i="2"/>
  <c r="AF7840" i="2"/>
  <c r="AF7848" i="2"/>
  <c r="AF7856" i="2"/>
  <c r="AF7864" i="2"/>
  <c r="AF7872" i="2"/>
  <c r="AF7880" i="2"/>
  <c r="AF7888" i="2"/>
  <c r="AF7893" i="2"/>
  <c r="AF7901" i="2"/>
  <c r="AF7909" i="2"/>
  <c r="AF7917" i="2"/>
  <c r="AF7925" i="2"/>
  <c r="AF7933" i="2"/>
  <c r="AF7946" i="2"/>
  <c r="AF7959" i="2"/>
  <c r="AF7967" i="2"/>
  <c r="AF7975" i="2"/>
  <c r="AF7983" i="2"/>
  <c r="Y8004" i="2"/>
  <c r="Y5623" i="2"/>
  <c r="Y5703" i="2"/>
  <c r="AB5774" i="2"/>
  <c r="AK5774" i="2" s="1"/>
  <c r="AC5612" i="2"/>
  <c r="AC5967" i="2"/>
  <c r="AB5895" i="2"/>
  <c r="AK5895" i="2" s="1"/>
  <c r="Y5792" i="2"/>
  <c r="AB5724" i="2"/>
  <c r="AK5724" i="2" s="1"/>
  <c r="Y5850" i="2"/>
  <c r="Y5434" i="2"/>
  <c r="Y6001" i="2"/>
  <c r="AC5956" i="2"/>
  <c r="AB5932" i="2"/>
  <c r="AK5932" i="2" s="1"/>
  <c r="AF5754" i="2"/>
  <c r="Y5767" i="2"/>
  <c r="AF5772" i="2"/>
  <c r="AF5777" i="2"/>
  <c r="AF5785" i="2"/>
  <c r="AF5805" i="2"/>
  <c r="AF5813" i="2"/>
  <c r="AF5821" i="2"/>
  <c r="AF5829" i="2"/>
  <c r="AF5837" i="2"/>
  <c r="AF5845" i="2"/>
  <c r="AF5853" i="2"/>
  <c r="AF5861" i="2"/>
  <c r="AF5869" i="2"/>
  <c r="Y5879" i="2"/>
  <c r="AF5914" i="2"/>
  <c r="AF5954" i="2"/>
  <c r="AF5986" i="2"/>
  <c r="Y5988" i="2"/>
  <c r="AF6007" i="2"/>
  <c r="AF6023" i="2"/>
  <c r="AF6052" i="2"/>
  <c r="AF6073" i="2"/>
  <c r="AF4184" i="2"/>
  <c r="AF4208" i="2"/>
  <c r="AF4240" i="2"/>
  <c r="AF4277" i="2"/>
  <c r="AF4309" i="2"/>
  <c r="AF4317" i="2"/>
  <c r="AF4454" i="2"/>
  <c r="AF4572" i="2"/>
  <c r="AC5727" i="2"/>
  <c r="Y6204" i="2"/>
  <c r="Y6113" i="2"/>
  <c r="Y6070" i="2"/>
  <c r="Y5787" i="2"/>
  <c r="Y5751" i="2"/>
  <c r="Y5679" i="2"/>
  <c r="Y6218" i="2"/>
  <c r="AB6054" i="2"/>
  <c r="AK6054" i="2" s="1"/>
  <c r="Y6020" i="2"/>
  <c r="AC5871" i="2"/>
  <c r="Y5418" i="2"/>
  <c r="Y6178" i="2"/>
  <c r="Y6143" i="2"/>
  <c r="Y6111" i="2"/>
  <c r="Y6075" i="2"/>
  <c r="AB6041" i="2"/>
  <c r="AK6041" i="2" s="1"/>
  <c r="AB6012" i="2"/>
  <c r="AK6012" i="2" s="1"/>
  <c r="AC5943" i="2"/>
  <c r="AC5903" i="2"/>
  <c r="AC5792" i="2"/>
  <c r="AC6109" i="2"/>
  <c r="AB5980" i="2"/>
  <c r="AK5980" i="2" s="1"/>
  <c r="Y5927" i="2"/>
  <c r="AB5764" i="2"/>
  <c r="AK5764" i="2" s="1"/>
  <c r="Y5684" i="2"/>
  <c r="AB6184" i="2"/>
  <c r="AK6184" i="2" s="1"/>
  <c r="AB6149" i="2"/>
  <c r="AK6149" i="2" s="1"/>
  <c r="Y5959" i="2"/>
  <c r="AB5948" i="2"/>
  <c r="AK5948" i="2" s="1"/>
  <c r="Y5916" i="2"/>
  <c r="Y6155" i="2"/>
  <c r="Y6123" i="2"/>
  <c r="AB5847" i="2"/>
  <c r="AK5847" i="2" s="1"/>
  <c r="AB5810" i="2"/>
  <c r="AK5810" i="2" s="1"/>
  <c r="AB5498" i="2"/>
  <c r="AK5498" i="2" s="1"/>
  <c r="Y5790" i="2"/>
  <c r="AC5719" i="2"/>
  <c r="AB6204" i="2"/>
  <c r="AK6204" i="2" s="1"/>
  <c r="AB6145" i="2"/>
  <c r="AK6145" i="2" s="1"/>
  <c r="AB6113" i="2"/>
  <c r="AK6113" i="2" s="1"/>
  <c r="AB6070" i="2"/>
  <c r="AK6070" i="2" s="1"/>
  <c r="AB6036" i="2"/>
  <c r="AK6036" i="2" s="1"/>
  <c r="AB5767" i="2"/>
  <c r="AK5767" i="2" s="1"/>
  <c r="Y5695" i="2"/>
  <c r="AB6020" i="2"/>
  <c r="AK6020" i="2" s="1"/>
  <c r="AB5579" i="2"/>
  <c r="AK5579" i="2" s="1"/>
  <c r="AB5507" i="2"/>
  <c r="AK5507" i="2" s="1"/>
  <c r="AB5418" i="2"/>
  <c r="AK5418" i="2" s="1"/>
  <c r="AB5546" i="2"/>
  <c r="AK5546" i="2" s="1"/>
  <c r="AB6178" i="2"/>
  <c r="AK6178" i="2" s="1"/>
  <c r="AB6143" i="2"/>
  <c r="AK6143" i="2" s="1"/>
  <c r="AB6111" i="2"/>
  <c r="AK6111" i="2" s="1"/>
  <c r="AB6075" i="2"/>
  <c r="AK6075" i="2" s="1"/>
  <c r="AC5975" i="2"/>
  <c r="Y5826" i="2"/>
  <c r="AC5660" i="2"/>
  <c r="AB5616" i="2"/>
  <c r="AK5616" i="2" s="1"/>
  <c r="Y6087" i="2"/>
  <c r="AB5927" i="2"/>
  <c r="AK5927" i="2" s="1"/>
  <c r="Y5756" i="2"/>
  <c r="AB5676" i="2"/>
  <c r="AK5676" i="2" s="1"/>
  <c r="AB5592" i="2"/>
  <c r="AK5592" i="2" s="1"/>
  <c r="Y6208" i="2"/>
  <c r="Y6176" i="2"/>
  <c r="Y6141" i="2"/>
  <c r="Y6109" i="2"/>
  <c r="AC6182" i="2"/>
  <c r="AC6155" i="2"/>
  <c r="AC6123" i="2"/>
  <c r="Y6091" i="2"/>
  <c r="AB5916" i="2"/>
  <c r="AK5916" i="2" s="1"/>
  <c r="Y6182" i="2"/>
  <c r="Y5842" i="2"/>
  <c r="AF3457" i="2"/>
  <c r="AF3513" i="2"/>
  <c r="Y5874" i="2"/>
  <c r="AB5790" i="2"/>
  <c r="AK5790" i="2" s="1"/>
  <c r="AC5679" i="2"/>
  <c r="AC5523" i="2"/>
  <c r="Y6137" i="2"/>
  <c r="Y6105" i="2"/>
  <c r="AB5779" i="2"/>
  <c r="AK5779" i="2" s="1"/>
  <c r="AB5451" i="2"/>
  <c r="AK5451" i="2" s="1"/>
  <c r="AC5636" i="2"/>
  <c r="Y6167" i="2"/>
  <c r="Y6135" i="2"/>
  <c r="AC5935" i="2"/>
  <c r="Y5858" i="2"/>
  <c r="AB5826" i="2"/>
  <c r="AK5826" i="2" s="1"/>
  <c r="AC5748" i="2"/>
  <c r="Y5943" i="2"/>
  <c r="AB5879" i="2"/>
  <c r="AK5879" i="2" s="1"/>
  <c r="Y5668" i="2"/>
  <c r="AB5495" i="2"/>
  <c r="AK5495" i="2" s="1"/>
  <c r="AB6208" i="2"/>
  <c r="AK6208" i="2" s="1"/>
  <c r="AB6176" i="2"/>
  <c r="AK6176" i="2" s="1"/>
  <c r="AB6141" i="2"/>
  <c r="AK6141" i="2" s="1"/>
  <c r="Y5855" i="2"/>
  <c r="AB6091" i="2"/>
  <c r="AK6091" i="2" s="1"/>
  <c r="AC5940" i="2"/>
  <c r="Y5884" i="2"/>
  <c r="AB5842" i="2"/>
  <c r="AK5842" i="2" s="1"/>
  <c r="Y4026" i="2"/>
  <c r="Y4050" i="2"/>
  <c r="Y4100" i="2"/>
  <c r="Y4129" i="2"/>
  <c r="Y4177" i="2"/>
  <c r="Y4209" i="2"/>
  <c r="Y4241" i="2"/>
  <c r="Y4265" i="2"/>
  <c r="Y4294" i="2"/>
  <c r="Y4326" i="2"/>
  <c r="Y4368" i="2"/>
  <c r="Y4991" i="2"/>
  <c r="Y4999" i="2"/>
  <c r="AB5874" i="2"/>
  <c r="AK5874" i="2" s="1"/>
  <c r="AC5671" i="2"/>
  <c r="Y5519" i="2"/>
  <c r="Y5807" i="2"/>
  <c r="AC5628" i="2"/>
  <c r="AC6017" i="2"/>
  <c r="AB5858" i="2"/>
  <c r="AK5858" i="2" s="1"/>
  <c r="AC5684" i="2"/>
  <c r="AC5652" i="2"/>
  <c r="AB5748" i="2"/>
  <c r="AK5748" i="2" s="1"/>
  <c r="Y5660" i="2"/>
  <c r="AB5455" i="2"/>
  <c r="AK5455" i="2" s="1"/>
  <c r="AB5855" i="2"/>
  <c r="AK5855" i="2" s="1"/>
  <c r="Y5823" i="2"/>
  <c r="Y5972" i="2"/>
  <c r="Y5993" i="2"/>
  <c r="AC1649" i="2"/>
  <c r="AB2546" i="2"/>
  <c r="AK2546" i="2" s="1"/>
  <c r="Y1704" i="2"/>
  <c r="AB1946" i="2"/>
  <c r="AK1946" i="2" s="1"/>
  <c r="Y1828" i="2"/>
  <c r="AB2658" i="2"/>
  <c r="AK2658" i="2" s="1"/>
  <c r="Y2658" i="2"/>
  <c r="AA1970" i="2"/>
  <c r="AB1970" i="2" s="1"/>
  <c r="AK1970" i="2" s="1"/>
  <c r="Y1970" i="2"/>
  <c r="R10" i="3"/>
  <c r="T10" i="3" s="1"/>
  <c r="U10" i="3" s="1"/>
  <c r="V10" i="3" s="1"/>
  <c r="AB1613" i="2"/>
  <c r="AK1613" i="2" s="1"/>
  <c r="AC181" i="2"/>
  <c r="AC333" i="2"/>
  <c r="AC361" i="2"/>
  <c r="AC343" i="2"/>
  <c r="AC1926" i="2"/>
  <c r="AC1492" i="2"/>
  <c r="AC1940" i="2"/>
  <c r="AC422" i="2"/>
  <c r="AC256" i="2"/>
  <c r="AC743" i="2"/>
  <c r="AC1651" i="2"/>
  <c r="AC1439" i="2"/>
  <c r="AC1527" i="2"/>
  <c r="AC1203" i="2"/>
  <c r="AC1505" i="2"/>
  <c r="AC2046" i="2"/>
  <c r="AC1425" i="2"/>
  <c r="AC76" i="2"/>
  <c r="AC379" i="2"/>
  <c r="AC78" i="2"/>
  <c r="AC1528" i="2"/>
  <c r="AC1820" i="2"/>
  <c r="AC1430" i="2"/>
  <c r="AC555" i="2"/>
  <c r="AC1508" i="2"/>
  <c r="AC1800" i="2"/>
  <c r="AC1442" i="2"/>
  <c r="AC1448" i="2"/>
  <c r="AC1239" i="2"/>
  <c r="AC1780" i="2"/>
  <c r="AC1748" i="2"/>
  <c r="AC1758" i="2"/>
  <c r="AC1401" i="2"/>
  <c r="AC1767" i="2"/>
  <c r="AC1718" i="2"/>
  <c r="AC1946" i="2"/>
  <c r="AC1462" i="2"/>
  <c r="AB2338" i="2"/>
  <c r="AK2338" i="2" s="1"/>
  <c r="AB1499" i="2"/>
  <c r="AK1499" i="2" s="1"/>
  <c r="Y1999" i="2"/>
  <c r="AC2524" i="2"/>
  <c r="AB2564" i="2"/>
  <c r="AK2564" i="2" s="1"/>
  <c r="Y1438" i="2"/>
  <c r="AB1908" i="2"/>
  <c r="AK1908" i="2" s="1"/>
  <c r="AC344" i="2"/>
  <c r="AC197" i="2"/>
  <c r="AC424" i="2"/>
  <c r="AC1047" i="2"/>
  <c r="AC1659" i="2"/>
  <c r="AC1621" i="2"/>
  <c r="AC1429" i="2"/>
  <c r="AC1455" i="2"/>
  <c r="AC699" i="2"/>
  <c r="AC349" i="2"/>
  <c r="AC305" i="2"/>
  <c r="AC549" i="2"/>
  <c r="AC1790" i="2"/>
  <c r="AC1816" i="2"/>
  <c r="AC1796" i="2"/>
  <c r="AC1567" i="2"/>
  <c r="AC503" i="2"/>
  <c r="AB1904" i="2"/>
  <c r="AK1904" i="2" s="1"/>
  <c r="AC173" i="2"/>
  <c r="AC136" i="2"/>
  <c r="AC432" i="2"/>
  <c r="AC357" i="2"/>
  <c r="AC46" i="2"/>
  <c r="AC20" i="2"/>
  <c r="AC77" i="2"/>
  <c r="AC348" i="2"/>
  <c r="AC359" i="2"/>
  <c r="AC1305" i="2"/>
  <c r="AC332" i="2"/>
  <c r="AC1063" i="2"/>
  <c r="AC603" i="2"/>
  <c r="AC533" i="2"/>
  <c r="AC1629" i="2"/>
  <c r="AC1463" i="2"/>
  <c r="AC1433" i="2"/>
  <c r="AC1459" i="2"/>
  <c r="AC481" i="2"/>
  <c r="AC1782" i="2"/>
  <c r="AC1832" i="2"/>
  <c r="AC1525" i="2"/>
  <c r="AC1882" i="2"/>
  <c r="Y1699" i="2"/>
  <c r="AB1984" i="2"/>
  <c r="AK1984" i="2" s="1"/>
  <c r="Y1868" i="2"/>
  <c r="AC3078" i="2"/>
  <c r="AC2787" i="2"/>
  <c r="Y3597" i="2"/>
  <c r="Y3210" i="2"/>
  <c r="AB5402" i="2"/>
  <c r="AK5402" i="2" s="1"/>
  <c r="AB5695" i="2"/>
  <c r="AK5695" i="2" s="1"/>
  <c r="AB5483" i="2"/>
  <c r="AK5483" i="2" s="1"/>
  <c r="AC5546" i="2"/>
  <c r="AB5381" i="2"/>
  <c r="AK5381" i="2" s="1"/>
  <c r="AB5530" i="2"/>
  <c r="AK5530" i="2" s="1"/>
  <c r="AF3481" i="2"/>
  <c r="AF3587" i="2"/>
  <c r="Y3664" i="2"/>
  <c r="AF3699" i="2"/>
  <c r="Y3704" i="2"/>
  <c r="Y3736" i="2"/>
  <c r="Y3744" i="2"/>
  <c r="Y3784" i="2"/>
  <c r="AF3795" i="2"/>
  <c r="Y3808" i="2"/>
  <c r="Y3816" i="2"/>
  <c r="AF3827" i="2"/>
  <c r="Y3832" i="2"/>
  <c r="Y3845" i="2"/>
  <c r="Y3861" i="2"/>
  <c r="Y3869" i="2"/>
  <c r="Y3893" i="2"/>
  <c r="Y3901" i="2"/>
  <c r="Y3909" i="2"/>
  <c r="Y3917" i="2"/>
  <c r="Y3925" i="2"/>
  <c r="Y3933" i="2"/>
  <c r="Y3941" i="2"/>
  <c r="Y3957" i="2"/>
  <c r="Y3965" i="2"/>
  <c r="Y3981" i="2"/>
  <c r="Y3989" i="2"/>
  <c r="Y3997" i="2"/>
  <c r="Y4021" i="2"/>
  <c r="Y4029" i="2"/>
  <c r="Y4053" i="2"/>
  <c r="Y4061" i="2"/>
  <c r="Y4069" i="2"/>
  <c r="Y4087" i="2"/>
  <c r="Y4095" i="2"/>
  <c r="Y4116" i="2"/>
  <c r="Y4124" i="2"/>
  <c r="Y4132" i="2"/>
  <c r="Y4156" i="2"/>
  <c r="Y4164" i="2"/>
  <c r="Y4188" i="2"/>
  <c r="Y4196" i="2"/>
  <c r="Y4204" i="2"/>
  <c r="Y4220" i="2"/>
  <c r="Y4228" i="2"/>
  <c r="Y4244" i="2"/>
  <c r="Y4252" i="2"/>
  <c r="Y4260" i="2"/>
  <c r="Y4289" i="2"/>
  <c r="Y4297" i="2"/>
  <c r="Y4321" i="2"/>
  <c r="Y4329" i="2"/>
  <c r="Y4347" i="2"/>
  <c r="Y4355" i="2"/>
  <c r="Y4379" i="2"/>
  <c r="Y4387" i="2"/>
  <c r="Y4410" i="2"/>
  <c r="Y4418" i="2"/>
  <c r="Y4442" i="2"/>
  <c r="Y4474" i="2"/>
  <c r="Y4506" i="2"/>
  <c r="Y4537" i="2"/>
  <c r="Y4584" i="2"/>
  <c r="Y4621" i="2"/>
  <c r="Y4731" i="2"/>
  <c r="Y4741" i="2"/>
  <c r="Y4755" i="2"/>
  <c r="Y4763" i="2"/>
  <c r="Y4777" i="2"/>
  <c r="Y4779" i="2"/>
  <c r="AB5405" i="2"/>
  <c r="AK5405" i="2" s="1"/>
  <c r="AC5482" i="2"/>
  <c r="AF6031" i="2"/>
  <c r="Y6036" i="2"/>
  <c r="Y6049" i="2"/>
  <c r="Y6057" i="2"/>
  <c r="AC5655" i="2"/>
  <c r="AB5623" i="2"/>
  <c r="AK5623" i="2" s="1"/>
  <c r="AC5374" i="2"/>
  <c r="Y6614" i="2"/>
  <c r="AC5551" i="2"/>
  <c r="Y5458" i="2"/>
  <c r="Y2129" i="2"/>
  <c r="Y2177" i="2"/>
  <c r="Y2197" i="2"/>
  <c r="Y2215" i="2"/>
  <c r="Y2491" i="2"/>
  <c r="Y2508" i="2"/>
  <c r="AF3346" i="2"/>
  <c r="AF3400" i="2"/>
  <c r="AF3342" i="2"/>
  <c r="AC3017" i="2"/>
  <c r="AC2945" i="2"/>
  <c r="AC2873" i="2"/>
  <c r="AC3571" i="2"/>
  <c r="AC3499" i="2"/>
  <c r="AC3494" i="2"/>
  <c r="AC3430" i="2"/>
  <c r="AC3392" i="2"/>
  <c r="AC3376" i="2"/>
  <c r="AC3328" i="2"/>
  <c r="AC3294" i="2"/>
  <c r="AC3262" i="2"/>
  <c r="AC3226" i="2"/>
  <c r="AC3152" i="2"/>
  <c r="AC3134" i="2"/>
  <c r="AC3056" i="2"/>
  <c r="AC2831" i="2"/>
  <c r="AC2923" i="2"/>
  <c r="AB3294" i="2"/>
  <c r="AK3294" i="2" s="1"/>
  <c r="AF2833" i="2"/>
  <c r="AF2841" i="2"/>
  <c r="AF2859" i="2"/>
  <c r="AC5647" i="2"/>
  <c r="AB5570" i="2"/>
  <c r="AK5570" i="2" s="1"/>
  <c r="Y5599" i="2"/>
  <c r="AB5429" i="2"/>
  <c r="AK5429" i="2" s="1"/>
  <c r="AB6614" i="2"/>
  <c r="AK6614" i="2" s="1"/>
  <c r="Y5421" i="2"/>
  <c r="AB5522" i="2"/>
  <c r="AK5522" i="2" s="1"/>
  <c r="AB5390" i="2"/>
  <c r="AK5390" i="2" s="1"/>
  <c r="AB5414" i="2"/>
  <c r="AK5414" i="2" s="1"/>
  <c r="Y5527" i="2"/>
  <c r="AB3288" i="2"/>
  <c r="AK3288" i="2" s="1"/>
  <c r="AB5499" i="2"/>
  <c r="AK5499" i="2" s="1"/>
  <c r="AB5459" i="2"/>
  <c r="AK5459" i="2" s="1"/>
  <c r="Y5631" i="2"/>
  <c r="AB5538" i="2"/>
  <c r="AK5538" i="2" s="1"/>
  <c r="Y5389" i="2"/>
  <c r="Y5495" i="2"/>
  <c r="Y5375" i="2"/>
  <c r="Y2117" i="2"/>
  <c r="Y2123" i="2"/>
  <c r="Y3272" i="2"/>
  <c r="AC427" i="2"/>
  <c r="AC477" i="2"/>
  <c r="AB4" i="2"/>
  <c r="AK4" i="2" s="1"/>
  <c r="AB248" i="2"/>
  <c r="AC248" i="2"/>
  <c r="AB949" i="2"/>
  <c r="AK949" i="2" s="1"/>
  <c r="AC949" i="2"/>
  <c r="AC132" i="2"/>
  <c r="AC25" i="2"/>
  <c r="AC352" i="2"/>
  <c r="AC324" i="2"/>
  <c r="AK767" i="2"/>
  <c r="R19" i="3"/>
  <c r="T19" i="3" s="1"/>
  <c r="U19" i="3" s="1"/>
  <c r="V19" i="3" s="1"/>
  <c r="AB857" i="2"/>
  <c r="AK857" i="2" s="1"/>
  <c r="AC857" i="2"/>
  <c r="AC185" i="2"/>
  <c r="AC179" i="2"/>
  <c r="AC89" i="2"/>
  <c r="AC109" i="2"/>
  <c r="AC187" i="2"/>
  <c r="AC366" i="2"/>
  <c r="AC499" i="2"/>
  <c r="AC1476" i="2"/>
  <c r="AC1065" i="2"/>
  <c r="AC773" i="2"/>
  <c r="AC391" i="2"/>
  <c r="AC299" i="2"/>
  <c r="AC401" i="2"/>
  <c r="AC1544" i="2"/>
  <c r="AC1416" i="2"/>
  <c r="AC473" i="2"/>
  <c r="AC1500" i="2"/>
  <c r="AC1021" i="2"/>
  <c r="AC561" i="2"/>
  <c r="AC1532" i="2"/>
  <c r="AC2450" i="2"/>
  <c r="AC1548" i="2"/>
  <c r="AC1454" i="2"/>
  <c r="AC547" i="2"/>
  <c r="AC1279" i="2"/>
  <c r="AC2585" i="2"/>
  <c r="AC2681" i="2"/>
  <c r="AC2685" i="2"/>
  <c r="AC2" i="2"/>
  <c r="AC1546" i="2"/>
  <c r="AC1402" i="2"/>
  <c r="AC2464" i="2"/>
  <c r="AC314" i="2"/>
  <c r="AB2704" i="2"/>
  <c r="AK2704" i="2" s="1"/>
  <c r="AB2664" i="2"/>
  <c r="AK2664" i="2" s="1"/>
  <c r="AB2587" i="2"/>
  <c r="AK2587" i="2" s="1"/>
  <c r="Y2472" i="2"/>
  <c r="Y2444" i="2"/>
  <c r="Y2548" i="2"/>
  <c r="AB1055" i="2"/>
  <c r="AK1055" i="2" s="1"/>
  <c r="Y1768" i="2"/>
  <c r="Y1488" i="2"/>
  <c r="Y1968" i="2"/>
  <c r="AB559" i="2"/>
  <c r="AK559" i="2" s="1"/>
  <c r="AB75" i="2"/>
  <c r="AK75" i="2" s="1"/>
  <c r="AC75" i="2"/>
  <c r="AB565" i="2"/>
  <c r="AK565" i="2" s="1"/>
  <c r="AC565" i="2"/>
  <c r="AB1061" i="2"/>
  <c r="AK1061" i="2" s="1"/>
  <c r="AC1061" i="2"/>
  <c r="AB485" i="2"/>
  <c r="AK485" i="2" s="1"/>
  <c r="AC485" i="2"/>
  <c r="AB537" i="2"/>
  <c r="AK537" i="2" s="1"/>
  <c r="AC537" i="2"/>
  <c r="AB1023" i="2"/>
  <c r="AK1023" i="2" s="1"/>
  <c r="AC1023" i="2"/>
  <c r="AB1039" i="2"/>
  <c r="AK1039" i="2" s="1"/>
  <c r="AC1039" i="2"/>
  <c r="AB1408" i="2"/>
  <c r="AK1408" i="2" s="1"/>
  <c r="AC1408" i="2"/>
  <c r="AB1418" i="2"/>
  <c r="AK1418" i="2" s="1"/>
  <c r="AC1418" i="2"/>
  <c r="AB1440" i="2"/>
  <c r="AK1440" i="2" s="1"/>
  <c r="AC1440" i="2"/>
  <c r="AB1464" i="2"/>
  <c r="AK1464" i="2" s="1"/>
  <c r="AC1464" i="2"/>
  <c r="AC1478" i="2"/>
  <c r="AB1478" i="2"/>
  <c r="AK1478" i="2" s="1"/>
  <c r="AB1484" i="2"/>
  <c r="AK1484" i="2" s="1"/>
  <c r="AC1484" i="2"/>
  <c r="AB1502" i="2"/>
  <c r="AK1502" i="2" s="1"/>
  <c r="AC1502" i="2"/>
  <c r="AB1520" i="2"/>
  <c r="AK1520" i="2" s="1"/>
  <c r="AC1520" i="2"/>
  <c r="AB1522" i="2"/>
  <c r="AK1522" i="2" s="1"/>
  <c r="AC1522" i="2"/>
  <c r="AB1554" i="2"/>
  <c r="AK1554" i="2" s="1"/>
  <c r="AC1554" i="2"/>
  <c r="AB1615" i="2"/>
  <c r="AK1615" i="2" s="1"/>
  <c r="AC1615" i="2"/>
  <c r="Y1700" i="2"/>
  <c r="AB1700" i="2"/>
  <c r="AK1700" i="2" s="1"/>
  <c r="Y1714" i="2"/>
  <c r="AC1714" i="2"/>
  <c r="AB1720" i="2"/>
  <c r="AK1720" i="2" s="1"/>
  <c r="Y1720" i="2"/>
  <c r="AB1722" i="2"/>
  <c r="AK1722" i="2" s="1"/>
  <c r="Y1722" i="2"/>
  <c r="Y1746" i="2"/>
  <c r="AC1746" i="2"/>
  <c r="Y1750" i="2"/>
  <c r="AC1750" i="2"/>
  <c r="Y1760" i="2"/>
  <c r="AB1760" i="2"/>
  <c r="AK1760" i="2" s="1"/>
  <c r="AB1776" i="2"/>
  <c r="AK1776" i="2" s="1"/>
  <c r="AC1776" i="2"/>
  <c r="AF1964" i="2"/>
  <c r="Y1964" i="2"/>
  <c r="AF2018" i="2"/>
  <c r="Y2018" i="2"/>
  <c r="AC2341" i="2"/>
  <c r="Y2341" i="2"/>
  <c r="AC2355" i="2"/>
  <c r="Y2355" i="2"/>
  <c r="AB2456" i="2"/>
  <c r="AK2456" i="2" s="1"/>
  <c r="AC2456" i="2"/>
  <c r="AB2470" i="2"/>
  <c r="AK2470" i="2" s="1"/>
  <c r="AC2470" i="2"/>
  <c r="Y2532" i="2"/>
  <c r="AF2532" i="2"/>
  <c r="AB2616" i="2"/>
  <c r="AK2616" i="2" s="1"/>
  <c r="Y2616" i="2"/>
  <c r="AC2656" i="2"/>
  <c r="Y2656" i="2"/>
  <c r="AB2728" i="2"/>
  <c r="AK2728" i="2" s="1"/>
  <c r="V2728" i="2"/>
  <c r="AD2728" i="2" s="1"/>
  <c r="AB1027" i="2"/>
  <c r="AK1027" i="2" s="1"/>
  <c r="AB399" i="2"/>
  <c r="AK399" i="2" s="1"/>
  <c r="AB1752" i="2"/>
  <c r="AK1752" i="2" s="1"/>
  <c r="Y1249" i="2"/>
  <c r="AB171" i="2"/>
  <c r="AK171" i="2" s="1"/>
  <c r="AC171" i="2"/>
  <c r="AB804" i="2"/>
  <c r="AK804" i="2" s="1"/>
  <c r="AC804" i="2"/>
  <c r="AB18" i="2"/>
  <c r="AK18" i="2" s="1"/>
  <c r="AC18" i="2"/>
  <c r="AK393" i="2"/>
  <c r="AC393" i="2"/>
  <c r="AC308" i="2"/>
  <c r="AC467" i="2"/>
  <c r="AC130" i="2"/>
  <c r="AC397" i="2"/>
  <c r="AC509" i="2"/>
  <c r="AC527" i="2"/>
  <c r="AC435" i="2"/>
  <c r="AC1017" i="2"/>
  <c r="AC543" i="2"/>
  <c r="AC1013" i="2"/>
  <c r="AC1504" i="2"/>
  <c r="AC177" i="2"/>
  <c r="AC186" i="2"/>
  <c r="AC24" i="2"/>
  <c r="AC71" i="2"/>
  <c r="AC463" i="2"/>
  <c r="AC312" i="2"/>
  <c r="AC377" i="2"/>
  <c r="AC413" i="2"/>
  <c r="AC363" i="2"/>
  <c r="AC381" i="2"/>
  <c r="AC403" i="2"/>
  <c r="AC471" i="2"/>
  <c r="AC1281" i="2"/>
  <c r="AC521" i="2"/>
  <c r="AC166" i="2"/>
  <c r="AC1490" i="2"/>
  <c r="AC1466" i="2"/>
  <c r="AC519" i="2"/>
  <c r="AC193" i="2"/>
  <c r="AC263" i="2"/>
  <c r="AC487" i="2"/>
  <c r="AC419" i="2"/>
  <c r="AC9" i="2"/>
  <c r="AC411" i="2"/>
  <c r="AC2452" i="2"/>
  <c r="AC1576" i="2"/>
  <c r="AC1436" i="2"/>
  <c r="AC515" i="2"/>
  <c r="AC351" i="2"/>
  <c r="AC1277" i="2"/>
  <c r="AC539" i="2"/>
  <c r="AC253" i="2"/>
  <c r="AC1578" i="2"/>
  <c r="AC1530" i="2"/>
  <c r="AC1424" i="2"/>
  <c r="AC1768" i="2"/>
  <c r="AC2512" i="2"/>
  <c r="AC1025" i="2"/>
  <c r="AC2430" i="2"/>
  <c r="AC2689" i="2"/>
  <c r="AC1609" i="2"/>
  <c r="AC1494" i="2"/>
  <c r="AC569" i="2"/>
  <c r="AB2645" i="2"/>
  <c r="AK2645" i="2" s="1"/>
  <c r="AB2518" i="2"/>
  <c r="AK2518" i="2" s="1"/>
  <c r="Y2464" i="2"/>
  <c r="AB375" i="2"/>
  <c r="AK375" i="2" s="1"/>
  <c r="Y2357" i="2"/>
  <c r="AB1746" i="2"/>
  <c r="AK1746" i="2" s="1"/>
  <c r="AB1570" i="2"/>
  <c r="AK1570" i="2" s="1"/>
  <c r="AC2357" i="2"/>
  <c r="AC23" i="2"/>
  <c r="AC350" i="2"/>
  <c r="AC386" i="2"/>
  <c r="AB261" i="2"/>
  <c r="AK261" i="2" s="1"/>
  <c r="AC261" i="2"/>
  <c r="AC316" i="2"/>
  <c r="AC353" i="2"/>
  <c r="AC380" i="2"/>
  <c r="AC58" i="2"/>
  <c r="AC113" i="2"/>
  <c r="AC44" i="2"/>
  <c r="AC111" i="2"/>
  <c r="AC54" i="2"/>
  <c r="AC453" i="2"/>
  <c r="AC355" i="2"/>
  <c r="AC371" i="2"/>
  <c r="AC461" i="2"/>
  <c r="AC511" i="2"/>
  <c r="AC334" i="2"/>
  <c r="AC32" i="2"/>
  <c r="AC19" i="2"/>
  <c r="AC345" i="2"/>
  <c r="AC415" i="2"/>
  <c r="AC1460" i="2"/>
  <c r="AC1406" i="2"/>
  <c r="AC1446" i="2"/>
  <c r="AC1568" i="2"/>
  <c r="AC1428" i="2"/>
  <c r="AC1410" i="2"/>
  <c r="AC1574" i="2"/>
  <c r="AC1033" i="2"/>
  <c r="AC531" i="2"/>
  <c r="AC1542" i="2"/>
  <c r="AC1019" i="2"/>
  <c r="AC551" i="2"/>
  <c r="AC845" i="2"/>
  <c r="AC1031" i="2"/>
  <c r="AC1726" i="2"/>
  <c r="AC1605" i="2"/>
  <c r="AC1486" i="2"/>
  <c r="AC563" i="2"/>
  <c r="AC2645" i="2"/>
  <c r="AC409" i="2"/>
  <c r="Y2681" i="2"/>
  <c r="AB2516" i="2"/>
  <c r="AK2516" i="2" s="1"/>
  <c r="Y2530" i="2"/>
  <c r="AB126" i="2"/>
  <c r="AK126" i="2" s="1"/>
  <c r="AB2355" i="2"/>
  <c r="AK2355" i="2" s="1"/>
  <c r="Y1778" i="2"/>
  <c r="Y1736" i="2"/>
  <c r="AK2353" i="2"/>
  <c r="AC63" i="2"/>
  <c r="AB63" i="2"/>
  <c r="AK63" i="2" s="1"/>
  <c r="AB135" i="2"/>
  <c r="AK135" i="2" s="1"/>
  <c r="AC135" i="2"/>
  <c r="AC902" i="2"/>
  <c r="AC488" i="2"/>
  <c r="AC936" i="2"/>
  <c r="AC912" i="2"/>
  <c r="AC850" i="2"/>
  <c r="AC842" i="2"/>
  <c r="AC860" i="2"/>
  <c r="AC1390" i="2"/>
  <c r="AC1784" i="2"/>
  <c r="Y1126" i="2"/>
  <c r="Y710" i="2"/>
  <c r="Y966" i="2"/>
  <c r="AC2127" i="2"/>
  <c r="Y1838" i="2"/>
  <c r="Y1788" i="2"/>
  <c r="AB1788" i="2"/>
  <c r="AK1788" i="2" s="1"/>
  <c r="AB1870" i="2"/>
  <c r="AK1870" i="2" s="1"/>
  <c r="Y1870" i="2"/>
  <c r="Y1938" i="2"/>
  <c r="AB1938" i="2"/>
  <c r="AK1938" i="2" s="1"/>
  <c r="AB2006" i="2"/>
  <c r="AK2006" i="2" s="1"/>
  <c r="Y2006" i="2"/>
  <c r="AH2763" i="2"/>
  <c r="AF2763" i="2"/>
  <c r="AB2782" i="2"/>
  <c r="AK2782" i="2" s="1"/>
  <c r="AC2782" i="2"/>
  <c r="AB2836" i="2"/>
  <c r="AK2836" i="2" s="1"/>
  <c r="AC2836" i="2"/>
  <c r="AB2844" i="2"/>
  <c r="AC2844" i="2"/>
  <c r="AK2870" i="2"/>
  <c r="AC2870" i="2"/>
  <c r="AB2902" i="2"/>
  <c r="AC2902" i="2"/>
  <c r="AB2934" i="2"/>
  <c r="AC2934" i="2"/>
  <c r="AB2942" i="2"/>
  <c r="AC2942" i="2"/>
  <c r="AB2950" i="2"/>
  <c r="AK2950" i="2" s="1"/>
  <c r="AC2950" i="2"/>
  <c r="AB2966" i="2"/>
  <c r="AK2966" i="2" s="1"/>
  <c r="AC2966" i="2"/>
  <c r="AB2974" i="2"/>
  <c r="AK2974" i="2" s="1"/>
  <c r="AC2974" i="2"/>
  <c r="AB2990" i="2"/>
  <c r="AK2990" i="2" s="1"/>
  <c r="AC2990" i="2"/>
  <c r="AB2091" i="2"/>
  <c r="AK2091" i="2" s="1"/>
  <c r="AC2091" i="2"/>
  <c r="AF2787" i="2"/>
  <c r="AC3092" i="2"/>
  <c r="AB3102" i="2"/>
  <c r="AK3102" i="2" s="1"/>
  <c r="AB3842" i="2"/>
  <c r="AK3842" i="2" s="1"/>
  <c r="Y3773" i="2"/>
  <c r="Y3589" i="2"/>
  <c r="Y66" i="2"/>
  <c r="Y1181" i="2"/>
  <c r="Y1221" i="2"/>
  <c r="Y2570" i="2"/>
  <c r="R49" i="3"/>
  <c r="T49" i="3" s="1"/>
  <c r="U49" i="3" s="1"/>
  <c r="V49" i="3" s="1"/>
  <c r="AF3392" i="2"/>
  <c r="AF3332" i="2"/>
  <c r="AF3310" i="2"/>
  <c r="AF3925" i="2"/>
  <c r="AF3318" i="2"/>
  <c r="AF3380" i="2"/>
  <c r="AF3808" i="2"/>
  <c r="AC3821" i="2"/>
  <c r="AC3757" i="2"/>
  <c r="AC3693" i="2"/>
  <c r="AC3568" i="2"/>
  <c r="AC3440" i="2"/>
  <c r="AC3507" i="2"/>
  <c r="AC3443" i="2"/>
  <c r="AC3090" i="2"/>
  <c r="AC3074" i="2"/>
  <c r="AC3058" i="2"/>
  <c r="AC2803" i="2"/>
  <c r="AC2904" i="2"/>
  <c r="AC2772" i="2"/>
  <c r="AC2901" i="2"/>
  <c r="AC2920" i="2"/>
  <c r="AC2936" i="2"/>
  <c r="AC2883" i="2"/>
  <c r="Y3096" i="2"/>
  <c r="Y3669" i="2"/>
  <c r="Y3568" i="2"/>
  <c r="AB2998" i="2"/>
  <c r="AK2998" i="2" s="1"/>
  <c r="AC2998" i="2"/>
  <c r="AH3348" i="2"/>
  <c r="Y3348" i="2"/>
  <c r="AB3523" i="2"/>
  <c r="AK3523" i="2" s="1"/>
  <c r="Y3523" i="2"/>
  <c r="AB3629" i="2"/>
  <c r="AK3629" i="2" s="1"/>
  <c r="Y3629" i="2"/>
  <c r="AK3685" i="2"/>
  <c r="Y3685" i="2"/>
  <c r="AB3709" i="2"/>
  <c r="AK3709" i="2" s="1"/>
  <c r="Y3709" i="2"/>
  <c r="AK3765" i="2"/>
  <c r="Y3765" i="2"/>
  <c r="AB3834" i="2"/>
  <c r="AK3834" i="2" s="1"/>
  <c r="Y3834" i="2"/>
  <c r="AB3882" i="2"/>
  <c r="AK3882" i="2" s="1"/>
  <c r="Y3882" i="2"/>
  <c r="AB3906" i="2"/>
  <c r="AK3906" i="2" s="1"/>
  <c r="Y3906" i="2"/>
  <c r="AC3006" i="2"/>
  <c r="AB2809" i="2"/>
  <c r="AK2809" i="2" s="1"/>
  <c r="AC2809" i="2"/>
  <c r="AF2839" i="2"/>
  <c r="AB2915" i="2"/>
  <c r="AK2915" i="2" s="1"/>
  <c r="AC2915" i="2"/>
  <c r="AB3409" i="2"/>
  <c r="AK3409" i="2" s="1"/>
  <c r="Y3409" i="2"/>
  <c r="AB3411" i="2"/>
  <c r="AK3411" i="2" s="1"/>
  <c r="Y3411" i="2"/>
  <c r="AC3557" i="2"/>
  <c r="AB3557" i="2"/>
  <c r="AK3557" i="2" s="1"/>
  <c r="AC3132" i="2"/>
  <c r="AC3084" i="2"/>
  <c r="AC3068" i="2"/>
  <c r="AC3052" i="2"/>
  <c r="AC2817" i="2"/>
  <c r="AF3308" i="2"/>
  <c r="AB3866" i="2"/>
  <c r="AK3866" i="2" s="1"/>
  <c r="Y3813" i="2"/>
  <c r="Y3425" i="2"/>
  <c r="AB2944" i="2"/>
  <c r="AK2944" i="2" s="1"/>
  <c r="AC2944" i="2"/>
  <c r="AC3082" i="2"/>
  <c r="Y3922" i="2"/>
  <c r="Y3858" i="2"/>
  <c r="Y3805" i="2"/>
  <c r="Y3725" i="2"/>
  <c r="AC3080" i="2"/>
  <c r="AC3064" i="2"/>
  <c r="AC2793" i="2"/>
  <c r="Y3914" i="2"/>
  <c r="AB3797" i="2"/>
  <c r="AK3797" i="2" s="1"/>
  <c r="AC3167" i="2"/>
  <c r="AB3249" i="2"/>
  <c r="AK3249" i="2" s="1"/>
  <c r="Y3189" i="2"/>
  <c r="Y3911" i="2"/>
  <c r="Y4610" i="2"/>
  <c r="Y4526" i="2"/>
  <c r="Y4407" i="2"/>
  <c r="Y4360" i="2"/>
  <c r="Y4233" i="2"/>
  <c r="Y4201" i="2"/>
  <c r="Y4169" i="2"/>
  <c r="Y4092" i="2"/>
  <c r="Y4018" i="2"/>
  <c r="Y3946" i="2"/>
  <c r="Y5181" i="2"/>
  <c r="Y5173" i="2"/>
  <c r="Y5011" i="2"/>
  <c r="Y5003" i="2"/>
  <c r="Y4948" i="2"/>
  <c r="Y4940" i="2"/>
  <c r="Y4928" i="2"/>
  <c r="Y4775" i="2"/>
  <c r="Y4751" i="2"/>
  <c r="Y4719" i="2"/>
  <c r="Y4709" i="2"/>
  <c r="Y3237" i="2"/>
  <c r="AB3185" i="2"/>
  <c r="AK3185" i="2" s="1"/>
  <c r="Y3978" i="2"/>
  <c r="Y4663" i="2"/>
  <c r="Y4655" i="2"/>
  <c r="AH4697" i="2"/>
  <c r="Y4697" i="2"/>
  <c r="AH4699" i="2"/>
  <c r="Y4699" i="2"/>
  <c r="AH4705" i="2"/>
  <c r="Y4705" i="2"/>
  <c r="AH4707" i="2"/>
  <c r="Y4707" i="2"/>
  <c r="AH4713" i="2"/>
  <c r="Y4713" i="2"/>
  <c r="AH4715" i="2"/>
  <c r="Y4715" i="2"/>
  <c r="AH4721" i="2"/>
  <c r="Y4721" i="2"/>
  <c r="AH4723" i="2"/>
  <c r="Y4723" i="2"/>
  <c r="AH4729" i="2"/>
  <c r="Y4729" i="2"/>
  <c r="AH4737" i="2"/>
  <c r="Y4737" i="2"/>
  <c r="AH4739" i="2"/>
  <c r="Y4739" i="2"/>
  <c r="AH4745" i="2"/>
  <c r="Y4745" i="2"/>
  <c r="AH4747" i="2"/>
  <c r="Y4747" i="2"/>
  <c r="AH4753" i="2"/>
  <c r="Y4753" i="2"/>
  <c r="AH4761" i="2"/>
  <c r="Y4761" i="2"/>
  <c r="AH4769" i="2"/>
  <c r="Y4769" i="2"/>
  <c r="AH4773" i="2"/>
  <c r="Y4773" i="2"/>
  <c r="AF4932" i="2"/>
  <c r="Y4932" i="2"/>
  <c r="AF4934" i="2"/>
  <c r="Y4934" i="2"/>
  <c r="Y3207" i="2"/>
  <c r="Y3141" i="2"/>
  <c r="Y3972" i="2"/>
  <c r="Y4145" i="2"/>
  <c r="Y5183" i="2"/>
  <c r="Y5175" i="2"/>
  <c r="Y5013" i="2"/>
  <c r="Y5005" i="2"/>
  <c r="Y4950" i="2"/>
  <c r="Y4942" i="2"/>
  <c r="Y4930" i="2"/>
  <c r="Y4765" i="2"/>
  <c r="Y4743" i="2"/>
  <c r="Y4733" i="2"/>
  <c r="Y4711" i="2"/>
  <c r="Y4701" i="2"/>
  <c r="Y7549" i="2"/>
  <c r="Y7842" i="2"/>
  <c r="Y7850" i="2"/>
  <c r="AF7853" i="2"/>
  <c r="Y7882" i="2"/>
  <c r="Y4433" i="2"/>
  <c r="Y4441" i="2"/>
  <c r="Y4457" i="2"/>
  <c r="Y4473" i="2"/>
  <c r="Y4481" i="2"/>
  <c r="Y4489" i="2"/>
  <c r="Y4497" i="2"/>
  <c r="AF4500" i="2"/>
  <c r="Y4505" i="2"/>
  <c r="Y4512" i="2"/>
  <c r="Y4520" i="2"/>
  <c r="Y4528" i="2"/>
  <c r="Y4536" i="2"/>
  <c r="Y4549" i="2"/>
  <c r="Y4554" i="2"/>
  <c r="Y4575" i="2"/>
  <c r="AF4591" i="2"/>
  <c r="Y4596" i="2"/>
  <c r="Y4604" i="2"/>
  <c r="Y4612" i="2"/>
  <c r="Y4620" i="2"/>
  <c r="Y4636" i="2"/>
  <c r="Y4644" i="2"/>
  <c r="Y4649" i="2"/>
  <c r="AF4652" i="2"/>
  <c r="Y4684" i="2"/>
  <c r="AF5509" i="2"/>
  <c r="AF5634" i="2"/>
  <c r="Y5647" i="2"/>
  <c r="AF5674" i="2"/>
  <c r="AF5706" i="2"/>
  <c r="Y5711" i="2"/>
  <c r="Y5810" i="2"/>
  <c r="AC5711" i="2"/>
  <c r="AC5639" i="2"/>
  <c r="Y5583" i="2"/>
  <c r="AB5519" i="2"/>
  <c r="AK5519" i="2" s="1"/>
  <c r="Y6077" i="2"/>
  <c r="Y6062" i="2"/>
  <c r="AB5839" i="2"/>
  <c r="AK5839" i="2" s="1"/>
  <c r="AB5807" i="2"/>
  <c r="AK5807" i="2" s="1"/>
  <c r="AB5787" i="2"/>
  <c r="AK5787" i="2" s="1"/>
  <c r="Y5759" i="2"/>
  <c r="Y5719" i="2"/>
  <c r="AB5703" i="2"/>
  <c r="AK5703" i="2" s="1"/>
  <c r="AC5511" i="2"/>
  <c r="AB6033" i="2"/>
  <c r="AK6033" i="2" s="1"/>
  <c r="AA5863" i="2"/>
  <c r="AB5863" i="2" s="1"/>
  <c r="AK5863" i="2" s="1"/>
  <c r="Y5373" i="2"/>
  <c r="Y6025" i="2"/>
  <c r="AC5700" i="2"/>
  <c r="AC5676" i="2"/>
  <c r="AB5471" i="2"/>
  <c r="AK5471" i="2" s="1"/>
  <c r="Y6017" i="2"/>
  <c r="Y5951" i="2"/>
  <c r="Y5935" i="2"/>
  <c r="Y5919" i="2"/>
  <c r="Y5903" i="2"/>
  <c r="AB5887" i="2"/>
  <c r="AK5887" i="2" s="1"/>
  <c r="Y5740" i="2"/>
  <c r="Y5700" i="2"/>
  <c r="Y5652" i="2"/>
  <c r="AC5455" i="2"/>
  <c r="Y6009" i="2"/>
  <c r="AB5959" i="2"/>
  <c r="AK5959" i="2" s="1"/>
  <c r="AB5850" i="2"/>
  <c r="AK5850" i="2" s="1"/>
  <c r="AC5382" i="2"/>
  <c r="AB6001" i="2"/>
  <c r="AK6001" i="2" s="1"/>
  <c r="Y5797" i="2"/>
  <c r="AB5466" i="2"/>
  <c r="AK5466" i="2" s="1"/>
  <c r="Y5575" i="2"/>
  <c r="Y5983" i="2"/>
  <c r="Y5866" i="2"/>
  <c r="Y5794" i="2"/>
  <c r="AC5767" i="2"/>
  <c r="AB5583" i="2"/>
  <c r="AK5583" i="2" s="1"/>
  <c r="AB6077" i="2"/>
  <c r="AK6077" i="2" s="1"/>
  <c r="AB6062" i="2"/>
  <c r="AK6062" i="2" s="1"/>
  <c r="Y5834" i="2"/>
  <c r="Y5802" i="2"/>
  <c r="Y5782" i="2"/>
  <c r="AB5759" i="2"/>
  <c r="AK5759" i="2" s="1"/>
  <c r="Y5743" i="2"/>
  <c r="Y5687" i="2"/>
  <c r="Y5463" i="2"/>
  <c r="AC5831" i="2"/>
  <c r="Y5567" i="2"/>
  <c r="AB5373" i="2"/>
  <c r="AK5373" i="2" s="1"/>
  <c r="AB6025" i="2"/>
  <c r="AK6025" i="2" s="1"/>
  <c r="Y5975" i="2"/>
  <c r="Y5863" i="2"/>
  <c r="AC5764" i="2"/>
  <c r="Y5967" i="2"/>
  <c r="AB5951" i="2"/>
  <c r="AK5951" i="2" s="1"/>
  <c r="AB5919" i="2"/>
  <c r="AK5919" i="2" s="1"/>
  <c r="AB5740" i="2"/>
  <c r="AK5740" i="2" s="1"/>
  <c r="AB6009" i="2"/>
  <c r="AK6009" i="2" s="1"/>
  <c r="Y5818" i="2"/>
  <c r="Y5964" i="2"/>
  <c r="Y5908" i="2"/>
  <c r="Y5892" i="2"/>
  <c r="AB5797" i="2"/>
  <c r="AK5797" i="2" s="1"/>
  <c r="AC5413" i="2"/>
  <c r="Y5562" i="2"/>
  <c r="AF5711" i="2"/>
  <c r="Y3545" i="2"/>
  <c r="AB5866" i="2"/>
  <c r="AK5866" i="2" s="1"/>
  <c r="AB5794" i="2"/>
  <c r="AK5794" i="2" s="1"/>
  <c r="AC5615" i="2"/>
  <c r="AB5834" i="2"/>
  <c r="AK5834" i="2" s="1"/>
  <c r="AB5802" i="2"/>
  <c r="AK5802" i="2" s="1"/>
  <c r="AB5782" i="2"/>
  <c r="AK5782" i="2" s="1"/>
  <c r="AB5687" i="2"/>
  <c r="AK5687" i="2" s="1"/>
  <c r="Y6054" i="2"/>
  <c r="AC5567" i="2"/>
  <c r="Y5426" i="2"/>
  <c r="Y5831" i="2"/>
  <c r="Y5551" i="2"/>
  <c r="Y5732" i="2"/>
  <c r="Y5692" i="2"/>
  <c r="AB5636" i="2"/>
  <c r="AK5636" i="2" s="1"/>
  <c r="AB5818" i="2"/>
  <c r="AK5818" i="2" s="1"/>
  <c r="Y5479" i="2"/>
  <c r="Y5956" i="2"/>
  <c r="Y5940" i="2"/>
  <c r="Y5924" i="2"/>
  <c r="AB5908" i="2"/>
  <c r="AK5908" i="2" s="1"/>
  <c r="AC5892" i="2"/>
  <c r="Y5535" i="2"/>
  <c r="AC5562" i="2"/>
  <c r="Y5655" i="2"/>
  <c r="AF5810" i="2"/>
  <c r="AF5407" i="2"/>
  <c r="Y3322" i="2"/>
  <c r="Y3334" i="2"/>
  <c r="Y3624" i="2"/>
  <c r="Y3656" i="2"/>
  <c r="Y3800" i="2"/>
  <c r="Y3837" i="2"/>
  <c r="AC5751" i="2"/>
  <c r="Y5402" i="2"/>
  <c r="Y5779" i="2"/>
  <c r="Y5607" i="2"/>
  <c r="Y5429" i="2"/>
  <c r="AB5426" i="2"/>
  <c r="AK5426" i="2" s="1"/>
  <c r="AC5716" i="2"/>
  <c r="AC5692" i="2"/>
  <c r="Y5628" i="2"/>
  <c r="Y5474" i="2"/>
  <c r="AB5479" i="2"/>
  <c r="AK5479" i="2" s="1"/>
  <c r="Y5847" i="2"/>
  <c r="Y5815" i="2"/>
  <c r="AF5647" i="2"/>
  <c r="AB5506" i="2"/>
  <c r="AK5506" i="2" s="1"/>
  <c r="AC163" i="2"/>
  <c r="AC200" i="2"/>
  <c r="AC294" i="2"/>
  <c r="AC731" i="2"/>
  <c r="AC1209" i="2"/>
  <c r="AC1193" i="2"/>
  <c r="AC1083" i="2"/>
  <c r="AC266" i="2"/>
  <c r="AC149" i="2"/>
  <c r="AC1050" i="2"/>
  <c r="AC1060" i="2"/>
  <c r="AC1298" i="2"/>
  <c r="AA1219" i="2"/>
  <c r="AB1219" i="2" s="1"/>
  <c r="AK1219" i="2" s="1"/>
  <c r="AC1664" i="2"/>
  <c r="AC564" i="2"/>
  <c r="AC53" i="2"/>
  <c r="Y1228" i="2"/>
  <c r="Y1138" i="2"/>
  <c r="Y1891" i="2"/>
  <c r="AB1879" i="2"/>
  <c r="AK1879" i="2" s="1"/>
  <c r="Y1853" i="2"/>
  <c r="AB1841" i="2"/>
  <c r="AK1841" i="2" s="1"/>
  <c r="Y1827" i="2"/>
  <c r="AB1815" i="2"/>
  <c r="AK1815" i="2" s="1"/>
  <c r="Y1789" i="2"/>
  <c r="AB1674" i="2"/>
  <c r="AK1674" i="2" s="1"/>
  <c r="AB1292" i="2"/>
  <c r="AK1292" i="2" s="1"/>
  <c r="Y1266" i="2"/>
  <c r="Y1368" i="2"/>
  <c r="Y2684" i="2"/>
  <c r="AB167" i="2"/>
  <c r="AK167" i="2" s="1"/>
  <c r="AC167" i="2"/>
  <c r="Y85" i="2"/>
  <c r="AC209" i="2"/>
  <c r="AC194" i="2"/>
  <c r="AC280" i="2"/>
  <c r="AC139" i="2"/>
  <c r="AC159" i="2"/>
  <c r="AC1815" i="2"/>
  <c r="AC1951" i="2"/>
  <c r="AC1058" i="2"/>
  <c r="AC1308" i="2"/>
  <c r="AC141" i="2"/>
  <c r="Y1226" i="2"/>
  <c r="Y1192" i="2"/>
  <c r="AB188" i="2"/>
  <c r="AK188" i="2" s="1"/>
  <c r="Y1977" i="2"/>
  <c r="AB1953" i="2"/>
  <c r="AK1953" i="2" s="1"/>
  <c r="Y1939" i="2"/>
  <c r="Y1901" i="2"/>
  <c r="Y1875" i="2"/>
  <c r="Y1837" i="2"/>
  <c r="Y1811" i="2"/>
  <c r="AB1799" i="2"/>
  <c r="AK1799" i="2" s="1"/>
  <c r="Y758" i="2"/>
  <c r="AB2578" i="2"/>
  <c r="AK2578" i="2" s="1"/>
  <c r="Y2423" i="2"/>
  <c r="AB1048" i="2"/>
  <c r="AK1048" i="2" s="1"/>
  <c r="AB57" i="2"/>
  <c r="AK57" i="2" s="1"/>
  <c r="AC57" i="2"/>
  <c r="AC245" i="2"/>
  <c r="AB245" i="2"/>
  <c r="AK245" i="2" s="1"/>
  <c r="AF632" i="2"/>
  <c r="Y632" i="2"/>
  <c r="AF688" i="2"/>
  <c r="Y688" i="2"/>
  <c r="AB1064" i="2"/>
  <c r="AK1064" i="2" s="1"/>
  <c r="AC1064" i="2"/>
  <c r="AF1116" i="2"/>
  <c r="Y1116" i="2"/>
  <c r="AF1122" i="2"/>
  <c r="Y1122" i="2"/>
  <c r="AF1130" i="2"/>
  <c r="Y1130" i="2"/>
  <c r="AF1134" i="2"/>
  <c r="Y1134" i="2"/>
  <c r="AF1146" i="2"/>
  <c r="Y1146" i="2"/>
  <c r="AF1154" i="2"/>
  <c r="Y1154" i="2"/>
  <c r="AF1196" i="2"/>
  <c r="Y1196" i="2"/>
  <c r="AF1208" i="2"/>
  <c r="Y1208" i="2"/>
  <c r="AF1218" i="2"/>
  <c r="Y1218" i="2"/>
  <c r="AB1240" i="2"/>
  <c r="AK1240" i="2" s="1"/>
  <c r="AC1240" i="2"/>
  <c r="AB1250" i="2"/>
  <c r="AK1250" i="2" s="1"/>
  <c r="AC1250" i="2"/>
  <c r="AF1262" i="2"/>
  <c r="Y1262" i="2"/>
  <c r="AC1276" i="2"/>
  <c r="AB1276" i="2"/>
  <c r="AK1276" i="2" s="1"/>
  <c r="AC1294" i="2"/>
  <c r="AB1294" i="2"/>
  <c r="AK1294" i="2" s="1"/>
  <c r="AB1302" i="2"/>
  <c r="AK1302" i="2" s="1"/>
  <c r="AC1302" i="2"/>
  <c r="AF1314" i="2"/>
  <c r="Y1314" i="2"/>
  <c r="AF1340" i="2"/>
  <c r="Y1340" i="2"/>
  <c r="AF1352" i="2"/>
  <c r="Y1352" i="2"/>
  <c r="AB1638" i="2"/>
  <c r="AK1638" i="2" s="1"/>
  <c r="AC1638" i="2"/>
  <c r="AC1640" i="2"/>
  <c r="AB1640" i="2"/>
  <c r="AK1640" i="2" s="1"/>
  <c r="AC1670" i="2"/>
  <c r="AB1670" i="2"/>
  <c r="AK1670" i="2" s="1"/>
  <c r="Y1807" i="2"/>
  <c r="AC1807" i="2"/>
  <c r="Y1823" i="2"/>
  <c r="AC1823" i="2"/>
  <c r="Y1863" i="2"/>
  <c r="AC1863" i="2"/>
  <c r="Y1927" i="2"/>
  <c r="AC1927" i="2"/>
  <c r="AA2037" i="2"/>
  <c r="AB2037" i="2" s="1"/>
  <c r="AK2037" i="2" s="1"/>
  <c r="AC2037" i="2"/>
  <c r="Y2483" i="2"/>
  <c r="AF2483" i="2"/>
  <c r="AB2498" i="2"/>
  <c r="AK2498" i="2" s="1"/>
  <c r="AC2498" i="2"/>
  <c r="AB2533" i="2"/>
  <c r="AK2533" i="2" s="1"/>
  <c r="AC2533" i="2"/>
  <c r="AB2547" i="2"/>
  <c r="AK2547" i="2" s="1"/>
  <c r="AC2547" i="2"/>
  <c r="AB2549" i="2"/>
  <c r="AK2549" i="2" s="1"/>
  <c r="AC2549" i="2"/>
  <c r="Y2563" i="2"/>
  <c r="AF2563" i="2"/>
  <c r="Y2571" i="2"/>
  <c r="AF2571" i="2"/>
  <c r="AB2588" i="2"/>
  <c r="AK2588" i="2" s="1"/>
  <c r="AC2588" i="2"/>
  <c r="AB2590" i="2"/>
  <c r="AK2590" i="2" s="1"/>
  <c r="AC2590" i="2"/>
  <c r="AB2594" i="2"/>
  <c r="AK2594" i="2" s="1"/>
  <c r="AC2594" i="2"/>
  <c r="AB2598" i="2"/>
  <c r="AK2598" i="2" s="1"/>
  <c r="AC2598" i="2"/>
  <c r="AH2614" i="2"/>
  <c r="AF2614" i="2"/>
  <c r="Y2630" i="2"/>
  <c r="AH2630" i="2"/>
  <c r="Y2646" i="2"/>
  <c r="AC2646" i="2"/>
  <c r="Y2649" i="2"/>
  <c r="AB2649" i="2"/>
  <c r="AK2649" i="2" s="1"/>
  <c r="AC2649" i="2"/>
  <c r="AC2698" i="2"/>
  <c r="AB2698" i="2"/>
  <c r="AK2698" i="2" s="1"/>
  <c r="AC2713" i="2"/>
  <c r="AB2713" i="2"/>
  <c r="AK2713" i="2" s="1"/>
  <c r="AC2717" i="2"/>
  <c r="Y2717" i="2"/>
  <c r="AC591" i="2"/>
  <c r="Y1222" i="2"/>
  <c r="Y1188" i="2"/>
  <c r="Y1120" i="2"/>
  <c r="Y1100" i="2"/>
  <c r="Y1084" i="2"/>
  <c r="AB337" i="2"/>
  <c r="AK337" i="2" s="1"/>
  <c r="Y742" i="2"/>
  <c r="Y1354" i="2"/>
  <c r="Y63" i="2"/>
  <c r="Y135" i="2"/>
  <c r="Y139" i="2"/>
  <c r="Y192" i="2"/>
  <c r="Y202" i="2"/>
  <c r="AB410" i="2"/>
  <c r="AK410" i="2" s="1"/>
  <c r="AC410" i="2"/>
  <c r="AB450" i="2"/>
  <c r="AC450" i="2"/>
  <c r="AB3468" i="2"/>
  <c r="AK3468" i="2" s="1"/>
  <c r="AC3468" i="2"/>
  <c r="AB3561" i="2"/>
  <c r="AK3561" i="2" s="1"/>
  <c r="AC3561" i="2"/>
  <c r="AB3569" i="2"/>
  <c r="AK3569" i="2" s="1"/>
  <c r="AC3569" i="2"/>
  <c r="AB3606" i="2"/>
  <c r="AK3606" i="2" s="1"/>
  <c r="AC3606" i="2"/>
  <c r="AB3614" i="2"/>
  <c r="AK3614" i="2" s="1"/>
  <c r="AC3614" i="2"/>
  <c r="AK3630" i="2"/>
  <c r="AC3630" i="2"/>
  <c r="AB3654" i="2"/>
  <c r="AK3654" i="2" s="1"/>
  <c r="AC3654" i="2"/>
  <c r="AB3686" i="2"/>
  <c r="AK3686" i="2" s="1"/>
  <c r="AC3686" i="2"/>
  <c r="AB3702" i="2"/>
  <c r="AK3702" i="2" s="1"/>
  <c r="AC3702" i="2"/>
  <c r="AB3710" i="2"/>
  <c r="AK3710" i="2" s="1"/>
  <c r="AC3710" i="2"/>
  <c r="AB3718" i="2"/>
  <c r="AK3718" i="2" s="1"/>
  <c r="AC3718" i="2"/>
  <c r="AB3734" i="2"/>
  <c r="AK3734" i="2" s="1"/>
  <c r="AC3734" i="2"/>
  <c r="AB3742" i="2"/>
  <c r="AK3742" i="2" s="1"/>
  <c r="AC3742" i="2"/>
  <c r="AB3774" i="2"/>
  <c r="AK3774" i="2" s="1"/>
  <c r="AC3774" i="2"/>
  <c r="AB3782" i="2"/>
  <c r="AK3782" i="2" s="1"/>
  <c r="AC3782" i="2"/>
  <c r="AB3798" i="2"/>
  <c r="AK3798" i="2" s="1"/>
  <c r="AC3798" i="2"/>
  <c r="AB3806" i="2"/>
  <c r="AK3806" i="2" s="1"/>
  <c r="AC3806" i="2"/>
  <c r="AB3822" i="2"/>
  <c r="AK3822" i="2" s="1"/>
  <c r="AC3822" i="2"/>
  <c r="AB663" i="2"/>
  <c r="AK663" i="2" s="1"/>
  <c r="AC663" i="2"/>
  <c r="AB1263" i="2"/>
  <c r="AK1263" i="2" s="1"/>
  <c r="AC1263" i="2"/>
  <c r="AB1367" i="2"/>
  <c r="AK1367" i="2" s="1"/>
  <c r="AC1367" i="2"/>
  <c r="AF2503" i="2"/>
  <c r="Y2503" i="2"/>
  <c r="AC2680" i="2"/>
  <c r="Y2680" i="2"/>
  <c r="Y2703" i="2"/>
  <c r="AC2703" i="2"/>
  <c r="AB1779" i="2"/>
  <c r="AK1779" i="2" s="1"/>
  <c r="Y1779" i="2"/>
  <c r="AC67" i="2"/>
  <c r="AC106" i="2"/>
  <c r="AC572" i="2"/>
  <c r="AC65" i="2"/>
  <c r="AB1230" i="2"/>
  <c r="AK1230" i="2" s="1"/>
  <c r="Y1212" i="2"/>
  <c r="Y1184" i="2"/>
  <c r="Y1162" i="2"/>
  <c r="Y1867" i="2"/>
  <c r="AB1855" i="2"/>
  <c r="AK1855" i="2" s="1"/>
  <c r="Y1829" i="2"/>
  <c r="Y1803" i="2"/>
  <c r="AB1791" i="2"/>
  <c r="AK1791" i="2" s="1"/>
  <c r="AB1296" i="2"/>
  <c r="AK1296" i="2" s="1"/>
  <c r="Y1001" i="2"/>
  <c r="Y642" i="2"/>
  <c r="Y1330" i="2"/>
  <c r="Y2688" i="2"/>
  <c r="AB5387" i="2"/>
  <c r="AK5387" i="2" s="1"/>
  <c r="AC5387" i="2"/>
  <c r="AB5395" i="2"/>
  <c r="AK5395" i="2" s="1"/>
  <c r="AC5395" i="2"/>
  <c r="AC5440" i="2"/>
  <c r="AB5440" i="2"/>
  <c r="AK5440" i="2" s="1"/>
  <c r="AC5456" i="2"/>
  <c r="AB5456" i="2"/>
  <c r="AK5456" i="2" s="1"/>
  <c r="AB5464" i="2"/>
  <c r="AK5464" i="2" s="1"/>
  <c r="AC5464" i="2"/>
  <c r="AC5480" i="2"/>
  <c r="AB5480" i="2"/>
  <c r="AK5480" i="2" s="1"/>
  <c r="AB5488" i="2"/>
  <c r="AK5488" i="2" s="1"/>
  <c r="AC5488" i="2"/>
  <c r="AC5496" i="2"/>
  <c r="AB5496" i="2"/>
  <c r="AK5496" i="2" s="1"/>
  <c r="AC5544" i="2"/>
  <c r="AB5544" i="2"/>
  <c r="AK5544" i="2" s="1"/>
  <c r="AC5560" i="2"/>
  <c r="AB5560" i="2"/>
  <c r="AK5560" i="2" s="1"/>
  <c r="AC5568" i="2"/>
  <c r="AB5568" i="2"/>
  <c r="AK5568" i="2" s="1"/>
  <c r="AB5629" i="2"/>
  <c r="AK5629" i="2" s="1"/>
  <c r="AC5629" i="2"/>
  <c r="AK5661" i="2"/>
  <c r="AC5661" i="2"/>
  <c r="AB5685" i="2"/>
  <c r="AK5685" i="2" s="1"/>
  <c r="AC5685" i="2"/>
  <c r="AK5709" i="2"/>
  <c r="AC5709" i="2"/>
  <c r="AB5733" i="2"/>
  <c r="AK5733" i="2" s="1"/>
  <c r="AC5733" i="2"/>
  <c r="AB5788" i="2"/>
  <c r="AK5788" i="2" s="1"/>
  <c r="AC5788" i="2"/>
  <c r="AF5793" i="2"/>
  <c r="Y5793" i="2"/>
  <c r="AC5795" i="2"/>
  <c r="AB5795" i="2"/>
  <c r="AK5795" i="2" s="1"/>
  <c r="AC5872" i="2"/>
  <c r="AB5872" i="2"/>
  <c r="AK5872" i="2" s="1"/>
  <c r="AC5885" i="2"/>
  <c r="AB5885" i="2"/>
  <c r="AK5885" i="2" s="1"/>
  <c r="AC5893" i="2"/>
  <c r="AB5893" i="2"/>
  <c r="AK5893" i="2" s="1"/>
  <c r="AC5917" i="2"/>
  <c r="AB5917" i="2"/>
  <c r="AK5917" i="2" s="1"/>
  <c r="AC4170" i="2"/>
  <c r="AC4101" i="2"/>
  <c r="AB3875" i="2"/>
  <c r="AK3875" i="2" s="1"/>
  <c r="AC3875" i="2"/>
  <c r="AB3883" i="2"/>
  <c r="AK3883" i="2" s="1"/>
  <c r="AC3883" i="2"/>
  <c r="AB3963" i="2"/>
  <c r="AC3963" i="2"/>
  <c r="AB4067" i="2"/>
  <c r="AK4067" i="2" s="1"/>
  <c r="AC4067" i="2"/>
  <c r="AB4075" i="2"/>
  <c r="AK4075" i="2" s="1"/>
  <c r="AC4075" i="2"/>
  <c r="AB4093" i="2"/>
  <c r="AK4093" i="2" s="1"/>
  <c r="AC4093" i="2"/>
  <c r="AB4130" i="2"/>
  <c r="AK4130" i="2" s="1"/>
  <c r="AC4130" i="2"/>
  <c r="AB4138" i="2"/>
  <c r="AK4138" i="2" s="1"/>
  <c r="AC4138" i="2"/>
  <c r="AB4146" i="2"/>
  <c r="AK4146" i="2" s="1"/>
  <c r="AC4146" i="2"/>
  <c r="AB4162" i="2"/>
  <c r="AK4162" i="2" s="1"/>
  <c r="AC4162" i="2"/>
  <c r="AB4178" i="2"/>
  <c r="AK4178" i="2" s="1"/>
  <c r="AC4178" i="2"/>
  <c r="AB4194" i="2"/>
  <c r="AK4194" i="2" s="1"/>
  <c r="AC4194" i="2"/>
  <c r="AB4202" i="2"/>
  <c r="AK4202" i="2" s="1"/>
  <c r="AC4202" i="2"/>
  <c r="AB4210" i="2"/>
  <c r="AK4210" i="2" s="1"/>
  <c r="AC4210" i="2"/>
  <c r="AB4226" i="2"/>
  <c r="AK4226" i="2" s="1"/>
  <c r="AC4226" i="2"/>
  <c r="AB4234" i="2"/>
  <c r="AK4234" i="2" s="1"/>
  <c r="AC4234" i="2"/>
  <c r="AB4258" i="2"/>
  <c r="AK4258" i="2" s="1"/>
  <c r="AC4258" i="2"/>
  <c r="AB4271" i="2"/>
  <c r="AK4271" i="2" s="1"/>
  <c r="AC4271" i="2"/>
  <c r="AB4279" i="2"/>
  <c r="AK4279" i="2" s="1"/>
  <c r="AC4279" i="2"/>
  <c r="AB4287" i="2"/>
  <c r="AK4287" i="2" s="1"/>
  <c r="AC4287" i="2"/>
  <c r="AB4295" i="2"/>
  <c r="AK4295" i="2" s="1"/>
  <c r="AC4295" i="2"/>
  <c r="AB4303" i="2"/>
  <c r="AK4303" i="2" s="1"/>
  <c r="AC4303" i="2"/>
  <c r="AB4311" i="2"/>
  <c r="AK4311" i="2" s="1"/>
  <c r="AC4311" i="2"/>
  <c r="AC4340" i="2"/>
  <c r="AB4340" i="2"/>
  <c r="AK4340" i="2" s="1"/>
  <c r="AC4353" i="2"/>
  <c r="AB4353" i="2"/>
  <c r="AK4353" i="2" s="1"/>
  <c r="AB4361" i="2"/>
  <c r="AK4361" i="2" s="1"/>
  <c r="AC4361" i="2"/>
  <c r="AB4369" i="2"/>
  <c r="AK4369" i="2" s="1"/>
  <c r="AC4369" i="2"/>
  <c r="AB4385" i="2"/>
  <c r="AK4385" i="2" s="1"/>
  <c r="AC4385" i="2"/>
  <c r="Y4408" i="2"/>
  <c r="AC4408" i="2"/>
  <c r="Y4416" i="2"/>
  <c r="AC4416" i="2"/>
  <c r="AB4432" i="2"/>
  <c r="AK4432" i="2" s="1"/>
  <c r="AC4432" i="2"/>
  <c r="AB4440" i="2"/>
  <c r="AK4440" i="2" s="1"/>
  <c r="Y4440" i="2"/>
  <c r="AC4440" i="2"/>
  <c r="AB4448" i="2"/>
  <c r="AK4448" i="2" s="1"/>
  <c r="Y4448" i="2"/>
  <c r="AC4448" i="2"/>
  <c r="AK4472" i="2"/>
  <c r="AC4472" i="2"/>
  <c r="AB4496" i="2"/>
  <c r="AK4496" i="2" s="1"/>
  <c r="AC4496" i="2"/>
  <c r="AK4527" i="2"/>
  <c r="AC4527" i="2"/>
  <c r="Y4527" i="2"/>
  <c r="Y4535" i="2"/>
  <c r="AC4535" i="2"/>
  <c r="AB4535" i="2"/>
  <c r="AK4535" i="2" s="1"/>
  <c r="Y4553" i="2"/>
  <c r="AB4553" i="2"/>
  <c r="AK4553" i="2" s="1"/>
  <c r="AC4553" i="2"/>
  <c r="Y4561" i="2"/>
  <c r="AC4561" i="2"/>
  <c r="Y1280" i="2"/>
  <c r="Y1622" i="2"/>
  <c r="Y1630" i="2"/>
  <c r="Y1638" i="2"/>
  <c r="Y2031" i="2"/>
  <c r="Y2033" i="2"/>
  <c r="Y2035" i="2"/>
  <c r="Y2037" i="2"/>
  <c r="Y2039" i="2"/>
  <c r="Y2041" i="2"/>
  <c r="AC4395" i="2"/>
  <c r="AC480" i="2"/>
  <c r="R36" i="3"/>
  <c r="T36" i="3" s="1"/>
  <c r="U36" i="3" s="1"/>
  <c r="V36" i="3" s="1"/>
  <c r="AC4327" i="2"/>
  <c r="Y4432" i="2"/>
  <c r="AC5949" i="2"/>
  <c r="AB5949" i="2"/>
  <c r="AK5949" i="2" s="1"/>
  <c r="AC5957" i="2"/>
  <c r="AB5957" i="2"/>
  <c r="AK5957" i="2" s="1"/>
  <c r="AC5973" i="2"/>
  <c r="AB5973" i="2"/>
  <c r="AK5973" i="2" s="1"/>
  <c r="AC6026" i="2"/>
  <c r="AB6026" i="2"/>
  <c r="AK6026" i="2" s="1"/>
  <c r="Y6416" i="2"/>
  <c r="AB6416" i="2"/>
  <c r="AK6416" i="2" s="1"/>
  <c r="AC6416" i="2"/>
  <c r="AF6430" i="2"/>
  <c r="Y6430" i="2"/>
  <c r="AC6489" i="2"/>
  <c r="AB6489" i="2"/>
  <c r="AK6489" i="2" s="1"/>
  <c r="AC6493" i="2"/>
  <c r="Y6493" i="2"/>
  <c r="AB6551" i="2"/>
  <c r="AK6551" i="2" s="1"/>
  <c r="AC6551" i="2"/>
  <c r="AB6563" i="2"/>
  <c r="AK6563" i="2" s="1"/>
  <c r="Y6563" i="2"/>
  <c r="AC6563" i="2"/>
  <c r="Y6579" i="2"/>
  <c r="AC6579" i="2"/>
  <c r="AB6579" i="2"/>
  <c r="AK6579" i="2" s="1"/>
  <c r="AF6589" i="2"/>
  <c r="Y6589" i="2"/>
  <c r="AF6599" i="2"/>
  <c r="Y6599" i="2"/>
  <c r="AF6679" i="2"/>
  <c r="Y6679" i="2"/>
  <c r="AF6683" i="2"/>
  <c r="Y6683" i="2"/>
  <c r="AF6701" i="2"/>
  <c r="Y6701" i="2"/>
  <c r="AC6713" i="2"/>
  <c r="AB6713" i="2"/>
  <c r="AK6713" i="2" s="1"/>
  <c r="Y6713" i="2"/>
  <c r="AC6715" i="2"/>
  <c r="Y6715" i="2"/>
  <c r="AB6715" i="2"/>
  <c r="AK6715" i="2" s="1"/>
  <c r="Y6765" i="2"/>
  <c r="AF6765" i="2"/>
  <c r="AF6773" i="2"/>
  <c r="Y6773" i="2"/>
  <c r="AF6781" i="2"/>
  <c r="Y6781" i="2"/>
  <c r="AC6786" i="2"/>
  <c r="AA6786" i="2"/>
  <c r="AB6786" i="2" s="1"/>
  <c r="AK6786" i="2" s="1"/>
  <c r="Y6786" i="2"/>
  <c r="AF6837" i="2"/>
  <c r="Y6837" i="2"/>
  <c r="Y6880" i="2"/>
  <c r="AF6880" i="2"/>
  <c r="AF6917" i="2"/>
  <c r="Y6917" i="2"/>
  <c r="AF6946" i="2"/>
  <c r="Y6946" i="2"/>
  <c r="Y6959" i="2"/>
  <c r="AB6959" i="2"/>
  <c r="AK6959" i="2" s="1"/>
  <c r="AC6959" i="2"/>
  <c r="AF6962" i="2"/>
  <c r="Y6962" i="2"/>
  <c r="Y6978" i="2"/>
  <c r="AF6978" i="2"/>
  <c r="Y6983" i="2"/>
  <c r="AC6983" i="2"/>
  <c r="AB6983" i="2"/>
  <c r="AK6983" i="2" s="1"/>
  <c r="Y6994" i="2"/>
  <c r="AF6994" i="2"/>
  <c r="AC6999" i="2"/>
  <c r="AB6999" i="2"/>
  <c r="AK6999" i="2" s="1"/>
  <c r="Y6999" i="2"/>
  <c r="AC7012" i="2"/>
  <c r="AB7012" i="2"/>
  <c r="AK7012" i="2" s="1"/>
  <c r="Y7012" i="2"/>
  <c r="AF7015" i="2"/>
  <c r="Y7015" i="2"/>
  <c r="AC7028" i="2"/>
  <c r="AB7028" i="2"/>
  <c r="AK7028" i="2" s="1"/>
  <c r="Y7028" i="2"/>
  <c r="AF7039" i="2"/>
  <c r="Y7039" i="2"/>
  <c r="Y7047" i="2"/>
  <c r="AF7047" i="2"/>
  <c r="AC7052" i="2"/>
  <c r="AB7052" i="2"/>
  <c r="AK7052" i="2" s="1"/>
  <c r="Y7052" i="2"/>
  <c r="AC7060" i="2"/>
  <c r="Y7060" i="2"/>
  <c r="AB7060" i="2"/>
  <c r="AK7060" i="2" s="1"/>
  <c r="Y7063" i="2"/>
  <c r="AF7063" i="2"/>
  <c r="AF7071" i="2"/>
  <c r="Y7071" i="2"/>
  <c r="AC7076" i="2"/>
  <c r="AB7076" i="2"/>
  <c r="AK7076" i="2" s="1"/>
  <c r="Y7076" i="2"/>
  <c r="AF7079" i="2"/>
  <c r="Y7079" i="2"/>
  <c r="AC7102" i="2"/>
  <c r="AB7102" i="2"/>
  <c r="AK7102" i="2" s="1"/>
  <c r="Y7102" i="2"/>
  <c r="Y7105" i="2"/>
  <c r="AF7105" i="2"/>
  <c r="AC7110" i="2"/>
  <c r="AB7110" i="2"/>
  <c r="AK7110" i="2" s="1"/>
  <c r="Y7110" i="2"/>
  <c r="AF7113" i="2"/>
  <c r="Y7113" i="2"/>
  <c r="AK7123" i="2"/>
  <c r="AC7123" i="2"/>
  <c r="Y7123" i="2"/>
  <c r="Y7126" i="2"/>
  <c r="AF7126" i="2"/>
  <c r="AK7131" i="2"/>
  <c r="Y7131" i="2"/>
  <c r="AC7131" i="2"/>
  <c r="AF7142" i="2"/>
  <c r="Y7142" i="2"/>
  <c r="Y7150" i="2"/>
  <c r="AF7150" i="2"/>
  <c r="AC7155" i="2"/>
  <c r="AB7155" i="2"/>
  <c r="AK7155" i="2" s="1"/>
  <c r="Y7155" i="2"/>
  <c r="Y7158" i="2"/>
  <c r="AF7158" i="2"/>
  <c r="AC7163" i="2"/>
  <c r="AB7163" i="2"/>
  <c r="AK7163" i="2" s="1"/>
  <c r="Y7163" i="2"/>
  <c r="AF7166" i="2"/>
  <c r="Y7166" i="2"/>
  <c r="AC7171" i="2"/>
  <c r="AB7171" i="2"/>
  <c r="AK7171" i="2" s="1"/>
  <c r="Y7171" i="2"/>
  <c r="Y7179" i="2"/>
  <c r="AC7179" i="2"/>
  <c r="AB7179" i="2"/>
  <c r="AK7179" i="2" s="1"/>
  <c r="AC7187" i="2"/>
  <c r="AB7187" i="2"/>
  <c r="AK7187" i="2" s="1"/>
  <c r="Y7187" i="2"/>
  <c r="Y7190" i="2"/>
  <c r="AF7190" i="2"/>
  <c r="AC7195" i="2"/>
  <c r="AB7195" i="2"/>
  <c r="AK7195" i="2" s="1"/>
  <c r="Y7195" i="2"/>
  <c r="AF7198" i="2"/>
  <c r="Y7198" i="2"/>
  <c r="AF7206" i="2"/>
  <c r="Y7206" i="2"/>
  <c r="AF7222" i="2"/>
  <c r="Y7222" i="2"/>
  <c r="Y7227" i="2"/>
  <c r="AC7227" i="2"/>
  <c r="AB7227" i="2"/>
  <c r="AK7227" i="2" s="1"/>
  <c r="Y7230" i="2"/>
  <c r="AF7230" i="2"/>
  <c r="Y7243" i="2"/>
  <c r="AC7243" i="2"/>
  <c r="AB7243" i="2"/>
  <c r="AK7243" i="2" s="1"/>
  <c r="AC7259" i="2"/>
  <c r="AB7259" i="2"/>
  <c r="AK7259" i="2" s="1"/>
  <c r="Y7262" i="2"/>
  <c r="AF7262" i="2"/>
  <c r="Y7270" i="2"/>
  <c r="AF7270" i="2"/>
  <c r="Y7275" i="2"/>
  <c r="AA7275" i="2"/>
  <c r="AB7275" i="2" s="1"/>
  <c r="AK7275" i="2" s="1"/>
  <c r="AC7275" i="2"/>
  <c r="AF7278" i="2"/>
  <c r="Y7278" i="2"/>
  <c r="AC7283" i="2"/>
  <c r="AB7283" i="2"/>
  <c r="AK7283" i="2" s="1"/>
  <c r="Y7283" i="2"/>
  <c r="AF7286" i="2"/>
  <c r="Y7286" i="2"/>
  <c r="AF7294" i="2"/>
  <c r="Y7294" i="2"/>
  <c r="AC7299" i="2"/>
  <c r="AB7299" i="2"/>
  <c r="AK7299" i="2" s="1"/>
  <c r="Y7299" i="2"/>
  <c r="Y7302" i="2"/>
  <c r="AF7302" i="2"/>
  <c r="AC7307" i="2"/>
  <c r="AB7307" i="2"/>
  <c r="AK7307" i="2" s="1"/>
  <c r="Y7307" i="2"/>
  <c r="Y7315" i="2"/>
  <c r="AC7315" i="2"/>
  <c r="AB7315" i="2"/>
  <c r="AK7315" i="2" s="1"/>
  <c r="AF7318" i="2"/>
  <c r="Y7318" i="2"/>
  <c r="AC7323" i="2"/>
  <c r="AB7323" i="2"/>
  <c r="AK7323" i="2" s="1"/>
  <c r="Y7323" i="2"/>
  <c r="AF7326" i="2"/>
  <c r="Y7326" i="2"/>
  <c r="AC7331" i="2"/>
  <c r="AB7331" i="2"/>
  <c r="AK7331" i="2" s="1"/>
  <c r="Y7331" i="2"/>
  <c r="AF7334" i="2"/>
  <c r="Y7334" i="2"/>
  <c r="AF7350" i="2"/>
  <c r="Y7350" i="2"/>
  <c r="AC7355" i="2"/>
  <c r="AB7355" i="2"/>
  <c r="AK7355" i="2" s="1"/>
  <c r="Y7355" i="2"/>
  <c r="AF7358" i="2"/>
  <c r="Y7358" i="2"/>
  <c r="Y7363" i="2"/>
  <c r="AC7363" i="2"/>
  <c r="AB7363" i="2"/>
  <c r="AK7363" i="2" s="1"/>
  <c r="AF7366" i="2"/>
  <c r="Y7366" i="2"/>
  <c r="AC7371" i="2"/>
  <c r="AB7371" i="2"/>
  <c r="AK7371" i="2" s="1"/>
  <c r="Y7371" i="2"/>
  <c r="AF7374" i="2"/>
  <c r="Y7374" i="2"/>
  <c r="AC7379" i="2"/>
  <c r="AB7379" i="2"/>
  <c r="AK7379" i="2" s="1"/>
  <c r="Y7379" i="2"/>
  <c r="Y7382" i="2"/>
  <c r="AF7382" i="2"/>
  <c r="AB7387" i="2"/>
  <c r="AK7387" i="2" s="1"/>
  <c r="AC7387" i="2"/>
  <c r="Y7387" i="2"/>
  <c r="Y7390" i="2"/>
  <c r="AF7390" i="2"/>
  <c r="AB7395" i="2"/>
  <c r="AK7395" i="2" s="1"/>
  <c r="AC7395" i="2"/>
  <c r="Y7395" i="2"/>
  <c r="AF7398" i="2"/>
  <c r="Y7398" i="2"/>
  <c r="AC7403" i="2"/>
  <c r="AB7403" i="2"/>
  <c r="AK7403" i="2" s="1"/>
  <c r="Y7403" i="2"/>
  <c r="Y7406" i="2"/>
  <c r="AF7406" i="2"/>
  <c r="AC7411" i="2"/>
  <c r="AB7411" i="2"/>
  <c r="AK7411" i="2" s="1"/>
  <c r="Y7411" i="2"/>
  <c r="Y7414" i="2"/>
  <c r="AF7414" i="2"/>
  <c r="AB7419" i="2"/>
  <c r="AK7419" i="2" s="1"/>
  <c r="AC7419" i="2"/>
  <c r="Y7419" i="2"/>
  <c r="AF7422" i="2"/>
  <c r="Y7422" i="2"/>
  <c r="AC7427" i="2"/>
  <c r="AB7427" i="2"/>
  <c r="AK7427" i="2" s="1"/>
  <c r="Y7427" i="2"/>
  <c r="Y7430" i="2"/>
  <c r="AF7430" i="2"/>
  <c r="Y7435" i="2"/>
  <c r="AC7435" i="2"/>
  <c r="AB7435" i="2"/>
  <c r="AK7435" i="2" s="1"/>
  <c r="AF7438" i="2"/>
  <c r="Y7438" i="2"/>
  <c r="AC7443" i="2"/>
  <c r="AB7443" i="2"/>
  <c r="AK7443" i="2" s="1"/>
  <c r="Y7443" i="2"/>
  <c r="Y7446" i="2"/>
  <c r="AF7446" i="2"/>
  <c r="Y7451" i="2"/>
  <c r="AC7451" i="2"/>
  <c r="AB7451" i="2"/>
  <c r="AK7451" i="2" s="1"/>
  <c r="AC7456" i="2"/>
  <c r="Y7456" i="2"/>
  <c r="AB7456" i="2"/>
  <c r="AK7456" i="2" s="1"/>
  <c r="AC7464" i="2"/>
  <c r="AB7464" i="2"/>
  <c r="AK7464" i="2" s="1"/>
  <c r="Y7464" i="2"/>
  <c r="AF7467" i="2"/>
  <c r="Y7467" i="2"/>
  <c r="AC7472" i="2"/>
  <c r="AB7472" i="2"/>
  <c r="AK7472" i="2" s="1"/>
  <c r="Y7472" i="2"/>
  <c r="AF7475" i="2"/>
  <c r="Y7475" i="2"/>
  <c r="AC7480" i="2"/>
  <c r="AB7480" i="2"/>
  <c r="AK7480" i="2" s="1"/>
  <c r="Y7480" i="2"/>
  <c r="AB7488" i="2"/>
  <c r="AK7488" i="2" s="1"/>
  <c r="AC7488" i="2"/>
  <c r="Y7488" i="2"/>
  <c r="AF7491" i="2"/>
  <c r="Y7491" i="2"/>
  <c r="AC7496" i="2"/>
  <c r="AB7496" i="2"/>
  <c r="AK7496" i="2" s="1"/>
  <c r="Y7496" i="2"/>
  <c r="Y7499" i="2"/>
  <c r="AF7499" i="2"/>
  <c r="AB7504" i="2"/>
  <c r="AK7504" i="2" s="1"/>
  <c r="AC7504" i="2"/>
  <c r="Y7504" i="2"/>
  <c r="AF7507" i="2"/>
  <c r="Y7507" i="2"/>
  <c r="Y7515" i="2"/>
  <c r="AF7515" i="2"/>
  <c r="AC7525" i="2"/>
  <c r="AB7525" i="2"/>
  <c r="AK7525" i="2" s="1"/>
  <c r="Y7525" i="2"/>
  <c r="AF7528" i="2"/>
  <c r="Y7528" i="2"/>
  <c r="AB7533" i="2"/>
  <c r="AK7533" i="2" s="1"/>
  <c r="Y7533" i="2"/>
  <c r="AC7533" i="2"/>
  <c r="AF7536" i="2"/>
  <c r="Y7536" i="2"/>
  <c r="AC7541" i="2"/>
  <c r="AB7541" i="2"/>
  <c r="AK7541" i="2" s="1"/>
  <c r="Y7541" i="2"/>
  <c r="AF7544" i="2"/>
  <c r="Y7544" i="2"/>
  <c r="AF7552" i="2"/>
  <c r="Y7552" i="2"/>
  <c r="Y7560" i="2"/>
  <c r="AF7560" i="2"/>
  <c r="AC7565" i="2"/>
  <c r="AB7565" i="2"/>
  <c r="AK7565" i="2" s="1"/>
  <c r="Y7565" i="2"/>
  <c r="AF7568" i="2"/>
  <c r="Y7568" i="2"/>
  <c r="AC7573" i="2"/>
  <c r="AB7573" i="2"/>
  <c r="AK7573" i="2" s="1"/>
  <c r="Y7573" i="2"/>
  <c r="Y7576" i="2"/>
  <c r="AF7576" i="2"/>
  <c r="AB7581" i="2"/>
  <c r="AK7581" i="2" s="1"/>
  <c r="Y7581" i="2"/>
  <c r="AC7581" i="2"/>
  <c r="AC7589" i="2"/>
  <c r="Y7589" i="2"/>
  <c r="AB7589" i="2"/>
  <c r="AK7589" i="2" s="1"/>
  <c r="AF7592" i="2"/>
  <c r="Y7592" i="2"/>
  <c r="AB7597" i="2"/>
  <c r="AK7597" i="2" s="1"/>
  <c r="AC7597" i="2"/>
  <c r="Y7597" i="2"/>
  <c r="AF7600" i="2"/>
  <c r="Y7600" i="2"/>
  <c r="AC7605" i="2"/>
  <c r="Y7605" i="2"/>
  <c r="AF7611" i="2"/>
  <c r="Y7611" i="2"/>
  <c r="AC7616" i="2"/>
  <c r="AB7616" i="2"/>
  <c r="AK7616" i="2" s="1"/>
  <c r="Y7616" i="2"/>
  <c r="AC7624" i="2"/>
  <c r="AB7624" i="2"/>
  <c r="AK7624" i="2" s="1"/>
  <c r="Y7624" i="2"/>
  <c r="AC7632" i="2"/>
  <c r="AB7632" i="2"/>
  <c r="AK7632" i="2" s="1"/>
  <c r="Y7632" i="2"/>
  <c r="AF7635" i="2"/>
  <c r="Y7635" i="2"/>
  <c r="Y7640" i="2"/>
  <c r="AC7640" i="2"/>
  <c r="AB7640" i="2"/>
  <c r="AK7640" i="2" s="1"/>
  <c r="AF7643" i="2"/>
  <c r="Y7643" i="2"/>
  <c r="Y7648" i="2"/>
  <c r="AC7648" i="2"/>
  <c r="AB7648" i="2"/>
  <c r="AK7648" i="2" s="1"/>
  <c r="AF7651" i="2"/>
  <c r="Y7651" i="2"/>
  <c r="AC7664" i="2"/>
  <c r="AB7664" i="2"/>
  <c r="AK7664" i="2" s="1"/>
  <c r="Y7664" i="2"/>
  <c r="Y7672" i="2"/>
  <c r="AC7672" i="2"/>
  <c r="AB7672" i="2"/>
  <c r="AK7672" i="2" s="1"/>
  <c r="AF7675" i="2"/>
  <c r="Y7675" i="2"/>
  <c r="AB7680" i="2"/>
  <c r="AK7680" i="2" s="1"/>
  <c r="AC7680" i="2"/>
  <c r="Y7680" i="2"/>
  <c r="AF7683" i="2"/>
  <c r="Y7683" i="2"/>
  <c r="AK7688" i="2"/>
  <c r="Y7688" i="2"/>
  <c r="AC7688" i="2"/>
  <c r="AF7691" i="2"/>
  <c r="Y7691" i="2"/>
  <c r="Y7696" i="2"/>
  <c r="AC7696" i="2"/>
  <c r="AB7696" i="2"/>
  <c r="AK7696" i="2" s="1"/>
  <c r="AF7699" i="2"/>
  <c r="Y7699" i="2"/>
  <c r="AC7704" i="2"/>
  <c r="AB7704" i="2"/>
  <c r="AK7704" i="2" s="1"/>
  <c r="AF7707" i="2"/>
  <c r="Y7707" i="2"/>
  <c r="AC7712" i="2"/>
  <c r="AB7712" i="2"/>
  <c r="AK7712" i="2" s="1"/>
  <c r="Y7712" i="2"/>
  <c r="AF7715" i="2"/>
  <c r="Y7715" i="2"/>
  <c r="AC7720" i="2"/>
  <c r="AB7720" i="2"/>
  <c r="AK7720" i="2" s="1"/>
  <c r="Y7720" i="2"/>
  <c r="AF7723" i="2"/>
  <c r="Y7723" i="2"/>
  <c r="AF7728" i="2"/>
  <c r="Y7728" i="2"/>
  <c r="AC7730" i="2"/>
  <c r="AB7730" i="2"/>
  <c r="AK7730" i="2" s="1"/>
  <c r="Y7730" i="2"/>
  <c r="Y7733" i="2"/>
  <c r="AF7733" i="2"/>
  <c r="AC7738" i="2"/>
  <c r="AB7738" i="2"/>
  <c r="AK7738" i="2" s="1"/>
  <c r="Y7738" i="2"/>
  <c r="AC7746" i="2"/>
  <c r="AB7746" i="2"/>
  <c r="AK7746" i="2" s="1"/>
  <c r="Y7746" i="2"/>
  <c r="Y7749" i="2"/>
  <c r="AF7749" i="2"/>
  <c r="AC7754" i="2"/>
  <c r="AB7754" i="2"/>
  <c r="AK7754" i="2" s="1"/>
  <c r="Y7754" i="2"/>
  <c r="AF7757" i="2"/>
  <c r="Y7757" i="2"/>
  <c r="AB7762" i="2"/>
  <c r="AK7762" i="2" s="1"/>
  <c r="AC7762" i="2"/>
  <c r="Y7762" i="2"/>
  <c r="AF7765" i="2"/>
  <c r="Y7765" i="2"/>
  <c r="AK7770" i="2"/>
  <c r="AC7770" i="2"/>
  <c r="AF7773" i="2"/>
  <c r="Y7773" i="2"/>
  <c r="AB7778" i="2"/>
  <c r="AK7778" i="2" s="1"/>
  <c r="Y7778" i="2"/>
  <c r="AC7778" i="2"/>
  <c r="AF7781" i="2"/>
  <c r="Y7781" i="2"/>
  <c r="AC7786" i="2"/>
  <c r="Y7786" i="2"/>
  <c r="AB7786" i="2"/>
  <c r="AK7786" i="2" s="1"/>
  <c r="AF7789" i="2"/>
  <c r="Y7789" i="2"/>
  <c r="AC7794" i="2"/>
  <c r="AB7794" i="2"/>
  <c r="AK7794" i="2" s="1"/>
  <c r="Y7794" i="2"/>
  <c r="AF7797" i="2"/>
  <c r="Y7797" i="2"/>
  <c r="AC7802" i="2"/>
  <c r="AB7802" i="2"/>
  <c r="AK7802" i="2" s="1"/>
  <c r="Y7802" i="2"/>
  <c r="AF7805" i="2"/>
  <c r="Y7805" i="2"/>
  <c r="AC7810" i="2"/>
  <c r="AB7810" i="2"/>
  <c r="AK7810" i="2" s="1"/>
  <c r="Y7810" i="2"/>
  <c r="AF7813" i="2"/>
  <c r="Y7813" i="2"/>
  <c r="AB7818" i="2"/>
  <c r="AK7818" i="2" s="1"/>
  <c r="AC7818" i="2"/>
  <c r="AF7821" i="2"/>
  <c r="Y7821" i="2"/>
  <c r="AB7826" i="2"/>
  <c r="AK7826" i="2" s="1"/>
  <c r="Y7826" i="2"/>
  <c r="AC7826" i="2"/>
  <c r="AF7829" i="2"/>
  <c r="Y7829" i="2"/>
  <c r="Y7834" i="2"/>
  <c r="AB7834" i="2"/>
  <c r="AK7834" i="2" s="1"/>
  <c r="AC7834" i="2"/>
  <c r="AF7837" i="2"/>
  <c r="Y7837" i="2"/>
  <c r="AF7845" i="2"/>
  <c r="Y7845" i="2"/>
  <c r="AK7858" i="2"/>
  <c r="AC7858" i="2"/>
  <c r="Y7858" i="2"/>
  <c r="AF7861" i="2"/>
  <c r="Y7861" i="2"/>
  <c r="R156" i="3"/>
  <c r="T156" i="3" s="1"/>
  <c r="U156" i="3" s="1"/>
  <c r="V156" i="3" s="1"/>
  <c r="AC7866" i="2"/>
  <c r="AB7866" i="2"/>
  <c r="AK7866" i="2" s="1"/>
  <c r="Y7866" i="2"/>
  <c r="AF7869" i="2"/>
  <c r="Y7869" i="2"/>
  <c r="AB7874" i="2"/>
  <c r="AK7874" i="2" s="1"/>
  <c r="AC7874" i="2"/>
  <c r="Y7874" i="2"/>
  <c r="AF7877" i="2"/>
  <c r="Y7877" i="2"/>
  <c r="Y7885" i="2"/>
  <c r="AF7885" i="2"/>
  <c r="AF7890" i="2"/>
  <c r="Y7890" i="2"/>
  <c r="AK7895" i="2"/>
  <c r="AC7895" i="2"/>
  <c r="AF7898" i="2"/>
  <c r="Y7898" i="2"/>
  <c r="Y7903" i="2"/>
  <c r="AC7903" i="2"/>
  <c r="AB7903" i="2"/>
  <c r="AK7903" i="2" s="1"/>
  <c r="AF7906" i="2"/>
  <c r="Y7906" i="2"/>
  <c r="Y7911" i="2"/>
  <c r="AC7911" i="2"/>
  <c r="AB7911" i="2"/>
  <c r="AK7911" i="2" s="1"/>
  <c r="AF7914" i="2"/>
  <c r="Y7914" i="2"/>
  <c r="Y7919" i="2"/>
  <c r="AB7919" i="2"/>
  <c r="AK7919" i="2" s="1"/>
  <c r="AC7919" i="2"/>
  <c r="AF7922" i="2"/>
  <c r="Y7922" i="2"/>
  <c r="Y7927" i="2"/>
  <c r="AC7927" i="2"/>
  <c r="AB7927" i="2"/>
  <c r="AK7927" i="2" s="1"/>
  <c r="AF7930" i="2"/>
  <c r="Y7930" i="2"/>
  <c r="AB7935" i="2"/>
  <c r="AK7935" i="2" s="1"/>
  <c r="AC7935" i="2"/>
  <c r="Y7935" i="2"/>
  <c r="AF7938" i="2"/>
  <c r="Y7938" i="2"/>
  <c r="AF7943" i="2"/>
  <c r="Y7943" i="2"/>
  <c r="AB7948" i="2"/>
  <c r="AK7948" i="2" s="1"/>
  <c r="Y7948" i="2"/>
  <c r="Y7951" i="2"/>
  <c r="AF7951" i="2"/>
  <c r="AF7956" i="2"/>
  <c r="Y7956" i="2"/>
  <c r="Y7961" i="2"/>
  <c r="AB7961" i="2"/>
  <c r="AK7961" i="2" s="1"/>
  <c r="AC7961" i="2"/>
  <c r="AF7964" i="2"/>
  <c r="Y7964" i="2"/>
  <c r="AB7969" i="2"/>
  <c r="AK7969" i="2" s="1"/>
  <c r="AC7969" i="2"/>
  <c r="Y7969" i="2"/>
  <c r="AF7972" i="2"/>
  <c r="Y7972" i="2"/>
  <c r="AF7980" i="2"/>
  <c r="Y7980" i="2"/>
  <c r="AB7985" i="2"/>
  <c r="AK7985" i="2" s="1"/>
  <c r="AC7985" i="2"/>
  <c r="Y7985" i="2"/>
  <c r="AC7991" i="2"/>
  <c r="AB7991" i="2"/>
  <c r="AK7991" i="2" s="1"/>
  <c r="AF7996" i="2"/>
  <c r="AH7996" i="2"/>
  <c r="Y7996" i="2"/>
  <c r="AC7999" i="2"/>
  <c r="AB7999" i="2"/>
  <c r="AK7999" i="2" s="1"/>
  <c r="Y7999" i="2"/>
  <c r="AC8007" i="2"/>
  <c r="Y8007" i="2"/>
  <c r="AB8007" i="2"/>
  <c r="AK8007" i="2" s="1"/>
  <c r="AF8012" i="2"/>
  <c r="Y8012" i="2"/>
  <c r="AH8012" i="2"/>
  <c r="Y8030" i="2"/>
  <c r="AF8030" i="2"/>
  <c r="Y8039" i="2"/>
  <c r="AC8039" i="2"/>
  <c r="AB8039" i="2"/>
  <c r="AK8039" i="2" s="1"/>
  <c r="AC8060" i="2"/>
  <c r="AB8060" i="2"/>
  <c r="AK8060" i="2" s="1"/>
  <c r="Y8060" i="2"/>
  <c r="Y8063" i="2"/>
  <c r="AC8063" i="2"/>
  <c r="AB8063" i="2"/>
  <c r="AK8063" i="2" s="1"/>
  <c r="AB8072" i="2"/>
  <c r="AK8072" i="2" s="1"/>
  <c r="Y8072" i="2"/>
  <c r="AC8072" i="2"/>
  <c r="AF8097" i="2"/>
  <c r="Y8097" i="2"/>
  <c r="AF8099" i="2"/>
  <c r="Y8099" i="2"/>
  <c r="AF8101" i="2"/>
  <c r="Y8101" i="2"/>
  <c r="AF8103" i="2"/>
  <c r="Y8103" i="2"/>
  <c r="AF8105" i="2"/>
  <c r="Y8105" i="2"/>
  <c r="AF8107" i="2"/>
  <c r="Y8107" i="2"/>
  <c r="AF8109" i="2"/>
  <c r="Y8109" i="2"/>
  <c r="AF8111" i="2"/>
  <c r="Y8111" i="2"/>
  <c r="AF8113" i="2"/>
  <c r="Y8113" i="2"/>
  <c r="AF8115" i="2"/>
  <c r="Y8115" i="2"/>
  <c r="AF8117" i="2"/>
  <c r="Y8117" i="2"/>
  <c r="AF8119" i="2"/>
  <c r="Y8119" i="2"/>
  <c r="AB8123" i="2"/>
  <c r="AK8123" i="2" s="1"/>
  <c r="Y8123" i="2"/>
  <c r="AC8123" i="2"/>
  <c r="Y8127" i="2"/>
  <c r="AC8127" i="2"/>
  <c r="AB8127" i="2"/>
  <c r="AK8127" i="2" s="1"/>
  <c r="AB8131" i="2"/>
  <c r="AK8131" i="2" s="1"/>
  <c r="Y8131" i="2"/>
  <c r="AC8131" i="2"/>
  <c r="Y8135" i="2"/>
  <c r="AC8135" i="2"/>
  <c r="AB8135" i="2"/>
  <c r="AK8135" i="2" s="1"/>
  <c r="AC8139" i="2"/>
  <c r="AB8139" i="2"/>
  <c r="AK8139" i="2" s="1"/>
  <c r="Y8139" i="2"/>
  <c r="AB8147" i="2"/>
  <c r="AK8147" i="2" s="1"/>
  <c r="AC8147" i="2"/>
  <c r="AB8151" i="2"/>
  <c r="AK8151" i="2" s="1"/>
  <c r="V8151" i="2"/>
  <c r="AD8151" i="2" s="1"/>
  <c r="Y8151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2779" i="2"/>
  <c r="Y3752" i="2"/>
  <c r="AF2805" i="2"/>
  <c r="AF2813" i="2"/>
  <c r="AF2821" i="2"/>
  <c r="AF2829" i="2"/>
  <c r="AF2871" i="2"/>
  <c r="AF2887" i="2"/>
  <c r="AF2903" i="2"/>
  <c r="AF2919" i="2"/>
  <c r="AF2927" i="2"/>
  <c r="AF2935" i="2"/>
  <c r="AF2943" i="2"/>
  <c r="AF2951" i="2"/>
  <c r="AF2959" i="2"/>
  <c r="AF3428" i="2"/>
  <c r="AF3436" i="2"/>
  <c r="AF3452" i="2"/>
  <c r="AF3468" i="2"/>
  <c r="AF3492" i="2"/>
  <c r="AF3500" i="2"/>
  <c r="Y7704" i="2"/>
  <c r="Y3284" i="2"/>
  <c r="AB3264" i="2"/>
  <c r="AK3264" i="2" s="1"/>
  <c r="Y3584" i="2"/>
  <c r="Y3366" i="2"/>
  <c r="Y3262" i="2"/>
  <c r="AC2815" i="2"/>
  <c r="Y3680" i="2"/>
  <c r="Y3282" i="2"/>
  <c r="AC7948" i="2"/>
  <c r="Y3276" i="2"/>
  <c r="Y3260" i="2"/>
  <c r="AB7605" i="2"/>
  <c r="AK7605" i="2" s="1"/>
  <c r="AB3274" i="2"/>
  <c r="AK3274" i="2" s="1"/>
  <c r="AB3258" i="2"/>
  <c r="AK3258" i="2" s="1"/>
  <c r="AF2790" i="2"/>
  <c r="AF2798" i="2"/>
  <c r="AF2806" i="2"/>
  <c r="AF2830" i="2"/>
  <c r="AF2838" i="2"/>
  <c r="AF2846" i="2"/>
  <c r="AF2849" i="2"/>
  <c r="AF2853" i="2"/>
  <c r="AF2856" i="2"/>
  <c r="AF2864" i="2"/>
  <c r="AF2896" i="2"/>
  <c r="AF2904" i="2"/>
  <c r="AF2912" i="2"/>
  <c r="AF2936" i="2"/>
  <c r="AF2952" i="2"/>
  <c r="AF2960" i="2"/>
  <c r="AF2968" i="2"/>
  <c r="AF2976" i="2"/>
  <c r="AF2984" i="2"/>
  <c r="AF2992" i="2"/>
  <c r="AF3000" i="2"/>
  <c r="Y3361" i="2"/>
  <c r="Y3379" i="2"/>
  <c r="Y3401" i="2"/>
  <c r="AF3434" i="2"/>
  <c r="AF3437" i="2"/>
  <c r="AF3445" i="2"/>
  <c r="AF3453" i="2"/>
  <c r="Y3458" i="2"/>
  <c r="AF3461" i="2"/>
  <c r="AF3466" i="2"/>
  <c r="AF3469" i="2"/>
  <c r="Y3474" i="2"/>
  <c r="AF3477" i="2"/>
  <c r="AF3485" i="2"/>
  <c r="Y3490" i="2"/>
  <c r="AF3493" i="2"/>
  <c r="AF3501" i="2"/>
  <c r="AF3509" i="2"/>
  <c r="AF3517" i="2"/>
  <c r="Y3522" i="2"/>
  <c r="AF3525" i="2"/>
  <c r="AF3533" i="2"/>
  <c r="AF3541" i="2"/>
  <c r="AF3546" i="2"/>
  <c r="AF3551" i="2"/>
  <c r="AF3554" i="2"/>
  <c r="Y3559" i="2"/>
  <c r="AF3562" i="2"/>
  <c r="AF3570" i="2"/>
  <c r="AF3575" i="2"/>
  <c r="AF3583" i="2"/>
  <c r="Y3588" i="2"/>
  <c r="AF3591" i="2"/>
  <c r="AF3596" i="2"/>
  <c r="AF3599" i="2"/>
  <c r="AF3607" i="2"/>
  <c r="Y3612" i="2"/>
  <c r="AF3615" i="2"/>
  <c r="Y3620" i="2"/>
  <c r="AF3623" i="2"/>
  <c r="AF3631" i="2"/>
  <c r="Y3636" i="2"/>
  <c r="AF3639" i="2"/>
  <c r="Y3644" i="2"/>
  <c r="AF3647" i="2"/>
  <c r="Y3652" i="2"/>
  <c r="AF3655" i="2"/>
  <c r="Y3660" i="2"/>
  <c r="AF3663" i="2"/>
  <c r="AF3671" i="2"/>
  <c r="AF3679" i="2"/>
  <c r="Y3684" i="2"/>
  <c r="AF3687" i="2"/>
  <c r="Y3692" i="2"/>
  <c r="AF3695" i="2"/>
  <c r="AF3703" i="2"/>
  <c r="Y3708" i="2"/>
  <c r="AF3711" i="2"/>
  <c r="Y3716" i="2"/>
  <c r="AF3719" i="2"/>
  <c r="Y3724" i="2"/>
  <c r="AF3727" i="2"/>
  <c r="AF3735" i="2"/>
  <c r="Y3675" i="2"/>
  <c r="Y3896" i="2"/>
  <c r="Y3712" i="2"/>
  <c r="Y3776" i="2"/>
  <c r="Y3748" i="2"/>
  <c r="AF3751" i="2"/>
  <c r="AF3759" i="2"/>
  <c r="Y3764" i="2"/>
  <c r="AF3767" i="2"/>
  <c r="Y3772" i="2"/>
  <c r="AF3775" i="2"/>
  <c r="AF3783" i="2"/>
  <c r="AF3791" i="2"/>
  <c r="AF3799" i="2"/>
  <c r="Y3812" i="2"/>
  <c r="AF3815" i="2"/>
  <c r="AF3823" i="2"/>
  <c r="Y3828" i="2"/>
  <c r="Y3833" i="2"/>
  <c r="AF3836" i="2"/>
  <c r="AF3844" i="2"/>
  <c r="AF3852" i="2"/>
  <c r="AF3860" i="2"/>
  <c r="AF3868" i="2"/>
  <c r="AF3876" i="2"/>
  <c r="AF3884" i="2"/>
  <c r="Y3889" i="2"/>
  <c r="Y3897" i="2"/>
  <c r="Y3905" i="2"/>
  <c r="AF3908" i="2"/>
  <c r="AF3916" i="2"/>
  <c r="Y3929" i="2"/>
  <c r="AF3932" i="2"/>
  <c r="AF3940" i="2"/>
  <c r="Y3945" i="2"/>
  <c r="AF3948" i="2"/>
  <c r="Y3953" i="2"/>
  <c r="AF3956" i="2"/>
  <c r="AF3964" i="2"/>
  <c r="AF3972" i="2"/>
  <c r="AF3980" i="2"/>
  <c r="Y3985" i="2"/>
  <c r="AF3996" i="2"/>
  <c r="AF4004" i="2"/>
  <c r="Y4009" i="2"/>
  <c r="AF4012" i="2"/>
  <c r="AF4020" i="2"/>
  <c r="AF4028" i="2"/>
  <c r="AF4036" i="2"/>
  <c r="Y4041" i="2"/>
  <c r="AF4044" i="2"/>
  <c r="AF4052" i="2"/>
  <c r="AF4060" i="2"/>
  <c r="AF4068" i="2"/>
  <c r="AF4076" i="2"/>
  <c r="AF4084" i="2"/>
  <c r="AF4086" i="2"/>
  <c r="Y4091" i="2"/>
  <c r="AF4094" i="2"/>
  <c r="AF4102" i="2"/>
  <c r="Y4112" i="2"/>
  <c r="AF4115" i="2"/>
  <c r="Y4120" i="2"/>
  <c r="AF4123" i="2"/>
  <c r="AF4131" i="2"/>
  <c r="AF4139" i="2"/>
  <c r="Y4144" i="2"/>
  <c r="AF4147" i="2"/>
  <c r="Y4152" i="2"/>
  <c r="AF4155" i="2"/>
  <c r="AF4163" i="2"/>
  <c r="AF4171" i="2"/>
  <c r="AF4179" i="2"/>
  <c r="Y4184" i="2"/>
  <c r="AF4203" i="2"/>
  <c r="Y4208" i="2"/>
  <c r="AF4211" i="2"/>
  <c r="AF4219" i="2"/>
  <c r="AF4227" i="2"/>
  <c r="Y4232" i="2"/>
  <c r="AF4235" i="2"/>
  <c r="R117" i="3"/>
  <c r="T117" i="3" s="1"/>
  <c r="U117" i="3" s="1"/>
  <c r="V117" i="3" s="1"/>
  <c r="Y4240" i="2"/>
  <c r="AF4243" i="2"/>
  <c r="AF4251" i="2"/>
  <c r="AF4259" i="2"/>
  <c r="AF4272" i="2"/>
  <c r="Y4277" i="2"/>
  <c r="AF4280" i="2"/>
  <c r="Y4285" i="2"/>
  <c r="AF4288" i="2"/>
  <c r="Y4293" i="2"/>
  <c r="AF4296" i="2"/>
  <c r="AF4304" i="2"/>
  <c r="Y4309" i="2"/>
  <c r="AF4312" i="2"/>
  <c r="Y4317" i="2"/>
  <c r="AF4328" i="2"/>
  <c r="AF4333" i="2"/>
  <c r="AF4341" i="2"/>
  <c r="AF4354" i="2"/>
  <c r="AF4362" i="2"/>
  <c r="Y4367" i="2"/>
  <c r="AF4370" i="2"/>
  <c r="AF4378" i="2"/>
  <c r="AF4391" i="2"/>
  <c r="AF4398" i="2"/>
  <c r="AF4401" i="2"/>
  <c r="AF4406" i="2"/>
  <c r="AF4409" i="2"/>
  <c r="AF4414" i="2"/>
  <c r="AF4417" i="2"/>
  <c r="AF4422" i="2"/>
  <c r="AF4425" i="2"/>
  <c r="AF4433" i="2"/>
  <c r="AF4438" i="2"/>
  <c r="AF4457" i="2"/>
  <c r="Y4459" i="2"/>
  <c r="AF4462" i="2"/>
  <c r="AF4470" i="2"/>
  <c r="AF4473" i="2"/>
  <c r="AF4478" i="2"/>
  <c r="AF4481" i="2"/>
  <c r="AF4486" i="2"/>
  <c r="AF4489" i="2"/>
  <c r="AF4494" i="2"/>
  <c r="AF4497" i="2"/>
  <c r="AF4502" i="2"/>
  <c r="AF4505" i="2"/>
  <c r="AF4507" i="2"/>
  <c r="AF4512" i="2"/>
  <c r="AF4517" i="2"/>
  <c r="AF4520" i="2"/>
  <c r="AF4525" i="2"/>
  <c r="AF4528" i="2"/>
  <c r="AF4536" i="2"/>
  <c r="AF4541" i="2"/>
  <c r="AF4549" i="2"/>
  <c r="AF4551" i="2"/>
  <c r="AF4554" i="2"/>
  <c r="AF4559" i="2"/>
  <c r="AF4564" i="2"/>
  <c r="AF4575" i="2"/>
  <c r="AF4580" i="2"/>
  <c r="AF4588" i="2"/>
  <c r="AF4593" i="2"/>
  <c r="AF4596" i="2"/>
  <c r="AF4601" i="2"/>
  <c r="AF4604" i="2"/>
  <c r="AF4609" i="2"/>
  <c r="AF4612" i="2"/>
  <c r="AF4617" i="2"/>
  <c r="AF4620" i="2"/>
  <c r="AF4625" i="2"/>
  <c r="AF4633" i="2"/>
  <c r="AF4636" i="2"/>
  <c r="AF4641" i="2"/>
  <c r="AF4644" i="2"/>
  <c r="AF4646" i="2"/>
  <c r="AF4649" i="2"/>
  <c r="AF4654" i="2"/>
  <c r="AF4656" i="2"/>
  <c r="AF4666" i="2"/>
  <c r="AF4668" i="2"/>
  <c r="AF4670" i="2"/>
  <c r="AF4674" i="2"/>
  <c r="AF4680" i="2"/>
  <c r="AF4682" i="2"/>
  <c r="AF4684" i="2"/>
  <c r="AF4696" i="2"/>
  <c r="AF4748" i="2"/>
  <c r="AF4764" i="2"/>
  <c r="AF4768" i="2"/>
  <c r="AF4774" i="2"/>
  <c r="AF4778" i="2"/>
  <c r="AF4782" i="2"/>
  <c r="AF4784" i="2"/>
  <c r="AF4786" i="2"/>
  <c r="AF4788" i="2"/>
  <c r="AF4790" i="2"/>
  <c r="AF4792" i="2"/>
  <c r="AF4794" i="2"/>
  <c r="AF4798" i="2"/>
  <c r="AF4804" i="2"/>
  <c r="AF4806" i="2"/>
  <c r="AF4808" i="2"/>
  <c r="AF4810" i="2"/>
  <c r="AF4812" i="2"/>
  <c r="R86" i="3"/>
  <c r="T86" i="3" s="1"/>
  <c r="U86" i="3" s="1"/>
  <c r="V86" i="3" s="1"/>
  <c r="Y3976" i="2"/>
  <c r="Y4000" i="2"/>
  <c r="Y4040" i="2"/>
  <c r="Y4064" i="2"/>
  <c r="Y4080" i="2"/>
  <c r="Y4098" i="2"/>
  <c r="Y4263" i="2"/>
  <c r="Y4268" i="2"/>
  <c r="Y4284" i="2"/>
  <c r="Y4292" i="2"/>
  <c r="Y4324" i="2"/>
  <c r="Y4350" i="2"/>
  <c r="Y4366" i="2"/>
  <c r="AF5385" i="2"/>
  <c r="R141" i="3"/>
  <c r="T141" i="3" s="1"/>
  <c r="U141" i="3" s="1"/>
  <c r="V141" i="3" s="1"/>
  <c r="AC5422" i="2"/>
  <c r="Y5381" i="2"/>
  <c r="AC5410" i="2"/>
  <c r="AB5458" i="2"/>
  <c r="AK5458" i="2" s="1"/>
  <c r="Y5405" i="2"/>
  <c r="AB5575" i="2"/>
  <c r="AK5575" i="2" s="1"/>
  <c r="Y5413" i="2"/>
  <c r="AF5392" i="2"/>
  <c r="AC5397" i="2"/>
  <c r="AB5397" i="2"/>
  <c r="AK5397" i="2" s="1"/>
  <c r="AF5432" i="2"/>
  <c r="AB5450" i="2"/>
  <c r="AK5450" i="2" s="1"/>
  <c r="Y5450" i="2"/>
  <c r="AF5453" i="2"/>
  <c r="AF5485" i="2"/>
  <c r="Y5498" i="2"/>
  <c r="Y5506" i="2"/>
  <c r="AB5514" i="2"/>
  <c r="AK5514" i="2" s="1"/>
  <c r="AC5514" i="2"/>
  <c r="AF5517" i="2"/>
  <c r="Y5538" i="2"/>
  <c r="AF5549" i="2"/>
  <c r="AF5565" i="2"/>
  <c r="AF5573" i="2"/>
  <c r="AB5578" i="2"/>
  <c r="AK5578" i="2" s="1"/>
  <c r="Y5578" i="2"/>
  <c r="AF5581" i="2"/>
  <c r="AC5586" i="2"/>
  <c r="AB5586" i="2"/>
  <c r="AK5586" i="2" s="1"/>
  <c r="AC5591" i="2"/>
  <c r="AB5591" i="2"/>
  <c r="AK5591" i="2" s="1"/>
  <c r="AF5602" i="2"/>
  <c r="AF5610" i="2"/>
  <c r="AF5618" i="2"/>
  <c r="AF5650" i="2"/>
  <c r="AC5378" i="2"/>
  <c r="AB5378" i="2"/>
  <c r="AK5378" i="2" s="1"/>
  <c r="Y5386" i="2"/>
  <c r="AC5386" i="2"/>
  <c r="AB5394" i="2"/>
  <c r="AK5394" i="2" s="1"/>
  <c r="Y5394" i="2"/>
  <c r="AC5447" i="2"/>
  <c r="AB5447" i="2"/>
  <c r="AK5447" i="2" s="1"/>
  <c r="AC5487" i="2"/>
  <c r="AB5487" i="2"/>
  <c r="AK5487" i="2" s="1"/>
  <c r="AB5503" i="2"/>
  <c r="AK5503" i="2" s="1"/>
  <c r="Y5503" i="2"/>
  <c r="AB5543" i="2"/>
  <c r="AK5543" i="2" s="1"/>
  <c r="Y5543" i="2"/>
  <c r="AK5559" i="2"/>
  <c r="AC5559" i="2"/>
  <c r="Y5559" i="2"/>
  <c r="AC5588" i="2"/>
  <c r="AB5588" i="2"/>
  <c r="AK5588" i="2" s="1"/>
  <c r="Y5588" i="2"/>
  <c r="AC5604" i="2"/>
  <c r="AB5604" i="2"/>
  <c r="AK5604" i="2" s="1"/>
  <c r="AK5644" i="2"/>
  <c r="Y5644" i="2"/>
  <c r="AC5463" i="2"/>
  <c r="Y5447" i="2"/>
  <c r="Y5471" i="2"/>
  <c r="Y5596" i="2"/>
  <c r="AC5394" i="2"/>
  <c r="Y5487" i="2"/>
  <c r="AB5527" i="2"/>
  <c r="AK5527" i="2" s="1"/>
  <c r="AC5490" i="2"/>
  <c r="AC5398" i="2"/>
  <c r="AB5410" i="2"/>
  <c r="AK5410" i="2" s="1"/>
  <c r="AB5434" i="2"/>
  <c r="AK5434" i="2" s="1"/>
  <c r="AB5386" i="2"/>
  <c r="AK5386" i="2" s="1"/>
  <c r="AC5430" i="2"/>
  <c r="AB5430" i="2"/>
  <c r="AK5430" i="2" s="1"/>
  <c r="AC5443" i="2"/>
  <c r="AB5443" i="2"/>
  <c r="AK5443" i="2" s="1"/>
  <c r="AC5467" i="2"/>
  <c r="AB5467" i="2"/>
  <c r="AK5467" i="2" s="1"/>
  <c r="AC5491" i="2"/>
  <c r="AB5491" i="2"/>
  <c r="AK5491" i="2" s="1"/>
  <c r="AF5502" i="2"/>
  <c r="AC5515" i="2"/>
  <c r="Y5515" i="2"/>
  <c r="AC5531" i="2"/>
  <c r="AB5531" i="2"/>
  <c r="AK5531" i="2" s="1"/>
  <c r="AB5539" i="2"/>
  <c r="AK5539" i="2" s="1"/>
  <c r="AC5539" i="2"/>
  <c r="Y5608" i="2"/>
  <c r="AF5747" i="2"/>
  <c r="AB5668" i="2"/>
  <c r="AK5668" i="2" s="1"/>
  <c r="AC5600" i="2"/>
  <c r="Y5615" i="2"/>
  <c r="AB5607" i="2"/>
  <c r="AK5607" i="2" s="1"/>
  <c r="Y5716" i="2"/>
  <c r="Y5423" i="2"/>
  <c r="Y5639" i="2"/>
  <c r="AB154" i="2"/>
  <c r="AK154" i="2" s="1"/>
  <c r="AC154" i="2"/>
  <c r="AB160" i="2"/>
  <c r="AK160" i="2" s="1"/>
  <c r="AC160" i="2"/>
  <c r="AB250" i="2"/>
  <c r="AK250" i="2" s="1"/>
  <c r="AC250" i="2"/>
  <c r="AB825" i="2"/>
  <c r="AK825" i="2" s="1"/>
  <c r="AC825" i="2"/>
  <c r="AB863" i="2"/>
  <c r="AK863" i="2" s="1"/>
  <c r="AC863" i="2"/>
  <c r="AB885" i="2"/>
  <c r="AK885" i="2" s="1"/>
  <c r="AC885" i="2"/>
  <c r="AB895" i="2"/>
  <c r="AK895" i="2" s="1"/>
  <c r="AC895" i="2"/>
  <c r="AB921" i="2"/>
  <c r="AK921" i="2" s="1"/>
  <c r="AC921" i="2"/>
  <c r="AB987" i="2"/>
  <c r="AK987" i="2" s="1"/>
  <c r="AC987" i="2"/>
  <c r="AC831" i="2"/>
  <c r="AB691" i="2"/>
  <c r="AK691" i="2" s="1"/>
  <c r="AC691" i="2"/>
  <c r="AB1139" i="2"/>
  <c r="AK1139" i="2" s="1"/>
  <c r="AC1139" i="2"/>
  <c r="AB1145" i="2"/>
  <c r="AK1145" i="2" s="1"/>
  <c r="AC1145" i="2"/>
  <c r="AC1265" i="2"/>
  <c r="AB1265" i="2"/>
  <c r="AK1265" i="2" s="1"/>
  <c r="AB1323" i="2"/>
  <c r="AK1323" i="2" s="1"/>
  <c r="AC1323" i="2"/>
  <c r="AB1337" i="2"/>
  <c r="AK1337" i="2" s="1"/>
  <c r="AC1337" i="2"/>
  <c r="AH3385" i="2"/>
  <c r="AF3385" i="2"/>
  <c r="Y3405" i="2"/>
  <c r="AH3405" i="2"/>
  <c r="Y3442" i="2"/>
  <c r="AF3442" i="2"/>
  <c r="AB3463" i="2"/>
  <c r="AK3463" i="2" s="1"/>
  <c r="AC3463" i="2"/>
  <c r="AB241" i="2"/>
  <c r="AK241" i="2" s="1"/>
  <c r="AC241" i="2"/>
  <c r="AB849" i="2"/>
  <c r="AK849" i="2" s="1"/>
  <c r="AC849" i="2"/>
  <c r="AB861" i="2"/>
  <c r="AK861" i="2" s="1"/>
  <c r="AC861" i="2"/>
  <c r="R20" i="3"/>
  <c r="T20" i="3" s="1"/>
  <c r="U20" i="3" s="1"/>
  <c r="V20" i="3" s="1"/>
  <c r="AB871" i="2"/>
  <c r="AK871" i="2" s="1"/>
  <c r="AC871" i="2"/>
  <c r="AB883" i="2"/>
  <c r="AK883" i="2" s="1"/>
  <c r="AC883" i="2"/>
  <c r="AC164" i="2"/>
  <c r="AC777" i="2"/>
  <c r="AC295" i="2"/>
  <c r="AC170" i="2"/>
  <c r="AB657" i="2"/>
  <c r="AK657" i="2" s="1"/>
  <c r="AC657" i="2"/>
  <c r="AB1075" i="2"/>
  <c r="AK1075" i="2" s="1"/>
  <c r="AC1075" i="2"/>
  <c r="AB1179" i="2"/>
  <c r="AK1179" i="2" s="1"/>
  <c r="AC1179" i="2"/>
  <c r="AB1205" i="2"/>
  <c r="AK1205" i="2" s="1"/>
  <c r="Y1205" i="2"/>
  <c r="AC1205" i="2"/>
  <c r="AB1319" i="2"/>
  <c r="AK1319" i="2" s="1"/>
  <c r="AC1319" i="2"/>
  <c r="AB1355" i="2"/>
  <c r="AK1355" i="2" s="1"/>
  <c r="AC1355" i="2"/>
  <c r="AB1683" i="2"/>
  <c r="AK1683" i="2" s="1"/>
  <c r="Y1683" i="2"/>
  <c r="AC1683" i="2"/>
  <c r="AF192" i="2"/>
  <c r="AC370" i="2"/>
  <c r="AC117" i="2"/>
  <c r="AC611" i="2"/>
  <c r="AC617" i="2"/>
  <c r="AC775" i="2"/>
  <c r="AC785" i="2"/>
  <c r="AC1191" i="2"/>
  <c r="AC315" i="2"/>
  <c r="AC715" i="2"/>
  <c r="AC279" i="2"/>
  <c r="AC115" i="2"/>
  <c r="AC156" i="2"/>
  <c r="AC827" i="2"/>
  <c r="AC811" i="2"/>
  <c r="AC687" i="2"/>
  <c r="AC905" i="2"/>
  <c r="AC1215" i="2"/>
  <c r="Y1232" i="2"/>
  <c r="AB1221" i="2"/>
  <c r="AK1221" i="2" s="1"/>
  <c r="AB81" i="2"/>
  <c r="AK81" i="2" s="1"/>
  <c r="AC81" i="2"/>
  <c r="AB797" i="2"/>
  <c r="AK797" i="2" s="1"/>
  <c r="AC797" i="2"/>
  <c r="AB809" i="2"/>
  <c r="AK809" i="2" s="1"/>
  <c r="AC809" i="2"/>
  <c r="AB833" i="2"/>
  <c r="AK833" i="2" s="1"/>
  <c r="AC833" i="2"/>
  <c r="AB873" i="2"/>
  <c r="AK873" i="2" s="1"/>
  <c r="AC873" i="2"/>
  <c r="AC913" i="2"/>
  <c r="AB637" i="2"/>
  <c r="AK637" i="2" s="1"/>
  <c r="AC637" i="2"/>
  <c r="AB669" i="2"/>
  <c r="AK669" i="2" s="1"/>
  <c r="AC669" i="2"/>
  <c r="AB673" i="2"/>
  <c r="AK673" i="2" s="1"/>
  <c r="AC673" i="2"/>
  <c r="AB727" i="2"/>
  <c r="AK727" i="2" s="1"/>
  <c r="AC727" i="2"/>
  <c r="AB1087" i="2"/>
  <c r="AK1087" i="2" s="1"/>
  <c r="AC1087" i="2"/>
  <c r="AB1093" i="2"/>
  <c r="AK1093" i="2" s="1"/>
  <c r="AC1093" i="2"/>
  <c r="AB1119" i="2"/>
  <c r="AK1119" i="2" s="1"/>
  <c r="Y1119" i="2"/>
  <c r="AB1161" i="2"/>
  <c r="AK1161" i="2" s="1"/>
  <c r="AC1161" i="2"/>
  <c r="AB1167" i="2"/>
  <c r="AK1167" i="2" s="1"/>
  <c r="AC1167" i="2"/>
  <c r="AB1189" i="2"/>
  <c r="AK1189" i="2" s="1"/>
  <c r="AC1189" i="2"/>
  <c r="AB1255" i="2"/>
  <c r="AK1255" i="2" s="1"/>
  <c r="AC1255" i="2"/>
  <c r="AB1341" i="2"/>
  <c r="AK1341" i="2" s="1"/>
  <c r="Y1341" i="2"/>
  <c r="AB1679" i="2"/>
  <c r="AK1679" i="2" s="1"/>
  <c r="Y1679" i="2"/>
  <c r="AC1679" i="2"/>
  <c r="AC416" i="2"/>
  <c r="AC729" i="2"/>
  <c r="AC1149" i="2"/>
  <c r="AC390" i="2"/>
  <c r="AC95" i="2"/>
  <c r="AC340" i="2"/>
  <c r="AC408" i="2"/>
  <c r="AC15" i="2"/>
  <c r="AC1000" i="2"/>
  <c r="AC219" i="2"/>
  <c r="AC217" i="2"/>
  <c r="AC1351" i="2"/>
  <c r="AC260" i="2"/>
  <c r="AC821" i="2"/>
  <c r="AC384" i="2"/>
  <c r="AC783" i="2"/>
  <c r="AC793" i="2"/>
  <c r="AC1095" i="2"/>
  <c r="AC1115" i="2"/>
  <c r="AC1171" i="2"/>
  <c r="AC1211" i="2"/>
  <c r="AC287" i="2"/>
  <c r="AC504" i="2"/>
  <c r="AC548" i="2"/>
  <c r="AC1311" i="2"/>
  <c r="AC907" i="2"/>
  <c r="AC917" i="2"/>
  <c r="AC544" i="2"/>
  <c r="AC903" i="2"/>
  <c r="AC1032" i="2"/>
  <c r="Y1203" i="2"/>
  <c r="AB891" i="2"/>
  <c r="AK891" i="2" s="1"/>
  <c r="AC891" i="2"/>
  <c r="AB933" i="2"/>
  <c r="AK933" i="2" s="1"/>
  <c r="AC933" i="2"/>
  <c r="AB1685" i="2"/>
  <c r="AK1685" i="2" s="1"/>
  <c r="Y1685" i="2"/>
  <c r="AC1685" i="2"/>
  <c r="AC289" i="2"/>
  <c r="AK649" i="2"/>
  <c r="AC649" i="2"/>
  <c r="AB703" i="2"/>
  <c r="AK703" i="2" s="1"/>
  <c r="AC703" i="2"/>
  <c r="AB757" i="2"/>
  <c r="AK757" i="2" s="1"/>
  <c r="AC757" i="2"/>
  <c r="AB1129" i="2"/>
  <c r="AK1129" i="2" s="1"/>
  <c r="Y1129" i="2"/>
  <c r="AB1201" i="2"/>
  <c r="AK1201" i="2" s="1"/>
  <c r="AC1201" i="2"/>
  <c r="AC1271" i="2"/>
  <c r="AB1271" i="2"/>
  <c r="AK1271" i="2" s="1"/>
  <c r="AB1596" i="2"/>
  <c r="AK1596" i="2" s="1"/>
  <c r="AC1596" i="2"/>
  <c r="AB2116" i="2"/>
  <c r="AK2116" i="2" s="1"/>
  <c r="Y2116" i="2"/>
  <c r="AC2116" i="2"/>
  <c r="AF63" i="2"/>
  <c r="AC309" i="2"/>
  <c r="AC1353" i="2"/>
  <c r="AC211" i="2"/>
  <c r="AC148" i="2"/>
  <c r="AC83" i="2"/>
  <c r="AC43" i="2"/>
  <c r="AC1141" i="2"/>
  <c r="AC1339" i="2"/>
  <c r="AC378" i="2"/>
  <c r="AC621" i="2"/>
  <c r="AC271" i="2"/>
  <c r="AC829" i="2"/>
  <c r="AC801" i="2"/>
  <c r="AC1097" i="2"/>
  <c r="AC329" i="2"/>
  <c r="AC1221" i="2"/>
  <c r="AC1187" i="2"/>
  <c r="AC1223" i="2"/>
  <c r="AC693" i="2"/>
  <c r="AC291" i="2"/>
  <c r="AC550" i="2"/>
  <c r="AC919" i="2"/>
  <c r="AC899" i="2"/>
  <c r="AC552" i="2"/>
  <c r="AC540" i="2"/>
  <c r="AC285" i="2"/>
  <c r="AC975" i="2"/>
  <c r="AC1329" i="2"/>
  <c r="AC1594" i="2"/>
  <c r="Y1185" i="2"/>
  <c r="AB779" i="2"/>
  <c r="AK779" i="2" s="1"/>
  <c r="AC779" i="2"/>
  <c r="AB787" i="2"/>
  <c r="AK787" i="2" s="1"/>
  <c r="AC787" i="2"/>
  <c r="AB865" i="2"/>
  <c r="AK865" i="2" s="1"/>
  <c r="AC865" i="2"/>
  <c r="AB877" i="2"/>
  <c r="AK877" i="2" s="1"/>
  <c r="AC877" i="2"/>
  <c r="AB989" i="2"/>
  <c r="AK989" i="2" s="1"/>
  <c r="AC989" i="2"/>
  <c r="AB1391" i="2"/>
  <c r="AK1391" i="2" s="1"/>
  <c r="AC1391" i="2"/>
  <c r="AC789" i="2"/>
  <c r="AB1071" i="2"/>
  <c r="AK1071" i="2" s="1"/>
  <c r="AC1071" i="2"/>
  <c r="AB1089" i="2"/>
  <c r="AK1089" i="2" s="1"/>
  <c r="AC1089" i="2"/>
  <c r="AB1121" i="2"/>
  <c r="AK1121" i="2" s="1"/>
  <c r="AC1121" i="2"/>
  <c r="AB1261" i="2"/>
  <c r="AK1261" i="2" s="1"/>
  <c r="AC1261" i="2"/>
  <c r="AB1333" i="2"/>
  <c r="AK1333" i="2" s="1"/>
  <c r="AC1333" i="2"/>
  <c r="AB1357" i="2"/>
  <c r="AK1357" i="2" s="1"/>
  <c r="Y1357" i="2"/>
  <c r="R11" i="3"/>
  <c r="T11" i="3" s="1"/>
  <c r="U11" i="3" s="1"/>
  <c r="V11" i="3" s="1"/>
  <c r="AC93" i="2"/>
  <c r="AC404" i="2"/>
  <c r="AC319" i="2"/>
  <c r="AC342" i="2"/>
  <c r="AC994" i="2"/>
  <c r="AC1169" i="2"/>
  <c r="AC1137" i="2"/>
  <c r="AC1347" i="2"/>
  <c r="AC356" i="2"/>
  <c r="AC476" i="2"/>
  <c r="AC625" i="2"/>
  <c r="AC623" i="2"/>
  <c r="AC500" i="2"/>
  <c r="AC807" i="2"/>
  <c r="AC817" i="2"/>
  <c r="AC1119" i="2"/>
  <c r="AC1105" i="2"/>
  <c r="AC1177" i="2"/>
  <c r="AC1195" i="2"/>
  <c r="AC510" i="2"/>
  <c r="AC991" i="2"/>
  <c r="AC1253" i="2"/>
  <c r="AC1315" i="2"/>
  <c r="AC556" i="2"/>
  <c r="AC887" i="2"/>
  <c r="AC532" i="2"/>
  <c r="AC867" i="2"/>
  <c r="AC859" i="2"/>
  <c r="AC985" i="2"/>
  <c r="AC1022" i="2"/>
  <c r="AC771" i="2"/>
  <c r="AC1592" i="2"/>
  <c r="AC1598" i="2"/>
  <c r="AC1217" i="2"/>
  <c r="AC767" i="2"/>
  <c r="Y1523" i="2"/>
  <c r="AB103" i="2"/>
  <c r="AK103" i="2" s="1"/>
  <c r="AC103" i="2"/>
  <c r="AB823" i="2"/>
  <c r="AK823" i="2" s="1"/>
  <c r="AC823" i="2"/>
  <c r="AB879" i="2"/>
  <c r="AK879" i="2" s="1"/>
  <c r="AC879" i="2"/>
  <c r="AB889" i="2"/>
  <c r="AK889" i="2" s="1"/>
  <c r="AC889" i="2"/>
  <c r="AB1375" i="2"/>
  <c r="AK1375" i="2" s="1"/>
  <c r="AC1375" i="2"/>
  <c r="R8" i="3"/>
  <c r="AB1259" i="2"/>
  <c r="AK1259" i="2" s="1"/>
  <c r="AC1259" i="2"/>
  <c r="AB1327" i="2"/>
  <c r="AK1327" i="2" s="1"/>
  <c r="AC1327" i="2"/>
  <c r="AB1369" i="2"/>
  <c r="AK1369" i="2" s="1"/>
  <c r="AC1369" i="2"/>
  <c r="AB1600" i="2"/>
  <c r="AK1600" i="2" s="1"/>
  <c r="AC1600" i="2"/>
  <c r="AB2118" i="2"/>
  <c r="AK2118" i="2" s="1"/>
  <c r="Y2118" i="2"/>
  <c r="AC2118" i="2"/>
  <c r="AC368" i="2"/>
  <c r="AC1004" i="2"/>
  <c r="AF202" i="2"/>
  <c r="AC283" i="2"/>
  <c r="AC233" i="2"/>
  <c r="AC101" i="2"/>
  <c r="AC394" i="2"/>
  <c r="AC996" i="2"/>
  <c r="AC131" i="2"/>
  <c r="AF139" i="2"/>
  <c r="AC358" i="2"/>
  <c r="AC317" i="2"/>
  <c r="AC182" i="2"/>
  <c r="AC178" i="2"/>
  <c r="AC1163" i="2"/>
  <c r="AC1133" i="2"/>
  <c r="AC575" i="2"/>
  <c r="AC448" i="2"/>
  <c r="AC382" i="2"/>
  <c r="AF31" i="2"/>
  <c r="AC1371" i="2"/>
  <c r="AC254" i="2"/>
  <c r="AC761" i="2"/>
  <c r="AC472" i="2"/>
  <c r="AC815" i="2"/>
  <c r="AC1113" i="2"/>
  <c r="AC1185" i="2"/>
  <c r="AC705" i="2"/>
  <c r="AC301" i="2"/>
  <c r="AC496" i="2"/>
  <c r="AC1273" i="2"/>
  <c r="AC1325" i="2"/>
  <c r="AC528" i="2"/>
  <c r="AC881" i="2"/>
  <c r="AC901" i="2"/>
  <c r="AC1046" i="2"/>
  <c r="AC911" i="2"/>
  <c r="AC1365" i="2"/>
  <c r="AC1449" i="2"/>
  <c r="Y2122" i="2"/>
  <c r="Y11" i="2"/>
  <c r="AA11" i="2"/>
  <c r="AB11" i="2" s="1"/>
  <c r="AK11" i="2" s="1"/>
  <c r="AB27" i="2"/>
  <c r="AK27" i="2" s="1"/>
  <c r="AC27" i="2"/>
  <c r="AB39" i="2"/>
  <c r="AC39" i="2"/>
  <c r="AF141" i="2"/>
  <c r="Y141" i="2"/>
  <c r="AB258" i="2"/>
  <c r="AK258" i="2" s="1"/>
  <c r="AC258" i="2"/>
  <c r="AB313" i="2"/>
  <c r="AK313" i="2" s="1"/>
  <c r="AC313" i="2"/>
  <c r="AB325" i="2"/>
  <c r="AK325" i="2" s="1"/>
  <c r="AC325" i="2"/>
  <c r="AB346" i="2"/>
  <c r="AK346" i="2" s="1"/>
  <c r="AC346" i="2"/>
  <c r="AB354" i="2"/>
  <c r="AK354" i="2" s="1"/>
  <c r="AC354" i="2"/>
  <c r="AB362" i="2"/>
  <c r="AK362" i="2" s="1"/>
  <c r="AC362" i="2"/>
  <c r="AB376" i="2"/>
  <c r="AK376" i="2" s="1"/>
  <c r="AC376" i="2"/>
  <c r="AB402" i="2"/>
  <c r="AK402" i="2" s="1"/>
  <c r="AC402" i="2"/>
  <c r="AB412" i="2"/>
  <c r="AK412" i="2" s="1"/>
  <c r="AC412" i="2"/>
  <c r="AB418" i="2"/>
  <c r="AK418" i="2" s="1"/>
  <c r="AC418" i="2"/>
  <c r="AB434" i="2"/>
  <c r="AK434" i="2" s="1"/>
  <c r="AC434" i="2"/>
  <c r="AB436" i="2"/>
  <c r="AK436" i="2" s="1"/>
  <c r="AC436" i="2"/>
  <c r="AB440" i="2"/>
  <c r="AK440" i="2" s="1"/>
  <c r="AC440" i="2"/>
  <c r="AB466" i="2"/>
  <c r="AK466" i="2" s="1"/>
  <c r="AC466" i="2"/>
  <c r="AB468" i="2"/>
  <c r="AK468" i="2" s="1"/>
  <c r="AC468" i="2"/>
  <c r="AB474" i="2"/>
  <c r="AK474" i="2" s="1"/>
  <c r="AC474" i="2"/>
  <c r="AB492" i="2"/>
  <c r="AK492" i="2" s="1"/>
  <c r="AC492" i="2"/>
  <c r="AB508" i="2"/>
  <c r="AK508" i="2" s="1"/>
  <c r="AC508" i="2"/>
  <c r="AB512" i="2"/>
  <c r="AK512" i="2" s="1"/>
  <c r="AC512" i="2"/>
  <c r="AB516" i="2"/>
  <c r="AC516" i="2"/>
  <c r="AB526" i="2"/>
  <c r="AK526" i="2" s="1"/>
  <c r="AC526" i="2"/>
  <c r="AB542" i="2"/>
  <c r="AC542" i="2"/>
  <c r="AB560" i="2"/>
  <c r="AK560" i="2" s="1"/>
  <c r="AC560" i="2"/>
  <c r="Y572" i="2"/>
  <c r="AF572" i="2"/>
  <c r="AB1014" i="2"/>
  <c r="AK1014" i="2" s="1"/>
  <c r="AC1014" i="2"/>
  <c r="AB1018" i="2"/>
  <c r="AK1018" i="2" s="1"/>
  <c r="AC1018" i="2"/>
  <c r="AB1038" i="2"/>
  <c r="AK1038" i="2" s="1"/>
  <c r="AC1038" i="2"/>
  <c r="AB1407" i="2"/>
  <c r="AK1407" i="2" s="1"/>
  <c r="AC1407" i="2"/>
  <c r="AB1411" i="2"/>
  <c r="AK1411" i="2" s="1"/>
  <c r="AC1411" i="2"/>
  <c r="AB1415" i="2"/>
  <c r="AK1415" i="2" s="1"/>
  <c r="Y1415" i="2"/>
  <c r="AB1419" i="2"/>
  <c r="AK1419" i="2" s="1"/>
  <c r="AC1419" i="2"/>
  <c r="AB1423" i="2"/>
  <c r="AK1423" i="2" s="1"/>
  <c r="AC1423" i="2"/>
  <c r="AB1431" i="2"/>
  <c r="AK1431" i="2" s="1"/>
  <c r="AC1431" i="2"/>
  <c r="AB1435" i="2"/>
  <c r="AK1435" i="2" s="1"/>
  <c r="AC1435" i="2"/>
  <c r="Y1443" i="2"/>
  <c r="AB1447" i="2"/>
  <c r="AK1447" i="2" s="1"/>
  <c r="AC1447" i="2"/>
  <c r="AB1451" i="2"/>
  <c r="AK1451" i="2" s="1"/>
  <c r="AC1451" i="2"/>
  <c r="AB1453" i="2"/>
  <c r="AK1453" i="2" s="1"/>
  <c r="AC1453" i="2"/>
  <c r="AB1461" i="2"/>
  <c r="AK1461" i="2" s="1"/>
  <c r="AC1461" i="2"/>
  <c r="AC1469" i="2"/>
  <c r="AB1469" i="2"/>
  <c r="AK1469" i="2" s="1"/>
  <c r="AB1481" i="2"/>
  <c r="AK1481" i="2" s="1"/>
  <c r="AC1481" i="2"/>
  <c r="AC1485" i="2"/>
  <c r="AB1485" i="2"/>
  <c r="AK1485" i="2" s="1"/>
  <c r="AB1493" i="2"/>
  <c r="AK1493" i="2" s="1"/>
  <c r="AC1493" i="2"/>
  <c r="AB1495" i="2"/>
  <c r="AK1495" i="2" s="1"/>
  <c r="AC1495" i="2"/>
  <c r="AB1497" i="2"/>
  <c r="AK1497" i="2" s="1"/>
  <c r="Y1497" i="2"/>
  <c r="AC1497" i="2"/>
  <c r="AB1509" i="2"/>
  <c r="AK1509" i="2" s="1"/>
  <c r="AC1509" i="2"/>
  <c r="AB1511" i="2"/>
  <c r="AK1511" i="2" s="1"/>
  <c r="AC1511" i="2"/>
  <c r="AB1515" i="2"/>
  <c r="AK1515" i="2" s="1"/>
  <c r="AC1515" i="2"/>
  <c r="AB1517" i="2"/>
  <c r="AK1517" i="2" s="1"/>
  <c r="AC1517" i="2"/>
  <c r="AK1537" i="2"/>
  <c r="AC1537" i="2"/>
  <c r="AB1543" i="2"/>
  <c r="AK1543" i="2" s="1"/>
  <c r="AC1543" i="2"/>
  <c r="Y1547" i="2"/>
  <c r="AB1547" i="2"/>
  <c r="AK1547" i="2" s="1"/>
  <c r="AB1557" i="2"/>
  <c r="AK1557" i="2" s="1"/>
  <c r="Y1557" i="2"/>
  <c r="AC1557" i="2"/>
  <c r="AB1561" i="2"/>
  <c r="AK1561" i="2" s="1"/>
  <c r="AC1561" i="2"/>
  <c r="AK1577" i="2"/>
  <c r="AC1577" i="2"/>
  <c r="Y1581" i="2"/>
  <c r="AB1608" i="2"/>
  <c r="AK1608" i="2" s="1"/>
  <c r="R13" i="3"/>
  <c r="T13" i="3" s="1"/>
  <c r="U13" i="3" s="1"/>
  <c r="V13" i="3" s="1"/>
  <c r="Y1612" i="2"/>
  <c r="R9" i="3"/>
  <c r="T9" i="3" s="1"/>
  <c r="U9" i="3" s="1"/>
  <c r="V9" i="3" s="1"/>
  <c r="AC1612" i="2"/>
  <c r="Y1620" i="2"/>
  <c r="AF1620" i="2"/>
  <c r="Y1636" i="2"/>
  <c r="AF1636" i="2"/>
  <c r="AF1640" i="2"/>
  <c r="Y1640" i="2"/>
  <c r="AC1693" i="2"/>
  <c r="AB1693" i="2"/>
  <c r="AK1693" i="2" s="1"/>
  <c r="Y1693" i="2"/>
  <c r="AB1701" i="2"/>
  <c r="AK1701" i="2" s="1"/>
  <c r="AC1701" i="2"/>
  <c r="AB1707" i="2"/>
  <c r="AK1707" i="2" s="1"/>
  <c r="Y1707" i="2"/>
  <c r="AC1707" i="2"/>
  <c r="Y1711" i="2"/>
  <c r="AB1711" i="2"/>
  <c r="AK1711" i="2" s="1"/>
  <c r="AC1711" i="2"/>
  <c r="Y1717" i="2"/>
  <c r="AC1717" i="2"/>
  <c r="AB1717" i="2"/>
  <c r="AK1717" i="2" s="1"/>
  <c r="AC1725" i="2"/>
  <c r="Y1725" i="2"/>
  <c r="Y1731" i="2"/>
  <c r="AC1731" i="2"/>
  <c r="AB1735" i="2"/>
  <c r="AK1735" i="2" s="1"/>
  <c r="Y1735" i="2"/>
  <c r="AC1735" i="2"/>
  <c r="AC1739" i="2"/>
  <c r="AB1739" i="2"/>
  <c r="AK1739" i="2" s="1"/>
  <c r="Y1739" i="2"/>
  <c r="Y1745" i="2"/>
  <c r="AC1745" i="2"/>
  <c r="Y1753" i="2"/>
  <c r="AC1753" i="2"/>
  <c r="AB1753" i="2"/>
  <c r="AK1753" i="2" s="1"/>
  <c r="Y1755" i="2"/>
  <c r="AB1755" i="2"/>
  <c r="AK1755" i="2" s="1"/>
  <c r="AC1755" i="2"/>
  <c r="AC1757" i="2"/>
  <c r="Y1757" i="2"/>
  <c r="AB1757" i="2"/>
  <c r="AK1757" i="2" s="1"/>
  <c r="Y1759" i="2"/>
  <c r="AC1759" i="2"/>
  <c r="Y1761" i="2"/>
  <c r="AB1761" i="2"/>
  <c r="AK1761" i="2" s="1"/>
  <c r="AB1765" i="2"/>
  <c r="AK1765" i="2" s="1"/>
  <c r="AC1765" i="2"/>
  <c r="Y1765" i="2"/>
  <c r="Y1769" i="2"/>
  <c r="AC1769" i="2"/>
  <c r="Y1771" i="2"/>
  <c r="AB1771" i="2"/>
  <c r="AK1771" i="2" s="1"/>
  <c r="Y1773" i="2"/>
  <c r="AB1773" i="2"/>
  <c r="AK1773" i="2" s="1"/>
  <c r="Y1775" i="2"/>
  <c r="AB1775" i="2"/>
  <c r="AK1775" i="2" s="1"/>
  <c r="AC1775" i="2"/>
  <c r="Y1777" i="2"/>
  <c r="AC1777" i="2"/>
  <c r="Y3506" i="2"/>
  <c r="AF3506" i="2"/>
  <c r="Y3668" i="2"/>
  <c r="AF3668" i="2"/>
  <c r="Y3676" i="2"/>
  <c r="AF3676" i="2"/>
  <c r="Y3700" i="2"/>
  <c r="AF3700" i="2"/>
  <c r="Y3732" i="2"/>
  <c r="AF3732" i="2"/>
  <c r="Y3740" i="2"/>
  <c r="AF3740" i="2"/>
  <c r="Y3756" i="2"/>
  <c r="AF3756" i="2"/>
  <c r="Y3796" i="2"/>
  <c r="AF3796" i="2"/>
  <c r="AB3809" i="2"/>
  <c r="AK3809" i="2" s="1"/>
  <c r="AC3809" i="2"/>
  <c r="AB3838" i="2"/>
  <c r="AK3838" i="2" s="1"/>
  <c r="AC3838" i="2"/>
  <c r="Y3841" i="2"/>
  <c r="AF3841" i="2"/>
  <c r="Y3849" i="2"/>
  <c r="AF3849" i="2"/>
  <c r="Y3857" i="2"/>
  <c r="AF3857" i="2"/>
  <c r="Y3865" i="2"/>
  <c r="AF3865" i="2"/>
  <c r="Y3873" i="2"/>
  <c r="AF3873" i="2"/>
  <c r="Y3881" i="2"/>
  <c r="AF3881" i="2"/>
  <c r="Y86" i="2"/>
  <c r="AC2346" i="2"/>
  <c r="AF2641" i="2"/>
  <c r="AC2582" i="2"/>
  <c r="Y2055" i="2"/>
  <c r="Y2023" i="2"/>
  <c r="AB2517" i="2"/>
  <c r="AK2517" i="2" s="1"/>
  <c r="AF2031" i="2"/>
  <c r="AC2076" i="2"/>
  <c r="AC2471" i="2"/>
  <c r="Y1953" i="2"/>
  <c r="Y2017" i="2"/>
  <c r="Y1981" i="2"/>
  <c r="AF1957" i="2"/>
  <c r="Y1957" i="2"/>
  <c r="AF1971" i="2"/>
  <c r="Y1971" i="2"/>
  <c r="AF1987" i="2"/>
  <c r="Y1987" i="2"/>
  <c r="AF1989" i="2"/>
  <c r="Y1989" i="2"/>
  <c r="AF1993" i="2"/>
  <c r="Y1993" i="2"/>
  <c r="AF2009" i="2"/>
  <c r="Y2009" i="2"/>
  <c r="AF2043" i="2"/>
  <c r="Y2043" i="2"/>
  <c r="AF2047" i="2"/>
  <c r="Y2047" i="2"/>
  <c r="AF2049" i="2"/>
  <c r="Y2049" i="2"/>
  <c r="AB2324" i="2"/>
  <c r="AK2324" i="2" s="1"/>
  <c r="AC2324" i="2"/>
  <c r="AC2328" i="2"/>
  <c r="AB2328" i="2"/>
  <c r="AK2328" i="2" s="1"/>
  <c r="AB2330" i="2"/>
  <c r="AK2330" i="2" s="1"/>
  <c r="AC2330" i="2"/>
  <c r="AC2332" i="2"/>
  <c r="AB2332" i="2"/>
  <c r="AK2332" i="2" s="1"/>
  <c r="AB2334" i="2"/>
  <c r="AK2334" i="2" s="1"/>
  <c r="AC2334" i="2"/>
  <c r="AB2336" i="2"/>
  <c r="AK2336" i="2" s="1"/>
  <c r="AC2336" i="2"/>
  <c r="Y2340" i="2"/>
  <c r="AC2340" i="2"/>
  <c r="AB2344" i="2"/>
  <c r="AK2344" i="2" s="1"/>
  <c r="AC2344" i="2"/>
  <c r="AB2350" i="2"/>
  <c r="AK2350" i="2" s="1"/>
  <c r="AC2350" i="2"/>
  <c r="AB2354" i="2"/>
  <c r="AK2354" i="2" s="1"/>
  <c r="AC2354" i="2"/>
  <c r="AB2356" i="2"/>
  <c r="AK2356" i="2" s="1"/>
  <c r="Y2356" i="2"/>
  <c r="Y2358" i="2"/>
  <c r="AC2358" i="2"/>
  <c r="AB2358" i="2"/>
  <c r="AK2358" i="2" s="1"/>
  <c r="AB2431" i="2"/>
  <c r="AK2431" i="2" s="1"/>
  <c r="AC2431" i="2"/>
  <c r="AB2437" i="2"/>
  <c r="AK2437" i="2" s="1"/>
  <c r="AC2437" i="2"/>
  <c r="AB2441" i="2"/>
  <c r="AK2441" i="2" s="1"/>
  <c r="AC2441" i="2"/>
  <c r="AB2443" i="2"/>
  <c r="AK2443" i="2" s="1"/>
  <c r="AC2443" i="2"/>
  <c r="AB2445" i="2"/>
  <c r="AK2445" i="2" s="1"/>
  <c r="AC2445" i="2"/>
  <c r="AB2447" i="2"/>
  <c r="AK2447" i="2" s="1"/>
  <c r="AC2447" i="2"/>
  <c r="AB2463" i="2"/>
  <c r="AK2463" i="2" s="1"/>
  <c r="AC2463" i="2"/>
  <c r="AB2467" i="2"/>
  <c r="AK2467" i="2" s="1"/>
  <c r="AC2467" i="2"/>
  <c r="AB2469" i="2"/>
  <c r="AK2469" i="2" s="1"/>
  <c r="AC2469" i="2"/>
  <c r="AB2473" i="2"/>
  <c r="AK2473" i="2" s="1"/>
  <c r="AC2473" i="2"/>
  <c r="AB2513" i="2"/>
  <c r="AK2513" i="2" s="1"/>
  <c r="AC2513" i="2"/>
  <c r="AB2515" i="2"/>
  <c r="AK2515" i="2" s="1"/>
  <c r="AC2515" i="2"/>
  <c r="AH2609" i="2"/>
  <c r="AF2609" i="2"/>
  <c r="Y2625" i="2"/>
  <c r="AF2625" i="2"/>
  <c r="R40" i="3"/>
  <c r="T40" i="3" s="1"/>
  <c r="U40" i="3" s="1"/>
  <c r="V40" i="3" s="1"/>
  <c r="AC2660" i="2"/>
  <c r="AB2078" i="2"/>
  <c r="AK2078" i="2" s="1"/>
  <c r="AC2078" i="2"/>
  <c r="AB2098" i="2"/>
  <c r="AK2098" i="2" s="1"/>
  <c r="AC2098" i="2"/>
  <c r="AB2102" i="2"/>
  <c r="AK2102" i="2" s="1"/>
  <c r="AC2102" i="2"/>
  <c r="AB2104" i="2"/>
  <c r="AK2104" i="2" s="1"/>
  <c r="AC2104" i="2"/>
  <c r="AB2128" i="2"/>
  <c r="AK2128" i="2" s="1"/>
  <c r="AC2128" i="2"/>
  <c r="AB2132" i="2"/>
  <c r="AK2132" i="2" s="1"/>
  <c r="AC2132" i="2"/>
  <c r="AB2134" i="2"/>
  <c r="AK2134" i="2" s="1"/>
  <c r="AC2134" i="2"/>
  <c r="AB2140" i="2"/>
  <c r="AK2140" i="2" s="1"/>
  <c r="AC2140" i="2"/>
  <c r="AK2168" i="2"/>
  <c r="AC2168" i="2"/>
  <c r="AB2202" i="2"/>
  <c r="AK2202" i="2" s="1"/>
  <c r="AC2202" i="2"/>
  <c r="AB2206" i="2"/>
  <c r="AK2206" i="2" s="1"/>
  <c r="AC2206" i="2"/>
  <c r="AB2240" i="2"/>
  <c r="AK2240" i="2" s="1"/>
  <c r="AC2240" i="2"/>
  <c r="AK2252" i="2"/>
  <c r="AC2252" i="2"/>
  <c r="AB2266" i="2"/>
  <c r="AK2266" i="2" s="1"/>
  <c r="AC2266" i="2"/>
  <c r="AB2306" i="2"/>
  <c r="AK2306" i="2" s="1"/>
  <c r="AC2306" i="2"/>
  <c r="AB2316" i="2"/>
  <c r="AK2316" i="2" s="1"/>
  <c r="AC2316" i="2"/>
  <c r="AB2375" i="2"/>
  <c r="AK2375" i="2" s="1"/>
  <c r="AC2375" i="2"/>
  <c r="AB2389" i="2"/>
  <c r="AK2389" i="2" s="1"/>
  <c r="AC2389" i="2"/>
  <c r="AC2405" i="2"/>
  <c r="AB2405" i="2"/>
  <c r="AK2405" i="2" s="1"/>
  <c r="AB2421" i="2"/>
  <c r="AK2421" i="2" s="1"/>
  <c r="Y2421" i="2"/>
  <c r="AK2423" i="2"/>
  <c r="AC2423" i="2"/>
  <c r="AB2505" i="2"/>
  <c r="AK2505" i="2" s="1"/>
  <c r="AC2505" i="2"/>
  <c r="Y2628" i="2"/>
  <c r="AF2628" i="2"/>
  <c r="Y2671" i="2"/>
  <c r="AB2671" i="2"/>
  <c r="AK2671" i="2" s="1"/>
  <c r="AB2714" i="2"/>
  <c r="AK2714" i="2" s="1"/>
  <c r="Y2714" i="2"/>
  <c r="Y3913" i="2"/>
  <c r="AF3913" i="2"/>
  <c r="Y3921" i="2"/>
  <c r="AF3921" i="2"/>
  <c r="Y3961" i="2"/>
  <c r="AF3961" i="2"/>
  <c r="Y3969" i="2"/>
  <c r="AF3969" i="2"/>
  <c r="Y3977" i="2"/>
  <c r="AF3977" i="2"/>
  <c r="AB3982" i="2"/>
  <c r="AK3982" i="2" s="1"/>
  <c r="AC3982" i="2"/>
  <c r="Y3993" i="2"/>
  <c r="AF3993" i="2"/>
  <c r="AB3998" i="2"/>
  <c r="AK3998" i="2" s="1"/>
  <c r="AC3998" i="2"/>
  <c r="Y4017" i="2"/>
  <c r="AF4017" i="2"/>
  <c r="Y4033" i="2"/>
  <c r="AF4033" i="2"/>
  <c r="Y4049" i="2"/>
  <c r="AF4049" i="2"/>
  <c r="Y4057" i="2"/>
  <c r="AF4057" i="2"/>
  <c r="Y4065" i="2"/>
  <c r="AF4065" i="2"/>
  <c r="Y4073" i="2"/>
  <c r="AF4073" i="2"/>
  <c r="Y4081" i="2"/>
  <c r="AF4081" i="2"/>
  <c r="Y4099" i="2"/>
  <c r="AF4099" i="2"/>
  <c r="Y4107" i="2"/>
  <c r="AF4107" i="2"/>
  <c r="Y4128" i="2"/>
  <c r="AF4128" i="2"/>
  <c r="Y4136" i="2"/>
  <c r="AF4136" i="2"/>
  <c r="Y4160" i="2"/>
  <c r="AF4160" i="2"/>
  <c r="Y4168" i="2"/>
  <c r="AF4168" i="2"/>
  <c r="Y4176" i="2"/>
  <c r="AF4176" i="2"/>
  <c r="AB4181" i="2"/>
  <c r="AK4181" i="2" s="1"/>
  <c r="AC4181" i="2"/>
  <c r="AB4189" i="2"/>
  <c r="AK4189" i="2" s="1"/>
  <c r="AC4189" i="2"/>
  <c r="Y4192" i="2"/>
  <c r="AF4192" i="2"/>
  <c r="Y4200" i="2"/>
  <c r="AF4200" i="2"/>
  <c r="Y4216" i="2"/>
  <c r="AF4216" i="2"/>
  <c r="AB4221" i="2"/>
  <c r="AK4221" i="2" s="1"/>
  <c r="AC4221" i="2"/>
  <c r="Y4224" i="2"/>
  <c r="AF4224" i="2"/>
  <c r="Y4248" i="2"/>
  <c r="AF4248" i="2"/>
  <c r="AB4253" i="2"/>
  <c r="AK4253" i="2" s="1"/>
  <c r="AC4253" i="2"/>
  <c r="AB4261" i="2"/>
  <c r="AK4261" i="2" s="1"/>
  <c r="AC4261" i="2"/>
  <c r="Y4264" i="2"/>
  <c r="AF4264" i="2"/>
  <c r="Y4269" i="2"/>
  <c r="AF4269" i="2"/>
  <c r="Y4301" i="2"/>
  <c r="AF4301" i="2"/>
  <c r="Y4325" i="2"/>
  <c r="AF4325" i="2"/>
  <c r="AB4330" i="2"/>
  <c r="AK4330" i="2" s="1"/>
  <c r="AC4330" i="2"/>
  <c r="Y4338" i="2"/>
  <c r="AF4338" i="2"/>
  <c r="Y4343" i="2"/>
  <c r="AF4343" i="2"/>
  <c r="Y4351" i="2"/>
  <c r="AF4351" i="2"/>
  <c r="AA4356" i="2"/>
  <c r="AC4356" i="2"/>
  <c r="AB4364" i="2"/>
  <c r="AK4364" i="2" s="1"/>
  <c r="AC4364" i="2"/>
  <c r="AB4372" i="2"/>
  <c r="AK4372" i="2" s="1"/>
  <c r="AC4372" i="2"/>
  <c r="Y4375" i="2"/>
  <c r="AF4375" i="2"/>
  <c r="Y4383" i="2"/>
  <c r="AF4383" i="2"/>
  <c r="AB4630" i="2"/>
  <c r="AK4630" i="2" s="1"/>
  <c r="AC4630" i="2"/>
  <c r="AH4662" i="2"/>
  <c r="AF4662" i="2"/>
  <c r="AH4694" i="2"/>
  <c r="AF4694" i="2"/>
  <c r="AF4702" i="2"/>
  <c r="AH4702" i="2"/>
  <c r="AH4704" i="2"/>
  <c r="AF4704" i="2"/>
  <c r="AF4718" i="2"/>
  <c r="AH4718" i="2"/>
  <c r="AF4720" i="2"/>
  <c r="AH4720" i="2"/>
  <c r="AH4722" i="2"/>
  <c r="AF4722" i="2"/>
  <c r="AH4724" i="2"/>
  <c r="AF4724" i="2"/>
  <c r="AH4728" i="2"/>
  <c r="AF4728" i="2"/>
  <c r="AH4732" i="2"/>
  <c r="AF4732" i="2"/>
  <c r="AH4736" i="2"/>
  <c r="AF4736" i="2"/>
  <c r="AH4752" i="2"/>
  <c r="AF4752" i="2"/>
  <c r="AH4760" i="2"/>
  <c r="AF4760" i="2"/>
  <c r="AH4766" i="2"/>
  <c r="AF4766" i="2"/>
  <c r="AH4780" i="2"/>
  <c r="AF4780" i="2"/>
  <c r="AC2501" i="2"/>
  <c r="AB2501" i="2"/>
  <c r="AK2501" i="2" s="1"/>
  <c r="AC2556" i="2"/>
  <c r="AB2556" i="2"/>
  <c r="AK2556" i="2" s="1"/>
  <c r="Y2566" i="2"/>
  <c r="AC2566" i="2"/>
  <c r="AC2647" i="2"/>
  <c r="Y2647" i="2"/>
  <c r="AB2674" i="2"/>
  <c r="AK2674" i="2" s="1"/>
  <c r="AC2674" i="2"/>
  <c r="Y2060" i="2"/>
  <c r="AC2060" i="2"/>
  <c r="AF3985" i="2"/>
  <c r="AF4041" i="2"/>
  <c r="AF3889" i="2"/>
  <c r="AC3974" i="2"/>
  <c r="AB2680" i="2"/>
  <c r="AK2680" i="2" s="1"/>
  <c r="AB2574" i="2"/>
  <c r="AK2574" i="2" s="1"/>
  <c r="Y2556" i="2"/>
  <c r="AB1049" i="2"/>
  <c r="AK1049" i="2" s="1"/>
  <c r="Y1049" i="2"/>
  <c r="Y1251" i="2"/>
  <c r="AB1251" i="2"/>
  <c r="AK1251" i="2" s="1"/>
  <c r="Y1653" i="2"/>
  <c r="AB1792" i="2"/>
  <c r="AK1792" i="2" s="1"/>
  <c r="Y1792" i="2"/>
  <c r="AB1798" i="2"/>
  <c r="AK1798" i="2" s="1"/>
  <c r="AC1798" i="2"/>
  <c r="Y1814" i="2"/>
  <c r="AC1814" i="2"/>
  <c r="AF4660" i="2"/>
  <c r="AF4120" i="2"/>
  <c r="AF4112" i="2"/>
  <c r="AC4133" i="2"/>
  <c r="AC3918" i="2"/>
  <c r="AC2684" i="2"/>
  <c r="Y2674" i="2"/>
  <c r="Y2572" i="2"/>
  <c r="AB2482" i="2"/>
  <c r="AK2482" i="2" s="1"/>
  <c r="AC302" i="2"/>
  <c r="AB302" i="2"/>
  <c r="AK302" i="2" s="1"/>
  <c r="AB431" i="2"/>
  <c r="AK431" i="2" s="1"/>
  <c r="AC431" i="2"/>
  <c r="AC495" i="2"/>
  <c r="AB495" i="2"/>
  <c r="AK495" i="2" s="1"/>
  <c r="AB535" i="2"/>
  <c r="AK535" i="2" s="1"/>
  <c r="AC535" i="2"/>
  <c r="AK1482" i="2"/>
  <c r="Y1482" i="2"/>
  <c r="AB1556" i="2"/>
  <c r="AK1556" i="2" s="1"/>
  <c r="Y1556" i="2"/>
  <c r="AB1564" i="2"/>
  <c r="AK1564" i="2" s="1"/>
  <c r="AC1564" i="2"/>
  <c r="AB1694" i="2"/>
  <c r="AK1694" i="2" s="1"/>
  <c r="Y1694" i="2"/>
  <c r="Y1712" i="2"/>
  <c r="AB1712" i="2"/>
  <c r="AK1712" i="2" s="1"/>
  <c r="AB1734" i="2"/>
  <c r="AK1734" i="2" s="1"/>
  <c r="AC1734" i="2"/>
  <c r="AB1740" i="2"/>
  <c r="AK1740" i="2" s="1"/>
  <c r="Y1740" i="2"/>
  <c r="Y1762" i="2"/>
  <c r="AB1762" i="2"/>
  <c r="AK1762" i="2" s="1"/>
  <c r="AB1766" i="2"/>
  <c r="AK1766" i="2" s="1"/>
  <c r="Y1766" i="2"/>
  <c r="AF1982" i="2"/>
  <c r="Y1982" i="2"/>
  <c r="AF1984" i="2"/>
  <c r="Y1984" i="2"/>
  <c r="AF2032" i="2"/>
  <c r="Y2032" i="2"/>
  <c r="AF4664" i="2"/>
  <c r="AF4285" i="2"/>
  <c r="AF4091" i="2"/>
  <c r="AF4293" i="2"/>
  <c r="AC4104" i="2"/>
  <c r="AB157" i="2"/>
  <c r="AK157" i="2" s="1"/>
  <c r="AC157" i="2"/>
  <c r="AB920" i="2"/>
  <c r="AK920" i="2" s="1"/>
  <c r="AC920" i="2"/>
  <c r="Y1692" i="2"/>
  <c r="AB1692" i="2"/>
  <c r="AK1692" i="2" s="1"/>
  <c r="AC2063" i="2"/>
  <c r="AB2063" i="2"/>
  <c r="AK2063" i="2" s="1"/>
  <c r="AC2101" i="2"/>
  <c r="Y2101" i="2"/>
  <c r="AC2113" i="2"/>
  <c r="AB2113" i="2"/>
  <c r="AK2113" i="2" s="1"/>
  <c r="Y2135" i="2"/>
  <c r="AB2135" i="2"/>
  <c r="AK2135" i="2" s="1"/>
  <c r="AC2147" i="2"/>
  <c r="AB2147" i="2"/>
  <c r="AK2147" i="2" s="1"/>
  <c r="AB2149" i="2"/>
  <c r="AK2149" i="2" s="1"/>
  <c r="AC2149" i="2"/>
  <c r="Y2159" i="2"/>
  <c r="AC2159" i="2"/>
  <c r="AK2167" i="2"/>
  <c r="AC2167" i="2"/>
  <c r="AC2187" i="2"/>
  <c r="AB2187" i="2"/>
  <c r="AK2187" i="2" s="1"/>
  <c r="Y2209" i="2"/>
  <c r="AB2209" i="2"/>
  <c r="AK2209" i="2" s="1"/>
  <c r="AC2229" i="2"/>
  <c r="AB2229" i="2"/>
  <c r="AK2229" i="2" s="1"/>
  <c r="AB2297" i="2"/>
  <c r="AK2297" i="2" s="1"/>
  <c r="AC2297" i="2"/>
  <c r="AF2583" i="2"/>
  <c r="Y2583" i="2"/>
  <c r="AH2608" i="2"/>
  <c r="AF2608" i="2"/>
  <c r="AH4656" i="2"/>
  <c r="AF4152" i="2"/>
  <c r="Y2650" i="2"/>
  <c r="AB2566" i="2"/>
  <c r="AK2566" i="2" s="1"/>
  <c r="AF3905" i="2"/>
  <c r="AC4467" i="2"/>
  <c r="AB2703" i="2"/>
  <c r="AK2703" i="2" s="1"/>
  <c r="AB2650" i="2"/>
  <c r="AK2650" i="2" s="1"/>
  <c r="Y2564" i="2"/>
  <c r="AC2560" i="2"/>
  <c r="AF708" i="2"/>
  <c r="Y708" i="2"/>
  <c r="AF1068" i="2"/>
  <c r="Y1068" i="2"/>
  <c r="AF1096" i="2"/>
  <c r="Y1096" i="2"/>
  <c r="AF1150" i="2"/>
  <c r="Y1150" i="2"/>
  <c r="AF1166" i="2"/>
  <c r="Y1166" i="2"/>
  <c r="AF1326" i="2"/>
  <c r="Y1326" i="2"/>
  <c r="AF1344" i="2"/>
  <c r="Y1344" i="2"/>
  <c r="AF1593" i="2"/>
  <c r="Y1593" i="2"/>
  <c r="Y1664" i="2"/>
  <c r="R4" i="3"/>
  <c r="T4" i="3" s="1"/>
  <c r="U4" i="3" s="1"/>
  <c r="V4" i="3" s="1"/>
  <c r="AF4144" i="2"/>
  <c r="AC4393" i="2"/>
  <c r="AF3303" i="2"/>
  <c r="AF3307" i="2"/>
  <c r="AF3323" i="2"/>
  <c r="AF3331" i="2"/>
  <c r="AF3333" i="2"/>
  <c r="AF3337" i="2"/>
  <c r="AF3345" i="2"/>
  <c r="AF3349" i="2"/>
  <c r="AF3365" i="2"/>
  <c r="AF3381" i="2"/>
  <c r="AF3393" i="2"/>
  <c r="AF3397" i="2"/>
  <c r="AF3401" i="2"/>
  <c r="AF3748" i="2"/>
  <c r="AF3812" i="2"/>
  <c r="AF3828" i="2"/>
  <c r="AF3833" i="2"/>
  <c r="AF3897" i="2"/>
  <c r="AF3929" i="2"/>
  <c r="AF3945" i="2"/>
  <c r="AF3953" i="2"/>
  <c r="AF4009" i="2"/>
  <c r="AF4232" i="2"/>
  <c r="Y4356" i="2"/>
  <c r="AF4367" i="2"/>
  <c r="Y1954" i="2"/>
  <c r="Y2040" i="2"/>
  <c r="Y2044" i="2"/>
  <c r="Y2054" i="2"/>
  <c r="Y2056" i="2"/>
  <c r="Y2524" i="2"/>
  <c r="Y2534" i="2"/>
  <c r="Y2536" i="2"/>
  <c r="Y5257" i="2"/>
  <c r="AC3011" i="2"/>
  <c r="AC2867" i="2"/>
  <c r="AC2785" i="2"/>
  <c r="AB1872" i="2"/>
  <c r="AK1872" i="2" s="1"/>
  <c r="AC4992" i="2"/>
  <c r="AC2995" i="2"/>
  <c r="AC2931" i="2"/>
  <c r="AC2841" i="2"/>
  <c r="AC5379" i="2"/>
  <c r="AB5379" i="2"/>
  <c r="AK5379" i="2" s="1"/>
  <c r="AC5403" i="2"/>
  <c r="AB5403" i="2"/>
  <c r="AK5403" i="2" s="1"/>
  <c r="AC5411" i="2"/>
  <c r="AB5411" i="2"/>
  <c r="AK5411" i="2" s="1"/>
  <c r="AB5419" i="2"/>
  <c r="AK5419" i="2" s="1"/>
  <c r="AC5419" i="2"/>
  <c r="AC5427" i="2"/>
  <c r="AB5427" i="2"/>
  <c r="AK5427" i="2" s="1"/>
  <c r="AC5435" i="2"/>
  <c r="AB5435" i="2"/>
  <c r="AK5435" i="2" s="1"/>
  <c r="AB5448" i="2"/>
  <c r="AK5448" i="2" s="1"/>
  <c r="AC5448" i="2"/>
  <c r="AC5472" i="2"/>
  <c r="AB5472" i="2"/>
  <c r="AK5472" i="2" s="1"/>
  <c r="AB5504" i="2"/>
  <c r="AK5504" i="2" s="1"/>
  <c r="AC5504" i="2"/>
  <c r="AB5512" i="2"/>
  <c r="AK5512" i="2" s="1"/>
  <c r="AC5512" i="2"/>
  <c r="AC5520" i="2"/>
  <c r="AB5520" i="2"/>
  <c r="AK5520" i="2" s="1"/>
  <c r="AB5528" i="2"/>
  <c r="AK5528" i="2" s="1"/>
  <c r="AC5528" i="2"/>
  <c r="AC5536" i="2"/>
  <c r="AB5536" i="2"/>
  <c r="AK5536" i="2" s="1"/>
  <c r="AC5552" i="2"/>
  <c r="AB5552" i="2"/>
  <c r="AK5552" i="2" s="1"/>
  <c r="AB5576" i="2"/>
  <c r="AK5576" i="2" s="1"/>
  <c r="AC5576" i="2"/>
  <c r="AC5589" i="2"/>
  <c r="AB5589" i="2"/>
  <c r="AK5589" i="2" s="1"/>
  <c r="AK5597" i="2"/>
  <c r="AC5597" i="2"/>
  <c r="AC5605" i="2"/>
  <c r="AB5605" i="2"/>
  <c r="AK5605" i="2" s="1"/>
  <c r="AB5613" i="2"/>
  <c r="AK5613" i="2" s="1"/>
  <c r="AC5613" i="2"/>
  <c r="AC5621" i="2"/>
  <c r="AB5621" i="2"/>
  <c r="AK5621" i="2" s="1"/>
  <c r="AC5637" i="2"/>
  <c r="AB5637" i="2"/>
  <c r="AK5637" i="2" s="1"/>
  <c r="AK5645" i="2"/>
  <c r="AC5645" i="2"/>
  <c r="AB5653" i="2"/>
  <c r="AK5653" i="2" s="1"/>
  <c r="AC5653" i="2"/>
  <c r="AC5669" i="2"/>
  <c r="AB5669" i="2"/>
  <c r="AK5669" i="2" s="1"/>
  <c r="AC5677" i="2"/>
  <c r="AB5677" i="2"/>
  <c r="AK5677" i="2" s="1"/>
  <c r="AB5693" i="2"/>
  <c r="AK5693" i="2" s="1"/>
  <c r="AC5693" i="2"/>
  <c r="AB5701" i="2"/>
  <c r="AK5701" i="2" s="1"/>
  <c r="AC5701" i="2"/>
  <c r="AK5717" i="2"/>
  <c r="AC5717" i="2"/>
  <c r="AK5725" i="2"/>
  <c r="AC5725" i="2"/>
  <c r="AB5741" i="2"/>
  <c r="AK5741" i="2" s="1"/>
  <c r="AC5741" i="2"/>
  <c r="AC5749" i="2"/>
  <c r="AB5749" i="2"/>
  <c r="AK5749" i="2" s="1"/>
  <c r="AC5757" i="2"/>
  <c r="AB5757" i="2"/>
  <c r="AK5757" i="2" s="1"/>
  <c r="AC5765" i="2"/>
  <c r="AB5765" i="2"/>
  <c r="AK5765" i="2" s="1"/>
  <c r="AC5780" i="2"/>
  <c r="AB5780" i="2"/>
  <c r="AK5780" i="2" s="1"/>
  <c r="AF5791" i="2"/>
  <c r="Y5791" i="2"/>
  <c r="AB5800" i="2"/>
  <c r="AK5800" i="2" s="1"/>
  <c r="AC5800" i="2"/>
  <c r="AC5808" i="2"/>
  <c r="AB5808" i="2"/>
  <c r="AK5808" i="2" s="1"/>
  <c r="AC5816" i="2"/>
  <c r="AB5816" i="2"/>
  <c r="AK5816" i="2" s="1"/>
  <c r="AC5824" i="2"/>
  <c r="AB5824" i="2"/>
  <c r="AK5824" i="2" s="1"/>
  <c r="AB5832" i="2"/>
  <c r="AK5832" i="2" s="1"/>
  <c r="AC5832" i="2"/>
  <c r="AC5840" i="2"/>
  <c r="AB5840" i="2"/>
  <c r="AK5840" i="2" s="1"/>
  <c r="AC5848" i="2"/>
  <c r="AB5848" i="2"/>
  <c r="AK5848" i="2" s="1"/>
  <c r="AB5856" i="2"/>
  <c r="AK5856" i="2" s="1"/>
  <c r="AC5856" i="2"/>
  <c r="AB5864" i="2"/>
  <c r="AK5864" i="2" s="1"/>
  <c r="AC5864" i="2"/>
  <c r="AC5901" i="2"/>
  <c r="AB5901" i="2"/>
  <c r="AK5901" i="2" s="1"/>
  <c r="AC5909" i="2"/>
  <c r="AB5909" i="2"/>
  <c r="AK5909" i="2" s="1"/>
  <c r="AC5925" i="2"/>
  <c r="AB5925" i="2"/>
  <c r="AK5925" i="2" s="1"/>
  <c r="AC5933" i="2"/>
  <c r="AB5933" i="2"/>
  <c r="AK5933" i="2" s="1"/>
  <c r="AC5941" i="2"/>
  <c r="AB5941" i="2"/>
  <c r="AK5941" i="2" s="1"/>
  <c r="AK5965" i="2"/>
  <c r="AC5965" i="2"/>
  <c r="AC5981" i="2"/>
  <c r="AA5981" i="2"/>
  <c r="AC5994" i="2"/>
  <c r="AB5994" i="2"/>
  <c r="AK5994" i="2" s="1"/>
  <c r="AC6002" i="2"/>
  <c r="AB6002" i="2"/>
  <c r="AK6002" i="2" s="1"/>
  <c r="AC6010" i="2"/>
  <c r="AB6010" i="2"/>
  <c r="AK6010" i="2" s="1"/>
  <c r="AC6018" i="2"/>
  <c r="AB6018" i="2"/>
  <c r="AK6018" i="2" s="1"/>
  <c r="AB6034" i="2"/>
  <c r="AK6034" i="2" s="1"/>
  <c r="AC6034" i="2"/>
  <c r="AB6042" i="2"/>
  <c r="AK6042" i="2" s="1"/>
  <c r="AC6042" i="2"/>
  <c r="AC6055" i="2"/>
  <c r="AB6055" i="2"/>
  <c r="AK6055" i="2" s="1"/>
  <c r="AC6063" i="2"/>
  <c r="AB6063" i="2"/>
  <c r="AK6063" i="2" s="1"/>
  <c r="AC6068" i="2"/>
  <c r="AB6068" i="2"/>
  <c r="AK6068" i="2" s="1"/>
  <c r="AF6432" i="2"/>
  <c r="Y6432" i="2"/>
  <c r="AF6442" i="2"/>
  <c r="Y6442" i="2"/>
  <c r="AF6446" i="2"/>
  <c r="Y6446" i="2"/>
  <c r="AF6452" i="2"/>
  <c r="Y6452" i="2"/>
  <c r="AB6491" i="2"/>
  <c r="AK6491" i="2" s="1"/>
  <c r="Y6491" i="2"/>
  <c r="Y6495" i="2"/>
  <c r="AC6495" i="2"/>
  <c r="AC6497" i="2"/>
  <c r="Y6497" i="2"/>
  <c r="AB6499" i="2"/>
  <c r="AK6499" i="2" s="1"/>
  <c r="Y6499" i="2"/>
  <c r="AC6501" i="2"/>
  <c r="AB6501" i="2"/>
  <c r="AK6501" i="2" s="1"/>
  <c r="AC6503" i="2"/>
  <c r="AB6503" i="2"/>
  <c r="AK6503" i="2" s="1"/>
  <c r="AC6509" i="2"/>
  <c r="Y6509" i="2"/>
  <c r="AF6513" i="2"/>
  <c r="Y6513" i="2"/>
  <c r="AF6527" i="2"/>
  <c r="Y6527" i="2"/>
  <c r="AF6531" i="2"/>
  <c r="Y6531" i="2"/>
  <c r="AF6539" i="2"/>
  <c r="Y6539" i="2"/>
  <c r="AF6545" i="2"/>
  <c r="Y6545" i="2"/>
  <c r="AC6553" i="2"/>
  <c r="AB6553" i="2"/>
  <c r="AK6553" i="2" s="1"/>
  <c r="AB6555" i="2"/>
  <c r="AK6555" i="2" s="1"/>
  <c r="AC6555" i="2"/>
  <c r="Y6555" i="2"/>
  <c r="R125" i="3"/>
  <c r="T125" i="3" s="1"/>
  <c r="U125" i="3" s="1"/>
  <c r="V125" i="3" s="1"/>
  <c r="AB6557" i="2"/>
  <c r="AK6557" i="2" s="1"/>
  <c r="AC6559" i="2"/>
  <c r="AB6559" i="2"/>
  <c r="AK6559" i="2" s="1"/>
  <c r="AC6561" i="2"/>
  <c r="Y6561" i="2"/>
  <c r="AB6561" i="2"/>
  <c r="AK6561" i="2" s="1"/>
  <c r="AB6567" i="2"/>
  <c r="AK6567" i="2" s="1"/>
  <c r="AC6567" i="2"/>
  <c r="AB6571" i="2"/>
  <c r="AK6571" i="2" s="1"/>
  <c r="Y6571" i="2"/>
  <c r="Y6575" i="2"/>
  <c r="AC6575" i="2"/>
  <c r="AB6575" i="2"/>
  <c r="AK6575" i="2" s="1"/>
  <c r="AC6577" i="2"/>
  <c r="AB6577" i="2"/>
  <c r="AK6577" i="2" s="1"/>
  <c r="AC6581" i="2"/>
  <c r="AB6581" i="2"/>
  <c r="AK6581" i="2" s="1"/>
  <c r="Y6581" i="2"/>
  <c r="AF6583" i="2"/>
  <c r="Y6583" i="2"/>
  <c r="AF6585" i="2"/>
  <c r="Y6585" i="2"/>
  <c r="AF6591" i="2"/>
  <c r="Y6591" i="2"/>
  <c r="AF6597" i="2"/>
  <c r="Y6597" i="2"/>
  <c r="AF6601" i="2"/>
  <c r="Y6601" i="2"/>
  <c r="AF6605" i="2"/>
  <c r="Y6605" i="2"/>
  <c r="AF6613" i="2"/>
  <c r="Y6613" i="2"/>
  <c r="R128" i="3"/>
  <c r="T128" i="3" s="1"/>
  <c r="U128" i="3" s="1"/>
  <c r="V128" i="3" s="1"/>
  <c r="AC6634" i="2"/>
  <c r="AB6634" i="2"/>
  <c r="AK6634" i="2" s="1"/>
  <c r="AC6636" i="2"/>
  <c r="AB6636" i="2"/>
  <c r="AK6636" i="2" s="1"/>
  <c r="R126" i="3"/>
  <c r="T126" i="3" s="1"/>
  <c r="U126" i="3" s="1"/>
  <c r="V126" i="3" s="1"/>
  <c r="Y6638" i="2"/>
  <c r="AC6638" i="2"/>
  <c r="AC6640" i="2"/>
  <c r="AB6640" i="2"/>
  <c r="AK6640" i="2" s="1"/>
  <c r="Y6640" i="2"/>
  <c r="AB6642" i="2"/>
  <c r="AK6642" i="2" s="1"/>
  <c r="AC6642" i="2"/>
  <c r="AC6644" i="2"/>
  <c r="Y6644" i="2"/>
  <c r="AB6644" i="2"/>
  <c r="AK6644" i="2" s="1"/>
  <c r="AF6646" i="2"/>
  <c r="Y6646" i="2"/>
  <c r="AF6681" i="2"/>
  <c r="Y6681" i="2"/>
  <c r="AF6685" i="2"/>
  <c r="Y6685" i="2"/>
  <c r="AF6687" i="2"/>
  <c r="Y6687" i="2"/>
  <c r="AF6689" i="2"/>
  <c r="Y6689" i="2"/>
  <c r="AF6691" i="2"/>
  <c r="Y6691" i="2"/>
  <c r="AF6693" i="2"/>
  <c r="Y6693" i="2"/>
  <c r="AF6695" i="2"/>
  <c r="Y6695" i="2"/>
  <c r="AF6697" i="2"/>
  <c r="Y6697" i="2"/>
  <c r="AF6699" i="2"/>
  <c r="Y6699" i="2"/>
  <c r="AF6703" i="2"/>
  <c r="Y6703" i="2"/>
  <c r="R129" i="3"/>
  <c r="T129" i="3" s="1"/>
  <c r="U129" i="3" s="1"/>
  <c r="V129" i="3" s="1"/>
  <c r="AB6705" i="2"/>
  <c r="AK6705" i="2" s="1"/>
  <c r="Y6705" i="2"/>
  <c r="AB6707" i="2"/>
  <c r="AK6707" i="2" s="1"/>
  <c r="Y6707" i="2"/>
  <c r="AB6709" i="2"/>
  <c r="AK6709" i="2" s="1"/>
  <c r="Y6709" i="2"/>
  <c r="R130" i="3"/>
  <c r="T130" i="3" s="1"/>
  <c r="U130" i="3" s="1"/>
  <c r="V130" i="3" s="1"/>
  <c r="AC6711" i="2"/>
  <c r="AB6711" i="2"/>
  <c r="AK6711" i="2" s="1"/>
  <c r="AB6717" i="2"/>
  <c r="AK6717" i="2" s="1"/>
  <c r="Y6717" i="2"/>
  <c r="Y6719" i="2"/>
  <c r="AC6719" i="2"/>
  <c r="AC6721" i="2"/>
  <c r="AB6721" i="2"/>
  <c r="AK6721" i="2" s="1"/>
  <c r="Y6721" i="2"/>
  <c r="AB6723" i="2"/>
  <c r="AK6723" i="2" s="1"/>
  <c r="Y6723" i="2"/>
  <c r="AB6725" i="2"/>
  <c r="AK6725" i="2" s="1"/>
  <c r="Y6725" i="2"/>
  <c r="AB6727" i="2"/>
  <c r="AK6727" i="2" s="1"/>
  <c r="AC6727" i="2"/>
  <c r="Y6727" i="2"/>
  <c r="AC6729" i="2"/>
  <c r="Y6729" i="2"/>
  <c r="Y6731" i="2"/>
  <c r="AC6731" i="2"/>
  <c r="AB6733" i="2"/>
  <c r="AK6733" i="2" s="1"/>
  <c r="Y6733" i="2"/>
  <c r="AC6738" i="2"/>
  <c r="AB6738" i="2"/>
  <c r="AK6738" i="2" s="1"/>
  <c r="AF6741" i="2"/>
  <c r="Y6741" i="2"/>
  <c r="AC6746" i="2"/>
  <c r="AB6746" i="2"/>
  <c r="AK6746" i="2" s="1"/>
  <c r="AF6749" i="2"/>
  <c r="Y6749" i="2"/>
  <c r="AB6754" i="2"/>
  <c r="AK6754" i="2" s="1"/>
  <c r="Y6754" i="2"/>
  <c r="AF6757" i="2"/>
  <c r="Y6757" i="2"/>
  <c r="AC6762" i="2"/>
  <c r="Y6762" i="2"/>
  <c r="AC6770" i="2"/>
  <c r="AB6770" i="2"/>
  <c r="AK6770" i="2" s="1"/>
  <c r="AC6778" i="2"/>
  <c r="AB6778" i="2"/>
  <c r="AK6778" i="2" s="1"/>
  <c r="AC6794" i="2"/>
  <c r="AB6794" i="2"/>
  <c r="AK6794" i="2" s="1"/>
  <c r="Y6797" i="2"/>
  <c r="AF6797" i="2"/>
  <c r="AC6802" i="2"/>
  <c r="AB6802" i="2"/>
  <c r="AK6802" i="2" s="1"/>
  <c r="AF6805" i="2"/>
  <c r="Y6805" i="2"/>
  <c r="AC6810" i="2"/>
  <c r="AB6810" i="2"/>
  <c r="AK6810" i="2" s="1"/>
  <c r="Y6810" i="2"/>
  <c r="Y6813" i="2"/>
  <c r="AF6813" i="2"/>
  <c r="AC6818" i="2"/>
  <c r="AB6818" i="2"/>
  <c r="AK6818" i="2" s="1"/>
  <c r="Y6818" i="2"/>
  <c r="AF6821" i="2"/>
  <c r="Y6821" i="2"/>
  <c r="AB6826" i="2"/>
  <c r="AK6826" i="2" s="1"/>
  <c r="Y6826" i="2"/>
  <c r="Y6829" i="2"/>
  <c r="AF6829" i="2"/>
  <c r="AC6834" i="2"/>
  <c r="Y6834" i="2"/>
  <c r="AA6834" i="2"/>
  <c r="AB6834" i="2" s="1"/>
  <c r="AK6834" i="2" s="1"/>
  <c r="AC6842" i="2"/>
  <c r="Y6842" i="2"/>
  <c r="Y6845" i="2"/>
  <c r="AF6845" i="2"/>
  <c r="AB6850" i="2"/>
  <c r="AK6850" i="2" s="1"/>
  <c r="Y6850" i="2"/>
  <c r="AC6850" i="2"/>
  <c r="Y6853" i="2"/>
  <c r="AF6853" i="2"/>
  <c r="AC6885" i="2"/>
  <c r="AB6885" i="2"/>
  <c r="AK6885" i="2" s="1"/>
  <c r="Y6885" i="2"/>
  <c r="AF6888" i="2"/>
  <c r="Y6888" i="2"/>
  <c r="AC6893" i="2"/>
  <c r="AB6893" i="2"/>
  <c r="AK6893" i="2" s="1"/>
  <c r="Y6893" i="2"/>
  <c r="AB6898" i="2"/>
  <c r="AK6898" i="2" s="1"/>
  <c r="Y6898" i="2"/>
  <c r="AC6898" i="2"/>
  <c r="AF6901" i="2"/>
  <c r="Y6901" i="2"/>
  <c r="AB6906" i="2"/>
  <c r="AK6906" i="2" s="1"/>
  <c r="Y6906" i="2"/>
  <c r="AC6906" i="2"/>
  <c r="Y6909" i="2"/>
  <c r="AF6909" i="2"/>
  <c r="AB6914" i="2"/>
  <c r="AK6914" i="2" s="1"/>
  <c r="Y6914" i="2"/>
  <c r="AC6914" i="2"/>
  <c r="AC6919" i="2"/>
  <c r="AB6919" i="2"/>
  <c r="AK6919" i="2" s="1"/>
  <c r="AF6922" i="2"/>
  <c r="Y6922" i="2"/>
  <c r="Y6927" i="2"/>
  <c r="AC6927" i="2"/>
  <c r="AF6930" i="2"/>
  <c r="Y6930" i="2"/>
  <c r="AB6935" i="2"/>
  <c r="AK6935" i="2" s="1"/>
  <c r="AC6935" i="2"/>
  <c r="Y6935" i="2"/>
  <c r="Y6938" i="2"/>
  <c r="AF6938" i="2"/>
  <c r="AB6943" i="2"/>
  <c r="AK6943" i="2" s="1"/>
  <c r="Y6943" i="2"/>
  <c r="AC6951" i="2"/>
  <c r="AB6951" i="2"/>
  <c r="AK6951" i="2" s="1"/>
  <c r="Y6951" i="2"/>
  <c r="Y6954" i="2"/>
  <c r="AF6954" i="2"/>
  <c r="AC6967" i="2"/>
  <c r="AB6967" i="2"/>
  <c r="AK6967" i="2" s="1"/>
  <c r="Y6967" i="2"/>
  <c r="Y6970" i="2"/>
  <c r="AF6970" i="2"/>
  <c r="R143" i="3"/>
  <c r="T143" i="3" s="1"/>
  <c r="U143" i="3" s="1"/>
  <c r="V143" i="3" s="1"/>
  <c r="AB6975" i="2"/>
  <c r="AK6975" i="2" s="1"/>
  <c r="AC6975" i="2"/>
  <c r="AF6986" i="2"/>
  <c r="Y6986" i="2"/>
  <c r="AB6991" i="2"/>
  <c r="AK6991" i="2" s="1"/>
  <c r="Y6991" i="2"/>
  <c r="AC6991" i="2"/>
  <c r="Y7004" i="2"/>
  <c r="AC7004" i="2"/>
  <c r="AB7004" i="2"/>
  <c r="AK7004" i="2" s="1"/>
  <c r="AC7020" i="2"/>
  <c r="AB7020" i="2"/>
  <c r="AK7020" i="2" s="1"/>
  <c r="Y7020" i="2"/>
  <c r="AF7023" i="2"/>
  <c r="Y7023" i="2"/>
  <c r="Y7031" i="2"/>
  <c r="AF7031" i="2"/>
  <c r="AK7036" i="2"/>
  <c r="Y7036" i="2"/>
  <c r="AC7044" i="2"/>
  <c r="AB7044" i="2"/>
  <c r="AK7044" i="2" s="1"/>
  <c r="AF7055" i="2"/>
  <c r="Y7055" i="2"/>
  <c r="AB7068" i="2"/>
  <c r="AK7068" i="2" s="1"/>
  <c r="Y7068" i="2"/>
  <c r="AC7068" i="2"/>
  <c r="Y7084" i="2"/>
  <c r="AC7084" i="2"/>
  <c r="AF7087" i="2"/>
  <c r="Y7087" i="2"/>
  <c r="AC7092" i="2"/>
  <c r="AB7092" i="2"/>
  <c r="AK7092" i="2" s="1"/>
  <c r="Y7092" i="2"/>
  <c r="AB7097" i="2"/>
  <c r="AK7097" i="2" s="1"/>
  <c r="Y7097" i="2"/>
  <c r="AC7097" i="2"/>
  <c r="Y7118" i="2"/>
  <c r="AF7118" i="2"/>
  <c r="Y7139" i="2"/>
  <c r="AC7139" i="2"/>
  <c r="AC7147" i="2"/>
  <c r="Y7147" i="2"/>
  <c r="AC7203" i="2"/>
  <c r="Y7203" i="2"/>
  <c r="AC7211" i="2"/>
  <c r="AB7211" i="2"/>
  <c r="AK7211" i="2" s="1"/>
  <c r="AB7219" i="2"/>
  <c r="AK7219" i="2" s="1"/>
  <c r="Y7219" i="2"/>
  <c r="AB7235" i="2"/>
  <c r="AK7235" i="2" s="1"/>
  <c r="Y7235" i="2"/>
  <c r="AB7251" i="2"/>
  <c r="AK7251" i="2" s="1"/>
  <c r="Y7251" i="2"/>
  <c r="R153" i="3"/>
  <c r="T153" i="3" s="1"/>
  <c r="U153" i="3" s="1"/>
  <c r="V153" i="3" s="1"/>
  <c r="Y7259" i="2"/>
  <c r="AB7267" i="2"/>
  <c r="AK7267" i="2" s="1"/>
  <c r="Y7267" i="2"/>
  <c r="AC7291" i="2"/>
  <c r="Y7291" i="2"/>
  <c r="Y7310" i="2"/>
  <c r="AF7310" i="2"/>
  <c r="AC7339" i="2"/>
  <c r="AB7339" i="2"/>
  <c r="AK7339" i="2" s="1"/>
  <c r="AF7342" i="2"/>
  <c r="Y7342" i="2"/>
  <c r="AB7347" i="2"/>
  <c r="AK7347" i="2" s="1"/>
  <c r="Y7347" i="2"/>
  <c r="AF7459" i="2"/>
  <c r="Y7459" i="2"/>
  <c r="AF7483" i="2"/>
  <c r="Y7483" i="2"/>
  <c r="AB7512" i="2"/>
  <c r="AK7512" i="2" s="1"/>
  <c r="Y7512" i="2"/>
  <c r="AC7520" i="2"/>
  <c r="Y7520" i="2"/>
  <c r="AB7520" i="2"/>
  <c r="AK7520" i="2" s="1"/>
  <c r="AC7549" i="2"/>
  <c r="AB7549" i="2"/>
  <c r="AK7549" i="2" s="1"/>
  <c r="Y7557" i="2"/>
  <c r="AB7557" i="2"/>
  <c r="AK7557" i="2" s="1"/>
  <c r="AC7557" i="2"/>
  <c r="Y7584" i="2"/>
  <c r="AF7584" i="2"/>
  <c r="AB7656" i="2"/>
  <c r="AK7656" i="2" s="1"/>
  <c r="Y7656" i="2"/>
  <c r="AB7842" i="2"/>
  <c r="AK7842" i="2" s="1"/>
  <c r="AC7842" i="2"/>
  <c r="AB7850" i="2"/>
  <c r="AK7850" i="2" s="1"/>
  <c r="AC7850" i="2"/>
  <c r="AB7882" i="2"/>
  <c r="AK7882" i="2" s="1"/>
  <c r="AC7882" i="2"/>
  <c r="AB7953" i="2"/>
  <c r="AK7953" i="2" s="1"/>
  <c r="Y7953" i="2"/>
  <c r="AB7977" i="2"/>
  <c r="AK7977" i="2" s="1"/>
  <c r="Y7977" i="2"/>
  <c r="AF7988" i="2"/>
  <c r="AH7988" i="2"/>
  <c r="Y7991" i="2"/>
  <c r="R136" i="3"/>
  <c r="T136" i="3" s="1"/>
  <c r="U136" i="3" s="1"/>
  <c r="V136" i="3" s="1"/>
  <c r="AF8004" i="2"/>
  <c r="AH8004" i="2"/>
  <c r="AC8054" i="2"/>
  <c r="AB8054" i="2"/>
  <c r="AK8054" i="2" s="1"/>
  <c r="Y7770" i="2"/>
  <c r="Y7895" i="2"/>
  <c r="Y7853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379" i="2"/>
  <c r="Y5387" i="2"/>
  <c r="Y5395" i="2"/>
  <c r="Y5403" i="2"/>
  <c r="AF5406" i="2"/>
  <c r="Y5411" i="2"/>
  <c r="AF5414" i="2"/>
  <c r="AF5422" i="2"/>
  <c r="Y5424" i="2"/>
  <c r="AF5427" i="2"/>
  <c r="AF5430" i="2"/>
  <c r="Y5435" i="2"/>
  <c r="AF5443" i="2"/>
  <c r="Y5448" i="2"/>
  <c r="Y5456" i="2"/>
  <c r="AF5459" i="2"/>
  <c r="Y5464" i="2"/>
  <c r="AF5467" i="2"/>
  <c r="AF5472" i="2"/>
  <c r="AF5475" i="2"/>
  <c r="AF5480" i="2"/>
  <c r="AF5483" i="2"/>
  <c r="Y5485" i="2"/>
  <c r="AF5488" i="2"/>
  <c r="Y5496" i="2"/>
  <c r="AF5504" i="2"/>
  <c r="AF5512" i="2"/>
  <c r="AF5515" i="2"/>
  <c r="Y5520" i="2"/>
  <c r="AF5528" i="2"/>
  <c r="Y5536" i="2"/>
  <c r="AF5539" i="2"/>
  <c r="AF5544" i="2"/>
  <c r="AF5552" i="2"/>
  <c r="Y5560" i="2"/>
  <c r="Y5568" i="2"/>
  <c r="AF5576" i="2"/>
  <c r="AF5589" i="2"/>
  <c r="AF5592" i="2"/>
  <c r="Y5597" i="2"/>
  <c r="AF5613" i="2"/>
  <c r="Y5621" i="2"/>
  <c r="AF5624" i="2"/>
  <c r="Y5629" i="2"/>
  <c r="AF5632" i="2"/>
  <c r="Y5637" i="2"/>
  <c r="AF5640" i="2"/>
  <c r="AF5645" i="2"/>
  <c r="AF5648" i="2"/>
  <c r="Y5653" i="2"/>
  <c r="AF5656" i="2"/>
  <c r="Y5661" i="2"/>
  <c r="AF5664" i="2"/>
  <c r="AF5669" i="2"/>
  <c r="AF5672" i="2"/>
  <c r="Y5674" i="2"/>
  <c r="Y5677" i="2"/>
  <c r="R133" i="3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5685" i="2"/>
  <c r="Y5693" i="2"/>
  <c r="AF5701" i="2"/>
  <c r="Y5709" i="2"/>
  <c r="Y5717" i="2"/>
  <c r="AF5720" i="2"/>
  <c r="Y5722" i="2"/>
  <c r="Y5725" i="2"/>
  <c r="AF5728" i="2"/>
  <c r="Y5730" i="2"/>
  <c r="Y5733" i="2"/>
  <c r="AF5736" i="2"/>
  <c r="AF5744" i="2"/>
  <c r="Y5749" i="2"/>
  <c r="AF5752" i="2"/>
  <c r="AF5757" i="2"/>
  <c r="AF5760" i="2"/>
  <c r="AF5765" i="2"/>
  <c r="AF5768" i="2"/>
  <c r="AF5775" i="2"/>
  <c r="AF5780" i="2"/>
  <c r="AF5783" i="2"/>
  <c r="Y5788" i="2"/>
  <c r="AF5798" i="2"/>
  <c r="AF5800" i="2"/>
  <c r="Y5808" i="2"/>
  <c r="Y5813" i="2"/>
  <c r="AF5816" i="2"/>
  <c r="Y5824" i="2"/>
  <c r="AF5827" i="2"/>
  <c r="Y5832" i="2"/>
  <c r="AF5835" i="2"/>
  <c r="AF5840" i="2"/>
  <c r="AF5843" i="2"/>
  <c r="Y5848" i="2"/>
  <c r="AF5851" i="2"/>
  <c r="AF5856" i="2"/>
  <c r="AF5859" i="2"/>
  <c r="AF5864" i="2"/>
  <c r="AF5867" i="2"/>
  <c r="Y5872" i="2"/>
  <c r="AF5875" i="2"/>
  <c r="AF5880" i="2"/>
  <c r="Y5882" i="2"/>
  <c r="AF5885" i="2"/>
  <c r="AF5888" i="2"/>
  <c r="AF5893" i="2"/>
  <c r="AF5896" i="2"/>
  <c r="AF5904" i="2"/>
  <c r="AF5909" i="2"/>
  <c r="Y5917" i="2"/>
  <c r="AF5920" i="2"/>
  <c r="Y5925" i="2"/>
  <c r="AF5928" i="2"/>
  <c r="Y5938" i="2"/>
  <c r="Y5941" i="2"/>
  <c r="Y5949" i="2"/>
  <c r="AF5952" i="2"/>
  <c r="Y5957" i="2"/>
  <c r="AF5965" i="2"/>
  <c r="AF5968" i="2"/>
  <c r="AF5973" i="2"/>
  <c r="AF5981" i="2"/>
  <c r="AF5984" i="2"/>
  <c r="Y5986" i="2"/>
  <c r="AF5989" i="2"/>
  <c r="Y5994" i="2"/>
  <c r="AF5997" i="2"/>
  <c r="Y6002" i="2"/>
  <c r="AF6005" i="2"/>
  <c r="AF6010" i="2"/>
  <c r="AF6013" i="2"/>
  <c r="Y6018" i="2"/>
  <c r="AF6021" i="2"/>
  <c r="AF6026" i="2"/>
  <c r="AF6029" i="2"/>
  <c r="Y6034" i="2"/>
  <c r="AF6037" i="2"/>
  <c r="AF6042" i="2"/>
  <c r="AF6050" i="2"/>
  <c r="Y6055" i="2"/>
  <c r="AF6058" i="2"/>
  <c r="Y6063" i="2"/>
  <c r="AF6068" i="2"/>
  <c r="AF6071" i="2"/>
  <c r="Y1059" i="2"/>
  <c r="Y1217" i="2"/>
  <c r="Y1137" i="2"/>
  <c r="Y565" i="2"/>
  <c r="AB677" i="2"/>
  <c r="AC677" i="2"/>
  <c r="AB697" i="2"/>
  <c r="AK697" i="2" s="1"/>
  <c r="AC697" i="2"/>
  <c r="AB717" i="2"/>
  <c r="AK717" i="2" s="1"/>
  <c r="AC717" i="2"/>
  <c r="AB1109" i="2"/>
  <c r="AK1109" i="2" s="1"/>
  <c r="Y1109" i="2"/>
  <c r="AB1117" i="2"/>
  <c r="AK1117" i="2" s="1"/>
  <c r="Y1117" i="2"/>
  <c r="AK1159" i="2"/>
  <c r="Y1159" i="2"/>
  <c r="AK1181" i="2"/>
  <c r="AC1181" i="2"/>
  <c r="AB1213" i="2"/>
  <c r="AK1213" i="2" s="1"/>
  <c r="Y1213" i="2"/>
  <c r="Y1225" i="2"/>
  <c r="AB1313" i="2"/>
  <c r="AK1313" i="2" s="1"/>
  <c r="AC1313" i="2"/>
  <c r="AB1317" i="2"/>
  <c r="AK1317" i="2" s="1"/>
  <c r="AC1317" i="2"/>
  <c r="AB1345" i="2"/>
  <c r="AK1345" i="2" s="1"/>
  <c r="Y1345" i="2"/>
  <c r="AB1361" i="2"/>
  <c r="AK1361" i="2" s="1"/>
  <c r="AC1361" i="2"/>
  <c r="AB2120" i="2"/>
  <c r="AK2120" i="2" s="1"/>
  <c r="AC2120" i="2"/>
  <c r="AF2320" i="2"/>
  <c r="Y2320" i="2"/>
  <c r="AF2391" i="2"/>
  <c r="Y2391" i="2"/>
  <c r="AF2413" i="2"/>
  <c r="Y2413" i="2"/>
  <c r="AB2484" i="2"/>
  <c r="AK2484" i="2" s="1"/>
  <c r="AC2484" i="2"/>
  <c r="AC2558" i="2"/>
  <c r="Y2558" i="2"/>
  <c r="AC2562" i="2"/>
  <c r="AB2562" i="2"/>
  <c r="AK2562" i="2" s="1"/>
  <c r="AB2568" i="2"/>
  <c r="AK2568" i="2" s="1"/>
  <c r="Y2568" i="2"/>
  <c r="AC2570" i="2"/>
  <c r="AB2570" i="2"/>
  <c r="AK2570" i="2" s="1"/>
  <c r="AC2610" i="2"/>
  <c r="AB2610" i="2"/>
  <c r="AK2610" i="2" s="1"/>
  <c r="AC2618" i="2"/>
  <c r="AB2618" i="2"/>
  <c r="AK2618" i="2" s="1"/>
  <c r="AC2642" i="2"/>
  <c r="AB2642" i="2"/>
  <c r="AK2642" i="2" s="1"/>
  <c r="AB2666" i="2"/>
  <c r="AK2666" i="2" s="1"/>
  <c r="Y2666" i="2"/>
  <c r="AB2692" i="2"/>
  <c r="AK2692" i="2" s="1"/>
  <c r="Y2692" i="2"/>
  <c r="AB138" i="2"/>
  <c r="AK138" i="2" s="1"/>
  <c r="AC138" i="2"/>
  <c r="AB1051" i="2"/>
  <c r="AK1051" i="2" s="1"/>
  <c r="Y1051" i="2"/>
  <c r="AB1067" i="2"/>
  <c r="AK1067" i="2" s="1"/>
  <c r="Y1067" i="2"/>
  <c r="AB1247" i="2"/>
  <c r="AK1247" i="2" s="1"/>
  <c r="Y1247" i="2"/>
  <c r="AB1285" i="2"/>
  <c r="AK1285" i="2" s="1"/>
  <c r="Y1285" i="2"/>
  <c r="AB1291" i="2"/>
  <c r="AK1291" i="2" s="1"/>
  <c r="AC1291" i="2"/>
  <c r="AB1663" i="2"/>
  <c r="AK1663" i="2" s="1"/>
  <c r="AC1663" i="2"/>
  <c r="AB1671" i="2"/>
  <c r="AK1671" i="2" s="1"/>
  <c r="Y1671" i="2"/>
  <c r="Y1673" i="2"/>
  <c r="AB1673" i="2"/>
  <c r="AK1673" i="2" s="1"/>
  <c r="AB1675" i="2"/>
  <c r="AK1675" i="2" s="1"/>
  <c r="Y1675" i="2"/>
  <c r="AB1802" i="2"/>
  <c r="AK1802" i="2" s="1"/>
  <c r="Y1802" i="2"/>
  <c r="Y1806" i="2"/>
  <c r="AB1806" i="2"/>
  <c r="AK1806" i="2" s="1"/>
  <c r="AB1808" i="2"/>
  <c r="AK1808" i="2" s="1"/>
  <c r="Y1808" i="2"/>
  <c r="Y1824" i="2"/>
  <c r="AB1824" i="2"/>
  <c r="AK1824" i="2" s="1"/>
  <c r="Y1836" i="2"/>
  <c r="AB1836" i="2"/>
  <c r="AK1836" i="2" s="1"/>
  <c r="AB1852" i="2"/>
  <c r="AK1852" i="2" s="1"/>
  <c r="Y1852" i="2"/>
  <c r="Y1862" i="2"/>
  <c r="AB1862" i="2"/>
  <c r="AK1862" i="2" s="1"/>
  <c r="Y1866" i="2"/>
  <c r="AB1866" i="2"/>
  <c r="AK1866" i="2" s="1"/>
  <c r="Y1876" i="2"/>
  <c r="AB1876" i="2"/>
  <c r="AK1876" i="2" s="1"/>
  <c r="AB1886" i="2"/>
  <c r="AK1886" i="2" s="1"/>
  <c r="Y1886" i="2"/>
  <c r="AB1892" i="2"/>
  <c r="AK1892" i="2" s="1"/>
  <c r="Y1892" i="2"/>
  <c r="AB1898" i="2"/>
  <c r="AK1898" i="2" s="1"/>
  <c r="AC1898" i="2"/>
  <c r="Y1902" i="2"/>
  <c r="AB1902" i="2"/>
  <c r="AK1902" i="2" s="1"/>
  <c r="AB1918" i="2"/>
  <c r="AK1918" i="2" s="1"/>
  <c r="Y1918" i="2"/>
  <c r="Y1930" i="2"/>
  <c r="AB1930" i="2"/>
  <c r="AK1930" i="2" s="1"/>
  <c r="Y1948" i="2"/>
  <c r="AB1948" i="2"/>
  <c r="AK1948" i="2" s="1"/>
  <c r="AB1968" i="2"/>
  <c r="AK1968" i="2" s="1"/>
  <c r="AC1968" i="2"/>
  <c r="AB1974" i="2"/>
  <c r="AK1974" i="2" s="1"/>
  <c r="Y1974" i="2"/>
  <c r="AC1974" i="2"/>
  <c r="AB2000" i="2"/>
  <c r="AK2000" i="2" s="1"/>
  <c r="Y2000" i="2"/>
  <c r="AB2004" i="2"/>
  <c r="AK2004" i="2" s="1"/>
  <c r="AC2004" i="2"/>
  <c r="AA2014" i="2"/>
  <c r="AB2014" i="2" s="1"/>
  <c r="AC2014" i="2"/>
  <c r="AB2026" i="2"/>
  <c r="AK2026" i="2" s="1"/>
  <c r="Y2026" i="2"/>
  <c r="AB2038" i="2"/>
  <c r="AK2038" i="2" s="1"/>
  <c r="AC2038" i="2"/>
  <c r="AB2052" i="2"/>
  <c r="AK2052" i="2" s="1"/>
  <c r="R35" i="3"/>
  <c r="T35" i="3" s="1"/>
  <c r="U35" i="3" s="1"/>
  <c r="V35" i="3" s="1"/>
  <c r="AC2532" i="2"/>
  <c r="AB2532" i="2"/>
  <c r="AK2532" i="2" s="1"/>
  <c r="AC2544" i="2"/>
  <c r="AB2544" i="2"/>
  <c r="AK2544" i="2" s="1"/>
  <c r="AC2550" i="2"/>
  <c r="AB2550" i="2"/>
  <c r="AK2550" i="2" s="1"/>
  <c r="AC2591" i="2"/>
  <c r="AB2591" i="2"/>
  <c r="Y2626" i="2"/>
  <c r="AF2626" i="2"/>
  <c r="Y196" i="2"/>
  <c r="Y1201" i="2"/>
  <c r="Y1167" i="2"/>
  <c r="AB1896" i="2"/>
  <c r="AK1896" i="2" s="1"/>
  <c r="AB1854" i="2"/>
  <c r="AK1854" i="2" s="1"/>
  <c r="Y1820" i="2"/>
  <c r="AB1782" i="2"/>
  <c r="AK1782" i="2" s="1"/>
  <c r="Y1621" i="2"/>
  <c r="Y10" i="2"/>
  <c r="AB10" i="2"/>
  <c r="AK10" i="2" s="1"/>
  <c r="AB120" i="2"/>
  <c r="AK120" i="2" s="1"/>
  <c r="AC120" i="2"/>
  <c r="AC326" i="2"/>
  <c r="AB326" i="2"/>
  <c r="AK326" i="2" s="1"/>
  <c r="AC459" i="2"/>
  <c r="AB459" i="2"/>
  <c r="AK459" i="2" s="1"/>
  <c r="AC523" i="2"/>
  <c r="AB523" i="2"/>
  <c r="AK523" i="2" s="1"/>
  <c r="Y1233" i="2"/>
  <c r="Y1884" i="2"/>
  <c r="Y1850" i="2"/>
  <c r="AB1812" i="2"/>
  <c r="AK1812" i="2" s="1"/>
  <c r="Y1669" i="2"/>
  <c r="AB1586" i="2"/>
  <c r="AK1586" i="2" s="1"/>
  <c r="AB916" i="2"/>
  <c r="AK916" i="2" s="1"/>
  <c r="Y916" i="2"/>
  <c r="AC56" i="2"/>
  <c r="AC225" i="2"/>
  <c r="AC737" i="2"/>
  <c r="AC725" i="2"/>
  <c r="AC581" i="2"/>
  <c r="AC213" i="2"/>
  <c r="AC189" i="2"/>
  <c r="AC195" i="2"/>
  <c r="AC635" i="2"/>
  <c r="AC615" i="2"/>
  <c r="AC1067" i="2"/>
  <c r="AC1051" i="2"/>
  <c r="AC659" i="2"/>
  <c r="AC215" i="2"/>
  <c r="AC1283" i="2"/>
  <c r="AC1295" i="2"/>
  <c r="AC1237" i="2"/>
  <c r="AC665" i="2"/>
  <c r="AC1962" i="2"/>
  <c r="AC719" i="2"/>
  <c r="AC1197" i="2"/>
  <c r="AC1249" i="2"/>
  <c r="AC1641" i="2"/>
  <c r="AC1866" i="2"/>
  <c r="AF1125" i="2"/>
  <c r="AC1233" i="2"/>
  <c r="AC1127" i="2"/>
  <c r="AC406" i="2"/>
  <c r="AC1034" i="2"/>
  <c r="Y574" i="2"/>
  <c r="AB2552" i="2"/>
  <c r="AK2552" i="2" s="1"/>
  <c r="AC2536" i="2"/>
  <c r="AB2528" i="2"/>
  <c r="AK2528" i="2" s="1"/>
  <c r="AB1225" i="2"/>
  <c r="AK1225" i="2" s="1"/>
  <c r="Y1141" i="2"/>
  <c r="Y1087" i="2"/>
  <c r="AB2056" i="2"/>
  <c r="AK2056" i="2" s="1"/>
  <c r="Y1922" i="2"/>
  <c r="Y1844" i="2"/>
  <c r="Y1810" i="2"/>
  <c r="AB1309" i="2"/>
  <c r="AK1309" i="2" s="1"/>
  <c r="Y1367" i="2"/>
  <c r="AC275" i="2"/>
  <c r="AC579" i="2"/>
  <c r="AC639" i="2"/>
  <c r="AC992" i="2"/>
  <c r="AC689" i="2"/>
  <c r="AC1301" i="2"/>
  <c r="AC1285" i="2"/>
  <c r="AC593" i="2"/>
  <c r="AC701" i="2"/>
  <c r="AC1625" i="2"/>
  <c r="AC30" i="2"/>
  <c r="Y1065" i="2"/>
  <c r="Y2562" i="2"/>
  <c r="Y1916" i="2"/>
  <c r="Y1882" i="2"/>
  <c r="AB1840" i="2"/>
  <c r="AK1840" i="2" s="1"/>
  <c r="Y1798" i="2"/>
  <c r="Y1307" i="2"/>
  <c r="Y1061" i="2"/>
  <c r="Y1139" i="2"/>
  <c r="AB21" i="2"/>
  <c r="AK21" i="2" s="1"/>
  <c r="AC21" i="2"/>
  <c r="AF92" i="2"/>
  <c r="Y92" i="2"/>
  <c r="AF188" i="2"/>
  <c r="Y188" i="2"/>
  <c r="AB311" i="2"/>
  <c r="AK311" i="2" s="1"/>
  <c r="AC311" i="2"/>
  <c r="AB1030" i="2"/>
  <c r="AK1030" i="2" s="1"/>
  <c r="AC1030" i="2"/>
  <c r="AB1042" i="2"/>
  <c r="AK1042" i="2" s="1"/>
  <c r="AC1042" i="2"/>
  <c r="AB1437" i="2"/>
  <c r="AK1437" i="2" s="1"/>
  <c r="AC1437" i="2"/>
  <c r="AB1445" i="2"/>
  <c r="AK1445" i="2" s="1"/>
  <c r="AC1445" i="2"/>
  <c r="AB1501" i="2"/>
  <c r="AK1501" i="2" s="1"/>
  <c r="AC1501" i="2"/>
  <c r="AB1604" i="2"/>
  <c r="AK1604" i="2" s="1"/>
  <c r="AC1604" i="2"/>
  <c r="Y1616" i="2"/>
  <c r="AB1616" i="2"/>
  <c r="AK1616" i="2" s="1"/>
  <c r="Y1703" i="2"/>
  <c r="AB1703" i="2"/>
  <c r="AK1703" i="2" s="1"/>
  <c r="Y1709" i="2"/>
  <c r="AC1709" i="2"/>
  <c r="AB1715" i="2"/>
  <c r="AK1715" i="2" s="1"/>
  <c r="AC1715" i="2"/>
  <c r="AB1719" i="2"/>
  <c r="AK1719" i="2" s="1"/>
  <c r="Y1719" i="2"/>
  <c r="Y1721" i="2"/>
  <c r="AC1721" i="2"/>
  <c r="Y1729" i="2"/>
  <c r="AC1729" i="2"/>
  <c r="AB1733" i="2"/>
  <c r="AK1733" i="2" s="1"/>
  <c r="Y1733" i="2"/>
  <c r="AC1733" i="2"/>
  <c r="Y1749" i="2"/>
  <c r="AB1749" i="2"/>
  <c r="AK1749" i="2" s="1"/>
  <c r="AB1751" i="2"/>
  <c r="AK1751" i="2" s="1"/>
  <c r="AC1751" i="2"/>
  <c r="AB1763" i="2"/>
  <c r="AK1763" i="2" s="1"/>
  <c r="Y1763" i="2"/>
  <c r="AF1973" i="2"/>
  <c r="Y1973" i="2"/>
  <c r="AF2007" i="2"/>
  <c r="Y2007" i="2"/>
  <c r="Y2765" i="2"/>
  <c r="AC2765" i="2"/>
  <c r="AC2781" i="2"/>
  <c r="R96" i="3"/>
  <c r="T96" i="3" s="1"/>
  <c r="U96" i="3" s="1"/>
  <c r="V96" i="3" s="1"/>
  <c r="AB2919" i="2"/>
  <c r="AK2919" i="2" s="1"/>
  <c r="AC2919" i="2"/>
  <c r="AB2935" i="2"/>
  <c r="AK2935" i="2" s="1"/>
  <c r="AC2935" i="2"/>
  <c r="AB2943" i="2"/>
  <c r="AK2943" i="2" s="1"/>
  <c r="AC2943" i="2"/>
  <c r="AB2951" i="2"/>
  <c r="AK2951" i="2" s="1"/>
  <c r="AC2951" i="2"/>
  <c r="AB3049" i="2"/>
  <c r="AC3049" i="2"/>
  <c r="Y3099" i="2"/>
  <c r="AC3099" i="2"/>
  <c r="AB3101" i="2"/>
  <c r="AK3101" i="2" s="1"/>
  <c r="AC3101" i="2"/>
  <c r="Y3107" i="2"/>
  <c r="AC3107" i="2"/>
  <c r="AB3109" i="2"/>
  <c r="AK3109" i="2" s="1"/>
  <c r="AC3109" i="2"/>
  <c r="AB3111" i="2"/>
  <c r="AK3111" i="2" s="1"/>
  <c r="AC3111" i="2"/>
  <c r="Y1041" i="2"/>
  <c r="Y1530" i="2"/>
  <c r="Y1550" i="2"/>
  <c r="AB1550" i="2"/>
  <c r="AK1550" i="2" s="1"/>
  <c r="Y1572" i="2"/>
  <c r="Y1696" i="2"/>
  <c r="AB1696" i="2"/>
  <c r="AK1696" i="2" s="1"/>
  <c r="Y1724" i="2"/>
  <c r="AB1724" i="2"/>
  <c r="AK1724" i="2" s="1"/>
  <c r="AB1756" i="2"/>
  <c r="AK1756" i="2" s="1"/>
  <c r="Y1756" i="2"/>
  <c r="Y1770" i="2"/>
  <c r="AB1770" i="2"/>
  <c r="AK1770" i="2" s="1"/>
  <c r="AC2171" i="2"/>
  <c r="AB2171" i="2"/>
  <c r="AK2171" i="2" s="1"/>
  <c r="AC2195" i="2"/>
  <c r="AB2195" i="2"/>
  <c r="AK2195" i="2" s="1"/>
  <c r="AF2331" i="2"/>
  <c r="Y2331" i="2"/>
  <c r="AF2347" i="2"/>
  <c r="Y2347" i="2"/>
  <c r="AC976" i="2"/>
  <c r="AC2449" i="2"/>
  <c r="AC2461" i="2"/>
  <c r="Y2324" i="2"/>
  <c r="Y1526" i="2"/>
  <c r="AC2999" i="2"/>
  <c r="AC2429" i="2"/>
  <c r="AC2453" i="2"/>
  <c r="Y2027" i="2"/>
  <c r="AC2459" i="2"/>
  <c r="AB3476" i="2"/>
  <c r="AK3476" i="2" s="1"/>
  <c r="AC3476" i="2"/>
  <c r="AB3492" i="2"/>
  <c r="AK3492" i="2" s="1"/>
  <c r="AC3492" i="2"/>
  <c r="Y2327" i="2"/>
  <c r="Y2526" i="2"/>
  <c r="Y2528" i="2"/>
  <c r="Y2538" i="2"/>
  <c r="Y2542" i="2"/>
  <c r="Y2608" i="2"/>
  <c r="Y268" i="2"/>
  <c r="Y270" i="2"/>
  <c r="Y602" i="2"/>
  <c r="Y682" i="2"/>
  <c r="Y756" i="2"/>
  <c r="Y1076" i="2"/>
  <c r="Y1078" i="2"/>
  <c r="Y1080" i="2"/>
  <c r="Y1086" i="2"/>
  <c r="Y1090" i="2"/>
  <c r="Y1094" i="2"/>
  <c r="Y1106" i="2"/>
  <c r="Y1108" i="2"/>
  <c r="Y1112" i="2"/>
  <c r="Y1118" i="2"/>
  <c r="Y1140" i="2"/>
  <c r="Y1142" i="2"/>
  <c r="Y1144" i="2"/>
  <c r="Y1152" i="2"/>
  <c r="AC3428" i="2"/>
  <c r="AC4614" i="2"/>
  <c r="AC4538" i="2"/>
  <c r="AB4411" i="2"/>
  <c r="AK4411" i="2" s="1"/>
  <c r="Y4411" i="2"/>
  <c r="AC4411" i="2"/>
  <c r="R74" i="3"/>
  <c r="T74" i="3" s="1"/>
  <c r="U74" i="3" s="1"/>
  <c r="V74" i="3" s="1"/>
  <c r="AB4419" i="2"/>
  <c r="AK4419" i="2" s="1"/>
  <c r="AC4419" i="2"/>
  <c r="AB4427" i="2"/>
  <c r="AK4427" i="2" s="1"/>
  <c r="AC4427" i="2"/>
  <c r="Y4443" i="2"/>
  <c r="AB4443" i="2"/>
  <c r="AK4443" i="2" s="1"/>
  <c r="AC4443" i="2"/>
  <c r="AB4459" i="2"/>
  <c r="AK4459" i="2" s="1"/>
  <c r="AC4459" i="2"/>
  <c r="Y4475" i="2"/>
  <c r="AB4475" i="2"/>
  <c r="AK4475" i="2" s="1"/>
  <c r="AB4491" i="2"/>
  <c r="AK4491" i="2" s="1"/>
  <c r="AC4491" i="2"/>
  <c r="AB4509" i="2"/>
  <c r="AK4509" i="2" s="1"/>
  <c r="Y4509" i="2"/>
  <c r="AC4509" i="2"/>
  <c r="AB4514" i="2"/>
  <c r="AK4514" i="2" s="1"/>
  <c r="AC4514" i="2"/>
  <c r="AB4522" i="2"/>
  <c r="AK4522" i="2" s="1"/>
  <c r="Y4522" i="2"/>
  <c r="AC4522" i="2"/>
  <c r="AB4556" i="2"/>
  <c r="AK4556" i="2" s="1"/>
  <c r="AC4556" i="2"/>
  <c r="AB4569" i="2"/>
  <c r="AK4569" i="2" s="1"/>
  <c r="AC4569" i="2"/>
  <c r="AB4577" i="2"/>
  <c r="AK4577" i="2" s="1"/>
  <c r="Y4577" i="2"/>
  <c r="AC4577" i="2"/>
  <c r="AB4590" i="2"/>
  <c r="AK4590" i="2" s="1"/>
  <c r="AC4590" i="2"/>
  <c r="R81" i="3"/>
  <c r="T81" i="3" s="1"/>
  <c r="U81" i="3" s="1"/>
  <c r="V81" i="3" s="1"/>
  <c r="AB4598" i="2"/>
  <c r="AK4598" i="2" s="1"/>
  <c r="AC4598" i="2"/>
  <c r="AB4606" i="2"/>
  <c r="AK4606" i="2" s="1"/>
  <c r="AC4606" i="2"/>
  <c r="AB4622" i="2"/>
  <c r="AK4622" i="2" s="1"/>
  <c r="Y4622" i="2"/>
  <c r="AC4622" i="2"/>
  <c r="AB4638" i="2"/>
  <c r="AK4638" i="2" s="1"/>
  <c r="AC4638" i="2"/>
  <c r="AB4651" i="2"/>
  <c r="AK4651" i="2" s="1"/>
  <c r="AC4651" i="2"/>
  <c r="AH4658" i="2"/>
  <c r="AF4658" i="2"/>
  <c r="AB4686" i="2"/>
  <c r="AK4686" i="2" s="1"/>
  <c r="AC4686" i="2"/>
  <c r="AB4688" i="2"/>
  <c r="AK4688" i="2" s="1"/>
  <c r="AC4688" i="2"/>
  <c r="AB4690" i="2"/>
  <c r="AK4690" i="2" s="1"/>
  <c r="Y4690" i="2"/>
  <c r="AC4690" i="2"/>
  <c r="AB4692" i="2"/>
  <c r="AK4692" i="2" s="1"/>
  <c r="AC4692" i="2"/>
  <c r="AF4710" i="2"/>
  <c r="AH4710" i="2"/>
  <c r="AH4712" i="2"/>
  <c r="AF4712" i="2"/>
  <c r="AH4714" i="2"/>
  <c r="AF4714" i="2"/>
  <c r="AH4726" i="2"/>
  <c r="AF4726" i="2"/>
  <c r="AF4730" i="2"/>
  <c r="AH4730" i="2"/>
  <c r="AH4734" i="2"/>
  <c r="AF4734" i="2"/>
  <c r="AF4770" i="2"/>
  <c r="AH4770" i="2"/>
  <c r="AH4776" i="2"/>
  <c r="AF4776" i="2"/>
  <c r="AB3532" i="2"/>
  <c r="AK3532" i="2" s="1"/>
  <c r="AC3532" i="2"/>
  <c r="AB3553" i="2"/>
  <c r="AK3553" i="2" s="1"/>
  <c r="AC3553" i="2"/>
  <c r="AB3622" i="2"/>
  <c r="AK3622" i="2" s="1"/>
  <c r="AC3622" i="2"/>
  <c r="AK3766" i="2"/>
  <c r="AC3766" i="2"/>
  <c r="AB3987" i="2"/>
  <c r="AK3987" i="2" s="1"/>
  <c r="AC3987" i="2"/>
  <c r="AB4059" i="2"/>
  <c r="AK4059" i="2" s="1"/>
  <c r="AC4059" i="2"/>
  <c r="AB4122" i="2"/>
  <c r="AK4122" i="2" s="1"/>
  <c r="AC4122" i="2"/>
  <c r="AB4186" i="2"/>
  <c r="AK4186" i="2" s="1"/>
  <c r="AC4186" i="2"/>
  <c r="AB4242" i="2"/>
  <c r="AK4242" i="2" s="1"/>
  <c r="Y4242" i="2"/>
  <c r="AB4250" i="2"/>
  <c r="AK4250" i="2" s="1"/>
  <c r="AC4250" i="2"/>
  <c r="AB4319" i="2"/>
  <c r="AK4319" i="2" s="1"/>
  <c r="AC4319" i="2"/>
  <c r="AB4332" i="2"/>
  <c r="AK4332" i="2" s="1"/>
  <c r="Y4332" i="2"/>
  <c r="AC3540" i="2"/>
  <c r="Y4941" i="2"/>
  <c r="AB3590" i="2"/>
  <c r="AK3590" i="2" s="1"/>
  <c r="AC3524" i="2"/>
  <c r="Y4937" i="2"/>
  <c r="AC4909" i="2"/>
  <c r="Y4986" i="2"/>
  <c r="Y1156" i="2"/>
  <c r="Y1160" i="2"/>
  <c r="Y1164" i="2"/>
  <c r="Y1168" i="2"/>
  <c r="Y1172" i="2"/>
  <c r="Y1174" i="2"/>
  <c r="Y1176" i="2"/>
  <c r="Y1178" i="2"/>
  <c r="Y1186" i="2"/>
  <c r="Y1190" i="2"/>
  <c r="Y1194" i="2"/>
  <c r="Y1198" i="2"/>
  <c r="Y1202" i="2"/>
  <c r="Y1206" i="2"/>
  <c r="Y1210" i="2"/>
  <c r="Y1214" i="2"/>
  <c r="Y1224" i="2"/>
  <c r="Y1252" i="2"/>
  <c r="Y1254" i="2"/>
  <c r="Y1256" i="2"/>
  <c r="Y1258" i="2"/>
  <c r="Y1264" i="2"/>
  <c r="Y1268" i="2"/>
  <c r="Y1270" i="2"/>
  <c r="Y1272" i="2"/>
  <c r="Y1316" i="2"/>
  <c r="Y1318" i="2"/>
  <c r="Y1320" i="2"/>
  <c r="Y1322" i="2"/>
  <c r="Y1328" i="2"/>
  <c r="Y1338" i="2"/>
  <c r="Y1372" i="2"/>
  <c r="Y1591" i="2"/>
  <c r="Y1595" i="2"/>
  <c r="Y1599" i="2"/>
  <c r="AC5000" i="2"/>
  <c r="AC3750" i="2"/>
  <c r="AC3670" i="2"/>
  <c r="AC3582" i="2"/>
  <c r="Y4929" i="2"/>
  <c r="AB4986" i="2"/>
  <c r="AK4986" i="2" s="1"/>
  <c r="AC3574" i="2"/>
  <c r="AF4925" i="2"/>
  <c r="Y4925" i="2"/>
  <c r="AF4927" i="2"/>
  <c r="Y4927" i="2"/>
  <c r="AF4933" i="2"/>
  <c r="Y4933" i="2"/>
  <c r="AF4949" i="2"/>
  <c r="Y4949" i="2"/>
  <c r="R90" i="3"/>
  <c r="T90" i="3" s="1"/>
  <c r="U90" i="3" s="1"/>
  <c r="V90" i="3" s="1"/>
  <c r="AB4984" i="2"/>
  <c r="AK4984" i="2" s="1"/>
  <c r="AB4990" i="2"/>
  <c r="AK4990" i="2" s="1"/>
  <c r="Y4990" i="2"/>
  <c r="AB4994" i="2"/>
  <c r="AK4994" i="2" s="1"/>
  <c r="Y4994" i="2"/>
  <c r="Y4998" i="2"/>
  <c r="AC4998" i="2"/>
  <c r="AF5002" i="2"/>
  <c r="Y5002" i="2"/>
  <c r="AF5006" i="2"/>
  <c r="Y5006" i="2"/>
  <c r="AF5010" i="2"/>
  <c r="Y5010" i="2"/>
  <c r="AB5170" i="2"/>
  <c r="AK5170" i="2" s="1"/>
  <c r="Y5170" i="2"/>
  <c r="AF5174" i="2"/>
  <c r="Y5174" i="2"/>
  <c r="AB5249" i="2"/>
  <c r="AK5249" i="2" s="1"/>
  <c r="Y5249" i="2"/>
  <c r="AB5268" i="2"/>
  <c r="AK5268" i="2" s="1"/>
  <c r="Y5268" i="2"/>
  <c r="AB3275" i="2"/>
  <c r="AK3275" i="2" s="1"/>
  <c r="Y3247" i="2"/>
  <c r="Y3229" i="2"/>
  <c r="AB3183" i="2"/>
  <c r="AK3183" i="2" s="1"/>
  <c r="AB3159" i="2"/>
  <c r="AK3159" i="2" s="1"/>
  <c r="AF3463" i="2"/>
  <c r="AF3471" i="2"/>
  <c r="AF3479" i="2"/>
  <c r="AF3495" i="2"/>
  <c r="Y3540" i="2"/>
  <c r="AF3617" i="2"/>
  <c r="Y4491" i="2"/>
  <c r="Y4538" i="2"/>
  <c r="Y4817" i="2"/>
  <c r="Y4821" i="2"/>
  <c r="Y4825" i="2"/>
  <c r="Y4829" i="2"/>
  <c r="Y4833" i="2"/>
  <c r="Y4837" i="2"/>
  <c r="Y4841" i="2"/>
  <c r="Y4845" i="2"/>
  <c r="Y4849" i="2"/>
  <c r="Y4853" i="2"/>
  <c r="Y4857" i="2"/>
  <c r="Y4861" i="2"/>
  <c r="Y4865" i="2"/>
  <c r="Y4869" i="2"/>
  <c r="Y4873" i="2"/>
  <c r="Y4877" i="2"/>
  <c r="Y4881" i="2"/>
  <c r="Y4885" i="2"/>
  <c r="Y4889" i="2"/>
  <c r="Y5092" i="2"/>
  <c r="Y5096" i="2"/>
  <c r="Y5100" i="2"/>
  <c r="AB6497" i="2"/>
  <c r="AK6497" i="2" s="1"/>
  <c r="AC6499" i="2"/>
  <c r="AC5999" i="2"/>
  <c r="Y6519" i="2"/>
  <c r="Y6420" i="2"/>
  <c r="AC2835" i="2"/>
  <c r="AC2795" i="2"/>
  <c r="AB3271" i="2"/>
  <c r="AK3271" i="2" s="1"/>
  <c r="Y3227" i="2"/>
  <c r="Y3205" i="2"/>
  <c r="Y3181" i="2"/>
  <c r="Y3157" i="2"/>
  <c r="AC6023" i="2"/>
  <c r="Y6068" i="2"/>
  <c r="Y6010" i="2"/>
  <c r="AB3267" i="2"/>
  <c r="AK3267" i="2" s="1"/>
  <c r="Y3241" i="2"/>
  <c r="Y3225" i="2"/>
  <c r="Y3203" i="2"/>
  <c r="Y3177" i="2"/>
  <c r="AB3155" i="2"/>
  <c r="AB6073" i="2"/>
  <c r="AK6073" i="2" s="1"/>
  <c r="Y3261" i="2"/>
  <c r="Y3239" i="2"/>
  <c r="Y3219" i="2"/>
  <c r="AB3197" i="2"/>
  <c r="AK3197" i="2" s="1"/>
  <c r="AB3173" i="2"/>
  <c r="AK3173" i="2" s="1"/>
  <c r="Y3149" i="2"/>
  <c r="Y6523" i="2"/>
  <c r="Y6015" i="2"/>
  <c r="Y6529" i="2"/>
  <c r="Y6454" i="2"/>
  <c r="Y6438" i="2"/>
  <c r="Y6422" i="2"/>
  <c r="Y6507" i="2"/>
  <c r="Y6551" i="2"/>
  <c r="Y6607" i="2"/>
  <c r="AB3295" i="2"/>
  <c r="AK3295" i="2" s="1"/>
  <c r="Y3255" i="2"/>
  <c r="Y3171" i="2"/>
  <c r="Y3147" i="2"/>
  <c r="Y2896" i="2"/>
  <c r="Y2992" i="2"/>
  <c r="Y3000" i="2"/>
  <c r="Y3429" i="2"/>
  <c r="Y3453" i="2"/>
  <c r="Y3509" i="2"/>
  <c r="Y3575" i="2"/>
  <c r="Y3639" i="2"/>
  <c r="Y3655" i="2"/>
  <c r="Y3679" i="2"/>
  <c r="Y3783" i="2"/>
  <c r="Y3799" i="2"/>
  <c r="Y3815" i="2"/>
  <c r="Y3844" i="2"/>
  <c r="Y3860" i="2"/>
  <c r="Y3876" i="2"/>
  <c r="Y3940" i="2"/>
  <c r="Y3964" i="2"/>
  <c r="Y3988" i="2"/>
  <c r="Y4004" i="2"/>
  <c r="Y4020" i="2"/>
  <c r="Y4076" i="2"/>
  <c r="Y4084" i="2"/>
  <c r="Y4086" i="2"/>
  <c r="Y4115" i="2"/>
  <c r="Y4139" i="2"/>
  <c r="Y4179" i="2"/>
  <c r="Y4211" i="2"/>
  <c r="Y4219" i="2"/>
  <c r="Y4227" i="2"/>
  <c r="Y4251" i="2"/>
  <c r="Y4259" i="2"/>
  <c r="Y4280" i="2"/>
  <c r="Y4296" i="2"/>
  <c r="Y4333" i="2"/>
  <c r="Y4341" i="2"/>
  <c r="Y4378" i="2"/>
  <c r="Y4396" i="2"/>
  <c r="Y4412" i="2"/>
  <c r="Y4420" i="2"/>
  <c r="Y4436" i="2"/>
  <c r="Y4452" i="2"/>
  <c r="Y4460" i="2"/>
  <c r="Y4484" i="2"/>
  <c r="Y4500" i="2"/>
  <c r="Y4523" i="2"/>
  <c r="Y4531" i="2"/>
  <c r="Y4539" i="2"/>
  <c r="Y4570" i="2"/>
  <c r="Y4599" i="2"/>
  <c r="Y4615" i="2"/>
  <c r="Y4639" i="2"/>
  <c r="AB6505" i="2"/>
  <c r="AK6505" i="2" s="1"/>
  <c r="Y5991" i="2"/>
  <c r="Y6503" i="2"/>
  <c r="Y5856" i="2"/>
  <c r="Y5816" i="2"/>
  <c r="Y6060" i="2"/>
  <c r="AC6031" i="2"/>
  <c r="Y4935" i="2"/>
  <c r="Y4939" i="2"/>
  <c r="Y4943" i="2"/>
  <c r="Y4945" i="2"/>
  <c r="Y4947" i="2"/>
  <c r="Y4951" i="2"/>
  <c r="Y5004" i="2"/>
  <c r="Y5008" i="2"/>
  <c r="Y5012" i="2"/>
  <c r="Y5172" i="2"/>
  <c r="Y5176" i="2"/>
  <c r="Y5178" i="2"/>
  <c r="Y5180" i="2"/>
  <c r="Y5182" i="2"/>
  <c r="Y5184" i="2"/>
  <c r="AC5938" i="2"/>
  <c r="Y6026" i="2"/>
  <c r="AC385" i="2"/>
  <c r="AC407" i="2"/>
  <c r="AB12" i="2"/>
  <c r="AK12" i="2" s="1"/>
  <c r="AB38" i="2"/>
  <c r="AK38" i="2" s="1"/>
  <c r="Y6" i="2"/>
  <c r="AB465" i="2"/>
  <c r="AK465" i="2" s="1"/>
  <c r="Y601" i="2"/>
  <c r="Y641" i="2"/>
  <c r="Y685" i="2"/>
  <c r="Y745" i="2"/>
  <c r="Y1075" i="2"/>
  <c r="Y1153" i="2"/>
  <c r="AC40" i="2"/>
  <c r="AC479" i="2"/>
  <c r="AC395" i="2"/>
  <c r="Y8" i="2"/>
  <c r="AK34" i="2"/>
  <c r="AB6" i="2"/>
  <c r="AK6" i="2" s="1"/>
  <c r="AB529" i="2"/>
  <c r="AK529" i="2" s="1"/>
  <c r="AB421" i="2"/>
  <c r="AK421" i="2" s="1"/>
  <c r="AB367" i="2"/>
  <c r="AK367" i="2" s="1"/>
  <c r="AB50" i="2"/>
  <c r="AK50" i="2" s="1"/>
  <c r="Y50" i="2"/>
  <c r="AB1053" i="2"/>
  <c r="AK1053" i="2" s="1"/>
  <c r="Y1053" i="2"/>
  <c r="Y1057" i="2"/>
  <c r="AF1169" i="2"/>
  <c r="Y1169" i="2"/>
  <c r="AF1173" i="2"/>
  <c r="Y1173" i="2"/>
  <c r="AF1193" i="2"/>
  <c r="Y1193" i="2"/>
  <c r="AF1209" i="2"/>
  <c r="Y1209" i="2"/>
  <c r="AB1231" i="2"/>
  <c r="AK1231" i="2" s="1"/>
  <c r="Y1231" i="2"/>
  <c r="Y1235" i="2"/>
  <c r="AB1241" i="2"/>
  <c r="AK1241" i="2" s="1"/>
  <c r="Y1241" i="2"/>
  <c r="AF1253" i="2"/>
  <c r="Y1253" i="2"/>
  <c r="AF1269" i="2"/>
  <c r="Y1269" i="2"/>
  <c r="AF1319" i="2"/>
  <c r="Y1319" i="2"/>
  <c r="AF1321" i="2"/>
  <c r="Y1321" i="2"/>
  <c r="AF1331" i="2"/>
  <c r="Y1331" i="2"/>
  <c r="AF1594" i="2"/>
  <c r="Y1594" i="2"/>
  <c r="AF1598" i="2"/>
  <c r="Y1598" i="2"/>
  <c r="Y14" i="2"/>
  <c r="AB14" i="2"/>
  <c r="AK14" i="2" s="1"/>
  <c r="AB447" i="2"/>
  <c r="AK447" i="2" s="1"/>
  <c r="AC447" i="2"/>
  <c r="AB1029" i="2"/>
  <c r="AK1029" i="2" s="1"/>
  <c r="Y1029" i="2"/>
  <c r="AB1404" i="2"/>
  <c r="AK1404" i="2" s="1"/>
  <c r="Y1404" i="2"/>
  <c r="Y1434" i="2"/>
  <c r="AB1434" i="2"/>
  <c r="AK1434" i="2" s="1"/>
  <c r="AB1456" i="2"/>
  <c r="AK1456" i="2" s="1"/>
  <c r="Y1456" i="2"/>
  <c r="AB1510" i="2"/>
  <c r="AK1510" i="2" s="1"/>
  <c r="Y1510" i="2"/>
  <c r="AB1518" i="2"/>
  <c r="AK1518" i="2" s="1"/>
  <c r="Y1518" i="2"/>
  <c r="AB1560" i="2"/>
  <c r="AK1560" i="2" s="1"/>
  <c r="Y1560" i="2"/>
  <c r="AB1580" i="2"/>
  <c r="AK1580" i="2" s="1"/>
  <c r="Y1580" i="2"/>
  <c r="AB1698" i="2"/>
  <c r="AK1698" i="2" s="1"/>
  <c r="Y1698" i="2"/>
  <c r="AB1702" i="2"/>
  <c r="AK1702" i="2" s="1"/>
  <c r="Y1702" i="2"/>
  <c r="Y1716" i="2"/>
  <c r="AB1716" i="2"/>
  <c r="AK1716" i="2" s="1"/>
  <c r="Y1728" i="2"/>
  <c r="AB1728" i="2"/>
  <c r="AK1728" i="2" s="1"/>
  <c r="AB1730" i="2"/>
  <c r="AK1730" i="2" s="1"/>
  <c r="Y1730" i="2"/>
  <c r="AB1738" i="2"/>
  <c r="AK1738" i="2" s="1"/>
  <c r="Y1738" i="2"/>
  <c r="AB1742" i="2"/>
  <c r="AK1742" i="2" s="1"/>
  <c r="Y1742" i="2"/>
  <c r="Y1744" i="2"/>
  <c r="AB1744" i="2"/>
  <c r="AK1744" i="2" s="1"/>
  <c r="AB1754" i="2"/>
  <c r="AK1754" i="2" s="1"/>
  <c r="Y1754" i="2"/>
  <c r="AB1764" i="2"/>
  <c r="AK1764" i="2" s="1"/>
  <c r="Y1764" i="2"/>
  <c r="AB1772" i="2"/>
  <c r="AK1772" i="2" s="1"/>
  <c r="Y1772" i="2"/>
  <c r="AF1958" i="2"/>
  <c r="Y1958" i="2"/>
  <c r="AF1972" i="2"/>
  <c r="Y1972" i="2"/>
  <c r="AF1992" i="2"/>
  <c r="Y1992" i="2"/>
  <c r="AF1996" i="2"/>
  <c r="Y1996" i="2"/>
  <c r="AF2012" i="2"/>
  <c r="Y2012" i="2"/>
  <c r="AF2016" i="2"/>
  <c r="Y2016" i="2"/>
  <c r="AF2050" i="2"/>
  <c r="Y2050" i="2"/>
  <c r="AC2323" i="2"/>
  <c r="AB2323" i="2"/>
  <c r="AK2323" i="2" s="1"/>
  <c r="AC2325" i="2"/>
  <c r="AB2325" i="2"/>
  <c r="AK2325" i="2" s="1"/>
  <c r="Y2325" i="2"/>
  <c r="AC2329" i="2"/>
  <c r="AB2329" i="2"/>
  <c r="AK2329" i="2" s="1"/>
  <c r="AC2331" i="2"/>
  <c r="AB2331" i="2"/>
  <c r="AK2331" i="2" s="1"/>
  <c r="AC2333" i="2"/>
  <c r="Y2333" i="2"/>
  <c r="AC2335" i="2"/>
  <c r="Y2335" i="2"/>
  <c r="AC2337" i="2"/>
  <c r="Y2337" i="2"/>
  <c r="AB2339" i="2"/>
  <c r="AK2339" i="2" s="1"/>
  <c r="AC2339" i="2"/>
  <c r="Y2339" i="2"/>
  <c r="AC2343" i="2"/>
  <c r="AB2343" i="2"/>
  <c r="AK2343" i="2" s="1"/>
  <c r="AC2345" i="2"/>
  <c r="Y2345" i="2"/>
  <c r="AB2347" i="2"/>
  <c r="AK2347" i="2" s="1"/>
  <c r="AC2347" i="2"/>
  <c r="AC2349" i="2"/>
  <c r="AB2349" i="2"/>
  <c r="AK2349" i="2" s="1"/>
  <c r="Y2349" i="2"/>
  <c r="AC2351" i="2"/>
  <c r="Y2351" i="2"/>
  <c r="AC2359" i="2"/>
  <c r="AB2359" i="2"/>
  <c r="AK2359" i="2" s="1"/>
  <c r="AC26" i="2"/>
  <c r="AC443" i="2"/>
  <c r="AC116" i="2"/>
  <c r="AC389" i="2"/>
  <c r="AB557" i="2"/>
  <c r="AK557" i="2" s="1"/>
  <c r="AB455" i="2"/>
  <c r="AK455" i="2" s="1"/>
  <c r="Y193" i="2"/>
  <c r="Y26" i="2"/>
  <c r="Y38" i="2"/>
  <c r="Y487" i="2"/>
  <c r="Y507" i="2"/>
  <c r="Y511" i="2"/>
  <c r="Y515" i="2"/>
  <c r="AB960" i="2"/>
  <c r="AK960" i="2" s="1"/>
  <c r="Y960" i="2"/>
  <c r="AB1382" i="2"/>
  <c r="AK1382" i="2" s="1"/>
  <c r="Y1382" i="2"/>
  <c r="AB1398" i="2"/>
  <c r="AK1398" i="2" s="1"/>
  <c r="Y1398" i="2"/>
  <c r="Y1460" i="2"/>
  <c r="AB1215" i="2"/>
  <c r="AK1215" i="2" s="1"/>
  <c r="AC183" i="2"/>
  <c r="AC118" i="2"/>
  <c r="AC14" i="2"/>
  <c r="AC87" i="2"/>
  <c r="AC8" i="2"/>
  <c r="AC437" i="2"/>
  <c r="AC304" i="2"/>
  <c r="AC489" i="2"/>
  <c r="AC457" i="2"/>
  <c r="AC255" i="2"/>
  <c r="AC257" i="2"/>
  <c r="AC1516" i="2"/>
  <c r="AC16" i="2"/>
  <c r="AC433" i="2"/>
  <c r="AC387" i="2"/>
  <c r="Y1043" i="2"/>
  <c r="Y860" i="2"/>
  <c r="AB451" i="2"/>
  <c r="AK451" i="2" s="1"/>
  <c r="AB1750" i="2"/>
  <c r="AK1750" i="2" s="1"/>
  <c r="AB1732" i="2"/>
  <c r="AK1732" i="2" s="1"/>
  <c r="AB1708" i="2"/>
  <c r="AK1708" i="2" s="1"/>
  <c r="Y1239" i="2"/>
  <c r="AC429" i="2"/>
  <c r="AC347" i="2"/>
  <c r="AB16" i="2"/>
  <c r="AK16" i="2" s="1"/>
  <c r="AB1041" i="2"/>
  <c r="AK1041" i="2" s="1"/>
  <c r="AB1057" i="2"/>
  <c r="AK1057" i="2" s="1"/>
  <c r="Y1748" i="2"/>
  <c r="Y1726" i="2"/>
  <c r="AB1706" i="2"/>
  <c r="AK1706" i="2" s="1"/>
  <c r="Y1546" i="2"/>
  <c r="Y1237" i="2"/>
  <c r="Y1631" i="2"/>
  <c r="Y1289" i="2"/>
  <c r="AC128" i="2"/>
  <c r="AC469" i="2"/>
  <c r="AC553" i="2"/>
  <c r="AC425" i="2"/>
  <c r="AC505" i="2"/>
  <c r="AC441" i="2"/>
  <c r="Y54" i="2"/>
  <c r="Y1532" i="2"/>
  <c r="R119" i="3"/>
  <c r="T119" i="3" s="1"/>
  <c r="U119" i="3" s="1"/>
  <c r="V119" i="3" s="1"/>
  <c r="AF198" i="2"/>
  <c r="Y198" i="2"/>
  <c r="Y2587" i="2"/>
  <c r="Y1095" i="2"/>
  <c r="Y1071" i="2"/>
  <c r="AB1936" i="2"/>
  <c r="AK1936" i="2" s="1"/>
  <c r="AB1906" i="2"/>
  <c r="AK1906" i="2" s="1"/>
  <c r="Y1890" i="2"/>
  <c r="Y1874" i="2"/>
  <c r="Y1858" i="2"/>
  <c r="AB1842" i="2"/>
  <c r="AK1842" i="2" s="1"/>
  <c r="Y1796" i="2"/>
  <c r="AB1780" i="2"/>
  <c r="AK1780" i="2" s="1"/>
  <c r="Y1619" i="2"/>
  <c r="AC2095" i="2"/>
  <c r="Y998" i="2"/>
  <c r="AB998" i="2"/>
  <c r="AK998" i="2" s="1"/>
  <c r="Y1006" i="2"/>
  <c r="AB1006" i="2"/>
  <c r="AK1006" i="2" s="1"/>
  <c r="AB1073" i="2"/>
  <c r="AK1073" i="2" s="1"/>
  <c r="Y1073" i="2"/>
  <c r="Y1077" i="2"/>
  <c r="AB1077" i="2"/>
  <c r="AK1077" i="2" s="1"/>
  <c r="Y1079" i="2"/>
  <c r="Y1081" i="2"/>
  <c r="Y1083" i="2"/>
  <c r="Y1091" i="2"/>
  <c r="Y1099" i="2"/>
  <c r="AB1099" i="2"/>
  <c r="AK1099" i="2" s="1"/>
  <c r="AB1103" i="2"/>
  <c r="AK1103" i="2" s="1"/>
  <c r="Y1103" i="2"/>
  <c r="Y1107" i="2"/>
  <c r="AB1111" i="2"/>
  <c r="AK1111" i="2" s="1"/>
  <c r="Y1111" i="2"/>
  <c r="Y1113" i="2"/>
  <c r="Y1121" i="2"/>
  <c r="Y1131" i="2"/>
  <c r="AB1143" i="2"/>
  <c r="AK1143" i="2" s="1"/>
  <c r="Y1143" i="2"/>
  <c r="Y1161" i="2"/>
  <c r="AB1183" i="2"/>
  <c r="AK1183" i="2" s="1"/>
  <c r="Y1183" i="2"/>
  <c r="Y1195" i="2"/>
  <c r="AB1199" i="2"/>
  <c r="AK1199" i="2" s="1"/>
  <c r="Y1199" i="2"/>
  <c r="Y1211" i="2"/>
  <c r="AB1257" i="2"/>
  <c r="AK1257" i="2" s="1"/>
  <c r="Y1265" i="2"/>
  <c r="AB1623" i="2"/>
  <c r="AK1623" i="2" s="1"/>
  <c r="Y1623" i="2"/>
  <c r="Y1635" i="2"/>
  <c r="Y1643" i="2"/>
  <c r="AB1655" i="2"/>
  <c r="AK1655" i="2" s="1"/>
  <c r="Y1655" i="2"/>
  <c r="AB1794" i="2"/>
  <c r="AK1794" i="2" s="1"/>
  <c r="Y1794" i="2"/>
  <c r="AB1804" i="2"/>
  <c r="AK1804" i="2" s="1"/>
  <c r="Y1804" i="2"/>
  <c r="AB1818" i="2"/>
  <c r="AK1818" i="2" s="1"/>
  <c r="Y1818" i="2"/>
  <c r="AB1826" i="2"/>
  <c r="AK1826" i="2" s="1"/>
  <c r="Y1826" i="2"/>
  <c r="Y1846" i="2"/>
  <c r="AB1846" i="2"/>
  <c r="AK1846" i="2" s="1"/>
  <c r="Y1860" i="2"/>
  <c r="AB1860" i="2"/>
  <c r="AK1860" i="2" s="1"/>
  <c r="Y1878" i="2"/>
  <c r="AB1878" i="2"/>
  <c r="AK1878" i="2" s="1"/>
  <c r="Y1880" i="2"/>
  <c r="AB1880" i="2"/>
  <c r="AK1880" i="2" s="1"/>
  <c r="AB1900" i="2"/>
  <c r="AK1900" i="2" s="1"/>
  <c r="Y1900" i="2"/>
  <c r="Y1914" i="2"/>
  <c r="AB1914" i="2"/>
  <c r="AK1914" i="2" s="1"/>
  <c r="Y1920" i="2"/>
  <c r="AB1920" i="2"/>
  <c r="AK1920" i="2" s="1"/>
  <c r="Y1928" i="2"/>
  <c r="AB1928" i="2"/>
  <c r="AK1928" i="2" s="1"/>
  <c r="Y1942" i="2"/>
  <c r="AB1942" i="2"/>
  <c r="AK1942" i="2" s="1"/>
  <c r="Y1950" i="2"/>
  <c r="AB1950" i="2"/>
  <c r="AK1950" i="2" s="1"/>
  <c r="Y1978" i="2"/>
  <c r="Y1980" i="2"/>
  <c r="Y1988" i="2"/>
  <c r="Y1990" i="2"/>
  <c r="Y2020" i="2"/>
  <c r="AB2020" i="2"/>
  <c r="AK2020" i="2" s="1"/>
  <c r="Y2024" i="2"/>
  <c r="AK2034" i="2"/>
  <c r="Y2034" i="2"/>
  <c r="Y2036" i="2"/>
  <c r="Y2048" i="2"/>
  <c r="Y2058" i="2"/>
  <c r="AF2120" i="2"/>
  <c r="Y2120" i="2"/>
  <c r="Y2629" i="2"/>
  <c r="AF2629" i="2"/>
  <c r="AH2629" i="2"/>
  <c r="Y2637" i="2"/>
  <c r="AF2637" i="2"/>
  <c r="AB2143" i="2"/>
  <c r="AK2143" i="2" s="1"/>
  <c r="AC2143" i="2"/>
  <c r="Y2581" i="2"/>
  <c r="Y2514" i="2"/>
  <c r="Y2470" i="2"/>
  <c r="Y2456" i="2"/>
  <c r="Y2544" i="2"/>
  <c r="AB1107" i="2"/>
  <c r="AK1107" i="2" s="1"/>
  <c r="AB1081" i="2"/>
  <c r="AK1081" i="2" s="1"/>
  <c r="AB1944" i="2"/>
  <c r="AK1944" i="2" s="1"/>
  <c r="AB1926" i="2"/>
  <c r="AK1926" i="2" s="1"/>
  <c r="Y1910" i="2"/>
  <c r="Y1894" i="2"/>
  <c r="AB1864" i="2"/>
  <c r="AK1864" i="2" s="1"/>
  <c r="Y1832" i="2"/>
  <c r="Y1816" i="2"/>
  <c r="Y1800" i="2"/>
  <c r="Y1786" i="2"/>
  <c r="Y1645" i="2"/>
  <c r="AF2605" i="2"/>
  <c r="Y2554" i="2"/>
  <c r="AB1131" i="2"/>
  <c r="AK1131" i="2" s="1"/>
  <c r="Y1105" i="2"/>
  <c r="Y1956" i="2"/>
  <c r="AB1940" i="2"/>
  <c r="AK1940" i="2" s="1"/>
  <c r="AB1924" i="2"/>
  <c r="AK1924" i="2" s="1"/>
  <c r="AB1848" i="2"/>
  <c r="AK1848" i="2" s="1"/>
  <c r="AB1830" i="2"/>
  <c r="AK1830" i="2" s="1"/>
  <c r="AB1814" i="2"/>
  <c r="AK1814" i="2" s="1"/>
  <c r="Y1784" i="2"/>
  <c r="AF2613" i="2"/>
  <c r="AH2786" i="2"/>
  <c r="AF2786" i="2"/>
  <c r="AB2789" i="2"/>
  <c r="AK2789" i="2" s="1"/>
  <c r="AC2789" i="2"/>
  <c r="AB2813" i="2"/>
  <c r="AC2813" i="2"/>
  <c r="AB2829" i="2"/>
  <c r="AK2829" i="2" s="1"/>
  <c r="AC2829" i="2"/>
  <c r="AB2837" i="2"/>
  <c r="AK2837" i="2" s="1"/>
  <c r="AC2837" i="2"/>
  <c r="AB2855" i="2"/>
  <c r="AC2855" i="2"/>
  <c r="AB2863" i="2"/>
  <c r="AK2863" i="2" s="1"/>
  <c r="AC2863" i="2"/>
  <c r="AB2887" i="2"/>
  <c r="AK2887" i="2" s="1"/>
  <c r="AC2887" i="2"/>
  <c r="AK2895" i="2"/>
  <c r="AC2895" i="2"/>
  <c r="AB2768" i="2"/>
  <c r="AC2768" i="2"/>
  <c r="AB2776" i="2"/>
  <c r="AK2776" i="2" s="1"/>
  <c r="AC2776" i="2"/>
  <c r="AF2792" i="2"/>
  <c r="AB2810" i="2"/>
  <c r="AC2810" i="2"/>
  <c r="Y1333" i="2"/>
  <c r="AA2765" i="2"/>
  <c r="AB2765" i="2" s="1"/>
  <c r="AB1267" i="2"/>
  <c r="AK1267" i="2" s="1"/>
  <c r="Y1267" i="2"/>
  <c r="AB1349" i="2"/>
  <c r="AK1349" i="2" s="1"/>
  <c r="Y1349" i="2"/>
  <c r="Y1371" i="2"/>
  <c r="AC2794" i="2"/>
  <c r="AC2773" i="2"/>
  <c r="AB4003" i="2"/>
  <c r="AK4003" i="2" s="1"/>
  <c r="Y4003" i="2"/>
  <c r="AB4051" i="2"/>
  <c r="AK4051" i="2" s="1"/>
  <c r="Y4051" i="2"/>
  <c r="AB4114" i="2"/>
  <c r="AK4114" i="2" s="1"/>
  <c r="Y4114" i="2"/>
  <c r="AB4154" i="2"/>
  <c r="AK4154" i="2" s="1"/>
  <c r="Y4154" i="2"/>
  <c r="Y4226" i="2"/>
  <c r="Y4403" i="2"/>
  <c r="Y4419" i="2"/>
  <c r="Y4435" i="2"/>
  <c r="Y4451" i="2"/>
  <c r="Y4467" i="2"/>
  <c r="Y4483" i="2"/>
  <c r="Y4499" i="2"/>
  <c r="Y4514" i="2"/>
  <c r="Y4530" i="2"/>
  <c r="Y4543" i="2"/>
  <c r="Y4569" i="2"/>
  <c r="Y4585" i="2"/>
  <c r="Y4598" i="2"/>
  <c r="Y4614" i="2"/>
  <c r="Y4630" i="2"/>
  <c r="Y4651" i="2"/>
  <c r="Y4688" i="2"/>
  <c r="AF2906" i="2"/>
  <c r="AF2922" i="2"/>
  <c r="AB3872" i="2"/>
  <c r="AK3872" i="2" s="1"/>
  <c r="Y3872" i="2"/>
  <c r="AB4024" i="2"/>
  <c r="AK4024" i="2" s="1"/>
  <c r="Y4024" i="2"/>
  <c r="Y4119" i="2"/>
  <c r="AB4119" i="2"/>
  <c r="AK4119" i="2" s="1"/>
  <c r="AB4183" i="2"/>
  <c r="AK4183" i="2" s="1"/>
  <c r="Y4183" i="2"/>
  <c r="AB4199" i="2"/>
  <c r="AK4199" i="2" s="1"/>
  <c r="Y4199" i="2"/>
  <c r="Y4247" i="2"/>
  <c r="AB4247" i="2"/>
  <c r="AK4247" i="2" s="1"/>
  <c r="Y4300" i="2"/>
  <c r="AB4300" i="2"/>
  <c r="AK4300" i="2" s="1"/>
  <c r="Y4316" i="2"/>
  <c r="AB4316" i="2"/>
  <c r="AK4316" i="2" s="1"/>
  <c r="AB4382" i="2"/>
  <c r="AK4382" i="2" s="1"/>
  <c r="Y4382" i="2"/>
  <c r="AB4390" i="2"/>
  <c r="AK4390" i="2" s="1"/>
  <c r="Y4390" i="2"/>
  <c r="Y4424" i="2"/>
  <c r="AB4424" i="2"/>
  <c r="AK4424" i="2" s="1"/>
  <c r="AB4488" i="2"/>
  <c r="AK4488" i="2" s="1"/>
  <c r="Y4488" i="2"/>
  <c r="AB4504" i="2"/>
  <c r="AK4504" i="2" s="1"/>
  <c r="Y4504" i="2"/>
  <c r="AB4548" i="2"/>
  <c r="AK4548" i="2" s="1"/>
  <c r="Y4548" i="2"/>
  <c r="Y4566" i="2"/>
  <c r="AB4566" i="2"/>
  <c r="AK4566" i="2" s="1"/>
  <c r="Y4635" i="2"/>
  <c r="AB4635" i="2"/>
  <c r="AK4635" i="2" s="1"/>
  <c r="AB4643" i="2"/>
  <c r="AK4643" i="2" s="1"/>
  <c r="Y4643" i="2"/>
  <c r="AH4909" i="2"/>
  <c r="Y4909" i="2"/>
  <c r="AF4984" i="2"/>
  <c r="Y4984" i="2"/>
  <c r="AF4988" i="2"/>
  <c r="Y4988" i="2"/>
  <c r="AF4992" i="2"/>
  <c r="Y4992" i="2"/>
  <c r="AF4996" i="2"/>
  <c r="Y4996" i="2"/>
  <c r="AF5000" i="2"/>
  <c r="Y5000" i="2"/>
  <c r="AK5088" i="2"/>
  <c r="Y5088" i="2"/>
  <c r="Y2127" i="2"/>
  <c r="Y2143" i="2"/>
  <c r="Y2147" i="2"/>
  <c r="Y2157" i="2"/>
  <c r="Y2165" i="2"/>
  <c r="Y2171" i="2"/>
  <c r="Y2191" i="2"/>
  <c r="Y2195" i="2"/>
  <c r="Y2219" i="2"/>
  <c r="Y2221" i="2"/>
  <c r="Y2227" i="2"/>
  <c r="Y2231" i="2"/>
  <c r="Y2237" i="2"/>
  <c r="Y2241" i="2"/>
  <c r="Y2243" i="2"/>
  <c r="Y2245" i="2"/>
  <c r="AC3481" i="2"/>
  <c r="AC2868" i="2"/>
  <c r="AC2911" i="2"/>
  <c r="AC3460" i="2"/>
  <c r="AC2927" i="2"/>
  <c r="AC3043" i="2"/>
  <c r="Y4606" i="2"/>
  <c r="Y4556" i="2"/>
  <c r="AB4451" i="2"/>
  <c r="AK4451" i="2" s="1"/>
  <c r="AB4403" i="2"/>
  <c r="AK4403" i="2" s="1"/>
  <c r="AB4268" i="2"/>
  <c r="AK4268" i="2" s="1"/>
  <c r="AB4000" i="2"/>
  <c r="AK4000" i="2" s="1"/>
  <c r="Y4595" i="2"/>
  <c r="Y4511" i="2"/>
  <c r="AB4416" i="2"/>
  <c r="AK4416" i="2" s="1"/>
  <c r="AF3545" i="2"/>
  <c r="AC3012" i="2"/>
  <c r="AC3611" i="2"/>
  <c r="AC3473" i="2"/>
  <c r="AC3121" i="2"/>
  <c r="AC2903" i="2"/>
  <c r="AC3516" i="2"/>
  <c r="AC3452" i="2"/>
  <c r="AC3125" i="2"/>
  <c r="AB4543" i="2"/>
  <c r="AK4543" i="2" s="1"/>
  <c r="AB4499" i="2"/>
  <c r="AK4499" i="2" s="1"/>
  <c r="Y4374" i="2"/>
  <c r="Y4239" i="2"/>
  <c r="AB3976" i="2"/>
  <c r="AK3976" i="2" s="1"/>
  <c r="AB4582" i="2"/>
  <c r="AK4582" i="2" s="1"/>
  <c r="Y4496" i="2"/>
  <c r="AB4408" i="2"/>
  <c r="AK4408" i="2" s="1"/>
  <c r="Y4311" i="2"/>
  <c r="Y4202" i="2"/>
  <c r="R65" i="3"/>
  <c r="T65" i="3" s="1"/>
  <c r="U65" i="3" s="1"/>
  <c r="V65" i="3" s="1"/>
  <c r="AC3004" i="2"/>
  <c r="AC3603" i="2"/>
  <c r="AC3457" i="2"/>
  <c r="AC3508" i="2"/>
  <c r="AC3444" i="2"/>
  <c r="AC3115" i="2"/>
  <c r="AB4366" i="2"/>
  <c r="AK4366" i="2" s="1"/>
  <c r="Y4207" i="2"/>
  <c r="AB3896" i="2"/>
  <c r="AK3896" i="2" s="1"/>
  <c r="Y4574" i="2"/>
  <c r="Y4395" i="2"/>
  <c r="Y3050" i="2"/>
  <c r="AB3050" i="2"/>
  <c r="AK3050" i="2" s="1"/>
  <c r="Y1389" i="2"/>
  <c r="Y1393" i="2"/>
  <c r="Y1399" i="2"/>
  <c r="Y2112" i="2"/>
  <c r="Y2254" i="2"/>
  <c r="Y2270" i="2"/>
  <c r="Y2286" i="2"/>
  <c r="Y2298" i="2"/>
  <c r="Y2306" i="2"/>
  <c r="Y2381" i="2"/>
  <c r="Y2383" i="2"/>
  <c r="Y2399" i="2"/>
  <c r="Y2407" i="2"/>
  <c r="Y2415" i="2"/>
  <c r="Y2425" i="2"/>
  <c r="Y2580" i="2"/>
  <c r="Y2615" i="2"/>
  <c r="AC2988" i="2"/>
  <c r="AC4300" i="2"/>
  <c r="AC4231" i="2"/>
  <c r="AC4043" i="2"/>
  <c r="AC3851" i="2"/>
  <c r="AC3662" i="2"/>
  <c r="AC3529" i="2"/>
  <c r="AC3441" i="2"/>
  <c r="AC2932" i="2"/>
  <c r="AC3436" i="2"/>
  <c r="AC2875" i="2"/>
  <c r="AC2801" i="2"/>
  <c r="AC3127" i="2"/>
  <c r="AC3105" i="2"/>
  <c r="Y4638" i="2"/>
  <c r="Y4590" i="2"/>
  <c r="AB4483" i="2"/>
  <c r="AK4483" i="2" s="1"/>
  <c r="AB4435" i="2"/>
  <c r="AK4435" i="2" s="1"/>
  <c r="Y4358" i="2"/>
  <c r="Y4159" i="2"/>
  <c r="Y3819" i="2"/>
  <c r="Y4648" i="2"/>
  <c r="Y4472" i="2"/>
  <c r="Y4162" i="2"/>
  <c r="Y2363" i="2"/>
  <c r="AC2980" i="2"/>
  <c r="AC3433" i="2"/>
  <c r="AC2924" i="2"/>
  <c r="AB4585" i="2"/>
  <c r="AK4585" i="2" s="1"/>
  <c r="AB4530" i="2"/>
  <c r="AK4530" i="2" s="1"/>
  <c r="Y4427" i="2"/>
  <c r="Y4686" i="2"/>
  <c r="AB4350" i="2"/>
  <c r="AK4350" i="2" s="1"/>
  <c r="Y4143" i="2"/>
  <c r="Y3803" i="2"/>
  <c r="Y4456" i="2"/>
  <c r="Y4369" i="2"/>
  <c r="Y4271" i="2"/>
  <c r="AC2975" i="2"/>
  <c r="AF2795" i="2"/>
  <c r="AF2803" i="2"/>
  <c r="AF2811" i="2"/>
  <c r="AF2819" i="2"/>
  <c r="AF2827" i="2"/>
  <c r="AF2835" i="2"/>
  <c r="AF2843" i="2"/>
  <c r="AF2869" i="2"/>
  <c r="AF2877" i="2"/>
  <c r="AF2885" i="2"/>
  <c r="AF2893" i="2"/>
  <c r="AF2901" i="2"/>
  <c r="AF2909" i="2"/>
  <c r="AF2917" i="2"/>
  <c r="AF2925" i="2"/>
  <c r="AF2933" i="2"/>
  <c r="AF2941" i="2"/>
  <c r="AF2949" i="2"/>
  <c r="AF2957" i="2"/>
  <c r="AF2965" i="2"/>
  <c r="AF2973" i="2"/>
  <c r="AF2981" i="2"/>
  <c r="AF2989" i="2"/>
  <c r="R64" i="3"/>
  <c r="T64" i="3" s="1"/>
  <c r="U64" i="3" s="1"/>
  <c r="V64" i="3" s="1"/>
  <c r="AF3005" i="2"/>
  <c r="AF3013" i="2"/>
  <c r="AF3355" i="2"/>
  <c r="AF3357" i="2"/>
  <c r="AF3359" i="2"/>
  <c r="AF3369" i="2"/>
  <c r="AF3371" i="2"/>
  <c r="AF3375" i="2"/>
  <c r="AF3389" i="2"/>
  <c r="AF3395" i="2"/>
  <c r="AF3399" i="2"/>
  <c r="AF3403" i="2"/>
  <c r="AF3450" i="2"/>
  <c r="R68" i="3"/>
  <c r="T68" i="3" s="1"/>
  <c r="U68" i="3" s="1"/>
  <c r="V68" i="3" s="1"/>
  <c r="AF3482" i="2"/>
  <c r="AF3498" i="2"/>
  <c r="AF3514" i="2"/>
  <c r="AF3530" i="2"/>
  <c r="AF3567" i="2"/>
  <c r="AF3580" i="2"/>
  <c r="AF3604" i="2"/>
  <c r="Y3621" i="2"/>
  <c r="Y3637" i="2"/>
  <c r="Y3661" i="2"/>
  <c r="Y3733" i="2"/>
  <c r="Y3741" i="2"/>
  <c r="Y3781" i="2"/>
  <c r="Y3432" i="2"/>
  <c r="Y3440" i="2"/>
  <c r="Y3456" i="2"/>
  <c r="Y3464" i="2"/>
  <c r="Y3472" i="2"/>
  <c r="Y3480" i="2"/>
  <c r="Y3488" i="2"/>
  <c r="Y3496" i="2"/>
  <c r="Y3504" i="2"/>
  <c r="Y3512" i="2"/>
  <c r="Y3520" i="2"/>
  <c r="Y3528" i="2"/>
  <c r="Y3536" i="2"/>
  <c r="Y3544" i="2"/>
  <c r="Y3549" i="2"/>
  <c r="Y3557" i="2"/>
  <c r="Y3565" i="2"/>
  <c r="Y3578" i="2"/>
  <c r="Y3586" i="2"/>
  <c r="Y3610" i="2"/>
  <c r="Y3618" i="2"/>
  <c r="Y3634" i="2"/>
  <c r="Y3650" i="2"/>
  <c r="Y3658" i="2"/>
  <c r="Y3666" i="2"/>
  <c r="Y3674" i="2"/>
  <c r="Y3682" i="2"/>
  <c r="Y3690" i="2"/>
  <c r="Y3698" i="2"/>
  <c r="Y3706" i="2"/>
  <c r="Y3714" i="2"/>
  <c r="Y3722" i="2"/>
  <c r="Y3730" i="2"/>
  <c r="Y3738" i="2"/>
  <c r="Y3746" i="2"/>
  <c r="Y3754" i="2"/>
  <c r="Y3762" i="2"/>
  <c r="Y3778" i="2"/>
  <c r="Y3786" i="2"/>
  <c r="Y3794" i="2"/>
  <c r="Y3802" i="2"/>
  <c r="Y3810" i="2"/>
  <c r="Y3818" i="2"/>
  <c r="Y3826" i="2"/>
  <c r="Y3839" i="2"/>
  <c r="Y3847" i="2"/>
  <c r="Y3855" i="2"/>
  <c r="Y3863" i="2"/>
  <c r="Y3871" i="2"/>
  <c r="Y3879" i="2"/>
  <c r="Y3887" i="2"/>
  <c r="Y3895" i="2"/>
  <c r="Y3903" i="2"/>
  <c r="Y3919" i="2"/>
  <c r="Y3927" i="2"/>
  <c r="Y3935" i="2"/>
  <c r="Y3943" i="2"/>
  <c r="Y3951" i="2"/>
  <c r="Y3959" i="2"/>
  <c r="Y3854" i="2"/>
  <c r="Y3894" i="2"/>
  <c r="Y4006" i="2"/>
  <c r="Y4022" i="2"/>
  <c r="Y4266" i="2"/>
  <c r="Y4290" i="2"/>
  <c r="Y4438" i="2"/>
  <c r="Y4525" i="2"/>
  <c r="Y4551" i="2"/>
  <c r="Y4580" i="2"/>
  <c r="Y4609" i="2"/>
  <c r="Y4641" i="2"/>
  <c r="Y4658" i="2"/>
  <c r="Y4706" i="2"/>
  <c r="Y4724" i="2"/>
  <c r="Y4728" i="2"/>
  <c r="Y4750" i="2"/>
  <c r="Y4754" i="2"/>
  <c r="Y4766" i="2"/>
  <c r="Y4780" i="2"/>
  <c r="R142" i="3"/>
  <c r="T142" i="3" s="1"/>
  <c r="U142" i="3" s="1"/>
  <c r="V142" i="3" s="1"/>
  <c r="AB5954" i="2"/>
  <c r="AK5954" i="2" s="1"/>
  <c r="Y5898" i="2"/>
  <c r="AF6002" i="2"/>
  <c r="AC5986" i="2"/>
  <c r="Y6023" i="2"/>
  <c r="AB5829" i="2"/>
  <c r="AK5829" i="2" s="1"/>
  <c r="AB6495" i="2"/>
  <c r="AK6495" i="2" s="1"/>
  <c r="Y5864" i="2"/>
  <c r="Y5701" i="2"/>
  <c r="R127" i="3"/>
  <c r="T127" i="3" s="1"/>
  <c r="U127" i="3" s="1"/>
  <c r="V127" i="3" s="1"/>
  <c r="Y3967" i="2"/>
  <c r="Y3975" i="2"/>
  <c r="Y3983" i="2"/>
  <c r="Y3991" i="2"/>
  <c r="Y3999" i="2"/>
  <c r="Y4015" i="2"/>
  <c r="Y4023" i="2"/>
  <c r="Y4031" i="2"/>
  <c r="Y4039" i="2"/>
  <c r="Y4047" i="2"/>
  <c r="Y4055" i="2"/>
  <c r="Y4063" i="2"/>
  <c r="Y4071" i="2"/>
  <c r="Y4079" i="2"/>
  <c r="Y4089" i="2"/>
  <c r="Y4097" i="2"/>
  <c r="Y4110" i="2"/>
  <c r="Y4118" i="2"/>
  <c r="Y4126" i="2"/>
  <c r="Y4134" i="2"/>
  <c r="Y4142" i="2"/>
  <c r="Y4150" i="2"/>
  <c r="Y4158" i="2"/>
  <c r="Y4166" i="2"/>
  <c r="Y4174" i="2"/>
  <c r="Y4182" i="2"/>
  <c r="Y4190" i="2"/>
  <c r="Y4206" i="2"/>
  <c r="Y4214" i="2"/>
  <c r="Y4222" i="2"/>
  <c r="Y4230" i="2"/>
  <c r="Y4246" i="2"/>
  <c r="Y4254" i="2"/>
  <c r="Y4262" i="2"/>
  <c r="Y4275" i="2"/>
  <c r="Y4283" i="2"/>
  <c r="Y4299" i="2"/>
  <c r="Y4315" i="2"/>
  <c r="Y4323" i="2"/>
  <c r="Y4336" i="2"/>
  <c r="Y4349" i="2"/>
  <c r="Y4357" i="2"/>
  <c r="Y4373" i="2"/>
  <c r="Y4381" i="2"/>
  <c r="Y4389" i="2"/>
  <c r="Y4399" i="2"/>
  <c r="Y4415" i="2"/>
  <c r="Y4423" i="2"/>
  <c r="Y4431" i="2"/>
  <c r="Y4439" i="2"/>
  <c r="Y4447" i="2"/>
  <c r="Y4455" i="2"/>
  <c r="Y4463" i="2"/>
  <c r="Y4471" i="2"/>
  <c r="Y4479" i="2"/>
  <c r="Y4487" i="2"/>
  <c r="Y4495" i="2"/>
  <c r="Y4503" i="2"/>
  <c r="Y4508" i="2"/>
  <c r="Y4510" i="2"/>
  <c r="Y4518" i="2"/>
  <c r="Y4534" i="2"/>
  <c r="Y4547" i="2"/>
  <c r="Y4552" i="2"/>
  <c r="Y4560" i="2"/>
  <c r="Y4565" i="2"/>
  <c r="Y4581" i="2"/>
  <c r="Y4589" i="2"/>
  <c r="Y4594" i="2"/>
  <c r="Y4618" i="2"/>
  <c r="Y4626" i="2"/>
  <c r="Y4634" i="2"/>
  <c r="Y4647" i="2"/>
  <c r="Y4689" i="2"/>
  <c r="AF6034" i="2"/>
  <c r="Y6448" i="2"/>
  <c r="Y5885" i="2"/>
  <c r="AC5914" i="2"/>
  <c r="AC5882" i="2"/>
  <c r="Y6535" i="2"/>
  <c r="Y6436" i="2"/>
  <c r="Y5837" i="2"/>
  <c r="Y6549" i="2"/>
  <c r="AF5925" i="2"/>
  <c r="Y5970" i="2"/>
  <c r="R92" i="3"/>
  <c r="T92" i="3" s="1"/>
  <c r="U92" i="3" s="1"/>
  <c r="V92" i="3" s="1"/>
  <c r="AB5821" i="2"/>
  <c r="AK5821" i="2" s="1"/>
  <c r="Y5962" i="2"/>
  <c r="Y5906" i="2"/>
  <c r="Y5845" i="2"/>
  <c r="AB5986" i="2"/>
  <c r="AK5986" i="2" s="1"/>
  <c r="Y5840" i="2"/>
  <c r="Y564" i="2"/>
  <c r="Y190" i="2"/>
  <c r="Y760" i="2"/>
  <c r="Y722" i="2"/>
  <c r="Y668" i="2"/>
  <c r="Y165" i="2"/>
  <c r="AB249" i="2"/>
  <c r="AK249" i="2" s="1"/>
  <c r="Y249" i="2"/>
  <c r="AF255" i="2"/>
  <c r="Y255" i="2"/>
  <c r="Y284" i="2"/>
  <c r="Y296" i="2"/>
  <c r="Y300" i="2"/>
  <c r="AF312" i="2"/>
  <c r="Y312" i="2"/>
  <c r="AF503" i="2"/>
  <c r="Y503" i="2"/>
  <c r="AF529" i="2"/>
  <c r="Y529" i="2"/>
  <c r="AB772" i="2"/>
  <c r="AK772" i="2" s="1"/>
  <c r="Y772" i="2"/>
  <c r="Y774" i="2"/>
  <c r="Y778" i="2"/>
  <c r="Y792" i="2"/>
  <c r="AB792" i="2"/>
  <c r="AK792" i="2" s="1"/>
  <c r="Y812" i="2"/>
  <c r="AB812" i="2"/>
  <c r="AK812" i="2" s="1"/>
  <c r="Y878" i="2"/>
  <c r="Y902" i="2"/>
  <c r="Y922" i="2"/>
  <c r="Y988" i="2"/>
  <c r="Y1011" i="2"/>
  <c r="AB212" i="2"/>
  <c r="AK212" i="2" s="1"/>
  <c r="Y212" i="2"/>
  <c r="Y220" i="2"/>
  <c r="AB220" i="2"/>
  <c r="AK220" i="2" s="1"/>
  <c r="AC220" i="2"/>
  <c r="AK228" i="2"/>
  <c r="Y228" i="2"/>
  <c r="Y230" i="2"/>
  <c r="AB230" i="2"/>
  <c r="AK230" i="2" s="1"/>
  <c r="AB232" i="2"/>
  <c r="AK232" i="2" s="1"/>
  <c r="Y232" i="2"/>
  <c r="Y240" i="2"/>
  <c r="AB240" i="2"/>
  <c r="AK240" i="2" s="1"/>
  <c r="AC240" i="2"/>
  <c r="Y272" i="2"/>
  <c r="AB272" i="2"/>
  <c r="AK272" i="2" s="1"/>
  <c r="Y276" i="2"/>
  <c r="AB276" i="2"/>
  <c r="AK276" i="2" s="1"/>
  <c r="AC276" i="2"/>
  <c r="Y576" i="2"/>
  <c r="AB576" i="2"/>
  <c r="AK576" i="2" s="1"/>
  <c r="Y580" i="2"/>
  <c r="AB580" i="2"/>
  <c r="AK580" i="2" s="1"/>
  <c r="Y582" i="2"/>
  <c r="AB582" i="2"/>
  <c r="AK582" i="2" s="1"/>
  <c r="AC582" i="2"/>
  <c r="AK586" i="2"/>
  <c r="Y586" i="2"/>
  <c r="AB590" i="2"/>
  <c r="AK590" i="2" s="1"/>
  <c r="Y590" i="2"/>
  <c r="AB592" i="2"/>
  <c r="AK592" i="2" s="1"/>
  <c r="Y592" i="2"/>
  <c r="AB594" i="2"/>
  <c r="AK594" i="2" s="1"/>
  <c r="Y594" i="2"/>
  <c r="AB596" i="2"/>
  <c r="AK596" i="2" s="1"/>
  <c r="Y596" i="2"/>
  <c r="Y600" i="2"/>
  <c r="AB600" i="2"/>
  <c r="AK600" i="2" s="1"/>
  <c r="AB606" i="2"/>
  <c r="AK606" i="2" s="1"/>
  <c r="Y606" i="2"/>
  <c r="AB608" i="2"/>
  <c r="AK608" i="2" s="1"/>
  <c r="Y608" i="2"/>
  <c r="Y616" i="2"/>
  <c r="AB616" i="2"/>
  <c r="AK616" i="2" s="1"/>
  <c r="AB618" i="2"/>
  <c r="AK618" i="2" s="1"/>
  <c r="Y618" i="2"/>
  <c r="Y620" i="2"/>
  <c r="AB620" i="2"/>
  <c r="AK620" i="2" s="1"/>
  <c r="Y624" i="2"/>
  <c r="AB624" i="2"/>
  <c r="AK624" i="2" s="1"/>
  <c r="Y626" i="2"/>
  <c r="AB626" i="2"/>
  <c r="AK626" i="2" s="1"/>
  <c r="AB628" i="2"/>
  <c r="AK628" i="2" s="1"/>
  <c r="Y628" i="2"/>
  <c r="AB630" i="2"/>
  <c r="AK630" i="2" s="1"/>
  <c r="Y630" i="2"/>
  <c r="AK634" i="2"/>
  <c r="Y634" i="2"/>
  <c r="AK636" i="2"/>
  <c r="AC636" i="2"/>
  <c r="AK638" i="2"/>
  <c r="Y638" i="2"/>
  <c r="AC638" i="2"/>
  <c r="AK646" i="2"/>
  <c r="Y646" i="2"/>
  <c r="AK648" i="2"/>
  <c r="Y648" i="2"/>
  <c r="AK652" i="2"/>
  <c r="Y652" i="2"/>
  <c r="AC652" i="2"/>
  <c r="Y656" i="2"/>
  <c r="AB656" i="2"/>
  <c r="AK656" i="2" s="1"/>
  <c r="Y658" i="2"/>
  <c r="AB658" i="2"/>
  <c r="AK658" i="2" s="1"/>
  <c r="AB660" i="2"/>
  <c r="AK660" i="2" s="1"/>
  <c r="Y660" i="2"/>
  <c r="AB664" i="2"/>
  <c r="AK664" i="2" s="1"/>
  <c r="Y664" i="2"/>
  <c r="Y666" i="2"/>
  <c r="AB666" i="2"/>
  <c r="AK666" i="2" s="1"/>
  <c r="Y672" i="2"/>
  <c r="AB672" i="2"/>
  <c r="AK672" i="2" s="1"/>
  <c r="AB674" i="2"/>
  <c r="AK674" i="2" s="1"/>
  <c r="Y674" i="2"/>
  <c r="Y676" i="2"/>
  <c r="AB676" i="2"/>
  <c r="AK676" i="2" s="1"/>
  <c r="AB678" i="2"/>
  <c r="AK678" i="2" s="1"/>
  <c r="Y678" i="2"/>
  <c r="Y680" i="2"/>
  <c r="AB680" i="2"/>
  <c r="AK680" i="2" s="1"/>
  <c r="AB684" i="2"/>
  <c r="AK684" i="2" s="1"/>
  <c r="Y684" i="2"/>
  <c r="AB690" i="2"/>
  <c r="AK690" i="2" s="1"/>
  <c r="Y690" i="2"/>
  <c r="Y692" i="2"/>
  <c r="AB692" i="2"/>
  <c r="AK692" i="2" s="1"/>
  <c r="AB696" i="2"/>
  <c r="AK696" i="2" s="1"/>
  <c r="Y696" i="2"/>
  <c r="AB700" i="2"/>
  <c r="AK700" i="2" s="1"/>
  <c r="Y700" i="2"/>
  <c r="Y704" i="2"/>
  <c r="AB704" i="2"/>
  <c r="AK704" i="2" s="1"/>
  <c r="AK706" i="2"/>
  <c r="Y706" i="2"/>
  <c r="AC706" i="2"/>
  <c r="Y712" i="2"/>
  <c r="AB712" i="2"/>
  <c r="AK712" i="2" s="1"/>
  <c r="AB716" i="2"/>
  <c r="AK716" i="2" s="1"/>
  <c r="Y716" i="2"/>
  <c r="Y718" i="2"/>
  <c r="AB718" i="2"/>
  <c r="AK718" i="2" s="1"/>
  <c r="AK720" i="2"/>
  <c r="Y720" i="2"/>
  <c r="AB724" i="2"/>
  <c r="AK724" i="2" s="1"/>
  <c r="Y724" i="2"/>
  <c r="Y726" i="2"/>
  <c r="AB726" i="2"/>
  <c r="AK726" i="2" s="1"/>
  <c r="Y732" i="2"/>
  <c r="AB732" i="2"/>
  <c r="AK732" i="2" s="1"/>
  <c r="AB734" i="2"/>
  <c r="AK734" i="2" s="1"/>
  <c r="Y734" i="2"/>
  <c r="AB736" i="2"/>
  <c r="AK736" i="2" s="1"/>
  <c r="Y736" i="2"/>
  <c r="Y744" i="2"/>
  <c r="AB744" i="2"/>
  <c r="AK744" i="2" s="1"/>
  <c r="AB748" i="2"/>
  <c r="AK748" i="2" s="1"/>
  <c r="Y748" i="2"/>
  <c r="Y750" i="2"/>
  <c r="AB750" i="2"/>
  <c r="AK750" i="2" s="1"/>
  <c r="AB752" i="2"/>
  <c r="AK752" i="2" s="1"/>
  <c r="Y752" i="2"/>
  <c r="AB764" i="2"/>
  <c r="AK764" i="2" s="1"/>
  <c r="Y764" i="2"/>
  <c r="AF852" i="2"/>
  <c r="Y852" i="2"/>
  <c r="AF886" i="2"/>
  <c r="Y886" i="2"/>
  <c r="AF908" i="2"/>
  <c r="Y908" i="2"/>
  <c r="AF952" i="2"/>
  <c r="Y952" i="2"/>
  <c r="AF958" i="2"/>
  <c r="Y958" i="2"/>
  <c r="AF976" i="2"/>
  <c r="Y976" i="2"/>
  <c r="AB993" i="2"/>
  <c r="AK993" i="2" s="1"/>
  <c r="Y993" i="2"/>
  <c r="AB995" i="2"/>
  <c r="AK995" i="2" s="1"/>
  <c r="Y995" i="2"/>
  <c r="Y999" i="2"/>
  <c r="AB999" i="2"/>
  <c r="AK999" i="2" s="1"/>
  <c r="Y1003" i="2"/>
  <c r="AB1003" i="2"/>
  <c r="AK1003" i="2" s="1"/>
  <c r="AB1005" i="2"/>
  <c r="AK1005" i="2" s="1"/>
  <c r="Y1005" i="2"/>
  <c r="Y1070" i="2"/>
  <c r="AB1070" i="2"/>
  <c r="AK1070" i="2" s="1"/>
  <c r="Y1074" i="2"/>
  <c r="AC1074" i="2"/>
  <c r="Y1082" i="2"/>
  <c r="AB1082" i="2"/>
  <c r="AK1082" i="2" s="1"/>
  <c r="Y1092" i="2"/>
  <c r="AB1092" i="2"/>
  <c r="AK1092" i="2" s="1"/>
  <c r="Y1098" i="2"/>
  <c r="AB1098" i="2"/>
  <c r="AK1098" i="2" s="1"/>
  <c r="Y1102" i="2"/>
  <c r="AB1102" i="2"/>
  <c r="AK1102" i="2" s="1"/>
  <c r="Y1110" i="2"/>
  <c r="AC1110" i="2"/>
  <c r="Y1114" i="2"/>
  <c r="AB1114" i="2"/>
  <c r="AK1114" i="2" s="1"/>
  <c r="AB1124" i="2"/>
  <c r="AK1124" i="2" s="1"/>
  <c r="Y1124" i="2"/>
  <c r="AK1128" i="2"/>
  <c r="Y1128" i="2"/>
  <c r="AC1128" i="2"/>
  <c r="AB1132" i="2"/>
  <c r="AK1132" i="2" s="1"/>
  <c r="Y1132" i="2"/>
  <c r="Y1136" i="2"/>
  <c r="AB1136" i="2"/>
  <c r="AK1136" i="2" s="1"/>
  <c r="Y1148" i="2"/>
  <c r="AB1148" i="2"/>
  <c r="AK1148" i="2" s="1"/>
  <c r="Y1158" i="2"/>
  <c r="AB1158" i="2"/>
  <c r="AK1158" i="2" s="1"/>
  <c r="AC430" i="2"/>
  <c r="AC590" i="2"/>
  <c r="AC147" i="2"/>
  <c r="Y1240" i="2"/>
  <c r="Y746" i="2"/>
  <c r="Y698" i="2"/>
  <c r="AF245" i="2"/>
  <c r="Y245" i="2"/>
  <c r="AF266" i="2"/>
  <c r="Y266" i="2"/>
  <c r="AK502" i="2"/>
  <c r="AC502" i="2"/>
  <c r="AF566" i="2"/>
  <c r="Y566" i="2"/>
  <c r="AF570" i="2"/>
  <c r="Y570" i="2"/>
  <c r="AB1028" i="2"/>
  <c r="AK1028" i="2" s="1"/>
  <c r="AC1028" i="2"/>
  <c r="AF1234" i="2"/>
  <c r="Y1234" i="2"/>
  <c r="AF1242" i="2"/>
  <c r="Y1242" i="2"/>
  <c r="AF1244" i="2"/>
  <c r="Y1244" i="2"/>
  <c r="AF1248" i="2"/>
  <c r="Y1248" i="2"/>
  <c r="AF1276" i="2"/>
  <c r="Y1276" i="2"/>
  <c r="AF1288" i="2"/>
  <c r="Y1288" i="2"/>
  <c r="AF1294" i="2"/>
  <c r="Y1294" i="2"/>
  <c r="AF1587" i="2"/>
  <c r="Y1587" i="2"/>
  <c r="AF1624" i="2"/>
  <c r="Y1624" i="2"/>
  <c r="AF1632" i="2"/>
  <c r="Y1632" i="2"/>
  <c r="AF1644" i="2"/>
  <c r="Y1644" i="2"/>
  <c r="AF1648" i="2"/>
  <c r="Y1648" i="2"/>
  <c r="AF1654" i="2"/>
  <c r="Y1654" i="2"/>
  <c r="AF1660" i="2"/>
  <c r="Y1660" i="2"/>
  <c r="AF1662" i="2"/>
  <c r="Y1662" i="2"/>
  <c r="Y1695" i="2"/>
  <c r="AB1695" i="2"/>
  <c r="AK1695" i="2" s="1"/>
  <c r="Y1697" i="2"/>
  <c r="AC1697" i="2"/>
  <c r="Y1705" i="2"/>
  <c r="AB1705" i="2"/>
  <c r="AK1705" i="2" s="1"/>
  <c r="Y1713" i="2"/>
  <c r="AB1713" i="2"/>
  <c r="AK1713" i="2" s="1"/>
  <c r="Y1723" i="2"/>
  <c r="AB1723" i="2"/>
  <c r="AK1723" i="2" s="1"/>
  <c r="Y1727" i="2"/>
  <c r="AC1727" i="2"/>
  <c r="Y1737" i="2"/>
  <c r="AB1737" i="2"/>
  <c r="AK1737" i="2" s="1"/>
  <c r="Y1741" i="2"/>
  <c r="AB1741" i="2"/>
  <c r="AK1741" i="2" s="1"/>
  <c r="AB1747" i="2"/>
  <c r="AK1747" i="2" s="1"/>
  <c r="AC1747" i="2"/>
  <c r="R21" i="3"/>
  <c r="T21" i="3" s="1"/>
  <c r="U21" i="3" s="1"/>
  <c r="V21" i="3" s="1"/>
  <c r="AC1026" i="2"/>
  <c r="AC1036" i="2"/>
  <c r="AC720" i="2"/>
  <c r="AC327" i="2"/>
  <c r="AB1443" i="2"/>
  <c r="AK1443" i="2" s="1"/>
  <c r="Y1250" i="2"/>
  <c r="Y568" i="2"/>
  <c r="Y264" i="2"/>
  <c r="Y740" i="2"/>
  <c r="Y686" i="2"/>
  <c r="Y612" i="2"/>
  <c r="Y936" i="2"/>
  <c r="Y898" i="2"/>
  <c r="AC17" i="2"/>
  <c r="AC45" i="2"/>
  <c r="AC372" i="2"/>
  <c r="Y372" i="2" s="1"/>
  <c r="AC710" i="2"/>
  <c r="AC323" i="2"/>
  <c r="AC174" i="2"/>
  <c r="AC1044" i="2"/>
  <c r="Y1236" i="2"/>
  <c r="Y728" i="2"/>
  <c r="AB682" i="2"/>
  <c r="AK682" i="2" s="1"/>
  <c r="Y610" i="2"/>
  <c r="AC1024" i="2"/>
  <c r="AC708" i="2"/>
  <c r="AC648" i="2"/>
  <c r="AA17" i="2"/>
  <c r="AB17" i="2" s="1"/>
  <c r="AK17" i="2" s="1"/>
  <c r="AC1040" i="2"/>
  <c r="Y670" i="2"/>
  <c r="AB602" i="2"/>
  <c r="AK602" i="2" s="1"/>
  <c r="AB2348" i="2"/>
  <c r="AK2348" i="2" s="1"/>
  <c r="AB1777" i="2"/>
  <c r="AK1777" i="2" s="1"/>
  <c r="AB1759" i="2"/>
  <c r="AK1759" i="2" s="1"/>
  <c r="AB1214" i="2"/>
  <c r="AK1214" i="2" s="1"/>
  <c r="AB1206" i="2"/>
  <c r="AK1206" i="2" s="1"/>
  <c r="AB1198" i="2"/>
  <c r="AK1198" i="2" s="1"/>
  <c r="AB1190" i="2"/>
  <c r="AK1190" i="2" s="1"/>
  <c r="AB1168" i="2"/>
  <c r="AK1168" i="2" s="1"/>
  <c r="Y2029" i="2"/>
  <c r="Y2019" i="2"/>
  <c r="Y2001" i="2"/>
  <c r="Y1975" i="2"/>
  <c r="AB1270" i="2"/>
  <c r="AK1270" i="2" s="1"/>
  <c r="Y1682" i="2"/>
  <c r="Y1589" i="2"/>
  <c r="Y1356" i="2"/>
  <c r="AB1338" i="2"/>
  <c r="AK1338" i="2" s="1"/>
  <c r="AB1318" i="2"/>
  <c r="AK1318" i="2" s="1"/>
  <c r="AB1011" i="2"/>
  <c r="AK1011" i="2" s="1"/>
  <c r="Y972" i="2"/>
  <c r="AB878" i="2"/>
  <c r="AK878" i="2" s="1"/>
  <c r="Y850" i="2"/>
  <c r="AC2676" i="2"/>
  <c r="Y2537" i="2"/>
  <c r="AB824" i="2"/>
  <c r="AK824" i="2" s="1"/>
  <c r="Y824" i="2"/>
  <c r="AB840" i="2"/>
  <c r="AK840" i="2" s="1"/>
  <c r="Y840" i="2"/>
  <c r="AB848" i="2"/>
  <c r="AK848" i="2" s="1"/>
  <c r="Y848" i="2"/>
  <c r="AB856" i="2"/>
  <c r="AK856" i="2" s="1"/>
  <c r="Y856" i="2"/>
  <c r="Y868" i="2"/>
  <c r="AB870" i="2"/>
  <c r="AK870" i="2" s="1"/>
  <c r="Y870" i="2"/>
  <c r="Y876" i="2"/>
  <c r="AB876" i="2"/>
  <c r="AK876" i="2" s="1"/>
  <c r="AB900" i="2"/>
  <c r="AK900" i="2" s="1"/>
  <c r="Y900" i="2"/>
  <c r="Y906" i="2"/>
  <c r="AB906" i="2"/>
  <c r="AK906" i="2" s="1"/>
  <c r="AB910" i="2"/>
  <c r="AK910" i="2" s="1"/>
  <c r="Y910" i="2"/>
  <c r="Y914" i="2"/>
  <c r="Y924" i="2"/>
  <c r="AB924" i="2"/>
  <c r="AK924" i="2" s="1"/>
  <c r="AB926" i="2"/>
  <c r="AK926" i="2" s="1"/>
  <c r="Y926" i="2"/>
  <c r="Y930" i="2"/>
  <c r="AB932" i="2"/>
  <c r="AK932" i="2" s="1"/>
  <c r="Y932" i="2"/>
  <c r="Y934" i="2"/>
  <c r="AB938" i="2"/>
  <c r="AK938" i="2" s="1"/>
  <c r="Y938" i="2"/>
  <c r="Y940" i="2"/>
  <c r="AB942" i="2"/>
  <c r="AK942" i="2" s="1"/>
  <c r="Y942" i="2"/>
  <c r="Y946" i="2"/>
  <c r="Y948" i="2"/>
  <c r="AB950" i="2"/>
  <c r="AK950" i="2" s="1"/>
  <c r="Y950" i="2"/>
  <c r="Y954" i="2"/>
  <c r="AB954" i="2"/>
  <c r="AK954" i="2" s="1"/>
  <c r="AB956" i="2"/>
  <c r="AK956" i="2" s="1"/>
  <c r="Y956" i="2"/>
  <c r="AB964" i="2"/>
  <c r="AK964" i="2" s="1"/>
  <c r="Y964" i="2"/>
  <c r="Y968" i="2"/>
  <c r="AB970" i="2"/>
  <c r="AK970" i="2" s="1"/>
  <c r="Y970" i="2"/>
  <c r="Y978" i="2"/>
  <c r="AB978" i="2"/>
  <c r="AK978" i="2" s="1"/>
  <c r="Y980" i="2"/>
  <c r="Y984" i="2"/>
  <c r="AB984" i="2"/>
  <c r="AK984" i="2" s="1"/>
  <c r="Y986" i="2"/>
  <c r="AB986" i="2"/>
  <c r="AK986" i="2" s="1"/>
  <c r="Y1007" i="2"/>
  <c r="Y1009" i="2"/>
  <c r="AB1009" i="2"/>
  <c r="AK1009" i="2" s="1"/>
  <c r="AF1013" i="2"/>
  <c r="Y1013" i="2"/>
  <c r="AF1017" i="2"/>
  <c r="Y1017" i="2"/>
  <c r="AF1019" i="2"/>
  <c r="Y1019" i="2"/>
  <c r="AF1025" i="2"/>
  <c r="Y1025" i="2"/>
  <c r="AF1033" i="2"/>
  <c r="Y1033" i="2"/>
  <c r="AF1035" i="2"/>
  <c r="Y1035" i="2"/>
  <c r="AF1037" i="2"/>
  <c r="Y1037" i="2"/>
  <c r="Y1374" i="2"/>
  <c r="AB1374" i="2"/>
  <c r="AK1374" i="2" s="1"/>
  <c r="AB1378" i="2"/>
  <c r="AK1378" i="2" s="1"/>
  <c r="Y1378" i="2"/>
  <c r="Y1380" i="2"/>
  <c r="AB1380" i="2"/>
  <c r="AK1380" i="2" s="1"/>
  <c r="Y1384" i="2"/>
  <c r="Y1386" i="2"/>
  <c r="AB1388" i="2"/>
  <c r="AK1388" i="2" s="1"/>
  <c r="Y1388" i="2"/>
  <c r="Y1390" i="2"/>
  <c r="Y1392" i="2"/>
  <c r="Y1394" i="2"/>
  <c r="AB1394" i="2"/>
  <c r="AK1394" i="2" s="1"/>
  <c r="Y1396" i="2"/>
  <c r="Y1400" i="2"/>
  <c r="AF1408" i="2"/>
  <c r="Y1408" i="2"/>
  <c r="AF1416" i="2"/>
  <c r="Y1416" i="2"/>
  <c r="AF1424" i="2"/>
  <c r="Y1424" i="2"/>
  <c r="AF1428" i="2"/>
  <c r="Y1428" i="2"/>
  <c r="AF1442" i="2"/>
  <c r="Y1442" i="2"/>
  <c r="AF1446" i="2"/>
  <c r="Y1446" i="2"/>
  <c r="AF1454" i="2"/>
  <c r="Y1454" i="2"/>
  <c r="AF1462" i="2"/>
  <c r="Y1462" i="2"/>
  <c r="AF1470" i="2"/>
  <c r="Y1470" i="2"/>
  <c r="AF1472" i="2"/>
  <c r="Y1472" i="2"/>
  <c r="AF1476" i="2"/>
  <c r="Y1476" i="2"/>
  <c r="AF1478" i="2"/>
  <c r="Y1478" i="2"/>
  <c r="AF1486" i="2"/>
  <c r="Y1486" i="2"/>
  <c r="AF1490" i="2"/>
  <c r="Y1490" i="2"/>
  <c r="AF1496" i="2"/>
  <c r="Y1496" i="2"/>
  <c r="AF1498" i="2"/>
  <c r="Y1498" i="2"/>
  <c r="AF1506" i="2"/>
  <c r="Y1506" i="2"/>
  <c r="AF1508" i="2"/>
  <c r="Y1508" i="2"/>
  <c r="AF1512" i="2"/>
  <c r="Y1512" i="2"/>
  <c r="AF1520" i="2"/>
  <c r="Y1520" i="2"/>
  <c r="AF1534" i="2"/>
  <c r="Y1534" i="2"/>
  <c r="AF1538" i="2"/>
  <c r="Y1538" i="2"/>
  <c r="AF1540" i="2"/>
  <c r="Y1540" i="2"/>
  <c r="AF1544" i="2"/>
  <c r="Y1544" i="2"/>
  <c r="AF1548" i="2"/>
  <c r="Y1548" i="2"/>
  <c r="AF1554" i="2"/>
  <c r="Y1554" i="2"/>
  <c r="AF1558" i="2"/>
  <c r="Y1558" i="2"/>
  <c r="AF1562" i="2"/>
  <c r="Y1562" i="2"/>
  <c r="AF1564" i="2"/>
  <c r="Y1564" i="2"/>
  <c r="AF1566" i="2"/>
  <c r="Y1566" i="2"/>
  <c r="AF1576" i="2"/>
  <c r="Y1576" i="2"/>
  <c r="AF1582" i="2"/>
  <c r="Y1582" i="2"/>
  <c r="AF1584" i="2"/>
  <c r="Y1584" i="2"/>
  <c r="AF1607" i="2"/>
  <c r="Y1607" i="2"/>
  <c r="AF1609" i="2"/>
  <c r="Y1609" i="2"/>
  <c r="AF1611" i="2"/>
  <c r="Y1611" i="2"/>
  <c r="AF1615" i="2"/>
  <c r="Y1615" i="2"/>
  <c r="AB1686" i="2"/>
  <c r="AK1686" i="2" s="1"/>
  <c r="Y1686" i="2"/>
  <c r="Y1688" i="2"/>
  <c r="AB1688" i="2"/>
  <c r="AK1688" i="2" s="1"/>
  <c r="AK1182" i="2"/>
  <c r="Y1182" i="2"/>
  <c r="Y1312" i="2"/>
  <c r="AB1312" i="2"/>
  <c r="AK1312" i="2" s="1"/>
  <c r="AB1324" i="2"/>
  <c r="AK1324" i="2" s="1"/>
  <c r="Y1324" i="2"/>
  <c r="AK1334" i="2"/>
  <c r="Y1334" i="2"/>
  <c r="Y1336" i="2"/>
  <c r="AB1336" i="2"/>
  <c r="AK1336" i="2" s="1"/>
  <c r="Y1342" i="2"/>
  <c r="AB1342" i="2"/>
  <c r="AK1342" i="2" s="1"/>
  <c r="Y1346" i="2"/>
  <c r="AB1346" i="2"/>
  <c r="AK1346" i="2" s="1"/>
  <c r="AK1348" i="2"/>
  <c r="Y1348" i="2"/>
  <c r="Y1360" i="2"/>
  <c r="AB1360" i="2"/>
  <c r="AK1360" i="2" s="1"/>
  <c r="AB1366" i="2"/>
  <c r="AK1366" i="2" s="1"/>
  <c r="Y1366" i="2"/>
  <c r="AB1370" i="2"/>
  <c r="AK1370" i="2" s="1"/>
  <c r="Y1370" i="2"/>
  <c r="AB1597" i="2"/>
  <c r="AK1597" i="2" s="1"/>
  <c r="Y1597" i="2"/>
  <c r="AF2079" i="2"/>
  <c r="Y2079" i="2"/>
  <c r="AF2083" i="2"/>
  <c r="Y2083" i="2"/>
  <c r="AF2087" i="2"/>
  <c r="Y2087" i="2"/>
  <c r="AF2091" i="2"/>
  <c r="Y2091" i="2"/>
  <c r="AF2095" i="2"/>
  <c r="Y2095" i="2"/>
  <c r="AF2099" i="2"/>
  <c r="Y2099" i="2"/>
  <c r="AF2103" i="2"/>
  <c r="Y2103" i="2"/>
  <c r="AF2107" i="2"/>
  <c r="Y2107" i="2"/>
  <c r="AF2111" i="2"/>
  <c r="Y2111" i="2"/>
  <c r="AC2115" i="2"/>
  <c r="Y2115" i="2"/>
  <c r="AC2117" i="2"/>
  <c r="AB2117" i="2"/>
  <c r="AK2117" i="2" s="1"/>
  <c r="AC2119" i="2"/>
  <c r="Y2119" i="2"/>
  <c r="AB2121" i="2"/>
  <c r="AK2121" i="2" s="1"/>
  <c r="Y2121" i="2"/>
  <c r="AC2125" i="2"/>
  <c r="AB2125" i="2"/>
  <c r="AK2125" i="2" s="1"/>
  <c r="AF2151" i="2"/>
  <c r="Y2151" i="2"/>
  <c r="AF2155" i="2"/>
  <c r="Y2155" i="2"/>
  <c r="AF2161" i="2"/>
  <c r="Y2161" i="2"/>
  <c r="AF2163" i="2"/>
  <c r="Y2163" i="2"/>
  <c r="AF2185" i="2"/>
  <c r="Y2185" i="2"/>
  <c r="AF2203" i="2"/>
  <c r="Y2203" i="2"/>
  <c r="AF2213" i="2"/>
  <c r="Y2213" i="2"/>
  <c r="AF2225" i="2"/>
  <c r="Y2225" i="2"/>
  <c r="AF2239" i="2"/>
  <c r="Y2239" i="2"/>
  <c r="AF2249" i="2"/>
  <c r="Y2249" i="2"/>
  <c r="AF2275" i="2"/>
  <c r="Y2275" i="2"/>
  <c r="AF2319" i="2"/>
  <c r="Y2319" i="2"/>
  <c r="AF2406" i="2"/>
  <c r="Y2406" i="2"/>
  <c r="Y2627" i="2"/>
  <c r="AH2627" i="2"/>
  <c r="AC1761" i="2"/>
  <c r="AC1176" i="2"/>
  <c r="AC1354" i="2"/>
  <c r="AC1314" i="2"/>
  <c r="AB1164" i="2"/>
  <c r="AK1164" i="2" s="1"/>
  <c r="Y2057" i="2"/>
  <c r="Y2015" i="2"/>
  <c r="Y1997" i="2"/>
  <c r="Y1985" i="2"/>
  <c r="Y1350" i="2"/>
  <c r="AB1328" i="2"/>
  <c r="AK1328" i="2" s="1"/>
  <c r="Y962" i="2"/>
  <c r="AB940" i="2"/>
  <c r="AK940" i="2" s="1"/>
  <c r="AB868" i="2"/>
  <c r="AK868" i="2" s="1"/>
  <c r="Y834" i="2"/>
  <c r="AB1384" i="2"/>
  <c r="AK1384" i="2" s="1"/>
  <c r="Y1420" i="2"/>
  <c r="Y2553" i="2"/>
  <c r="AF1967" i="2"/>
  <c r="Y1967" i="2"/>
  <c r="AF1983" i="2"/>
  <c r="Y1983" i="2"/>
  <c r="AF1995" i="2"/>
  <c r="Y1995" i="2"/>
  <c r="AF2005" i="2"/>
  <c r="Y2005" i="2"/>
  <c r="AF2021" i="2"/>
  <c r="Y2021" i="2"/>
  <c r="AF2045" i="2"/>
  <c r="Y2045" i="2"/>
  <c r="AF2051" i="2"/>
  <c r="Y2051" i="2"/>
  <c r="AC2451" i="2"/>
  <c r="AB2451" i="2"/>
  <c r="AK2451" i="2" s="1"/>
  <c r="AF2477" i="2"/>
  <c r="Y2477" i="2"/>
  <c r="AF2543" i="2"/>
  <c r="Y2543" i="2"/>
  <c r="AF2592" i="2"/>
  <c r="Y2592" i="2"/>
  <c r="AF2596" i="2"/>
  <c r="Y2596" i="2"/>
  <c r="AF2598" i="2"/>
  <c r="Y2598" i="2"/>
  <c r="AB2620" i="2"/>
  <c r="AK2620" i="2" s="1"/>
  <c r="AC2620" i="2"/>
  <c r="Y2633" i="2"/>
  <c r="AF2633" i="2"/>
  <c r="AB2660" i="2"/>
  <c r="AK2660" i="2" s="1"/>
  <c r="Y2660" i="2"/>
  <c r="Y2668" i="2"/>
  <c r="AB2668" i="2"/>
  <c r="AK2668" i="2" s="1"/>
  <c r="AC2683" i="2"/>
  <c r="AB2683" i="2"/>
  <c r="AK2683" i="2" s="1"/>
  <c r="Y2687" i="2"/>
  <c r="AC2687" i="2"/>
  <c r="AB2687" i="2"/>
  <c r="AK2687" i="2" s="1"/>
  <c r="AC2691" i="2"/>
  <c r="Y2691" i="2"/>
  <c r="Y2702" i="2"/>
  <c r="AC2702" i="2"/>
  <c r="Y828" i="2"/>
  <c r="AB1769" i="2"/>
  <c r="AK1769" i="2" s="1"/>
  <c r="Y1180" i="2"/>
  <c r="Y2053" i="2"/>
  <c r="Y2011" i="2"/>
  <c r="Y2003" i="2"/>
  <c r="Y1965" i="2"/>
  <c r="Y1955" i="2"/>
  <c r="Y1260" i="2"/>
  <c r="AB1591" i="2"/>
  <c r="AK1591" i="2" s="1"/>
  <c r="Y1358" i="2"/>
  <c r="AB1320" i="2"/>
  <c r="AK1320" i="2" s="1"/>
  <c r="Y974" i="2"/>
  <c r="Y928" i="2"/>
  <c r="Y1452" i="2"/>
  <c r="Y1410" i="2"/>
  <c r="AB2676" i="2"/>
  <c r="AK2676" i="2" s="1"/>
  <c r="Y2600" i="2"/>
  <c r="Y2541" i="2"/>
  <c r="Y4165" i="2"/>
  <c r="AB2802" i="2"/>
  <c r="AK2802" i="2" s="1"/>
  <c r="AC2802" i="2"/>
  <c r="AB2876" i="2"/>
  <c r="AK2876" i="2" s="1"/>
  <c r="AC2876" i="2"/>
  <c r="AB2948" i="2"/>
  <c r="AK2948" i="2" s="1"/>
  <c r="AC2948" i="2"/>
  <c r="AB2972" i="2"/>
  <c r="AK2972" i="2" s="1"/>
  <c r="Y2972" i="2"/>
  <c r="AC2972" i="2"/>
  <c r="AB3047" i="2"/>
  <c r="AC3047" i="2"/>
  <c r="AB3465" i="2"/>
  <c r="AK3465" i="2" s="1"/>
  <c r="AC3465" i="2"/>
  <c r="AB3537" i="2"/>
  <c r="AK3537" i="2" s="1"/>
  <c r="AC3537" i="2"/>
  <c r="Y1429" i="2"/>
  <c r="Y1529" i="2"/>
  <c r="Y1537" i="2"/>
  <c r="Y1545" i="2"/>
  <c r="Y1553" i="2"/>
  <c r="Y2330" i="2"/>
  <c r="Y2334" i="2"/>
  <c r="Y2338" i="2"/>
  <c r="Y2342" i="2"/>
  <c r="Y2350" i="2"/>
  <c r="Y2352" i="2"/>
  <c r="Y2360" i="2"/>
  <c r="Y2620" i="2"/>
  <c r="AC3785" i="2"/>
  <c r="AB4006" i="2"/>
  <c r="AK4006" i="2" s="1"/>
  <c r="AB4658" i="2"/>
  <c r="AK4658" i="2" s="1"/>
  <c r="Y105" i="2"/>
  <c r="Y162" i="2"/>
  <c r="Y1133" i="2"/>
  <c r="Y1149" i="2"/>
  <c r="Y1155" i="2"/>
  <c r="Y1157" i="2"/>
  <c r="Y1177" i="2"/>
  <c r="Y1187" i="2"/>
  <c r="Y1189" i="2"/>
  <c r="Y1191" i="2"/>
  <c r="Y1197" i="2"/>
  <c r="Y1215" i="2"/>
  <c r="Y1219" i="2"/>
  <c r="Y1255" i="2"/>
  <c r="Y1311" i="2"/>
  <c r="Y1323" i="2"/>
  <c r="Y1329" i="2"/>
  <c r="Y1365" i="2"/>
  <c r="Y1590" i="2"/>
  <c r="AF3559" i="2"/>
  <c r="AF3367" i="2"/>
  <c r="AF3315" i="2"/>
  <c r="AF3458" i="2"/>
  <c r="AF3660" i="2"/>
  <c r="AF3317" i="2"/>
  <c r="AH3379" i="2"/>
  <c r="AF3361" i="2"/>
  <c r="AC2978" i="2"/>
  <c r="AC4388" i="2"/>
  <c r="AC4078" i="2"/>
  <c r="AC4780" i="2"/>
  <c r="AC4760" i="2"/>
  <c r="AC4742" i="2"/>
  <c r="AC4724" i="2"/>
  <c r="AC4706" i="2"/>
  <c r="AC4609" i="2"/>
  <c r="AC4470" i="2"/>
  <c r="AC2916" i="2"/>
  <c r="AC2834" i="2"/>
  <c r="AC3966" i="2"/>
  <c r="AC3041" i="2"/>
  <c r="AB4609" i="2"/>
  <c r="AK4609" i="2" s="1"/>
  <c r="Y567" i="2"/>
  <c r="AF3343" i="2"/>
  <c r="AF3383" i="2"/>
  <c r="AF3405" i="2"/>
  <c r="AF3309" i="2"/>
  <c r="AF3313" i="2"/>
  <c r="AF3379" i="2"/>
  <c r="AF3772" i="2"/>
  <c r="AF3764" i="2"/>
  <c r="AC2898" i="2"/>
  <c r="AC4306" i="2"/>
  <c r="AC4165" i="2"/>
  <c r="AC4062" i="2"/>
  <c r="AC3942" i="2"/>
  <c r="AC3862" i="2"/>
  <c r="AC3681" i="2"/>
  <c r="Y4470" i="2"/>
  <c r="AF3351" i="2"/>
  <c r="AF3652" i="2"/>
  <c r="AF3353" i="2"/>
  <c r="AC4298" i="2"/>
  <c r="AC4229" i="2"/>
  <c r="AC4157" i="2"/>
  <c r="AC4030" i="2"/>
  <c r="AC3934" i="2"/>
  <c r="AC3854" i="2"/>
  <c r="AC3657" i="2"/>
  <c r="AB4438" i="2"/>
  <c r="AK4438" i="2" s="1"/>
  <c r="AB4728" i="2"/>
  <c r="AK4728" i="2" s="1"/>
  <c r="Y2131" i="2"/>
  <c r="Y2137" i="2"/>
  <c r="Y2175" i="2"/>
  <c r="Y2181" i="2"/>
  <c r="Y2187" i="2"/>
  <c r="Y2199" i="2"/>
  <c r="Y2205" i="2"/>
  <c r="Y2211" i="2"/>
  <c r="Y2217" i="2"/>
  <c r="Y2229" i="2"/>
  <c r="Y2247" i="2"/>
  <c r="AC4006" i="2"/>
  <c r="AC3926" i="2"/>
  <c r="AC3846" i="2"/>
  <c r="R67" i="3"/>
  <c r="T67" i="3" s="1"/>
  <c r="U67" i="3" s="1"/>
  <c r="V67" i="3" s="1"/>
  <c r="Y4388" i="2"/>
  <c r="Y4702" i="2"/>
  <c r="R66" i="3"/>
  <c r="T66" i="3" s="1"/>
  <c r="U66" i="3" s="1"/>
  <c r="V66" i="3" s="1"/>
  <c r="AC3020" i="2"/>
  <c r="AH3305" i="2"/>
  <c r="AF3305" i="2"/>
  <c r="AH3319" i="2"/>
  <c r="AF3319" i="2"/>
  <c r="AH3327" i="2"/>
  <c r="AF3327" i="2"/>
  <c r="AH3347" i="2"/>
  <c r="AF3347" i="2"/>
  <c r="AC3447" i="2"/>
  <c r="AB3447" i="2"/>
  <c r="AK3447" i="2" s="1"/>
  <c r="Y3538" i="2"/>
  <c r="AF3538" i="2"/>
  <c r="Y3628" i="2"/>
  <c r="AF3628" i="2"/>
  <c r="AK3753" i="2"/>
  <c r="Y3753" i="2"/>
  <c r="AB3769" i="2"/>
  <c r="AK3769" i="2" s="1"/>
  <c r="Y3769" i="2"/>
  <c r="Y3780" i="2"/>
  <c r="AF3780" i="2"/>
  <c r="Y3788" i="2"/>
  <c r="AF3788" i="2"/>
  <c r="AB3793" i="2"/>
  <c r="AK3793" i="2" s="1"/>
  <c r="AC3793" i="2"/>
  <c r="Y3804" i="2"/>
  <c r="AF3804" i="2"/>
  <c r="Y3820" i="2"/>
  <c r="AF3820" i="2"/>
  <c r="Y3825" i="2"/>
  <c r="AB3825" i="2"/>
  <c r="AK3825" i="2" s="1"/>
  <c r="AB3870" i="2"/>
  <c r="AK3870" i="2" s="1"/>
  <c r="Y3870" i="2"/>
  <c r="AB3878" i="2"/>
  <c r="AK3878" i="2" s="1"/>
  <c r="AC3878" i="2"/>
  <c r="AB3902" i="2"/>
  <c r="AK3902" i="2" s="1"/>
  <c r="Y3902" i="2"/>
  <c r="Y3937" i="2"/>
  <c r="AF3937" i="2"/>
  <c r="Y3958" i="2"/>
  <c r="AB3958" i="2"/>
  <c r="AK3958" i="2" s="1"/>
  <c r="AC3958" i="2"/>
  <c r="Y4001" i="2"/>
  <c r="AF4001" i="2"/>
  <c r="AC4014" i="2"/>
  <c r="AB4014" i="2"/>
  <c r="AK4014" i="2" s="1"/>
  <c r="Y4025" i="2"/>
  <c r="AF4025" i="2"/>
  <c r="AB4038" i="2"/>
  <c r="AK4038" i="2" s="1"/>
  <c r="AC4038" i="2"/>
  <c r="R75" i="3"/>
  <c r="T75" i="3" s="1"/>
  <c r="U75" i="3" s="1"/>
  <c r="V75" i="3" s="1"/>
  <c r="Y4046" i="2"/>
  <c r="AC4046" i="2"/>
  <c r="AB4054" i="2"/>
  <c r="AK4054" i="2" s="1"/>
  <c r="Y4054" i="2"/>
  <c r="Y4088" i="2"/>
  <c r="AB4088" i="2"/>
  <c r="AK4088" i="2" s="1"/>
  <c r="AB4096" i="2"/>
  <c r="AK4096" i="2" s="1"/>
  <c r="Y4096" i="2"/>
  <c r="AB4125" i="2"/>
  <c r="AK4125" i="2" s="1"/>
  <c r="Y4125" i="2"/>
  <c r="Y4141" i="2"/>
  <c r="AB4141" i="2"/>
  <c r="AK4141" i="2" s="1"/>
  <c r="AB4149" i="2"/>
  <c r="AK4149" i="2" s="1"/>
  <c r="AC4149" i="2"/>
  <c r="AB4173" i="2"/>
  <c r="AK4173" i="2" s="1"/>
  <c r="Y4173" i="2"/>
  <c r="Y4205" i="2"/>
  <c r="AB4205" i="2"/>
  <c r="AK4205" i="2" s="1"/>
  <c r="Y4213" i="2"/>
  <c r="AC4213" i="2"/>
  <c r="AB4237" i="2"/>
  <c r="AK4237" i="2" s="1"/>
  <c r="Y4237" i="2"/>
  <c r="AB4245" i="2"/>
  <c r="AK4245" i="2" s="1"/>
  <c r="Y4245" i="2"/>
  <c r="Y4256" i="2"/>
  <c r="AF4256" i="2"/>
  <c r="AB4274" i="2"/>
  <c r="AK4274" i="2" s="1"/>
  <c r="Y4274" i="2"/>
  <c r="AC4274" i="2"/>
  <c r="AB4282" i="2"/>
  <c r="AK4282" i="2" s="1"/>
  <c r="Y4282" i="2"/>
  <c r="Y4314" i="2"/>
  <c r="AB4314" i="2"/>
  <c r="AK4314" i="2" s="1"/>
  <c r="Y4322" i="2"/>
  <c r="AB4322" i="2"/>
  <c r="AK4322" i="2" s="1"/>
  <c r="AB4335" i="2"/>
  <c r="AK4335" i="2" s="1"/>
  <c r="AC4335" i="2"/>
  <c r="Y4348" i="2"/>
  <c r="AB4348" i="2"/>
  <c r="AK4348" i="2" s="1"/>
  <c r="Y4359" i="2"/>
  <c r="AF4359" i="2"/>
  <c r="AB4380" i="2"/>
  <c r="AK4380" i="2" s="1"/>
  <c r="Y4380" i="2"/>
  <c r="AB4398" i="2"/>
  <c r="AK4398" i="2" s="1"/>
  <c r="Y4398" i="2"/>
  <c r="AB4414" i="2"/>
  <c r="AK4414" i="2" s="1"/>
  <c r="AC4414" i="2"/>
  <c r="AB4422" i="2"/>
  <c r="AK4422" i="2" s="1"/>
  <c r="Y4422" i="2"/>
  <c r="Y4449" i="2"/>
  <c r="AF4449" i="2"/>
  <c r="AB4462" i="2"/>
  <c r="AK4462" i="2" s="1"/>
  <c r="Y4462" i="2"/>
  <c r="Y4465" i="2"/>
  <c r="AF4465" i="2"/>
  <c r="AB4478" i="2"/>
  <c r="AK4478" i="2" s="1"/>
  <c r="AC4478" i="2"/>
  <c r="AB4502" i="2"/>
  <c r="AK4502" i="2" s="1"/>
  <c r="Y4502" i="2"/>
  <c r="AB4507" i="2"/>
  <c r="AK4507" i="2" s="1"/>
  <c r="Y4507" i="2"/>
  <c r="Y4541" i="2"/>
  <c r="R73" i="3"/>
  <c r="T73" i="3" s="1"/>
  <c r="U73" i="3" s="1"/>
  <c r="V73" i="3" s="1"/>
  <c r="AC4541" i="2"/>
  <c r="AB4541" i="2"/>
  <c r="AK4541" i="2" s="1"/>
  <c r="Y4546" i="2"/>
  <c r="AB4546" i="2"/>
  <c r="AK4546" i="2" s="1"/>
  <c r="AB4564" i="2"/>
  <c r="AK4564" i="2" s="1"/>
  <c r="Y4564" i="2"/>
  <c r="Y4567" i="2"/>
  <c r="AF4567" i="2"/>
  <c r="AB4572" i="2"/>
  <c r="AK4572" i="2" s="1"/>
  <c r="Y4572" i="2"/>
  <c r="Y4583" i="2"/>
  <c r="AF4583" i="2"/>
  <c r="AB4593" i="2"/>
  <c r="AK4593" i="2" s="1"/>
  <c r="AC4593" i="2"/>
  <c r="Y4601" i="2"/>
  <c r="AB4601" i="2"/>
  <c r="AK4601" i="2" s="1"/>
  <c r="Y4628" i="2"/>
  <c r="AF4628" i="2"/>
  <c r="AB4633" i="2"/>
  <c r="AK4633" i="2" s="1"/>
  <c r="Y4633" i="2"/>
  <c r="Y4646" i="2"/>
  <c r="AB4646" i="2"/>
  <c r="AK4646" i="2" s="1"/>
  <c r="AB4654" i="2"/>
  <c r="AK4654" i="2" s="1"/>
  <c r="AC4654" i="2"/>
  <c r="AB4660" i="2"/>
  <c r="AK4660" i="2" s="1"/>
  <c r="Y4660" i="2"/>
  <c r="Y4668" i="2"/>
  <c r="AH4668" i="2"/>
  <c r="AH4670" i="2"/>
  <c r="Y4670" i="2"/>
  <c r="AH4676" i="2"/>
  <c r="AF4676" i="2"/>
  <c r="AH4682" i="2"/>
  <c r="Y4682" i="2"/>
  <c r="Y4700" i="2"/>
  <c r="AB4700" i="2"/>
  <c r="AK4700" i="2" s="1"/>
  <c r="Y4712" i="2"/>
  <c r="AB4712" i="2"/>
  <c r="AK4712" i="2" s="1"/>
  <c r="Y4714" i="2"/>
  <c r="AB4714" i="2"/>
  <c r="AK4714" i="2" s="1"/>
  <c r="AC4714" i="2"/>
  <c r="AB4722" i="2"/>
  <c r="AK4722" i="2" s="1"/>
  <c r="Y4722" i="2"/>
  <c r="AB4730" i="2"/>
  <c r="AK4730" i="2" s="1"/>
  <c r="AC4730" i="2"/>
  <c r="AB4736" i="2"/>
  <c r="AK4736" i="2" s="1"/>
  <c r="Y4736" i="2"/>
  <c r="AB4738" i="2"/>
  <c r="AK4738" i="2" s="1"/>
  <c r="Y4738" i="2"/>
  <c r="AB4746" i="2"/>
  <c r="AK4746" i="2" s="1"/>
  <c r="AC4746" i="2"/>
  <c r="AB4762" i="2"/>
  <c r="AK4762" i="2" s="1"/>
  <c r="AC4762" i="2"/>
  <c r="Y4770" i="2"/>
  <c r="AB4770" i="2"/>
  <c r="AK4770" i="2" s="1"/>
  <c r="AB4778" i="2"/>
  <c r="AK4778" i="2" s="1"/>
  <c r="AC4778" i="2"/>
  <c r="AH4796" i="2"/>
  <c r="AF4796" i="2"/>
  <c r="AH4804" i="2"/>
  <c r="Y4804" i="2"/>
  <c r="AH4806" i="2"/>
  <c r="Y4806" i="2"/>
  <c r="AH4814" i="2"/>
  <c r="Y4814" i="2"/>
  <c r="Y2521" i="2"/>
  <c r="AF3363" i="2"/>
  <c r="AF3335" i="2"/>
  <c r="AF3325" i="2"/>
  <c r="AF3474" i="2"/>
  <c r="AF3387" i="2"/>
  <c r="AH3401" i="2"/>
  <c r="AH3361" i="2"/>
  <c r="AF3644" i="2"/>
  <c r="R69" i="3"/>
  <c r="T69" i="3" s="1"/>
  <c r="U69" i="3" s="1"/>
  <c r="V69" i="3" s="1"/>
  <c r="AC4070" i="2"/>
  <c r="AC4348" i="2"/>
  <c r="AA4266" i="2"/>
  <c r="AC4197" i="2"/>
  <c r="AC4125" i="2"/>
  <c r="AC3990" i="2"/>
  <c r="AC3910" i="2"/>
  <c r="AC3825" i="2"/>
  <c r="AB4213" i="2"/>
  <c r="AK4213" i="2" s="1"/>
  <c r="AB6846" i="2"/>
  <c r="AK6846" i="2" s="1"/>
  <c r="R89" i="3"/>
  <c r="T89" i="3" s="1"/>
  <c r="U89" i="3" s="1"/>
  <c r="V89" i="3" s="1"/>
  <c r="Y5014" i="2"/>
  <c r="AB4939" i="2"/>
  <c r="AK4939" i="2" s="1"/>
  <c r="Y4923" i="2"/>
  <c r="Y3054" i="2"/>
  <c r="AB3054" i="2"/>
  <c r="AK3054" i="2" s="1"/>
  <c r="Y3066" i="2"/>
  <c r="AB3066" i="2"/>
  <c r="AK3066" i="2" s="1"/>
  <c r="R122" i="3"/>
  <c r="T122" i="3" s="1"/>
  <c r="U122" i="3" s="1"/>
  <c r="V122" i="3" s="1"/>
  <c r="AB5300" i="2"/>
  <c r="AK5300" i="2" s="1"/>
  <c r="Y5246" i="2"/>
  <c r="AB4947" i="2"/>
  <c r="AK4947" i="2" s="1"/>
  <c r="AB4935" i="2"/>
  <c r="AK4935" i="2" s="1"/>
  <c r="Y5190" i="2"/>
  <c r="Y5016" i="2"/>
  <c r="AB5276" i="2"/>
  <c r="AK5276" i="2" s="1"/>
  <c r="AB5176" i="2"/>
  <c r="AK5176" i="2" s="1"/>
  <c r="AB5008" i="2"/>
  <c r="AK5008" i="2" s="1"/>
  <c r="Y4931" i="2"/>
  <c r="Y5024" i="2"/>
  <c r="AF5020" i="2"/>
  <c r="Y5020" i="2"/>
  <c r="AF5028" i="2"/>
  <c r="Y5028" i="2"/>
  <c r="AB5178" i="2"/>
  <c r="AK5178" i="2" s="1"/>
  <c r="R93" i="3"/>
  <c r="T93" i="3" s="1"/>
  <c r="U93" i="3" s="1"/>
  <c r="V93" i="3" s="1"/>
  <c r="AF5192" i="2"/>
  <c r="Y5192" i="2"/>
  <c r="AB5292" i="2"/>
  <c r="AK5292" i="2" s="1"/>
  <c r="Y5186" i="2"/>
  <c r="AB5004" i="2"/>
  <c r="AK5004" i="2" s="1"/>
  <c r="AB4943" i="2"/>
  <c r="AK4943" i="2" s="1"/>
  <c r="Y5022" i="2"/>
  <c r="AB3134" i="2"/>
  <c r="AK3134" i="2" s="1"/>
  <c r="Y5861" i="2"/>
  <c r="AB5610" i="2"/>
  <c r="AK5610" i="2" s="1"/>
  <c r="AB5970" i="2"/>
  <c r="AK5970" i="2" s="1"/>
  <c r="Y6553" i="2"/>
  <c r="Y6521" i="2"/>
  <c r="AC6491" i="2"/>
  <c r="AB5991" i="2"/>
  <c r="AK5991" i="2" s="1"/>
  <c r="AB5906" i="2"/>
  <c r="AK5906" i="2" s="1"/>
  <c r="AC5772" i="2"/>
  <c r="Y5437" i="2"/>
  <c r="AB6507" i="2"/>
  <c r="AK6507" i="2" s="1"/>
  <c r="Y5669" i="2"/>
  <c r="Y6611" i="2"/>
  <c r="Y6595" i="2"/>
  <c r="AC6565" i="2"/>
  <c r="Y5877" i="2"/>
  <c r="R149" i="3"/>
  <c r="T149" i="3" s="1"/>
  <c r="U149" i="3" s="1"/>
  <c r="V149" i="3" s="1"/>
  <c r="Y5853" i="2"/>
  <c r="AB5882" i="2"/>
  <c r="AK5882" i="2" s="1"/>
  <c r="Y5581" i="2"/>
  <c r="AB5453" i="2"/>
  <c r="AK5453" i="2" s="1"/>
  <c r="AB5746" i="2"/>
  <c r="AK5746" i="2" s="1"/>
  <c r="AB3621" i="2"/>
  <c r="AK3621" i="2" s="1"/>
  <c r="Y3539" i="2"/>
  <c r="Y6052" i="2"/>
  <c r="AB6015" i="2"/>
  <c r="AK6015" i="2" s="1"/>
  <c r="AC5898" i="2"/>
  <c r="Y5946" i="2"/>
  <c r="Y5922" i="2"/>
  <c r="Y6533" i="2"/>
  <c r="Y5965" i="2"/>
  <c r="AC5432" i="2"/>
  <c r="AC5392" i="2"/>
  <c r="Y5613" i="2"/>
  <c r="AF5725" i="2"/>
  <c r="AF5994" i="2"/>
  <c r="AB6509" i="2"/>
  <c r="AK6509" i="2" s="1"/>
  <c r="AB6493" i="2"/>
  <c r="AK6493" i="2" s="1"/>
  <c r="AF5788" i="2"/>
  <c r="AB6007" i="2"/>
  <c r="AK6007" i="2" s="1"/>
  <c r="AC5922" i="2"/>
  <c r="AF5832" i="2"/>
  <c r="Y6537" i="2"/>
  <c r="AC6507" i="2"/>
  <c r="Y6170" i="2"/>
  <c r="AB5845" i="2"/>
  <c r="AK5845" i="2" s="1"/>
  <c r="Y6428" i="2"/>
  <c r="AC5837" i="2"/>
  <c r="AC5501" i="2"/>
  <c r="Y6603" i="2"/>
  <c r="Y6587" i="2"/>
  <c r="AC6573" i="2"/>
  <c r="AC6557" i="2"/>
  <c r="AB6060" i="2"/>
  <c r="AK6060" i="2" s="1"/>
  <c r="AB6573" i="2"/>
  <c r="AK6573" i="2" s="1"/>
  <c r="Y6434" i="2"/>
  <c r="Y4816" i="2"/>
  <c r="Y4822" i="2"/>
  <c r="Y4826" i="2"/>
  <c r="Y4828" i="2"/>
  <c r="Y4846" i="2"/>
  <c r="Y4860" i="2"/>
  <c r="Y4864" i="2"/>
  <c r="Y4866" i="2"/>
  <c r="Y4870" i="2"/>
  <c r="Y4880" i="2"/>
  <c r="Y4882" i="2"/>
  <c r="Y4886" i="2"/>
  <c r="Y4890" i="2"/>
  <c r="Y4898" i="2"/>
  <c r="Y4967" i="2"/>
  <c r="Y4975" i="2"/>
  <c r="Y4977" i="2"/>
  <c r="Y4983" i="2"/>
  <c r="Y5049" i="2"/>
  <c r="Y5051" i="2"/>
  <c r="Y5057" i="2"/>
  <c r="Y5061" i="2"/>
  <c r="Y5065" i="2"/>
  <c r="Y5071" i="2"/>
  <c r="Y5081" i="2"/>
  <c r="Y5089" i="2"/>
  <c r="Y5091" i="2"/>
  <c r="Y5093" i="2"/>
  <c r="Y5097" i="2"/>
  <c r="Y5119" i="2"/>
  <c r="Y5125" i="2"/>
  <c r="Y5143" i="2"/>
  <c r="Y5194" i="2"/>
  <c r="Y5212" i="2"/>
  <c r="Y5230" i="2"/>
  <c r="AK6772" i="2"/>
  <c r="Y6505" i="2"/>
  <c r="Y6489" i="2"/>
  <c r="Y6547" i="2"/>
  <c r="Y6515" i="2"/>
  <c r="Y6440" i="2"/>
  <c r="Y6424" i="2"/>
  <c r="Y6609" i="2"/>
  <c r="Y6593" i="2"/>
  <c r="Y6569" i="2"/>
  <c r="AB6170" i="2"/>
  <c r="AK6170" i="2" s="1"/>
  <c r="AB5938" i="2"/>
  <c r="AK5938" i="2" s="1"/>
  <c r="AC5813" i="2"/>
  <c r="AB5813" i="2"/>
  <c r="AK5813" i="2" s="1"/>
  <c r="Y6543" i="2"/>
  <c r="Y6511" i="2"/>
  <c r="Y6047" i="2"/>
  <c r="AC5785" i="2"/>
  <c r="Y5757" i="2"/>
  <c r="Y6565" i="2"/>
  <c r="Y6517" i="2"/>
  <c r="AK2907" i="2"/>
  <c r="AB3781" i="2"/>
  <c r="AK3781" i="2" s="1"/>
  <c r="Y3693" i="2"/>
  <c r="Y3888" i="2"/>
  <c r="Y5954" i="2"/>
  <c r="Y5890" i="2"/>
  <c r="AC5400" i="2"/>
  <c r="Y6444" i="2"/>
  <c r="AB6047" i="2"/>
  <c r="AB5424" i="2"/>
  <c r="AK5424" i="2" s="1"/>
  <c r="Y6450" i="2"/>
  <c r="Y5770" i="2"/>
  <c r="AB5706" i="2"/>
  <c r="AK5706" i="2" s="1"/>
  <c r="AF5653" i="2"/>
  <c r="AB155" i="2"/>
  <c r="AK155" i="2" s="1"/>
  <c r="Y155" i="2"/>
  <c r="AF395" i="2"/>
  <c r="Y395" i="2"/>
  <c r="AF553" i="2"/>
  <c r="Y553" i="2"/>
  <c r="R118" i="3"/>
  <c r="T118" i="3" s="1"/>
  <c r="U118" i="3" s="1"/>
  <c r="V118" i="3" s="1"/>
  <c r="Y36" i="2"/>
  <c r="Y810" i="2"/>
  <c r="Y790" i="2"/>
  <c r="Y770" i="2"/>
  <c r="Y171" i="2"/>
  <c r="Y561" i="2"/>
  <c r="Y549" i="2"/>
  <c r="Y447" i="2"/>
  <c r="Y130" i="2"/>
  <c r="AF818" i="2"/>
  <c r="Y818" i="2"/>
  <c r="AF832" i="2"/>
  <c r="Y832" i="2"/>
  <c r="AF882" i="2"/>
  <c r="Y882" i="2"/>
  <c r="AF892" i="2"/>
  <c r="Y892" i="2"/>
  <c r="AF918" i="2"/>
  <c r="Y918" i="2"/>
  <c r="AF1426" i="2"/>
  <c r="Y1426" i="2"/>
  <c r="AF1436" i="2"/>
  <c r="Y1436" i="2"/>
  <c r="AF1448" i="2"/>
  <c r="Y1448" i="2"/>
  <c r="AF1480" i="2"/>
  <c r="Y1480" i="2"/>
  <c r="AF1502" i="2"/>
  <c r="Y1502" i="2"/>
  <c r="AF1514" i="2"/>
  <c r="Y1514" i="2"/>
  <c r="AF1524" i="2"/>
  <c r="Y1524" i="2"/>
  <c r="AF1536" i="2"/>
  <c r="Y1536" i="2"/>
  <c r="AF1568" i="2"/>
  <c r="Y1568" i="2"/>
  <c r="AF1578" i="2"/>
  <c r="Y1578" i="2"/>
  <c r="R30" i="3"/>
  <c r="T30" i="3" s="1"/>
  <c r="U30" i="3" s="1"/>
  <c r="V30" i="3" s="1"/>
  <c r="AF507" i="2"/>
  <c r="AC286" i="2"/>
  <c r="Y373" i="2"/>
  <c r="AC808" i="2"/>
  <c r="AC782" i="2"/>
  <c r="AC776" i="2"/>
  <c r="AC650" i="2"/>
  <c r="AC586" i="2"/>
  <c r="AC11" i="2"/>
  <c r="AC339" i="2"/>
  <c r="AC228" i="2"/>
  <c r="Y654" i="2"/>
  <c r="Y238" i="2"/>
  <c r="Y224" i="2"/>
  <c r="Y1045" i="2"/>
  <c r="Y1027" i="2"/>
  <c r="Y890" i="2"/>
  <c r="Y842" i="2"/>
  <c r="Y826" i="2"/>
  <c r="Y808" i="2"/>
  <c r="Y788" i="2"/>
  <c r="Y766" i="2"/>
  <c r="AB165" i="2"/>
  <c r="AK165" i="2" s="1"/>
  <c r="AB1396" i="2"/>
  <c r="AK1396" i="2" s="1"/>
  <c r="Y537" i="2"/>
  <c r="Y459" i="2"/>
  <c r="Y403" i="2"/>
  <c r="Y1613" i="2"/>
  <c r="Y1603" i="2"/>
  <c r="Y1574" i="2"/>
  <c r="Y1528" i="2"/>
  <c r="Y1516" i="2"/>
  <c r="Y1468" i="2"/>
  <c r="Y1444" i="2"/>
  <c r="Y1430" i="2"/>
  <c r="Y1418" i="2"/>
  <c r="Y1406" i="2"/>
  <c r="AF175" i="2"/>
  <c r="Y30" i="2"/>
  <c r="Y222" i="2"/>
  <c r="Y786" i="2"/>
  <c r="AB300" i="2"/>
  <c r="AK300" i="2" s="1"/>
  <c r="AB153" i="2"/>
  <c r="AK153" i="2" s="1"/>
  <c r="Y471" i="2"/>
  <c r="Y381" i="2"/>
  <c r="AC300" i="2"/>
  <c r="AC806" i="2"/>
  <c r="AC210" i="2"/>
  <c r="AC104" i="2"/>
  <c r="Y82" i="2"/>
  <c r="Y650" i="2"/>
  <c r="Y636" i="2"/>
  <c r="Y598" i="2"/>
  <c r="Y588" i="2"/>
  <c r="Y236" i="2"/>
  <c r="Y804" i="2"/>
  <c r="Y782" i="2"/>
  <c r="AB296" i="2"/>
  <c r="AK296" i="2" s="1"/>
  <c r="Y557" i="2"/>
  <c r="Y545" i="2"/>
  <c r="Y523" i="2"/>
  <c r="Y443" i="2"/>
  <c r="Y429" i="2"/>
  <c r="Y347" i="2"/>
  <c r="Y320" i="2"/>
  <c r="Y183" i="2"/>
  <c r="Y1060" i="2"/>
  <c r="AC788" i="2"/>
  <c r="AC100" i="2"/>
  <c r="Y800" i="2"/>
  <c r="Y780" i="2"/>
  <c r="Y290" i="2"/>
  <c r="AB102" i="2"/>
  <c r="AK102" i="2" s="1"/>
  <c r="Y533" i="2"/>
  <c r="Y425" i="2"/>
  <c r="R27" i="3"/>
  <c r="T27" i="3" s="1"/>
  <c r="U27" i="3" s="1"/>
  <c r="V27" i="3" s="1"/>
  <c r="Y893" i="2"/>
  <c r="Y927" i="2"/>
  <c r="Y939" i="2"/>
  <c r="Y1010" i="2"/>
  <c r="Y1014" i="2"/>
  <c r="AF84" i="2"/>
  <c r="AF511" i="2"/>
  <c r="AC810" i="2"/>
  <c r="AC812" i="2"/>
  <c r="AC151" i="2"/>
  <c r="AC768" i="2"/>
  <c r="Y22" i="2"/>
  <c r="Y614" i="2"/>
  <c r="Y604" i="2"/>
  <c r="Y584" i="2"/>
  <c r="Y278" i="2"/>
  <c r="AB268" i="2"/>
  <c r="AK268" i="2" s="1"/>
  <c r="Y218" i="2"/>
  <c r="Y24" i="2"/>
  <c r="Y798" i="2"/>
  <c r="Y776" i="2"/>
  <c r="Y288" i="2"/>
  <c r="Y177" i="2"/>
  <c r="AB48" i="2"/>
  <c r="AK48" i="2" s="1"/>
  <c r="Y48" i="2"/>
  <c r="AB1002" i="2"/>
  <c r="AK1002" i="2" s="1"/>
  <c r="Y1002" i="2"/>
  <c r="Y1069" i="2"/>
  <c r="AB1069" i="2"/>
  <c r="AK1069" i="2" s="1"/>
  <c r="Y1085" i="2"/>
  <c r="AB1085" i="2"/>
  <c r="AK1085" i="2" s="1"/>
  <c r="AB1101" i="2"/>
  <c r="AK1101" i="2" s="1"/>
  <c r="Y1101" i="2"/>
  <c r="Y1123" i="2"/>
  <c r="AB1123" i="2"/>
  <c r="AK1123" i="2" s="1"/>
  <c r="AB1151" i="2"/>
  <c r="AK1151" i="2" s="1"/>
  <c r="Y1151" i="2"/>
  <c r="Y1165" i="2"/>
  <c r="AB1165" i="2"/>
  <c r="AK1165" i="2" s="1"/>
  <c r="AB1175" i="2"/>
  <c r="AK1175" i="2" s="1"/>
  <c r="Y1175" i="2"/>
  <c r="AF26" i="2"/>
  <c r="AC112" i="2"/>
  <c r="AC282" i="2"/>
  <c r="AC298" i="2"/>
  <c r="AC165" i="2"/>
  <c r="AC802" i="2"/>
  <c r="AC800" i="2"/>
  <c r="AC766" i="2"/>
  <c r="R29" i="3"/>
  <c r="T29" i="3" s="1"/>
  <c r="U29" i="3" s="1"/>
  <c r="V29" i="3" s="1"/>
  <c r="Y754" i="2"/>
  <c r="Y694" i="2"/>
  <c r="Y644" i="2"/>
  <c r="Y622" i="2"/>
  <c r="Y46" i="2"/>
  <c r="Y1021" i="2"/>
  <c r="Y894" i="2"/>
  <c r="Y884" i="2"/>
  <c r="Y858" i="2"/>
  <c r="Y816" i="2"/>
  <c r="Y794" i="2"/>
  <c r="AB774" i="2"/>
  <c r="AK774" i="2" s="1"/>
  <c r="AB284" i="2"/>
  <c r="AK284" i="2" s="1"/>
  <c r="Y541" i="2"/>
  <c r="Y519" i="2"/>
  <c r="Y491" i="2"/>
  <c r="Y437" i="2"/>
  <c r="Y415" i="2"/>
  <c r="Y357" i="2"/>
  <c r="Y332" i="2"/>
  <c r="Y89" i="2"/>
  <c r="Y195" i="2"/>
  <c r="Y2770" i="2"/>
  <c r="AC2770" i="2"/>
  <c r="AB2786" i="2"/>
  <c r="AK2786" i="2" s="1"/>
  <c r="R95" i="3"/>
  <c r="T95" i="3" s="1"/>
  <c r="U95" i="3" s="1"/>
  <c r="V95" i="3" s="1"/>
  <c r="AC2786" i="2"/>
  <c r="AB2792" i="2"/>
  <c r="AK2792" i="2" s="1"/>
  <c r="AC2792" i="2"/>
  <c r="AB2800" i="2"/>
  <c r="AK2800" i="2" s="1"/>
  <c r="AC2800" i="2"/>
  <c r="AB2808" i="2"/>
  <c r="AK2808" i="2" s="1"/>
  <c r="AC2808" i="2"/>
  <c r="AK2824" i="2"/>
  <c r="AC2824" i="2"/>
  <c r="AB2840" i="2"/>
  <c r="AK2840" i="2" s="1"/>
  <c r="AC2840" i="2"/>
  <c r="AB2848" i="2"/>
  <c r="AK2848" i="2" s="1"/>
  <c r="AC2848" i="2"/>
  <c r="AB2866" i="2"/>
  <c r="AK2866" i="2" s="1"/>
  <c r="AC2866" i="2"/>
  <c r="AB2874" i="2"/>
  <c r="AK2874" i="2" s="1"/>
  <c r="AC2874" i="2"/>
  <c r="AB2062" i="2"/>
  <c r="AK2062" i="2" s="1"/>
  <c r="Y2062" i="2"/>
  <c r="Y2162" i="2"/>
  <c r="AB2162" i="2"/>
  <c r="AK2162" i="2" s="1"/>
  <c r="AF2441" i="2"/>
  <c r="Y2441" i="2"/>
  <c r="Y2507" i="2"/>
  <c r="AB2507" i="2"/>
  <c r="AK2507" i="2" s="1"/>
  <c r="AB1207" i="2"/>
  <c r="AK1207" i="2" s="1"/>
  <c r="Y1207" i="2"/>
  <c r="AB1335" i="2"/>
  <c r="AK1335" i="2" s="1"/>
  <c r="Y1335" i="2"/>
  <c r="AB1588" i="2"/>
  <c r="AK1588" i="2" s="1"/>
  <c r="Y1588" i="2"/>
  <c r="Y2353" i="2"/>
  <c r="Y1227" i="2"/>
  <c r="Y1273" i="2"/>
  <c r="Y1257" i="2"/>
  <c r="Y1596" i="2"/>
  <c r="Y1361" i="2"/>
  <c r="Y1337" i="2"/>
  <c r="Y1317" i="2"/>
  <c r="AB2604" i="2"/>
  <c r="AK2604" i="2" s="1"/>
  <c r="Y2604" i="2"/>
  <c r="Y2705" i="2"/>
  <c r="AB2705" i="2"/>
  <c r="AK2705" i="2" s="1"/>
  <c r="AB2922" i="2"/>
  <c r="AK2922" i="2" s="1"/>
  <c r="AC2922" i="2"/>
  <c r="AB3010" i="2"/>
  <c r="AK3010" i="2" s="1"/>
  <c r="AC3010" i="2"/>
  <c r="Y3055" i="2"/>
  <c r="AC3055" i="2"/>
  <c r="Y3057" i="2"/>
  <c r="AC3057" i="2"/>
  <c r="AB3059" i="2"/>
  <c r="AK3059" i="2" s="1"/>
  <c r="AC3059" i="2"/>
  <c r="AB3067" i="2"/>
  <c r="AK3067" i="2" s="1"/>
  <c r="AC3067" i="2"/>
  <c r="Y3083" i="2"/>
  <c r="AB3083" i="2"/>
  <c r="AK3083" i="2" s="1"/>
  <c r="AB3087" i="2"/>
  <c r="AK3087" i="2" s="1"/>
  <c r="Y3087" i="2"/>
  <c r="AB3131" i="2"/>
  <c r="AK3131" i="2" s="1"/>
  <c r="AC3131" i="2"/>
  <c r="AH3355" i="2"/>
  <c r="Y3355" i="2"/>
  <c r="AH3359" i="2"/>
  <c r="Y3359" i="2"/>
  <c r="AH3369" i="2"/>
  <c r="Y3369" i="2"/>
  <c r="AH3371" i="2"/>
  <c r="Y3371" i="2"/>
  <c r="AH3375" i="2"/>
  <c r="Y3375" i="2"/>
  <c r="AH3381" i="2"/>
  <c r="Y3381" i="2"/>
  <c r="AH3389" i="2"/>
  <c r="Y3389" i="2"/>
  <c r="AB3422" i="2"/>
  <c r="AK3422" i="2" s="1"/>
  <c r="AC3422" i="2"/>
  <c r="R97" i="3"/>
  <c r="T97" i="3" s="1"/>
  <c r="U97" i="3" s="1"/>
  <c r="V97" i="3" s="1"/>
  <c r="AB3426" i="2"/>
  <c r="AK3426" i="2" s="1"/>
  <c r="Y3426" i="2"/>
  <c r="AB3439" i="2"/>
  <c r="AK3439" i="2" s="1"/>
  <c r="AB3455" i="2"/>
  <c r="AK3455" i="2" s="1"/>
  <c r="Y3455" i="2"/>
  <c r="Y3471" i="2"/>
  <c r="AB3471" i="2"/>
  <c r="AK3471" i="2" s="1"/>
  <c r="AC3471" i="2"/>
  <c r="AK3487" i="2"/>
  <c r="Y3487" i="2"/>
  <c r="Y3495" i="2"/>
  <c r="AB3495" i="2"/>
  <c r="AK3495" i="2" s="1"/>
  <c r="AB3503" i="2"/>
  <c r="AK3503" i="2" s="1"/>
  <c r="Y3503" i="2"/>
  <c r="Y3511" i="2"/>
  <c r="AC3511" i="2"/>
  <c r="AB3527" i="2"/>
  <c r="AK3527" i="2" s="1"/>
  <c r="Y3527" i="2"/>
  <c r="AB3535" i="2"/>
  <c r="AK3535" i="2" s="1"/>
  <c r="AC3535" i="2"/>
  <c r="Y3535" i="2"/>
  <c r="AB3543" i="2"/>
  <c r="AK3543" i="2" s="1"/>
  <c r="Y3543" i="2"/>
  <c r="AB3548" i="2"/>
  <c r="AK3548" i="2" s="1"/>
  <c r="AC3548" i="2"/>
  <c r="Y3548" i="2"/>
  <c r="AB3564" i="2"/>
  <c r="AK3564" i="2" s="1"/>
  <c r="Y3564" i="2"/>
  <c r="AC3564" i="2"/>
  <c r="Y3572" i="2"/>
  <c r="AC3572" i="2"/>
  <c r="AB3577" i="2"/>
  <c r="AK3577" i="2" s="1"/>
  <c r="AC3577" i="2"/>
  <c r="AB3585" i="2"/>
  <c r="AK3585" i="2" s="1"/>
  <c r="Y3585" i="2"/>
  <c r="AC3585" i="2"/>
  <c r="AB3593" i="2"/>
  <c r="AK3593" i="2" s="1"/>
  <c r="Y3593" i="2"/>
  <c r="AB3601" i="2"/>
  <c r="AK3601" i="2" s="1"/>
  <c r="Y3601" i="2"/>
  <c r="Y3609" i="2"/>
  <c r="AC3609" i="2"/>
  <c r="Y3625" i="2"/>
  <c r="AB3625" i="2"/>
  <c r="AK3625" i="2" s="1"/>
  <c r="AC3625" i="2"/>
  <c r="AK3633" i="2"/>
  <c r="Y3633" i="2"/>
  <c r="AC3633" i="2"/>
  <c r="AB3641" i="2"/>
  <c r="AK3641" i="2" s="1"/>
  <c r="AC3641" i="2"/>
  <c r="AB3649" i="2"/>
  <c r="AK3649" i="2" s="1"/>
  <c r="AC3649" i="2"/>
  <c r="AB3689" i="2"/>
  <c r="AK3689" i="2" s="1"/>
  <c r="AC3689" i="2"/>
  <c r="AK3697" i="2"/>
  <c r="AC3697" i="2"/>
  <c r="Y3705" i="2"/>
  <c r="AC3705" i="2"/>
  <c r="AB3713" i="2"/>
  <c r="AK3713" i="2" s="1"/>
  <c r="AC3713" i="2"/>
  <c r="AB3737" i="2"/>
  <c r="AK3737" i="2" s="1"/>
  <c r="AC3737" i="2"/>
  <c r="AB3745" i="2"/>
  <c r="AK3745" i="2" s="1"/>
  <c r="Y3745" i="2"/>
  <c r="Y2255" i="2"/>
  <c r="Y2259" i="2"/>
  <c r="Y2261" i="2"/>
  <c r="Y2263" i="2"/>
  <c r="Y2265" i="2"/>
  <c r="Y2267" i="2"/>
  <c r="Y2273" i="2"/>
  <c r="Y2279" i="2"/>
  <c r="Y2285" i="2"/>
  <c r="Y2289" i="2"/>
  <c r="Y2291" i="2"/>
  <c r="Y2293" i="2"/>
  <c r="Y2295" i="2"/>
  <c r="Y2303" i="2"/>
  <c r="Y2305" i="2"/>
  <c r="Y2307" i="2"/>
  <c r="Y2309" i="2"/>
  <c r="Y2311" i="2"/>
  <c r="Y2315" i="2"/>
  <c r="Y2317" i="2"/>
  <c r="AF3588" i="2"/>
  <c r="AF3490" i="2"/>
  <c r="AF3522" i="2"/>
  <c r="AF3716" i="2"/>
  <c r="AF3620" i="2"/>
  <c r="AF3636" i="2"/>
  <c r="AF3692" i="2"/>
  <c r="AF3684" i="2"/>
  <c r="AF3708" i="2"/>
  <c r="AF3724" i="2"/>
  <c r="AC2970" i="2"/>
  <c r="AC2890" i="2"/>
  <c r="AC3495" i="2"/>
  <c r="AC3424" i="2"/>
  <c r="AC3065" i="2"/>
  <c r="AC3665" i="2"/>
  <c r="AB3673" i="2"/>
  <c r="AK3673" i="2" s="1"/>
  <c r="Y3431" i="2"/>
  <c r="AC2962" i="2"/>
  <c r="AC3053" i="2"/>
  <c r="Y3617" i="2"/>
  <c r="Y1425" i="2"/>
  <c r="Y1441" i="2"/>
  <c r="Y1451" i="2"/>
  <c r="Y1481" i="2"/>
  <c r="Y1489" i="2"/>
  <c r="Y1531" i="2"/>
  <c r="Y1555" i="2"/>
  <c r="Y1565" i="2"/>
  <c r="Y1618" i="2"/>
  <c r="Y1626" i="2"/>
  <c r="Y1628" i="2"/>
  <c r="Y1634" i="2"/>
  <c r="R63" i="3"/>
  <c r="T63" i="3" s="1"/>
  <c r="U63" i="3" s="1"/>
  <c r="V63" i="3" s="1"/>
  <c r="AC3022" i="2"/>
  <c r="AC2954" i="2"/>
  <c r="AC3479" i="2"/>
  <c r="AC3617" i="2"/>
  <c r="AB3609" i="2"/>
  <c r="AK3609" i="2" s="1"/>
  <c r="AC3089" i="2"/>
  <c r="AB3572" i="2"/>
  <c r="AK3572" i="2" s="1"/>
  <c r="AC2930" i="2"/>
  <c r="AC3061" i="2"/>
  <c r="Y3556" i="2"/>
  <c r="Y3397" i="2"/>
  <c r="AC3002" i="2"/>
  <c r="AC2914" i="2"/>
  <c r="AC3527" i="2"/>
  <c r="AC3439" i="2"/>
  <c r="AC3729" i="2"/>
  <c r="AC3556" i="2"/>
  <c r="AC3133" i="2"/>
  <c r="AC3051" i="2"/>
  <c r="Y3519" i="2"/>
  <c r="Y822" i="2"/>
  <c r="Y830" i="2"/>
  <c r="Y836" i="2"/>
  <c r="Y838" i="2"/>
  <c r="Y844" i="2"/>
  <c r="Y846" i="2"/>
  <c r="Y854" i="2"/>
  <c r="Y862" i="2"/>
  <c r="Y866" i="2"/>
  <c r="Y872" i="2"/>
  <c r="Y874" i="2"/>
  <c r="Y880" i="2"/>
  <c r="Y888" i="2"/>
  <c r="Y896" i="2"/>
  <c r="Y904" i="2"/>
  <c r="Y912" i="2"/>
  <c r="Y920" i="2"/>
  <c r="Y1015" i="2"/>
  <c r="Y1023" i="2"/>
  <c r="Y1031" i="2"/>
  <c r="Y1039" i="2"/>
  <c r="Y1402" i="2"/>
  <c r="Y1412" i="2"/>
  <c r="Y1440" i="2"/>
  <c r="Y1450" i="2"/>
  <c r="Y1458" i="2"/>
  <c r="Y1464" i="2"/>
  <c r="Y1466" i="2"/>
  <c r="Y1484" i="2"/>
  <c r="Y1492" i="2"/>
  <c r="Y1494" i="2"/>
  <c r="Y1500" i="2"/>
  <c r="Y1522" i="2"/>
  <c r="Y1542" i="2"/>
  <c r="Y1570" i="2"/>
  <c r="Y1605" i="2"/>
  <c r="Y1663" i="2"/>
  <c r="AF3329" i="2"/>
  <c r="AF3391" i="2"/>
  <c r="AF3373" i="2"/>
  <c r="AF3377" i="2"/>
  <c r="AF3321" i="2"/>
  <c r="AF3612" i="2"/>
  <c r="AC3030" i="2"/>
  <c r="AC2994" i="2"/>
  <c r="AC3519" i="2"/>
  <c r="AC3431" i="2"/>
  <c r="AC3721" i="2"/>
  <c r="AB3511" i="2"/>
  <c r="AK3511" i="2" s="1"/>
  <c r="AK4494" i="2"/>
  <c r="Y4494" i="2"/>
  <c r="AH4672" i="2"/>
  <c r="Y4672" i="2"/>
  <c r="AH4680" i="2"/>
  <c r="Y4680" i="2"/>
  <c r="AB4698" i="2"/>
  <c r="AK4698" i="2" s="1"/>
  <c r="Y4698" i="2"/>
  <c r="AB4716" i="2"/>
  <c r="AK4716" i="2" s="1"/>
  <c r="Y4716" i="2"/>
  <c r="AB4726" i="2"/>
  <c r="AK4726" i="2" s="1"/>
  <c r="Y4726" i="2"/>
  <c r="AB4734" i="2"/>
  <c r="AK4734" i="2" s="1"/>
  <c r="Y4734" i="2"/>
  <c r="AB4744" i="2"/>
  <c r="AK4744" i="2" s="1"/>
  <c r="Y4744" i="2"/>
  <c r="AK4772" i="2"/>
  <c r="Y4772" i="2"/>
  <c r="AH4782" i="2"/>
  <c r="Y4782" i="2"/>
  <c r="Y4335" i="2"/>
  <c r="Y4306" i="2"/>
  <c r="Y4197" i="2"/>
  <c r="Y4157" i="2"/>
  <c r="Y4078" i="2"/>
  <c r="AB4046" i="2"/>
  <c r="AK4046" i="2" s="1"/>
  <c r="Y3950" i="2"/>
  <c r="AB3854" i="2"/>
  <c r="AK3854" i="2" s="1"/>
  <c r="AB3801" i="2"/>
  <c r="AK3801" i="2" s="1"/>
  <c r="Y4656" i="2"/>
  <c r="Y4593" i="2"/>
  <c r="Y4533" i="2"/>
  <c r="Y4454" i="2"/>
  <c r="Y3044" i="2"/>
  <c r="AB2896" i="2"/>
  <c r="AK2896" i="2" s="1"/>
  <c r="AB4780" i="2"/>
  <c r="AK4780" i="2" s="1"/>
  <c r="Y4762" i="2"/>
  <c r="Y4746" i="2"/>
  <c r="Y4732" i="2"/>
  <c r="Y4710" i="2"/>
  <c r="Y4696" i="2"/>
  <c r="Y4678" i="2"/>
  <c r="Y4155" i="2"/>
  <c r="Y4068" i="2"/>
  <c r="AB3860" i="2"/>
  <c r="AK3860" i="2" s="1"/>
  <c r="AB3575" i="2"/>
  <c r="AK3575" i="2" s="1"/>
  <c r="Y4794" i="2"/>
  <c r="AC3777" i="2"/>
  <c r="Y4372" i="2"/>
  <c r="Y4229" i="2"/>
  <c r="Y4189" i="2"/>
  <c r="Y4117" i="2"/>
  <c r="Y4038" i="2"/>
  <c r="Y3990" i="2"/>
  <c r="AB3950" i="2"/>
  <c r="AK3950" i="2" s="1"/>
  <c r="AB3894" i="2"/>
  <c r="AK3894" i="2" s="1"/>
  <c r="Y3793" i="2"/>
  <c r="Y4664" i="2"/>
  <c r="Y4625" i="2"/>
  <c r="Y4559" i="2"/>
  <c r="Y4486" i="2"/>
  <c r="Y4414" i="2"/>
  <c r="Y3485" i="2"/>
  <c r="Y4720" i="2"/>
  <c r="Y4708" i="2"/>
  <c r="Y4362" i="2"/>
  <c r="AB4296" i="2"/>
  <c r="AK4296" i="2" s="1"/>
  <c r="AB4227" i="2"/>
  <c r="AK4227" i="2" s="1"/>
  <c r="Y4036" i="2"/>
  <c r="Y3836" i="2"/>
  <c r="Y4812" i="2"/>
  <c r="Y4652" i="2"/>
  <c r="Y4586" i="2"/>
  <c r="Y4515" i="2"/>
  <c r="AB4436" i="2"/>
  <c r="AK4436" i="2" s="1"/>
  <c r="AB3120" i="2"/>
  <c r="AK3120" i="2" s="1"/>
  <c r="AB3052" i="2"/>
  <c r="AK3052" i="2" s="1"/>
  <c r="AC3769" i="2"/>
  <c r="AC3469" i="2"/>
  <c r="AC3533" i="2"/>
  <c r="Y4330" i="2"/>
  <c r="Y4298" i="2"/>
  <c r="Y4261" i="2"/>
  <c r="Y4221" i="2"/>
  <c r="Y4149" i="2"/>
  <c r="Y4070" i="2"/>
  <c r="Y3886" i="2"/>
  <c r="Y3838" i="2"/>
  <c r="Y4654" i="2"/>
  <c r="Y4588" i="2"/>
  <c r="AB4525" i="2"/>
  <c r="AK4525" i="2" s="1"/>
  <c r="Y4446" i="2"/>
  <c r="Y3042" i="2"/>
  <c r="Y3461" i="2"/>
  <c r="Y4776" i="2"/>
  <c r="Y4758" i="2"/>
  <c r="Y4742" i="2"/>
  <c r="Y4730" i="2"/>
  <c r="AB4706" i="2"/>
  <c r="AK4706" i="2" s="1"/>
  <c r="Y4694" i="2"/>
  <c r="Y4676" i="2"/>
  <c r="Y4288" i="2"/>
  <c r="AB4219" i="2"/>
  <c r="AK4219" i="2" s="1"/>
  <c r="AB4139" i="2"/>
  <c r="AK4139" i="2" s="1"/>
  <c r="Y4012" i="2"/>
  <c r="AB3815" i="2"/>
  <c r="AK3815" i="2" s="1"/>
  <c r="Y4810" i="2"/>
  <c r="Y4790" i="2"/>
  <c r="Y4578" i="2"/>
  <c r="AB4420" i="2"/>
  <c r="AK4420" i="2" s="1"/>
  <c r="AB3114" i="2"/>
  <c r="AK3114" i="2" s="1"/>
  <c r="Y4896" i="2"/>
  <c r="AB4866" i="2"/>
  <c r="AK4866" i="2" s="1"/>
  <c r="AB4822" i="2"/>
  <c r="AK4822" i="2" s="1"/>
  <c r="AC3761" i="2"/>
  <c r="Y4393" i="2"/>
  <c r="Y4364" i="2"/>
  <c r="Y4253" i="2"/>
  <c r="Y4181" i="2"/>
  <c r="Y4104" i="2"/>
  <c r="Y3974" i="2"/>
  <c r="Y3926" i="2"/>
  <c r="AB3886" i="2"/>
  <c r="AK3886" i="2" s="1"/>
  <c r="Y4662" i="2"/>
  <c r="Y4617" i="2"/>
  <c r="AB4551" i="2"/>
  <c r="AK4551" i="2" s="1"/>
  <c r="Y4517" i="2"/>
  <c r="Y4478" i="2"/>
  <c r="Y4406" i="2"/>
  <c r="AB3429" i="2"/>
  <c r="AK3429" i="2" s="1"/>
  <c r="Y4740" i="2"/>
  <c r="Y4718" i="2"/>
  <c r="Y4704" i="2"/>
  <c r="Y4666" i="2"/>
  <c r="AB4341" i="2"/>
  <c r="AK4341" i="2" s="1"/>
  <c r="AB4211" i="2"/>
  <c r="AK4211" i="2" s="1"/>
  <c r="AB4115" i="2"/>
  <c r="AK4115" i="2" s="1"/>
  <c r="AB4004" i="2"/>
  <c r="AK4004" i="2" s="1"/>
  <c r="Y3791" i="2"/>
  <c r="AB4570" i="2"/>
  <c r="AK4570" i="2" s="1"/>
  <c r="AB4484" i="2"/>
  <c r="AK4484" i="2" s="1"/>
  <c r="AB4412" i="2"/>
  <c r="AK4412" i="2" s="1"/>
  <c r="AB3025" i="2"/>
  <c r="AK3025" i="2" s="1"/>
  <c r="Y3025" i="2"/>
  <c r="AB3076" i="2"/>
  <c r="AK3076" i="2" s="1"/>
  <c r="Y3076" i="2"/>
  <c r="AB3088" i="2"/>
  <c r="AK3088" i="2" s="1"/>
  <c r="Y3088" i="2"/>
  <c r="AC3817" i="2"/>
  <c r="AC3753" i="2"/>
  <c r="AC3000" i="2"/>
  <c r="AC3453" i="2"/>
  <c r="AB4290" i="2"/>
  <c r="AK4290" i="2" s="1"/>
  <c r="Y4062" i="2"/>
  <c r="AB4022" i="2"/>
  <c r="AK4022" i="2" s="1"/>
  <c r="AB4580" i="2"/>
  <c r="AK4580" i="2" s="1"/>
  <c r="AB4754" i="2"/>
  <c r="AK4754" i="2" s="1"/>
  <c r="Y4674" i="2"/>
  <c r="Y4203" i="2"/>
  <c r="Y4102" i="2"/>
  <c r="Y3996" i="2"/>
  <c r="Y3767" i="2"/>
  <c r="Y4798" i="2"/>
  <c r="Y4788" i="2"/>
  <c r="AB3122" i="2"/>
  <c r="AK3122" i="2" s="1"/>
  <c r="Y3122" i="2"/>
  <c r="AB3124" i="2"/>
  <c r="AK3124" i="2" s="1"/>
  <c r="Y3124" i="2"/>
  <c r="AB3038" i="2"/>
  <c r="AK3038" i="2" s="1"/>
  <c r="Y3038" i="2"/>
  <c r="Y3040" i="2"/>
  <c r="AB3040" i="2"/>
  <c r="AK3040" i="2" s="1"/>
  <c r="AB3570" i="2"/>
  <c r="AK3570" i="2" s="1"/>
  <c r="Y3570" i="2"/>
  <c r="AB3687" i="2"/>
  <c r="AK3687" i="2" s="1"/>
  <c r="Y3687" i="2"/>
  <c r="AB3711" i="2"/>
  <c r="AK3711" i="2" s="1"/>
  <c r="Y3711" i="2"/>
  <c r="AB3735" i="2"/>
  <c r="AK3735" i="2" s="1"/>
  <c r="Y3735" i="2"/>
  <c r="AB3900" i="2"/>
  <c r="AK3900" i="2" s="1"/>
  <c r="Y3900" i="2"/>
  <c r="Y3932" i="2"/>
  <c r="AB3932" i="2"/>
  <c r="AK3932" i="2" s="1"/>
  <c r="AB3956" i="2"/>
  <c r="AK3956" i="2" s="1"/>
  <c r="Y3956" i="2"/>
  <c r="AB4044" i="2"/>
  <c r="AK4044" i="2" s="1"/>
  <c r="Y4044" i="2"/>
  <c r="Y4052" i="2"/>
  <c r="AB4052" i="2"/>
  <c r="AK4052" i="2" s="1"/>
  <c r="AB4123" i="2"/>
  <c r="AK4123" i="2" s="1"/>
  <c r="Y4123" i="2"/>
  <c r="AK4131" i="2"/>
  <c r="Y4131" i="2"/>
  <c r="AK4171" i="2"/>
  <c r="Y4171" i="2"/>
  <c r="Y4195" i="2"/>
  <c r="AB4195" i="2"/>
  <c r="AK4195" i="2" s="1"/>
  <c r="AB4243" i="2"/>
  <c r="AK4243" i="2" s="1"/>
  <c r="Y4243" i="2"/>
  <c r="Y4304" i="2"/>
  <c r="AB4304" i="2"/>
  <c r="AK4304" i="2" s="1"/>
  <c r="AB4312" i="2"/>
  <c r="AK4312" i="2" s="1"/>
  <c r="Y4312" i="2"/>
  <c r="Y4346" i="2"/>
  <c r="AB4346" i="2"/>
  <c r="AK4346" i="2" s="1"/>
  <c r="AK4354" i="2"/>
  <c r="Y4354" i="2"/>
  <c r="AB4391" i="2"/>
  <c r="AK4391" i="2" s="1"/>
  <c r="Y4391" i="2"/>
  <c r="Y4492" i="2"/>
  <c r="AB4492" i="2"/>
  <c r="AK4492" i="2" s="1"/>
  <c r="AB4557" i="2"/>
  <c r="AK4557" i="2" s="1"/>
  <c r="Y4557" i="2"/>
  <c r="Y4607" i="2"/>
  <c r="AB4607" i="2"/>
  <c r="AK4607" i="2" s="1"/>
  <c r="AH4687" i="2"/>
  <c r="Y4687" i="2"/>
  <c r="Y4818" i="2"/>
  <c r="AB4818" i="2"/>
  <c r="AK4818" i="2" s="1"/>
  <c r="AB4838" i="2"/>
  <c r="AK4838" i="2" s="1"/>
  <c r="Y4838" i="2"/>
  <c r="AB4840" i="2"/>
  <c r="AK4840" i="2" s="1"/>
  <c r="Y4840" i="2"/>
  <c r="AB4850" i="2"/>
  <c r="AK4850" i="2" s="1"/>
  <c r="Y4850" i="2"/>
  <c r="AK4856" i="2"/>
  <c r="Y4856" i="2"/>
  <c r="Y4872" i="2"/>
  <c r="AB4872" i="2"/>
  <c r="AK4872" i="2" s="1"/>
  <c r="AB4884" i="2"/>
  <c r="AK4884" i="2" s="1"/>
  <c r="Y4884" i="2"/>
  <c r="AB4894" i="2"/>
  <c r="AK4894" i="2" s="1"/>
  <c r="Y4894" i="2"/>
  <c r="Y4904" i="2"/>
  <c r="AB4904" i="2"/>
  <c r="AK4904" i="2" s="1"/>
  <c r="Y4906" i="2"/>
  <c r="AB4906" i="2"/>
  <c r="AK4906" i="2" s="1"/>
  <c r="Y4959" i="2"/>
  <c r="AB4959" i="2"/>
  <c r="AK4959" i="2" s="1"/>
  <c r="AB4961" i="2"/>
  <c r="AK4961" i="2" s="1"/>
  <c r="Y4961" i="2"/>
  <c r="AB4971" i="2"/>
  <c r="AK4971" i="2" s="1"/>
  <c r="Y4971" i="2"/>
  <c r="AB4981" i="2"/>
  <c r="AK4981" i="2" s="1"/>
  <c r="Y4981" i="2"/>
  <c r="AF4985" i="2"/>
  <c r="Y4985" i="2"/>
  <c r="AF4989" i="2"/>
  <c r="Y4989" i="2"/>
  <c r="AF4993" i="2"/>
  <c r="Y4993" i="2"/>
  <c r="AF4997" i="2"/>
  <c r="Y4997" i="2"/>
  <c r="AB5040" i="2"/>
  <c r="AK5040" i="2" s="1"/>
  <c r="Y5040" i="2"/>
  <c r="Y5063" i="2"/>
  <c r="AB5063" i="2"/>
  <c r="AK5063" i="2" s="1"/>
  <c r="Y5073" i="2"/>
  <c r="AB5073" i="2"/>
  <c r="AK5073" i="2" s="1"/>
  <c r="AB5083" i="2"/>
  <c r="AK5083" i="2" s="1"/>
  <c r="Y5083" i="2"/>
  <c r="AK5101" i="2"/>
  <c r="Y5101" i="2"/>
  <c r="AB5105" i="2"/>
  <c r="AK5105" i="2" s="1"/>
  <c r="Y5105" i="2"/>
  <c r="AB5115" i="2"/>
  <c r="AK5115" i="2" s="1"/>
  <c r="Y5115" i="2"/>
  <c r="AB5135" i="2"/>
  <c r="AK5135" i="2" s="1"/>
  <c r="Y5135" i="2"/>
  <c r="AB5145" i="2"/>
  <c r="AK5145" i="2" s="1"/>
  <c r="Y5145" i="2"/>
  <c r="AB5153" i="2"/>
  <c r="AK5153" i="2" s="1"/>
  <c r="Y5153" i="2"/>
  <c r="AB5163" i="2"/>
  <c r="AK5163" i="2" s="1"/>
  <c r="Y5163" i="2"/>
  <c r="AB5204" i="2"/>
  <c r="AK5204" i="2" s="1"/>
  <c r="Y5204" i="2"/>
  <c r="AB5222" i="2"/>
  <c r="AK5222" i="2" s="1"/>
  <c r="Y5222" i="2"/>
  <c r="AB5232" i="2"/>
  <c r="AK5232" i="2" s="1"/>
  <c r="Y5232" i="2"/>
  <c r="AB5240" i="2"/>
  <c r="AK5240" i="2" s="1"/>
  <c r="Y5240" i="2"/>
  <c r="AB5275" i="2"/>
  <c r="AK5275" i="2" s="1"/>
  <c r="Y5275" i="2"/>
  <c r="R72" i="3"/>
  <c r="T72" i="3" s="1"/>
  <c r="U72" i="3" s="1"/>
  <c r="V72" i="3" s="1"/>
  <c r="Y4133" i="2"/>
  <c r="Y3817" i="2"/>
  <c r="AB4641" i="2"/>
  <c r="AK4641" i="2" s="1"/>
  <c r="Y4430" i="2"/>
  <c r="AB2992" i="2"/>
  <c r="AK2992" i="2" s="1"/>
  <c r="AB4766" i="2"/>
  <c r="AK4766" i="2" s="1"/>
  <c r="AB4750" i="2"/>
  <c r="AK4750" i="2" s="1"/>
  <c r="AB4724" i="2"/>
  <c r="AK4724" i="2" s="1"/>
  <c r="AB4251" i="2"/>
  <c r="AK4251" i="2" s="1"/>
  <c r="AB4084" i="2"/>
  <c r="AK4084" i="2" s="1"/>
  <c r="AB3964" i="2"/>
  <c r="AK3964" i="2" s="1"/>
  <c r="AB3639" i="2"/>
  <c r="AK3639" i="2" s="1"/>
  <c r="Y4796" i="2"/>
  <c r="AB4615" i="2"/>
  <c r="AK4615" i="2" s="1"/>
  <c r="AB4539" i="2"/>
  <c r="AK4539" i="2" s="1"/>
  <c r="AB4460" i="2"/>
  <c r="AK4460" i="2" s="1"/>
  <c r="AB4396" i="2"/>
  <c r="AK4396" i="2" s="1"/>
  <c r="Y3078" i="2"/>
  <c r="Y4830" i="2"/>
  <c r="AH3324" i="2"/>
  <c r="Y3324" i="2"/>
  <c r="AB3459" i="2"/>
  <c r="AK3459" i="2" s="1"/>
  <c r="Y3459" i="2"/>
  <c r="Y5829" i="2"/>
  <c r="Y5610" i="2"/>
  <c r="AC5549" i="2"/>
  <c r="Y5909" i="2"/>
  <c r="Y5541" i="2"/>
  <c r="AF6055" i="2"/>
  <c r="AC5525" i="2"/>
  <c r="AF5403" i="2"/>
  <c r="AB5581" i="2"/>
  <c r="AK5581" i="2" s="1"/>
  <c r="Y5517" i="2"/>
  <c r="Y5981" i="2"/>
  <c r="AB5877" i="2"/>
  <c r="AK5877" i="2" s="1"/>
  <c r="AB5805" i="2"/>
  <c r="AK5805" i="2" s="1"/>
  <c r="Y5785" i="2"/>
  <c r="AC5424" i="2"/>
  <c r="Y6541" i="2"/>
  <c r="Y6426" i="2"/>
  <c r="Y5746" i="2"/>
  <c r="Y5706" i="2"/>
  <c r="Y5690" i="2"/>
  <c r="Y5650" i="2"/>
  <c r="AB5634" i="2"/>
  <c r="AK5634" i="2" s="1"/>
  <c r="AF5824" i="2"/>
  <c r="AF5848" i="2"/>
  <c r="AB5376" i="2"/>
  <c r="AK5376" i="2" s="1"/>
  <c r="AC5477" i="2"/>
  <c r="Y5461" i="2"/>
  <c r="Y5488" i="2"/>
  <c r="AB5437" i="2"/>
  <c r="AK5437" i="2" s="1"/>
  <c r="AB5493" i="2"/>
  <c r="AK5493" i="2" s="1"/>
  <c r="AB5461" i="2"/>
  <c r="AK5461" i="2" s="1"/>
  <c r="AB5445" i="2"/>
  <c r="AK5445" i="2" s="1"/>
  <c r="AC6705" i="2"/>
  <c r="Y3428" i="2"/>
  <c r="Y3476" i="2"/>
  <c r="Y3492" i="2"/>
  <c r="Y3508" i="2"/>
  <c r="Y3590" i="2"/>
  <c r="Y3606" i="2"/>
  <c r="Y3614" i="2"/>
  <c r="Y3630" i="2"/>
  <c r="Y3883" i="2"/>
  <c r="Y3963" i="2"/>
  <c r="Y4067" i="2"/>
  <c r="Y4075" i="2"/>
  <c r="Y4083" i="2"/>
  <c r="Y4093" i="2"/>
  <c r="Y4101" i="2"/>
  <c r="Y4130" i="2"/>
  <c r="Y4138" i="2"/>
  <c r="Y4170" i="2"/>
  <c r="Y4178" i="2"/>
  <c r="Y4186" i="2"/>
  <c r="Y4194" i="2"/>
  <c r="Y4210" i="2"/>
  <c r="Y4234" i="2"/>
  <c r="Y4258" i="2"/>
  <c r="Y4279" i="2"/>
  <c r="Y4303" i="2"/>
  <c r="Y4327" i="2"/>
  <c r="Y4340" i="2"/>
  <c r="Y4353" i="2"/>
  <c r="Y4385" i="2"/>
  <c r="Y5978" i="2"/>
  <c r="Y5557" i="2"/>
  <c r="Y5893" i="2"/>
  <c r="Y5408" i="2"/>
  <c r="Y5999" i="2"/>
  <c r="Y5914" i="2"/>
  <c r="Y5576" i="2"/>
  <c r="Y5772" i="2"/>
  <c r="AB5416" i="2"/>
  <c r="AK5416" i="2" s="1"/>
  <c r="Y6039" i="2"/>
  <c r="AB5869" i="2"/>
  <c r="AK5869" i="2" s="1"/>
  <c r="Y5549" i="2"/>
  <c r="Y6418" i="2"/>
  <c r="AB5770" i="2"/>
  <c r="AK5770" i="2" s="1"/>
  <c r="Y5754" i="2"/>
  <c r="Y5682" i="2"/>
  <c r="Y5666" i="2"/>
  <c r="Y5384" i="2"/>
  <c r="AF5733" i="2"/>
  <c r="R134" i="3"/>
  <c r="T134" i="3" s="1"/>
  <c r="U134" i="3" s="1"/>
  <c r="V134" i="3" s="1"/>
  <c r="AB5978" i="2"/>
  <c r="AK5978" i="2" s="1"/>
  <c r="Y5602" i="2"/>
  <c r="AB5557" i="2"/>
  <c r="AK5557" i="2" s="1"/>
  <c r="AC5930" i="2"/>
  <c r="AC5890" i="2"/>
  <c r="AB5408" i="2"/>
  <c r="AK5408" i="2" s="1"/>
  <c r="Y5930" i="2"/>
  <c r="Y5469" i="2"/>
  <c r="AB6039" i="2"/>
  <c r="AK6039" i="2" s="1"/>
  <c r="Y6557" i="2"/>
  <c r="Y6525" i="2"/>
  <c r="AB5754" i="2"/>
  <c r="AK5754" i="2" s="1"/>
  <c r="AB5682" i="2"/>
  <c r="AK5682" i="2" s="1"/>
  <c r="AC5384" i="2"/>
  <c r="Y5392" i="2"/>
  <c r="Y5400" i="2"/>
  <c r="AB5469" i="2"/>
  <c r="AK5469" i="2" s="1"/>
  <c r="Y5589" i="2"/>
  <c r="Y5698" i="2"/>
  <c r="R131" i="3"/>
  <c r="T131" i="3" s="1"/>
  <c r="U131" i="3" s="1"/>
  <c r="V131" i="3" s="1"/>
  <c r="R124" i="3"/>
  <c r="T124" i="3" s="1"/>
  <c r="U124" i="3" s="1"/>
  <c r="V124" i="3" s="1"/>
  <c r="Y5594" i="2"/>
  <c r="Y5432" i="2"/>
  <c r="Y5765" i="2"/>
  <c r="Y5501" i="2"/>
  <c r="Y5453" i="2"/>
  <c r="AB5777" i="2"/>
  <c r="AK5777" i="2" s="1"/>
  <c r="AF847" i="2"/>
  <c r="AC105" i="2"/>
  <c r="AC585" i="2"/>
  <c r="R31" i="3"/>
  <c r="T31" i="3" s="1"/>
  <c r="U31" i="3" s="1"/>
  <c r="V31" i="3" s="1"/>
  <c r="Y1604" i="2"/>
  <c r="Y1507" i="2"/>
  <c r="Y1471" i="2"/>
  <c r="Y67" i="2"/>
  <c r="Y18" i="2"/>
  <c r="Y1296" i="2"/>
  <c r="Y1278" i="2"/>
  <c r="Y806" i="2"/>
  <c r="Y796" i="2"/>
  <c r="AB778" i="2"/>
  <c r="AK778" i="2" s="1"/>
  <c r="Y555" i="2"/>
  <c r="Y547" i="2"/>
  <c r="Y539" i="2"/>
  <c r="Y531" i="2"/>
  <c r="Y479" i="2"/>
  <c r="Y383" i="2"/>
  <c r="Y355" i="2"/>
  <c r="Y181" i="2"/>
  <c r="Y126" i="2"/>
  <c r="Y87" i="2"/>
  <c r="Y2505" i="2"/>
  <c r="Y2397" i="2"/>
  <c r="Y2375" i="2"/>
  <c r="Y1283" i="2"/>
  <c r="Y2463" i="2"/>
  <c r="Y2439" i="2"/>
  <c r="AC2615" i="2"/>
  <c r="AB1135" i="2"/>
  <c r="AK1135" i="2" s="1"/>
  <c r="Y1135" i="2"/>
  <c r="AB1147" i="2"/>
  <c r="AK1147" i="2" s="1"/>
  <c r="Y1147" i="2"/>
  <c r="Y1343" i="2"/>
  <c r="AB1343" i="2"/>
  <c r="AK1343" i="2" s="1"/>
  <c r="AC246" i="2"/>
  <c r="AF162" i="2"/>
  <c r="AC338" i="2"/>
  <c r="AC205" i="2"/>
  <c r="AC959" i="2"/>
  <c r="AC749" i="2"/>
  <c r="AC723" i="2"/>
  <c r="AC909" i="2"/>
  <c r="AC763" i="2"/>
  <c r="AC1687" i="2"/>
  <c r="AC751" i="2"/>
  <c r="AC869" i="2"/>
  <c r="AC99" i="2"/>
  <c r="AC1016" i="2"/>
  <c r="Y2346" i="2"/>
  <c r="Y1577" i="2"/>
  <c r="Y137" i="2"/>
  <c r="Y32" i="2"/>
  <c r="Y2025" i="2"/>
  <c r="Y1991" i="2"/>
  <c r="Y1979" i="2"/>
  <c r="Y1969" i="2"/>
  <c r="Y1961" i="2"/>
  <c r="Y1656" i="2"/>
  <c r="Y1646" i="2"/>
  <c r="Y1304" i="2"/>
  <c r="Y1286" i="2"/>
  <c r="Y210" i="2"/>
  <c r="Y42" i="2"/>
  <c r="Y814" i="2"/>
  <c r="Y768" i="2"/>
  <c r="Y1063" i="2"/>
  <c r="Y1055" i="2"/>
  <c r="Y1047" i="2"/>
  <c r="Y499" i="2"/>
  <c r="Y455" i="2"/>
  <c r="Y435" i="2"/>
  <c r="Y419" i="2"/>
  <c r="Y343" i="2"/>
  <c r="Y324" i="2"/>
  <c r="Y308" i="2"/>
  <c r="Y1710" i="2"/>
  <c r="Y1552" i="2"/>
  <c r="Y1504" i="2"/>
  <c r="Y1474" i="2"/>
  <c r="Y1243" i="2"/>
  <c r="Y1089" i="2"/>
  <c r="AB1079" i="2"/>
  <c r="AK1079" i="2" s="1"/>
  <c r="Y992" i="2"/>
  <c r="AB2415" i="2"/>
  <c r="AK2415" i="2" s="1"/>
  <c r="Y1651" i="2"/>
  <c r="Y1293" i="2"/>
  <c r="AB745" i="2"/>
  <c r="AK745" i="2" s="1"/>
  <c r="Y2683" i="2"/>
  <c r="Y2461" i="2"/>
  <c r="AB2254" i="2"/>
  <c r="AK2254" i="2" s="1"/>
  <c r="AC1377" i="2"/>
  <c r="AC759" i="2"/>
  <c r="AC765" i="2"/>
  <c r="AC747" i="2"/>
  <c r="AC235" i="2"/>
  <c r="AC951" i="2"/>
  <c r="Y2252" i="2"/>
  <c r="Y1375" i="2"/>
  <c r="AF1245" i="2"/>
  <c r="Y1245" i="2"/>
  <c r="AF1275" i="2"/>
  <c r="Y1275" i="2"/>
  <c r="AF1297" i="2"/>
  <c r="Y1297" i="2"/>
  <c r="AF1299" i="2"/>
  <c r="Y1299" i="2"/>
  <c r="AF1309" i="2"/>
  <c r="Y1309" i="2"/>
  <c r="AK1432" i="2"/>
  <c r="Y1432" i="2"/>
  <c r="AF1627" i="2"/>
  <c r="Y1627" i="2"/>
  <c r="AF1637" i="2"/>
  <c r="Y1637" i="2"/>
  <c r="AF1639" i="2"/>
  <c r="Y1639" i="2"/>
  <c r="AF1659" i="2"/>
  <c r="Y1659" i="2"/>
  <c r="AF1661" i="2"/>
  <c r="Y1661" i="2"/>
  <c r="AF1960" i="2"/>
  <c r="Y1960" i="2"/>
  <c r="AF1966" i="2"/>
  <c r="Y1966" i="2"/>
  <c r="AF1976" i="2"/>
  <c r="Y1976" i="2"/>
  <c r="AF1986" i="2"/>
  <c r="Y1986" i="2"/>
  <c r="AF1998" i="2"/>
  <c r="Y1998" i="2"/>
  <c r="AF2004" i="2"/>
  <c r="Y2004" i="2"/>
  <c r="AF2008" i="2"/>
  <c r="Y2008" i="2"/>
  <c r="AF2014" i="2"/>
  <c r="Y2014" i="2"/>
  <c r="AF2022" i="2"/>
  <c r="Y2022" i="2"/>
  <c r="AF2028" i="2"/>
  <c r="Y2028" i="2"/>
  <c r="AF2030" i="2"/>
  <c r="Y2030" i="2"/>
  <c r="AF2042" i="2"/>
  <c r="Y2042" i="2"/>
  <c r="AF2052" i="2"/>
  <c r="Y2052" i="2"/>
  <c r="AC237" i="2"/>
  <c r="AC207" i="2"/>
  <c r="AC613" i="2"/>
  <c r="AC629" i="2"/>
  <c r="AC741" i="2"/>
  <c r="AC162" i="2"/>
  <c r="AC607" i="2"/>
  <c r="AC683" i="2"/>
  <c r="AC955" i="2"/>
  <c r="AC977" i="2"/>
  <c r="AC651" i="2"/>
  <c r="AC231" i="2"/>
  <c r="AC108" i="2"/>
  <c r="AC943" i="2"/>
  <c r="Y2344" i="2"/>
  <c r="Y2336" i="2"/>
  <c r="Y2328" i="2"/>
  <c r="Y1585" i="2"/>
  <c r="Y1573" i="2"/>
  <c r="Y1563" i="2"/>
  <c r="Y1541" i="2"/>
  <c r="Y1515" i="2"/>
  <c r="Y1479" i="2"/>
  <c r="Y1423" i="2"/>
  <c r="Y1407" i="2"/>
  <c r="Y1302" i="2"/>
  <c r="Y1284" i="2"/>
  <c r="Y820" i="2"/>
  <c r="Y802" i="2"/>
  <c r="Y784" i="2"/>
  <c r="Y341" i="2"/>
  <c r="Y475" i="2"/>
  <c r="Y463" i="2"/>
  <c r="Y441" i="2"/>
  <c r="Y433" i="2"/>
  <c r="Y391" i="2"/>
  <c r="Y351" i="2"/>
  <c r="Y173" i="2"/>
  <c r="AB2663" i="2"/>
  <c r="AK2663" i="2" s="1"/>
  <c r="Y2488" i="2"/>
  <c r="Y2389" i="2"/>
  <c r="AB605" i="2"/>
  <c r="AK605" i="2" s="1"/>
  <c r="Y2453" i="2"/>
  <c r="Y2431" i="2"/>
  <c r="Y2098" i="2"/>
  <c r="Y2310" i="2"/>
  <c r="Y2206" i="2"/>
  <c r="AC221" i="2"/>
  <c r="AC733" i="2"/>
  <c r="AC277" i="2"/>
  <c r="AC107" i="2"/>
  <c r="AC79" i="2"/>
  <c r="AC945" i="2"/>
  <c r="AC597" i="2"/>
  <c r="AC695" i="2"/>
  <c r="AC739" i="2"/>
  <c r="AC843" i="2"/>
  <c r="Y1246" i="2"/>
  <c r="Y1238" i="2"/>
  <c r="Y1230" i="2"/>
  <c r="Y44" i="2"/>
  <c r="Y1292" i="2"/>
  <c r="Y292" i="2"/>
  <c r="Y282" i="2"/>
  <c r="Y559" i="2"/>
  <c r="Y551" i="2"/>
  <c r="Y543" i="2"/>
  <c r="Y535" i="2"/>
  <c r="Y527" i="2"/>
  <c r="Y495" i="2"/>
  <c r="Y451" i="2"/>
  <c r="Y349" i="2"/>
  <c r="Y330" i="2"/>
  <c r="Y304" i="2"/>
  <c r="Y120" i="2"/>
  <c r="Y2655" i="2"/>
  <c r="AB2407" i="2"/>
  <c r="AK2407" i="2" s="1"/>
  <c r="Y2429" i="2"/>
  <c r="Y2090" i="2"/>
  <c r="AC601" i="2"/>
  <c r="AC753" i="2"/>
  <c r="AC745" i="2"/>
  <c r="AC835" i="2"/>
  <c r="Y2326" i="2"/>
  <c r="Y1608" i="2"/>
  <c r="Y1571" i="2"/>
  <c r="Y1549" i="2"/>
  <c r="Y1539" i="2"/>
  <c r="Y1499" i="2"/>
  <c r="Y1463" i="2"/>
  <c r="Y1433" i="2"/>
  <c r="Y1405" i="2"/>
  <c r="Y40" i="2"/>
  <c r="Y1310" i="2"/>
  <c r="Y1300" i="2"/>
  <c r="Y28" i="2"/>
  <c r="Y483" i="2"/>
  <c r="Y439" i="2"/>
  <c r="Y409" i="2"/>
  <c r="Y328" i="2"/>
  <c r="AB2615" i="2"/>
  <c r="AK2615" i="2" s="1"/>
  <c r="AB2425" i="2"/>
  <c r="AK2425" i="2" s="1"/>
  <c r="Y2405" i="2"/>
  <c r="AB2383" i="2"/>
  <c r="AK2383" i="2" s="1"/>
  <c r="Y2515" i="2"/>
  <c r="Y2449" i="2"/>
  <c r="Y2088" i="2"/>
  <c r="Y2202" i="2"/>
  <c r="Y90" i="2"/>
  <c r="Y83" i="2"/>
  <c r="Y769" i="2"/>
  <c r="AB2457" i="2"/>
  <c r="AK2457" i="2" s="1"/>
  <c r="AC2457" i="2"/>
  <c r="AF2527" i="2"/>
  <c r="Y2527" i="2"/>
  <c r="AF2555" i="2"/>
  <c r="Y2555" i="2"/>
  <c r="AC2586" i="2"/>
  <c r="Y2586" i="2"/>
  <c r="AC2612" i="2"/>
  <c r="AB2612" i="2"/>
  <c r="AK2612" i="2" s="1"/>
  <c r="AC2679" i="2"/>
  <c r="Y2679" i="2"/>
  <c r="R48" i="3"/>
  <c r="T48" i="3" s="1"/>
  <c r="U48" i="3" s="1"/>
  <c r="V48" i="3" s="1"/>
  <c r="AB2702" i="2"/>
  <c r="AK2702" i="2" s="1"/>
  <c r="AB2154" i="2"/>
  <c r="AK2154" i="2" s="1"/>
  <c r="Y2154" i="2"/>
  <c r="AB2158" i="2"/>
  <c r="AK2158" i="2" s="1"/>
  <c r="Y2158" i="2"/>
  <c r="Y2282" i="2"/>
  <c r="AB2282" i="2"/>
  <c r="AK2282" i="2" s="1"/>
  <c r="AC2373" i="2"/>
  <c r="Y2373" i="2"/>
  <c r="AB2486" i="2"/>
  <c r="AK2486" i="2" s="1"/>
  <c r="Y2486" i="2"/>
  <c r="Y2490" i="2"/>
  <c r="AB2490" i="2"/>
  <c r="AK2490" i="2" s="1"/>
  <c r="Y2607" i="2"/>
  <c r="AB2607" i="2"/>
  <c r="AK2607" i="2" s="1"/>
  <c r="Y2718" i="2"/>
  <c r="AB2718" i="2"/>
  <c r="AK2718" i="2" s="1"/>
  <c r="AB1359" i="2"/>
  <c r="AK1359" i="2" s="1"/>
  <c r="Y1359" i="2"/>
  <c r="AB2114" i="2"/>
  <c r="AK2114" i="2" s="1"/>
  <c r="Y2114" i="2"/>
  <c r="AH2607" i="2"/>
  <c r="AF2607" i="2"/>
  <c r="AB1590" i="2"/>
  <c r="AK1590" i="2" s="1"/>
  <c r="Y261" i="2"/>
  <c r="Y375" i="2"/>
  <c r="Y1586" i="2"/>
  <c r="Y1625" i="2"/>
  <c r="Y1629" i="2"/>
  <c r="Y1633" i="2"/>
  <c r="Y1641" i="2"/>
  <c r="Y1647" i="2"/>
  <c r="Y1649" i="2"/>
  <c r="Y2923" i="2"/>
  <c r="Y2971" i="2"/>
  <c r="Y3118" i="2"/>
  <c r="AB3107" i="2"/>
  <c r="AK3107" i="2" s="1"/>
  <c r="Y3111" i="2"/>
  <c r="Y2904" i="2"/>
  <c r="Y2920" i="2"/>
  <c r="Y2936" i="2"/>
  <c r="Y2944" i="2"/>
  <c r="Y2952" i="2"/>
  <c r="Y2960" i="2"/>
  <c r="Y3424" i="2"/>
  <c r="Y3365" i="2"/>
  <c r="Y3323" i="2"/>
  <c r="AB3509" i="2"/>
  <c r="AK3509" i="2" s="1"/>
  <c r="Y3090" i="2"/>
  <c r="Y3064" i="2"/>
  <c r="AB3043" i="2"/>
  <c r="AK3043" i="2" s="1"/>
  <c r="Y3061" i="2"/>
  <c r="AF2876" i="2"/>
  <c r="AF2884" i="2"/>
  <c r="AC721" i="2"/>
  <c r="AC223" i="2"/>
  <c r="AC645" i="2"/>
  <c r="R28" i="3"/>
  <c r="T28" i="3" s="1"/>
  <c r="U28" i="3" s="1"/>
  <c r="V28" i="3" s="1"/>
  <c r="Y1569" i="2"/>
  <c r="Y1561" i="2"/>
  <c r="Y1495" i="2"/>
  <c r="Y1467" i="2"/>
  <c r="Y1449" i="2"/>
  <c r="Y1439" i="2"/>
  <c r="Y1421" i="2"/>
  <c r="Y1411" i="2"/>
  <c r="AB655" i="2"/>
  <c r="AK655" i="2" s="1"/>
  <c r="Y269" i="2"/>
  <c r="AB2112" i="2"/>
  <c r="AK2112" i="2" s="1"/>
  <c r="Y2084" i="2"/>
  <c r="Y1016" i="2"/>
  <c r="AB2298" i="2"/>
  <c r="AK2298" i="2" s="1"/>
  <c r="AB2270" i="2"/>
  <c r="AK2270" i="2" s="1"/>
  <c r="Y2234" i="2"/>
  <c r="Y2142" i="2"/>
  <c r="Y1391" i="2"/>
  <c r="Y556" i="2"/>
  <c r="AC711" i="2"/>
  <c r="AF66" i="2"/>
  <c r="AC643" i="2"/>
  <c r="R33" i="3"/>
  <c r="T33" i="3" s="1"/>
  <c r="U33" i="3" s="1"/>
  <c r="V33" i="3" s="1"/>
  <c r="Y1535" i="2"/>
  <c r="Y1527" i="2"/>
  <c r="Y1519" i="2"/>
  <c r="Y1511" i="2"/>
  <c r="Y1503" i="2"/>
  <c r="Y1475" i="2"/>
  <c r="Y1457" i="2"/>
  <c r="Y1447" i="2"/>
  <c r="Y1419" i="2"/>
  <c r="Y1401" i="2"/>
  <c r="AB641" i="2"/>
  <c r="AK641" i="2" s="1"/>
  <c r="AB2076" i="2"/>
  <c r="AK2076" i="2" s="1"/>
  <c r="Y2296" i="2"/>
  <c r="Y2226" i="2"/>
  <c r="Y2180" i="2"/>
  <c r="AC599" i="2"/>
  <c r="AC713" i="2"/>
  <c r="AC967" i="2"/>
  <c r="AC709" i="2"/>
  <c r="AC633" i="2"/>
  <c r="Y1575" i="2"/>
  <c r="Y1567" i="2"/>
  <c r="Y1559" i="2"/>
  <c r="Y1551" i="2"/>
  <c r="Y1543" i="2"/>
  <c r="Y1483" i="2"/>
  <c r="Y1465" i="2"/>
  <c r="Y1437" i="2"/>
  <c r="Y1427" i="2"/>
  <c r="Y1409" i="2"/>
  <c r="Y723" i="2"/>
  <c r="Y2074" i="2"/>
  <c r="Y989" i="2"/>
  <c r="Y885" i="2"/>
  <c r="Y2292" i="2"/>
  <c r="Y2266" i="2"/>
  <c r="Y2178" i="2"/>
  <c r="Y2134" i="2"/>
  <c r="Y1387" i="2"/>
  <c r="AC707" i="2"/>
  <c r="AC589" i="2"/>
  <c r="Y1614" i="2"/>
  <c r="Y1606" i="2"/>
  <c r="Y1583" i="2"/>
  <c r="Y1533" i="2"/>
  <c r="Y1525" i="2"/>
  <c r="Y1517" i="2"/>
  <c r="Y1509" i="2"/>
  <c r="Y1491" i="2"/>
  <c r="Y1473" i="2"/>
  <c r="Y1455" i="2"/>
  <c r="Y1445" i="2"/>
  <c r="Y1435" i="2"/>
  <c r="Y1417" i="2"/>
  <c r="Y2100" i="2"/>
  <c r="Y945" i="2"/>
  <c r="Y871" i="2"/>
  <c r="Y775" i="2"/>
  <c r="Y2224" i="2"/>
  <c r="Y2172" i="2"/>
  <c r="AB1387" i="2"/>
  <c r="AK1387" i="2" s="1"/>
  <c r="Y366" i="2"/>
  <c r="AC587" i="2"/>
  <c r="R18" i="3"/>
  <c r="T18" i="3" s="1"/>
  <c r="U18" i="3" s="1"/>
  <c r="V18" i="3" s="1"/>
  <c r="Y699" i="2"/>
  <c r="Y2072" i="2"/>
  <c r="Y1038" i="2"/>
  <c r="Y933" i="2"/>
  <c r="AB1687" i="2"/>
  <c r="AK1687" i="2" s="1"/>
  <c r="Y1377" i="2"/>
  <c r="Y3" i="2"/>
  <c r="AB3" i="2"/>
  <c r="AK3" i="2" s="1"/>
  <c r="Y127" i="2"/>
  <c r="Y180" i="2"/>
  <c r="AF194" i="2"/>
  <c r="Y194" i="2"/>
  <c r="Y1052" i="2"/>
  <c r="Y68" i="2"/>
  <c r="AF68" i="2"/>
  <c r="Y823" i="2"/>
  <c r="AB837" i="2"/>
  <c r="AK837" i="2" s="1"/>
  <c r="AB851" i="2"/>
  <c r="AK851" i="2" s="1"/>
  <c r="AB855" i="2"/>
  <c r="AK855" i="2" s="1"/>
  <c r="Y855" i="2"/>
  <c r="AB923" i="2"/>
  <c r="AK923" i="2" s="1"/>
  <c r="Y923" i="2"/>
  <c r="AF1062" i="2"/>
  <c r="Y1062" i="2"/>
  <c r="AF1274" i="2"/>
  <c r="Y1274" i="2"/>
  <c r="AF1282" i="2"/>
  <c r="Y1282" i="2"/>
  <c r="AF1290" i="2"/>
  <c r="Y1290" i="2"/>
  <c r="AF1298" i="2"/>
  <c r="Y1298" i="2"/>
  <c r="AF1306" i="2"/>
  <c r="Y1306" i="2"/>
  <c r="Y1453" i="2"/>
  <c r="Y1461" i="2"/>
  <c r="Y1469" i="2"/>
  <c r="Y1477" i="2"/>
  <c r="Y1485" i="2"/>
  <c r="Y1493" i="2"/>
  <c r="Y1501" i="2"/>
  <c r="AF1642" i="2"/>
  <c r="Y1642" i="2"/>
  <c r="AF1650" i="2"/>
  <c r="Y1650" i="2"/>
  <c r="AF1652" i="2"/>
  <c r="Y1652" i="2"/>
  <c r="AF1658" i="2"/>
  <c r="Y1658" i="2"/>
  <c r="Y2433" i="2"/>
  <c r="AB273" i="2"/>
  <c r="AK273" i="2" s="1"/>
  <c r="Y273" i="2"/>
  <c r="AB577" i="2"/>
  <c r="AK577" i="2" s="1"/>
  <c r="Y577" i="2"/>
  <c r="AB619" i="2"/>
  <c r="AK619" i="2" s="1"/>
  <c r="Y619" i="2"/>
  <c r="AB627" i="2"/>
  <c r="AK627" i="2" s="1"/>
  <c r="Y627" i="2"/>
  <c r="AB681" i="2"/>
  <c r="AK681" i="2" s="1"/>
  <c r="Y681" i="2"/>
  <c r="AB755" i="2"/>
  <c r="AK755" i="2" s="1"/>
  <c r="Y755" i="2"/>
  <c r="Y953" i="2"/>
  <c r="AB953" i="2"/>
  <c r="AK953" i="2" s="1"/>
  <c r="Y971" i="2"/>
  <c r="AB971" i="2"/>
  <c r="AK971" i="2" s="1"/>
  <c r="AB979" i="2"/>
  <c r="AK979" i="2" s="1"/>
  <c r="Y979" i="2"/>
  <c r="AC1381" i="2"/>
  <c r="AB1381" i="2"/>
  <c r="AK1381" i="2" s="1"/>
  <c r="AB1383" i="2"/>
  <c r="AK1383" i="2" s="1"/>
  <c r="Y1383" i="2"/>
  <c r="AC1385" i="2"/>
  <c r="AB1385" i="2"/>
  <c r="AK1385" i="2" s="1"/>
  <c r="AB1395" i="2"/>
  <c r="AK1395" i="2" s="1"/>
  <c r="Y1395" i="2"/>
  <c r="Y1397" i="2"/>
  <c r="AC1397" i="2"/>
  <c r="AB1397" i="2"/>
  <c r="AK1397" i="2" s="1"/>
  <c r="AB1689" i="2"/>
  <c r="AK1689" i="2" s="1"/>
  <c r="Y1689" i="2"/>
  <c r="AB2064" i="2"/>
  <c r="AK2064" i="2" s="1"/>
  <c r="Y2064" i="2"/>
  <c r="AB2066" i="2"/>
  <c r="AK2066" i="2" s="1"/>
  <c r="Y2066" i="2"/>
  <c r="Y2070" i="2"/>
  <c r="AB2070" i="2"/>
  <c r="AK2070" i="2" s="1"/>
  <c r="AB2080" i="2"/>
  <c r="AK2080" i="2" s="1"/>
  <c r="Y2080" i="2"/>
  <c r="Y2082" i="2"/>
  <c r="AB2082" i="2"/>
  <c r="AK2082" i="2" s="1"/>
  <c r="AB2092" i="2"/>
  <c r="AK2092" i="2" s="1"/>
  <c r="Y2092" i="2"/>
  <c r="AB2096" i="2"/>
  <c r="AK2096" i="2" s="1"/>
  <c r="Y2096" i="2"/>
  <c r="AB2106" i="2"/>
  <c r="AK2106" i="2" s="1"/>
  <c r="Y2106" i="2"/>
  <c r="AB2108" i="2"/>
  <c r="AK2108" i="2" s="1"/>
  <c r="Y2108" i="2"/>
  <c r="AB2144" i="2"/>
  <c r="AK2144" i="2" s="1"/>
  <c r="Y2144" i="2"/>
  <c r="AB2150" i="2"/>
  <c r="AK2150" i="2" s="1"/>
  <c r="Y2150" i="2"/>
  <c r="AK2164" i="2"/>
  <c r="Y2164" i="2"/>
  <c r="AB2170" i="2"/>
  <c r="AK2170" i="2" s="1"/>
  <c r="Y2170" i="2"/>
  <c r="AB2188" i="2"/>
  <c r="AK2188" i="2" s="1"/>
  <c r="Y2188" i="2"/>
  <c r="AB2192" i="2"/>
  <c r="AK2192" i="2" s="1"/>
  <c r="Y2192" i="2"/>
  <c r="AB2198" i="2"/>
  <c r="AK2198" i="2" s="1"/>
  <c r="Y2198" i="2"/>
  <c r="AB2216" i="2"/>
  <c r="AK2216" i="2" s="1"/>
  <c r="Y2216" i="2"/>
  <c r="AB2218" i="2"/>
  <c r="AK2218" i="2" s="1"/>
  <c r="Y2218" i="2"/>
  <c r="AB2220" i="2"/>
  <c r="AK2220" i="2" s="1"/>
  <c r="Y2220" i="2"/>
  <c r="AK2236" i="2"/>
  <c r="Y2236" i="2"/>
  <c r="Y2238" i="2"/>
  <c r="AB2238" i="2"/>
  <c r="AK2238" i="2" s="1"/>
  <c r="AB2244" i="2"/>
  <c r="AK2244" i="2" s="1"/>
  <c r="Y2244" i="2"/>
  <c r="AB2256" i="2"/>
  <c r="AK2256" i="2" s="1"/>
  <c r="Y2256" i="2"/>
  <c r="AK2258" i="2"/>
  <c r="Y2258" i="2"/>
  <c r="AB2260" i="2"/>
  <c r="AK2260" i="2" s="1"/>
  <c r="Y2260" i="2"/>
  <c r="AB2274" i="2"/>
  <c r="AK2274" i="2" s="1"/>
  <c r="Y2274" i="2"/>
  <c r="AB2276" i="2"/>
  <c r="AK2276" i="2" s="1"/>
  <c r="Y2276" i="2"/>
  <c r="AB2288" i="2"/>
  <c r="AK2288" i="2" s="1"/>
  <c r="Y2288" i="2"/>
  <c r="AB2290" i="2"/>
  <c r="AK2290" i="2" s="1"/>
  <c r="Y2290" i="2"/>
  <c r="AB2294" i="2"/>
  <c r="AK2294" i="2" s="1"/>
  <c r="Y2294" i="2"/>
  <c r="AB2302" i="2"/>
  <c r="AK2302" i="2" s="1"/>
  <c r="Y2302" i="2"/>
  <c r="AB2312" i="2"/>
  <c r="AK2312" i="2" s="1"/>
  <c r="Y2312" i="2"/>
  <c r="Y2318" i="2"/>
  <c r="AB2318" i="2"/>
  <c r="AK2318" i="2" s="1"/>
  <c r="AB2367" i="2"/>
  <c r="AK2367" i="2" s="1"/>
  <c r="Y2367" i="2"/>
  <c r="AB2369" i="2"/>
  <c r="AK2369" i="2" s="1"/>
  <c r="Y2369" i="2"/>
  <c r="AB2377" i="2"/>
  <c r="AK2377" i="2" s="1"/>
  <c r="Y2377" i="2"/>
  <c r="AC2379" i="2"/>
  <c r="AB2379" i="2"/>
  <c r="AK2379" i="2" s="1"/>
  <c r="Y2379" i="2"/>
  <c r="AB2385" i="2"/>
  <c r="AK2385" i="2" s="1"/>
  <c r="Y2385" i="2"/>
  <c r="AC2387" i="2"/>
  <c r="AB2387" i="2"/>
  <c r="AK2387" i="2" s="1"/>
  <c r="Y2387" i="2"/>
  <c r="AB2393" i="2"/>
  <c r="AK2393" i="2" s="1"/>
  <c r="Y2393" i="2"/>
  <c r="AB2395" i="2"/>
  <c r="AK2395" i="2" s="1"/>
  <c r="Y2395" i="2"/>
  <c r="AB2401" i="2"/>
  <c r="AK2401" i="2" s="1"/>
  <c r="Y2401" i="2"/>
  <c r="AB2403" i="2"/>
  <c r="AK2403" i="2" s="1"/>
  <c r="Y2403" i="2"/>
  <c r="AB2409" i="2"/>
  <c r="AK2409" i="2" s="1"/>
  <c r="Y2409" i="2"/>
  <c r="AC2411" i="2"/>
  <c r="AB2411" i="2"/>
  <c r="AK2411" i="2" s="1"/>
  <c r="Y2411" i="2"/>
  <c r="AB2417" i="2"/>
  <c r="AK2417" i="2" s="1"/>
  <c r="Y2417" i="2"/>
  <c r="AC2419" i="2"/>
  <c r="AB2419" i="2"/>
  <c r="AK2419" i="2" s="1"/>
  <c r="Y2419" i="2"/>
  <c r="AB2427" i="2"/>
  <c r="AK2427" i="2" s="1"/>
  <c r="Y2427" i="2"/>
  <c r="AF2437" i="2"/>
  <c r="Y2437" i="2"/>
  <c r="AF2447" i="2"/>
  <c r="Y2447" i="2"/>
  <c r="AF2455" i="2"/>
  <c r="Y2455" i="2"/>
  <c r="AF2467" i="2"/>
  <c r="Y2467" i="2"/>
  <c r="AF2471" i="2"/>
  <c r="Y2471" i="2"/>
  <c r="AB2492" i="2"/>
  <c r="AK2492" i="2" s="1"/>
  <c r="Y2492" i="2"/>
  <c r="AA2503" i="2"/>
  <c r="AC2503" i="2"/>
  <c r="AC2509" i="2"/>
  <c r="Y2509" i="2"/>
  <c r="AB2511" i="2"/>
  <c r="AK2511" i="2" s="1"/>
  <c r="Y2511" i="2"/>
  <c r="AF2517" i="2"/>
  <c r="Y2517" i="2"/>
  <c r="Y2623" i="2"/>
  <c r="AB2623" i="2"/>
  <c r="AK2623" i="2" s="1"/>
  <c r="Y2639" i="2"/>
  <c r="AB2639" i="2"/>
  <c r="AK2639" i="2" s="1"/>
  <c r="Y2644" i="2"/>
  <c r="AB2644" i="2"/>
  <c r="AK2644" i="2" s="1"/>
  <c r="Y2695" i="2"/>
  <c r="R47" i="3"/>
  <c r="T47" i="3" s="1"/>
  <c r="U47" i="3" s="1"/>
  <c r="V47" i="3" s="1"/>
  <c r="AB2699" i="2"/>
  <c r="AK2699" i="2" s="1"/>
  <c r="Y2699" i="2"/>
  <c r="AB2706" i="2"/>
  <c r="AK2706" i="2" s="1"/>
  <c r="Y2706" i="2"/>
  <c r="AB2725" i="2"/>
  <c r="AK2725" i="2" s="1"/>
  <c r="Y2725" i="2"/>
  <c r="AB2727" i="2"/>
  <c r="AK2727" i="2" s="1"/>
  <c r="Y2727" i="2"/>
  <c r="Y1610" i="2"/>
  <c r="Y1602" i="2"/>
  <c r="Y1579" i="2"/>
  <c r="Y1521" i="2"/>
  <c r="Y1513" i="2"/>
  <c r="Y1505" i="2"/>
  <c r="Y1487" i="2"/>
  <c r="Y1459" i="2"/>
  <c r="Y1431" i="2"/>
  <c r="Y1413" i="2"/>
  <c r="Y1403" i="2"/>
  <c r="AB685" i="2"/>
  <c r="AK685" i="2" s="1"/>
  <c r="AB601" i="2"/>
  <c r="AK601" i="2" s="1"/>
  <c r="Y1018" i="2"/>
  <c r="Y899" i="2"/>
  <c r="Y2278" i="2"/>
  <c r="Y2248" i="2"/>
  <c r="Y2152" i="2"/>
  <c r="Y494" i="2"/>
  <c r="Y335" i="2"/>
  <c r="Y64" i="2"/>
  <c r="Y573" i="2"/>
  <c r="AB2691" i="2"/>
  <c r="AK2691" i="2" s="1"/>
  <c r="AB2679" i="2"/>
  <c r="AK2679" i="2" s="1"/>
  <c r="Y2652" i="2"/>
  <c r="Y2519" i="2"/>
  <c r="Y2457" i="2"/>
  <c r="Y2549" i="2"/>
  <c r="Y2479" i="2"/>
  <c r="AB1052" i="2"/>
  <c r="AK1052" i="2" s="1"/>
  <c r="Y474" i="2"/>
  <c r="Y497" i="2"/>
  <c r="AB567" i="2"/>
  <c r="AK567" i="2" s="1"/>
  <c r="Y2469" i="2"/>
  <c r="Y2445" i="2"/>
  <c r="Y2617" i="2"/>
  <c r="Y382" i="2"/>
  <c r="Y997" i="2"/>
  <c r="Y400" i="2"/>
  <c r="Y456" i="2"/>
  <c r="Y470" i="2"/>
  <c r="Y524" i="2"/>
  <c r="AB530" i="2"/>
  <c r="AK530" i="2" s="1"/>
  <c r="Y530" i="2"/>
  <c r="Y2602" i="2"/>
  <c r="AC2673" i="2"/>
  <c r="Y2673" i="2"/>
  <c r="Y2473" i="2"/>
  <c r="Y2584" i="2"/>
  <c r="Y3191" i="2"/>
  <c r="Y3179" i="2"/>
  <c r="AB3143" i="2"/>
  <c r="AK3143" i="2" s="1"/>
  <c r="AB3121" i="2"/>
  <c r="AK3121" i="2" s="1"/>
  <c r="Y3439" i="2"/>
  <c r="AF2837" i="2"/>
  <c r="AF2967" i="2"/>
  <c r="AF2975" i="2"/>
  <c r="AF3007" i="2"/>
  <c r="Y3012" i="2"/>
  <c r="AF3015" i="2"/>
  <c r="AF5376" i="2"/>
  <c r="AF5384" i="2"/>
  <c r="AF5419" i="2"/>
  <c r="AF5437" i="2"/>
  <c r="Y5445" i="2"/>
  <c r="Y5466" i="2"/>
  <c r="AF5469" i="2"/>
  <c r="AF5493" i="2"/>
  <c r="Y5522" i="2"/>
  <c r="Y5525" i="2"/>
  <c r="Y5533" i="2"/>
  <c r="Y5554" i="2"/>
  <c r="AF5568" i="2"/>
  <c r="Y5570" i="2"/>
  <c r="AF5594" i="2"/>
  <c r="Y5626" i="2"/>
  <c r="AF5629" i="2"/>
  <c r="Y5671" i="2"/>
  <c r="AF5682" i="2"/>
  <c r="Y5714" i="2"/>
  <c r="AF5741" i="2"/>
  <c r="AF5749" i="2"/>
  <c r="Y5777" i="2"/>
  <c r="AF5795" i="2"/>
  <c r="AF5901" i="2"/>
  <c r="AF5991" i="2"/>
  <c r="AF6015" i="2"/>
  <c r="Y3422" i="2"/>
  <c r="Y3385" i="2"/>
  <c r="Y3373" i="2"/>
  <c r="Y3245" i="2"/>
  <c r="Y3213" i="2"/>
  <c r="Y3199" i="2"/>
  <c r="AB3165" i="2"/>
  <c r="AK3165" i="2" s="1"/>
  <c r="Y3153" i="2"/>
  <c r="AB3139" i="2"/>
  <c r="AK3139" i="2" s="1"/>
  <c r="Y3533" i="2"/>
  <c r="Y3041" i="2"/>
  <c r="Y2862" i="2"/>
  <c r="Y3320" i="2"/>
  <c r="Y3326" i="2"/>
  <c r="Y3336" i="2"/>
  <c r="Y3518" i="2"/>
  <c r="Y3534" i="2"/>
  <c r="Y3547" i="2"/>
  <c r="Y3576" i="2"/>
  <c r="Y3640" i="2"/>
  <c r="Y3648" i="2"/>
  <c r="Y3672" i="2"/>
  <c r="Y3728" i="2"/>
  <c r="Y3768" i="2"/>
  <c r="Y94" i="2"/>
  <c r="Y147" i="2"/>
  <c r="Y149" i="2"/>
  <c r="Y204" i="2"/>
  <c r="Y206" i="2"/>
  <c r="Y208" i="2"/>
  <c r="Y214" i="2"/>
  <c r="Y216" i="2"/>
  <c r="Y226" i="2"/>
  <c r="Y234" i="2"/>
  <c r="Y247" i="2"/>
  <c r="Y274" i="2"/>
  <c r="Y578" i="2"/>
  <c r="Y640" i="2"/>
  <c r="Y714" i="2"/>
  <c r="Y730" i="2"/>
  <c r="Y738" i="2"/>
  <c r="Y762" i="2"/>
  <c r="Y1422" i="2"/>
  <c r="Y3253" i="2"/>
  <c r="Y3243" i="2"/>
  <c r="Y3233" i="2"/>
  <c r="Y3223" i="2"/>
  <c r="AB3211" i="2"/>
  <c r="AK3211" i="2" s="1"/>
  <c r="Y3187" i="2"/>
  <c r="Y3175" i="2"/>
  <c r="Y3163" i="2"/>
  <c r="Y3137" i="2"/>
  <c r="Y3105" i="2"/>
  <c r="R132" i="3"/>
  <c r="T132" i="3" s="1"/>
  <c r="U132" i="3" s="1"/>
  <c r="V132" i="3" s="1"/>
  <c r="Y3221" i="2"/>
  <c r="AB3209" i="2"/>
  <c r="AK3209" i="2" s="1"/>
  <c r="Y3151" i="2"/>
  <c r="Y3101" i="2"/>
  <c r="Y2893" i="2"/>
  <c r="Y2901" i="2"/>
  <c r="Y2957" i="2"/>
  <c r="Y2965" i="2"/>
  <c r="Y3333" i="2"/>
  <c r="Y3377" i="2"/>
  <c r="Y3387" i="2"/>
  <c r="Y5427" i="2"/>
  <c r="AF5451" i="2"/>
  <c r="AF5491" i="2"/>
  <c r="AF5499" i="2"/>
  <c r="AF5523" i="2"/>
  <c r="Y143" i="2"/>
  <c r="AB226" i="2"/>
  <c r="AK226" i="2" s="1"/>
  <c r="Y319" i="2"/>
  <c r="AB180" i="2"/>
  <c r="AK180" i="2" s="1"/>
  <c r="AB69" i="2"/>
  <c r="AK69" i="2" s="1"/>
  <c r="Y69" i="2"/>
  <c r="AC37" i="2"/>
  <c r="R32" i="3"/>
  <c r="T32" i="3" s="1"/>
  <c r="U32" i="3" s="1"/>
  <c r="V32" i="3" s="1"/>
  <c r="Y200" i="2"/>
  <c r="AB234" i="2"/>
  <c r="AK234" i="2" s="1"/>
  <c r="Y43" i="2"/>
  <c r="Y480" i="2"/>
  <c r="AB400" i="2"/>
  <c r="AK400" i="2" s="1"/>
  <c r="Y100" i="2"/>
  <c r="Y280" i="2"/>
  <c r="Y15" i="2"/>
  <c r="Y159" i="2"/>
  <c r="Y110" i="2"/>
  <c r="AB9" i="2"/>
  <c r="AK9" i="2" s="1"/>
  <c r="AB470" i="2"/>
  <c r="AK470" i="2" s="1"/>
  <c r="Y378" i="2"/>
  <c r="AB41" i="2"/>
  <c r="AK41" i="2" s="1"/>
  <c r="Y41" i="2"/>
  <c r="AB243" i="2"/>
  <c r="AK243" i="2" s="1"/>
  <c r="AB321" i="2"/>
  <c r="AK321" i="2" s="1"/>
  <c r="Y321" i="2"/>
  <c r="AF337" i="2"/>
  <c r="Y337" i="2"/>
  <c r="Y360" i="2"/>
  <c r="AB360" i="2"/>
  <c r="Y396" i="2"/>
  <c r="AB396" i="2"/>
  <c r="AK396" i="2" s="1"/>
  <c r="AB414" i="2"/>
  <c r="AK414" i="2" s="1"/>
  <c r="Y414" i="2"/>
  <c r="AB426" i="2"/>
  <c r="AK426" i="2" s="1"/>
  <c r="Y426" i="2"/>
  <c r="AB452" i="2"/>
  <c r="AK452" i="2" s="1"/>
  <c r="Y452" i="2"/>
  <c r="Y462" i="2"/>
  <c r="AB462" i="2"/>
  <c r="AK462" i="2" s="1"/>
  <c r="AB482" i="2"/>
  <c r="AK482" i="2" s="1"/>
  <c r="Y482" i="2"/>
  <c r="AB520" i="2"/>
  <c r="AK520" i="2" s="1"/>
  <c r="Y520" i="2"/>
  <c r="AK536" i="2"/>
  <c r="Y536" i="2"/>
  <c r="AB558" i="2"/>
  <c r="AK558" i="2" s="1"/>
  <c r="Y558" i="2"/>
  <c r="Y562" i="2"/>
  <c r="AB562" i="2"/>
  <c r="AK562" i="2" s="1"/>
  <c r="Y61" i="2"/>
  <c r="AB524" i="2"/>
  <c r="AK524" i="2" s="1"/>
  <c r="Y440" i="2"/>
  <c r="Y358" i="2"/>
  <c r="AK344" i="2"/>
  <c r="AF101" i="2"/>
  <c r="Y101" i="2"/>
  <c r="AF164" i="2"/>
  <c r="Y164" i="2"/>
  <c r="Y60" i="2"/>
  <c r="Y62" i="2"/>
  <c r="Y75" i="2"/>
  <c r="Y144" i="2"/>
  <c r="Y191" i="2"/>
  <c r="Y201" i="2"/>
  <c r="Y336" i="2"/>
  <c r="AB571" i="2"/>
  <c r="AK571" i="2" s="1"/>
  <c r="Y571" i="2"/>
  <c r="Y695" i="2"/>
  <c r="Y697" i="2"/>
  <c r="Y703" i="2"/>
  <c r="Y705" i="2"/>
  <c r="Y709" i="2"/>
  <c r="Y711" i="2"/>
  <c r="Y715" i="2"/>
  <c r="Y719" i="2"/>
  <c r="Y721" i="2"/>
  <c r="Y759" i="2"/>
  <c r="Y931" i="2"/>
  <c r="AB931" i="2"/>
  <c r="AK931" i="2" s="1"/>
  <c r="Y965" i="2"/>
  <c r="AB965" i="2"/>
  <c r="AK965" i="2" s="1"/>
  <c r="Y34" i="2"/>
  <c r="Y96" i="2"/>
  <c r="Y102" i="2"/>
  <c r="Y104" i="2"/>
  <c r="Y106" i="2"/>
  <c r="Y108" i="2"/>
  <c r="Y112" i="2"/>
  <c r="Y114" i="2"/>
  <c r="Y151" i="2"/>
  <c r="Y153" i="2"/>
  <c r="Y157" i="2"/>
  <c r="Y161" i="2"/>
  <c r="Y167" i="2"/>
  <c r="Y169" i="2"/>
  <c r="Y286" i="2"/>
  <c r="Y294" i="2"/>
  <c r="Y298" i="2"/>
  <c r="Y339" i="2"/>
  <c r="AF1097" i="2"/>
  <c r="Y1097" i="2"/>
  <c r="AF1115" i="2"/>
  <c r="Y1115" i="2"/>
  <c r="AF1127" i="2"/>
  <c r="Y1127" i="2"/>
  <c r="AF1145" i="2"/>
  <c r="Y1145" i="2"/>
  <c r="AF1163" i="2"/>
  <c r="Y1163" i="2"/>
  <c r="AF1171" i="2"/>
  <c r="Y1171" i="2"/>
  <c r="AF1179" i="2"/>
  <c r="Y1179" i="2"/>
  <c r="AF1223" i="2"/>
  <c r="Y1223" i="2"/>
  <c r="AF1259" i="2"/>
  <c r="Y1259" i="2"/>
  <c r="Y1277" i="2"/>
  <c r="Y1279" i="2"/>
  <c r="Y1287" i="2"/>
  <c r="AB1287" i="2"/>
  <c r="AK1287" i="2" s="1"/>
  <c r="Y1295" i="2"/>
  <c r="Y1303" i="2"/>
  <c r="Y1305" i="2"/>
  <c r="AF1327" i="2"/>
  <c r="Y1327" i="2"/>
  <c r="AF1351" i="2"/>
  <c r="Y1351" i="2"/>
  <c r="AF1600" i="2"/>
  <c r="Y1600" i="2"/>
  <c r="Y1657" i="2"/>
  <c r="AB1657" i="2"/>
  <c r="AK1657" i="2" s="1"/>
  <c r="AB1667" i="2"/>
  <c r="AK1667" i="2" s="1"/>
  <c r="Y1667" i="2"/>
  <c r="AB1834" i="2"/>
  <c r="AK1834" i="2" s="1"/>
  <c r="Y1834" i="2"/>
  <c r="Y1888" i="2"/>
  <c r="AB1888" i="2"/>
  <c r="AK1888" i="2" s="1"/>
  <c r="AK1414" i="2"/>
  <c r="Y1414" i="2"/>
  <c r="AF1962" i="2"/>
  <c r="Y1962" i="2"/>
  <c r="AF1994" i="2"/>
  <c r="Y1994" i="2"/>
  <c r="AF2002" i="2"/>
  <c r="Y2002" i="2"/>
  <c r="AF2010" i="2"/>
  <c r="Y2010" i="2"/>
  <c r="AF2038" i="2"/>
  <c r="Y2038" i="2"/>
  <c r="AF2046" i="2"/>
  <c r="Y2046" i="2"/>
  <c r="Y49" i="2"/>
  <c r="Y702" i="2"/>
  <c r="Y990" i="2"/>
  <c r="AB161" i="2"/>
  <c r="AK161" i="2" s="1"/>
  <c r="Y467" i="2"/>
  <c r="Y399" i="2"/>
  <c r="Y385" i="2"/>
  <c r="Y185" i="2"/>
  <c r="Y1301" i="2"/>
  <c r="Y1291" i="2"/>
  <c r="Y1281" i="2"/>
  <c r="Y1261" i="2"/>
  <c r="Y593" i="2"/>
  <c r="Y609" i="2"/>
  <c r="AB609" i="2"/>
  <c r="AK609" i="2" s="1"/>
  <c r="Y661" i="2"/>
  <c r="AB661" i="2"/>
  <c r="AK661" i="2" s="1"/>
  <c r="Y735" i="2"/>
  <c r="AB735" i="2"/>
  <c r="AK735" i="2" s="1"/>
  <c r="AF773" i="2"/>
  <c r="Y773" i="2"/>
  <c r="AH2620" i="2"/>
  <c r="AF2620" i="2"/>
  <c r="AB1952" i="2"/>
  <c r="AK1952" i="2" s="1"/>
  <c r="Y994" i="2"/>
  <c r="Y2465" i="2"/>
  <c r="Y911" i="2"/>
  <c r="Y2590" i="2"/>
  <c r="Y2531" i="2"/>
  <c r="AB1020" i="2"/>
  <c r="AK1020" i="2" s="1"/>
  <c r="Y1020" i="2"/>
  <c r="AF1054" i="2"/>
  <c r="Y1054" i="2"/>
  <c r="AF1064" i="2"/>
  <c r="Y1064" i="2"/>
  <c r="Y2362" i="2"/>
  <c r="Y2408" i="2"/>
  <c r="Y2414" i="2"/>
  <c r="Y2422" i="2"/>
  <c r="Y2426" i="2"/>
  <c r="Y2476" i="2"/>
  <c r="Y2499" i="2"/>
  <c r="Y2597" i="2"/>
  <c r="Y2605" i="2"/>
  <c r="AK1379" i="2"/>
  <c r="Y1379" i="2"/>
  <c r="AC1389" i="2"/>
  <c r="AB1389" i="2"/>
  <c r="AK1389" i="2" s="1"/>
  <c r="AB1393" i="2"/>
  <c r="AK1393" i="2" s="1"/>
  <c r="AC1393" i="2"/>
  <c r="AB2068" i="2"/>
  <c r="AK2068" i="2" s="1"/>
  <c r="Y2068" i="2"/>
  <c r="Y2078" i="2"/>
  <c r="Y2094" i="2"/>
  <c r="Y2102" i="2"/>
  <c r="Y2104" i="2"/>
  <c r="Y2110" i="2"/>
  <c r="AB2110" i="2"/>
  <c r="AK2110" i="2" s="1"/>
  <c r="Y2130" i="2"/>
  <c r="Y2136" i="2"/>
  <c r="AK2352" i="2"/>
  <c r="AC2352" i="2"/>
  <c r="Y1093" i="2"/>
  <c r="Y1263" i="2"/>
  <c r="Y1271" i="2"/>
  <c r="Y1315" i="2"/>
  <c r="Y1325" i="2"/>
  <c r="Y1347" i="2"/>
  <c r="Y1353" i="2"/>
  <c r="Y1355" i="2"/>
  <c r="Y1592" i="2"/>
  <c r="Y1681" i="2"/>
  <c r="AB1681" i="2"/>
  <c r="AK1681" i="2" s="1"/>
  <c r="Y2184" i="2"/>
  <c r="Y2190" i="2"/>
  <c r="Y2210" i="2"/>
  <c r="Y2230" i="2"/>
  <c r="AB2230" i="2"/>
  <c r="AK2230" i="2" s="1"/>
  <c r="Y2240" i="2"/>
  <c r="AB2250" i="2"/>
  <c r="AK2250" i="2" s="1"/>
  <c r="Y2250" i="2"/>
  <c r="Y2262" i="2"/>
  <c r="Y2264" i="2"/>
  <c r="Y2268" i="2"/>
  <c r="Y2272" i="2"/>
  <c r="Y2280" i="2"/>
  <c r="AK2284" i="2"/>
  <c r="Y2284" i="2"/>
  <c r="Y2304" i="2"/>
  <c r="AB2304" i="2"/>
  <c r="AK2304" i="2" s="1"/>
  <c r="AB2314" i="2"/>
  <c r="AK2314" i="2" s="1"/>
  <c r="Y2314" i="2"/>
  <c r="Y2322" i="2"/>
  <c r="Y2435" i="2"/>
  <c r="AB2435" i="2"/>
  <c r="AK2435" i="2" s="1"/>
  <c r="Y2443" i="2"/>
  <c r="Y2451" i="2"/>
  <c r="AC2455" i="2"/>
  <c r="AB2455" i="2"/>
  <c r="AK2455" i="2" s="1"/>
  <c r="Y2498" i="2"/>
  <c r="Y2523" i="2"/>
  <c r="Y2529" i="2"/>
  <c r="Y2539" i="2"/>
  <c r="Y2547" i="2"/>
  <c r="Y2588" i="2"/>
  <c r="Y3212" i="2"/>
  <c r="Y3168" i="2"/>
  <c r="AB3410" i="2"/>
  <c r="AK3410" i="2" s="1"/>
  <c r="Y3410" i="2"/>
  <c r="AB3416" i="2"/>
  <c r="AK3416" i="2" s="1"/>
  <c r="Y3416" i="2"/>
  <c r="AB3009" i="2"/>
  <c r="AK3009" i="2" s="1"/>
  <c r="Y3009" i="2"/>
  <c r="AB3154" i="2"/>
  <c r="AK3154" i="2" s="1"/>
  <c r="Y3154" i="2"/>
  <c r="AB3156" i="2"/>
  <c r="AK3156" i="2" s="1"/>
  <c r="Y3156" i="2"/>
  <c r="Y3176" i="2"/>
  <c r="AB3176" i="2"/>
  <c r="AK3176" i="2" s="1"/>
  <c r="AB3178" i="2"/>
  <c r="AK3178" i="2" s="1"/>
  <c r="Y3178" i="2"/>
  <c r="AB3182" i="2"/>
  <c r="AK3182" i="2" s="1"/>
  <c r="Y3182" i="2"/>
  <c r="AB3184" i="2"/>
  <c r="AK3184" i="2" s="1"/>
  <c r="Y3184" i="2"/>
  <c r="Y3204" i="2"/>
  <c r="AB3204" i="2"/>
  <c r="AK3204" i="2" s="1"/>
  <c r="AB3206" i="2"/>
  <c r="AK3206" i="2" s="1"/>
  <c r="Y3206" i="2"/>
  <c r="AB3208" i="2"/>
  <c r="AK3208" i="2" s="1"/>
  <c r="Y3208" i="2"/>
  <c r="Y3244" i="2"/>
  <c r="AB3244" i="2"/>
  <c r="AK3244" i="2" s="1"/>
  <c r="AB3252" i="2"/>
  <c r="AK3252" i="2" s="1"/>
  <c r="Y3252" i="2"/>
  <c r="AB3408" i="2"/>
  <c r="AK3408" i="2" s="1"/>
  <c r="Y3408" i="2"/>
  <c r="Y3651" i="2"/>
  <c r="AB3651" i="2"/>
  <c r="AK3651" i="2" s="1"/>
  <c r="AK3755" i="2"/>
  <c r="Y3755" i="2"/>
  <c r="AB3771" i="2"/>
  <c r="AK3771" i="2" s="1"/>
  <c r="Y3771" i="2"/>
  <c r="Y3856" i="2"/>
  <c r="AB3856" i="2"/>
  <c r="AK3856" i="2" s="1"/>
  <c r="AB3200" i="2"/>
  <c r="AK3200" i="2" s="1"/>
  <c r="Y3164" i="2"/>
  <c r="Y2774" i="2"/>
  <c r="AA2774" i="2"/>
  <c r="AB2774" i="2" s="1"/>
  <c r="AK2774" i="2" s="1"/>
  <c r="Y2881" i="2"/>
  <c r="Y2921" i="2"/>
  <c r="Y2961" i="2"/>
  <c r="AB3014" i="2"/>
  <c r="AK3014" i="2" s="1"/>
  <c r="AC3014" i="2"/>
  <c r="Y3029" i="2"/>
  <c r="AB3029" i="2"/>
  <c r="AK3029" i="2" s="1"/>
  <c r="AB3060" i="2"/>
  <c r="AK3060" i="2" s="1"/>
  <c r="Y3060" i="2"/>
  <c r="AB3256" i="2"/>
  <c r="AK3256" i="2" s="1"/>
  <c r="Y3256" i="2"/>
  <c r="Y3266" i="2"/>
  <c r="AB3266" i="2"/>
  <c r="AK3266" i="2" s="1"/>
  <c r="Y3268" i="2"/>
  <c r="AB3268" i="2"/>
  <c r="AK3268" i="2" s="1"/>
  <c r="AB3278" i="2"/>
  <c r="AK3278" i="2" s="1"/>
  <c r="Y3278" i="2"/>
  <c r="AB3280" i="2"/>
  <c r="AK3280" i="2" s="1"/>
  <c r="Y3280" i="2"/>
  <c r="AB3286" i="2"/>
  <c r="AK3286" i="2" s="1"/>
  <c r="Y3286" i="2"/>
  <c r="AB3290" i="2"/>
  <c r="AK3290" i="2" s="1"/>
  <c r="Y3290" i="2"/>
  <c r="AB3292" i="2"/>
  <c r="AK3292" i="2" s="1"/>
  <c r="Y3292" i="2"/>
  <c r="AB3332" i="2"/>
  <c r="AK3332" i="2" s="1"/>
  <c r="Y3332" i="2"/>
  <c r="AB3352" i="2"/>
  <c r="AK3352" i="2" s="1"/>
  <c r="Y3352" i="2"/>
  <c r="AF3012" i="2"/>
  <c r="AC2985" i="2"/>
  <c r="AC2921" i="2"/>
  <c r="AC3513" i="2"/>
  <c r="AC3449" i="2"/>
  <c r="AC3252" i="2"/>
  <c r="AC3236" i="2"/>
  <c r="AC3220" i="2"/>
  <c r="AC3204" i="2"/>
  <c r="AC3188" i="2"/>
  <c r="AC3172" i="2"/>
  <c r="AC3156" i="2"/>
  <c r="AC3140" i="2"/>
  <c r="AC2884" i="2"/>
  <c r="AC2958" i="2"/>
  <c r="AC2850" i="2"/>
  <c r="AC2804" i="2"/>
  <c r="AB2862" i="2"/>
  <c r="AK2862" i="2" s="1"/>
  <c r="AB3062" i="2"/>
  <c r="AK3062" i="2" s="1"/>
  <c r="Y3021" i="2"/>
  <c r="Y3033" i="2"/>
  <c r="Y3196" i="2"/>
  <c r="Y3162" i="2"/>
  <c r="Y2769" i="2"/>
  <c r="AC2769" i="2"/>
  <c r="AB2825" i="2"/>
  <c r="AC2825" i="2"/>
  <c r="AB2899" i="2"/>
  <c r="AK2899" i="2" s="1"/>
  <c r="AC2899" i="2"/>
  <c r="R52" i="3"/>
  <c r="T52" i="3" s="1"/>
  <c r="U52" i="3" s="1"/>
  <c r="V52" i="3" s="1"/>
  <c r="R17" i="3"/>
  <c r="T17" i="3" s="1"/>
  <c r="U17" i="3" s="1"/>
  <c r="V17" i="3" s="1"/>
  <c r="Y3094" i="2"/>
  <c r="Y3084" i="2"/>
  <c r="Y3074" i="2"/>
  <c r="Y3058" i="2"/>
  <c r="AB3021" i="2"/>
  <c r="AK3021" i="2" s="1"/>
  <c r="AB3152" i="2"/>
  <c r="AK3152" i="2" s="1"/>
  <c r="AB2814" i="2"/>
  <c r="AC2814" i="2"/>
  <c r="Y3072" i="2"/>
  <c r="Y3236" i="2"/>
  <c r="Y3194" i="2"/>
  <c r="Y3150" i="2"/>
  <c r="Y3699" i="2"/>
  <c r="Y3092" i="2"/>
  <c r="Y3082" i="2"/>
  <c r="AB3070" i="2"/>
  <c r="AK3070" i="2" s="1"/>
  <c r="Y3056" i="2"/>
  <c r="Y3216" i="2"/>
  <c r="AB3186" i="2"/>
  <c r="AK3186" i="2" s="1"/>
  <c r="Y3140" i="2"/>
  <c r="AB3675" i="2"/>
  <c r="AK3675" i="2" s="1"/>
  <c r="Y3080" i="2"/>
  <c r="AB3068" i="2"/>
  <c r="AK3068" i="2" s="1"/>
  <c r="Y2785" i="2"/>
  <c r="Y3214" i="2"/>
  <c r="Y3172" i="2"/>
  <c r="Y3603" i="2"/>
  <c r="AB3500" i="2"/>
  <c r="AK3500" i="2" s="1"/>
  <c r="Y3500" i="2"/>
  <c r="Y3561" i="2"/>
  <c r="Y3984" i="2"/>
  <c r="AB3984" i="2"/>
  <c r="AK3984" i="2" s="1"/>
  <c r="Y4480" i="2"/>
  <c r="AB4480" i="2"/>
  <c r="AK4480" i="2" s="1"/>
  <c r="AB4519" i="2"/>
  <c r="AK4519" i="2" s="1"/>
  <c r="Y4519" i="2"/>
  <c r="Y4603" i="2"/>
  <c r="AB4603" i="2"/>
  <c r="AK4603" i="2" s="1"/>
  <c r="Y3003" i="2"/>
  <c r="Y3433" i="2"/>
  <c r="Y3441" i="2"/>
  <c r="Y3457" i="2"/>
  <c r="Y3465" i="2"/>
  <c r="Y3473" i="2"/>
  <c r="Y3489" i="2"/>
  <c r="Y3497" i="2"/>
  <c r="Y3505" i="2"/>
  <c r="Y3521" i="2"/>
  <c r="Y3529" i="2"/>
  <c r="Y3537" i="2"/>
  <c r="Y3558" i="2"/>
  <c r="Y3566" i="2"/>
  <c r="Y3688" i="2"/>
  <c r="Y3760" i="2"/>
  <c r="Y3792" i="2"/>
  <c r="Y3824" i="2"/>
  <c r="Y3853" i="2"/>
  <c r="Y3885" i="2"/>
  <c r="Y3577" i="2"/>
  <c r="Y4692" i="2"/>
  <c r="AB3279" i="2"/>
  <c r="AK3279" i="2" s="1"/>
  <c r="Y3046" i="2"/>
  <c r="Y3525" i="2"/>
  <c r="AB3453" i="2"/>
  <c r="AK3453" i="2" s="1"/>
  <c r="Y3110" i="2"/>
  <c r="Y3483" i="2"/>
  <c r="Y3696" i="2"/>
  <c r="AB3099" i="2"/>
  <c r="AK3099" i="2" s="1"/>
  <c r="Y4223" i="2"/>
  <c r="AB4098" i="2"/>
  <c r="AK4098" i="2" s="1"/>
  <c r="Y3936" i="2"/>
  <c r="AB4561" i="2"/>
  <c r="AK4561" i="2" s="1"/>
  <c r="Y3353" i="2"/>
  <c r="AB4064" i="2"/>
  <c r="AK4064" i="2" s="1"/>
  <c r="Y3912" i="2"/>
  <c r="Y2837" i="2"/>
  <c r="AB2991" i="2"/>
  <c r="AK2991" i="2" s="1"/>
  <c r="Y2991" i="2"/>
  <c r="Y3007" i="2"/>
  <c r="AB3007" i="2"/>
  <c r="AK3007" i="2" s="1"/>
  <c r="Y3357" i="2"/>
  <c r="Y3363" i="2"/>
  <c r="Y3383" i="2"/>
  <c r="Y3391" i="2"/>
  <c r="Y4405" i="2"/>
  <c r="Y2872" i="2"/>
  <c r="Y2888" i="2"/>
  <c r="Y2928" i="2"/>
  <c r="Y2968" i="2"/>
  <c r="Y2984" i="2"/>
  <c r="Y3008" i="2"/>
  <c r="Y3016" i="2"/>
  <c r="Y3581" i="2"/>
  <c r="Y3605" i="2"/>
  <c r="Y3613" i="2"/>
  <c r="AC5663" i="2"/>
  <c r="Y5586" i="2"/>
  <c r="Y5376" i="2"/>
  <c r="AB5421" i="2"/>
  <c r="AK5421" i="2" s="1"/>
  <c r="AF5626" i="2"/>
  <c r="AF2271" i="2"/>
  <c r="Y2271" i="2"/>
  <c r="AF2283" i="2"/>
  <c r="Y2283" i="2"/>
  <c r="AF2297" i="2"/>
  <c r="Y2297" i="2"/>
  <c r="AF2370" i="2"/>
  <c r="Y2370" i="2"/>
  <c r="AF2394" i="2"/>
  <c r="Y2394" i="2"/>
  <c r="AF2398" i="2"/>
  <c r="Y2398" i="2"/>
  <c r="AF2402" i="2"/>
  <c r="Y2402" i="2"/>
  <c r="AF2430" i="2"/>
  <c r="Y2430" i="2"/>
  <c r="AF2434" i="2"/>
  <c r="Y2434" i="2"/>
  <c r="AF2438" i="2"/>
  <c r="Y2438" i="2"/>
  <c r="AF2442" i="2"/>
  <c r="Y2442" i="2"/>
  <c r="AF2446" i="2"/>
  <c r="Y2446" i="2"/>
  <c r="AF2450" i="2"/>
  <c r="Y2450" i="2"/>
  <c r="AA2460" i="2"/>
  <c r="AB2460" i="2" s="1"/>
  <c r="AK2460" i="2" s="1"/>
  <c r="AF2480" i="2"/>
  <c r="Y2480" i="2"/>
  <c r="AF2482" i="2"/>
  <c r="Y2482" i="2"/>
  <c r="AF2501" i="2"/>
  <c r="Y2501" i="2"/>
  <c r="AF2574" i="2"/>
  <c r="Y2574" i="2"/>
  <c r="AF2578" i="2"/>
  <c r="Y2578" i="2"/>
  <c r="AH2618" i="2"/>
  <c r="Y2618" i="2"/>
  <c r="AF2265" i="2"/>
  <c r="AF2291" i="2"/>
  <c r="AF2259" i="2"/>
  <c r="AF2311" i="2"/>
  <c r="R6" i="3"/>
  <c r="T6" i="3" s="1"/>
  <c r="U6" i="3" s="1"/>
  <c r="V6" i="3" s="1"/>
  <c r="AF2634" i="2"/>
  <c r="Y2424" i="2"/>
  <c r="AB2416" i="2"/>
  <c r="AK2416" i="2" s="1"/>
  <c r="Y2396" i="2"/>
  <c r="Y2388" i="2"/>
  <c r="Y2380" i="2"/>
  <c r="Y2454" i="2"/>
  <c r="Y2432" i="2"/>
  <c r="AB2707" i="2"/>
  <c r="AK2707" i="2" s="1"/>
  <c r="AC2653" i="2"/>
  <c r="Y2603" i="2"/>
  <c r="AC2597" i="2"/>
  <c r="Y2589" i="2"/>
  <c r="AC2499" i="2"/>
  <c r="AB2476" i="2"/>
  <c r="AK2476" i="2" s="1"/>
  <c r="Y2287" i="2"/>
  <c r="Y2281" i="2"/>
  <c r="Y2257" i="2"/>
  <c r="Y2251" i="2"/>
  <c r="Y2576" i="2"/>
  <c r="AF93" i="2"/>
  <c r="Y93" i="2"/>
  <c r="AB134" i="2"/>
  <c r="AK134" i="2" s="1"/>
  <c r="Y134" i="2"/>
  <c r="AF205" i="2"/>
  <c r="Y205" i="2"/>
  <c r="AF217" i="2"/>
  <c r="Y217" i="2"/>
  <c r="AB265" i="2"/>
  <c r="AK265" i="2" s="1"/>
  <c r="Y265" i="2"/>
  <c r="AF275" i="2"/>
  <c r="Y275" i="2"/>
  <c r="AF575" i="2"/>
  <c r="Y575" i="2"/>
  <c r="AF585" i="2"/>
  <c r="Y585" i="2"/>
  <c r="AF591" i="2"/>
  <c r="Y591" i="2"/>
  <c r="AF599" i="2"/>
  <c r="Y599" i="2"/>
  <c r="AF613" i="2"/>
  <c r="Y613" i="2"/>
  <c r="AF617" i="2"/>
  <c r="Y617" i="2"/>
  <c r="AF633" i="2"/>
  <c r="Y633" i="2"/>
  <c r="AF637" i="2"/>
  <c r="Y637" i="2"/>
  <c r="AF645" i="2"/>
  <c r="Y645" i="2"/>
  <c r="AF649" i="2"/>
  <c r="Y649" i="2"/>
  <c r="AF663" i="2"/>
  <c r="Y663" i="2"/>
  <c r="AF669" i="2"/>
  <c r="Y669" i="2"/>
  <c r="AF687" i="2"/>
  <c r="Y687" i="2"/>
  <c r="AF689" i="2"/>
  <c r="Y689" i="2"/>
  <c r="AF693" i="2"/>
  <c r="Y693" i="2"/>
  <c r="AF725" i="2"/>
  <c r="Y725" i="2"/>
  <c r="AF727" i="2"/>
  <c r="Y727" i="2"/>
  <c r="AF729" i="2"/>
  <c r="Y729" i="2"/>
  <c r="AF731" i="2"/>
  <c r="Y731" i="2"/>
  <c r="AF739" i="2"/>
  <c r="Y739" i="2"/>
  <c r="AF761" i="2"/>
  <c r="Y761" i="2"/>
  <c r="AF781" i="2"/>
  <c r="Y781" i="2"/>
  <c r="AF793" i="2"/>
  <c r="Y793" i="2"/>
  <c r="AF797" i="2"/>
  <c r="Y797" i="2"/>
  <c r="AF809" i="2"/>
  <c r="Y809" i="2"/>
  <c r="AF811" i="2"/>
  <c r="Y811" i="2"/>
  <c r="AF815" i="2"/>
  <c r="Y815" i="2"/>
  <c r="AF817" i="2"/>
  <c r="Y817" i="2"/>
  <c r="AF825" i="2"/>
  <c r="Y825" i="2"/>
  <c r="AF837" i="2"/>
  <c r="Y837" i="2"/>
  <c r="AF843" i="2"/>
  <c r="Y843" i="2"/>
  <c r="AF845" i="2"/>
  <c r="Y845" i="2"/>
  <c r="AF849" i="2"/>
  <c r="Y849" i="2"/>
  <c r="AF851" i="2"/>
  <c r="Y851" i="2"/>
  <c r="AF859" i="2"/>
  <c r="Y859" i="2"/>
  <c r="AF863" i="2"/>
  <c r="Y863" i="2"/>
  <c r="AF887" i="2"/>
  <c r="Y887" i="2"/>
  <c r="AF891" i="2"/>
  <c r="Y891" i="2"/>
  <c r="AF905" i="2"/>
  <c r="Y905" i="2"/>
  <c r="AF913" i="2"/>
  <c r="Y913" i="2"/>
  <c r="Y925" i="2"/>
  <c r="AB925" i="2"/>
  <c r="AK925" i="2" s="1"/>
  <c r="Y929" i="2"/>
  <c r="AB929" i="2"/>
  <c r="AK929" i="2" s="1"/>
  <c r="Y937" i="2"/>
  <c r="AB937" i="2"/>
  <c r="AK937" i="2" s="1"/>
  <c r="AB941" i="2"/>
  <c r="AK941" i="2" s="1"/>
  <c r="Y941" i="2"/>
  <c r="Y947" i="2"/>
  <c r="AB947" i="2"/>
  <c r="AK947" i="2" s="1"/>
  <c r="AB957" i="2"/>
  <c r="AK957" i="2" s="1"/>
  <c r="Y957" i="2"/>
  <c r="Y961" i="2"/>
  <c r="AB961" i="2"/>
  <c r="AK961" i="2" s="1"/>
  <c r="Y963" i="2"/>
  <c r="AB963" i="2"/>
  <c r="AK963" i="2" s="1"/>
  <c r="Y969" i="2"/>
  <c r="AB969" i="2"/>
  <c r="AK969" i="2" s="1"/>
  <c r="AB973" i="2"/>
  <c r="AK973" i="2" s="1"/>
  <c r="Y973" i="2"/>
  <c r="AB981" i="2"/>
  <c r="AK981" i="2" s="1"/>
  <c r="Y981" i="2"/>
  <c r="AF991" i="2"/>
  <c r="Y991" i="2"/>
  <c r="Y1008" i="2"/>
  <c r="AB1008" i="2"/>
  <c r="AK1008" i="2" s="1"/>
  <c r="AF1026" i="2"/>
  <c r="Y1026" i="2"/>
  <c r="AF1028" i="2"/>
  <c r="Y1028" i="2"/>
  <c r="AF1036" i="2"/>
  <c r="Y1036" i="2"/>
  <c r="AF1044" i="2"/>
  <c r="Y1044" i="2"/>
  <c r="AF1046" i="2"/>
  <c r="Y1046" i="2"/>
  <c r="AF1308" i="2"/>
  <c r="Y1308" i="2"/>
  <c r="Y1012" i="2"/>
  <c r="AC1012" i="2"/>
  <c r="AC2426" i="2"/>
  <c r="AC2420" i="2"/>
  <c r="AC2428" i="2"/>
  <c r="AC2715" i="2"/>
  <c r="AC2669" i="2"/>
  <c r="AF2317" i="2"/>
  <c r="AF2285" i="2"/>
  <c r="AF2255" i="2"/>
  <c r="AC2414" i="2"/>
  <c r="AC2696" i="2"/>
  <c r="AH2634" i="2"/>
  <c r="AB2414" i="2"/>
  <c r="AK2414" i="2" s="1"/>
  <c r="Y2462" i="2"/>
  <c r="Y2452" i="2"/>
  <c r="AB60" i="2"/>
  <c r="AK60" i="2" s="1"/>
  <c r="Y2723" i="2"/>
  <c r="Y2696" i="2"/>
  <c r="Y2621" i="2"/>
  <c r="AC2603" i="2"/>
  <c r="Y2595" i="2"/>
  <c r="AB2589" i="2"/>
  <c r="AK2589" i="2" s="1"/>
  <c r="Y2497" i="2"/>
  <c r="AC2476" i="2"/>
  <c r="Y2299" i="2"/>
  <c r="Y77" i="2"/>
  <c r="AB191" i="2"/>
  <c r="AK191" i="2" s="1"/>
  <c r="Y765" i="2"/>
  <c r="Y673" i="2"/>
  <c r="Y883" i="2"/>
  <c r="Y869" i="2"/>
  <c r="AF2279" i="2"/>
  <c r="AC2422" i="2"/>
  <c r="AC2719" i="2"/>
  <c r="AC2460" i="2"/>
  <c r="AB2422" i="2"/>
  <c r="AK2422" i="2" s="1"/>
  <c r="Y2412" i="2"/>
  <c r="Y2404" i="2"/>
  <c r="Y2386" i="2"/>
  <c r="Y2378" i="2"/>
  <c r="Y2366" i="2"/>
  <c r="AB2462" i="2"/>
  <c r="AK2462" i="2" s="1"/>
  <c r="Y2440" i="2"/>
  <c r="AB2723" i="2"/>
  <c r="AK2723" i="2" s="1"/>
  <c r="Y2677" i="2"/>
  <c r="AB2621" i="2"/>
  <c r="AK2621" i="2" s="1"/>
  <c r="Y2601" i="2"/>
  <c r="AC2595" i="2"/>
  <c r="AC2497" i="2"/>
  <c r="Y2474" i="2"/>
  <c r="Y2642" i="2"/>
  <c r="AB336" i="2"/>
  <c r="AK336" i="2" s="1"/>
  <c r="Y753" i="2"/>
  <c r="Y743" i="2"/>
  <c r="Y691" i="2"/>
  <c r="Y587" i="2"/>
  <c r="Y209" i="2"/>
  <c r="Y829" i="2"/>
  <c r="AF20" i="2"/>
  <c r="Y20" i="2"/>
  <c r="AB98" i="2"/>
  <c r="AK98" i="2" s="1"/>
  <c r="Y98" i="2"/>
  <c r="AF2307" i="2"/>
  <c r="AF2309" i="2"/>
  <c r="AC2408" i="2"/>
  <c r="R46" i="3"/>
  <c r="T46" i="3" s="1"/>
  <c r="U46" i="3" s="1"/>
  <c r="V46" i="3" s="1"/>
  <c r="AC2707" i="2"/>
  <c r="AC2711" i="2"/>
  <c r="Y2420" i="2"/>
  <c r="AB2412" i="2"/>
  <c r="AK2412" i="2" s="1"/>
  <c r="Y2392" i="2"/>
  <c r="Y2460" i="2"/>
  <c r="Y2719" i="2"/>
  <c r="Y2613" i="2"/>
  <c r="AB2601" i="2"/>
  <c r="AK2601" i="2" s="1"/>
  <c r="Y2593" i="2"/>
  <c r="Y2495" i="2"/>
  <c r="AC2474" i="2"/>
  <c r="Y763" i="2"/>
  <c r="Y581" i="2"/>
  <c r="Y955" i="2"/>
  <c r="Y839" i="2"/>
  <c r="R37" i="3"/>
  <c r="T37" i="3" s="1"/>
  <c r="U37" i="3" s="1"/>
  <c r="V37" i="3" s="1"/>
  <c r="AF2305" i="2"/>
  <c r="R5" i="3"/>
  <c r="T5" i="3" s="1"/>
  <c r="U5" i="3" s="1"/>
  <c r="V5" i="3" s="1"/>
  <c r="AC2661" i="2"/>
  <c r="AF2618" i="2"/>
  <c r="Y2428" i="2"/>
  <c r="Y2410" i="2"/>
  <c r="Y2384" i="2"/>
  <c r="Y2376" i="2"/>
  <c r="AB2362" i="2"/>
  <c r="AK2362" i="2" s="1"/>
  <c r="Y2458" i="2"/>
  <c r="Y2448" i="2"/>
  <c r="Y2715" i="2"/>
  <c r="Y2669" i="2"/>
  <c r="AB2613" i="2"/>
  <c r="AK2613" i="2" s="1"/>
  <c r="Y2599" i="2"/>
  <c r="AB2593" i="2"/>
  <c r="AK2593" i="2" s="1"/>
  <c r="Y2522" i="2"/>
  <c r="AB2495" i="2"/>
  <c r="AK2495" i="2" s="1"/>
  <c r="Y2321" i="2"/>
  <c r="Y2277" i="2"/>
  <c r="AB201" i="2"/>
  <c r="AK201" i="2" s="1"/>
  <c r="AB144" i="2"/>
  <c r="AK144" i="2" s="1"/>
  <c r="AH2610" i="2"/>
  <c r="Y2418" i="2"/>
  <c r="AB2410" i="2"/>
  <c r="AK2410" i="2" s="1"/>
  <c r="Y2400" i="2"/>
  <c r="Y2436" i="2"/>
  <c r="Y2661" i="2"/>
  <c r="AB2599" i="2"/>
  <c r="AK2599" i="2" s="1"/>
  <c r="Y2591" i="2"/>
  <c r="AB2522" i="2"/>
  <c r="AK2522" i="2" s="1"/>
  <c r="Y2478" i="2"/>
  <c r="Y2253" i="2"/>
  <c r="Y2610" i="2"/>
  <c r="Y140" i="2"/>
  <c r="AF2582" i="2"/>
  <c r="Y2582" i="2"/>
  <c r="AH2612" i="2"/>
  <c r="Y2612" i="2"/>
  <c r="AC2695" i="2"/>
  <c r="AK2695" i="2"/>
  <c r="AC2710" i="2"/>
  <c r="R57" i="3"/>
  <c r="T57" i="3" s="1"/>
  <c r="U57" i="3" s="1"/>
  <c r="V57" i="3" s="1"/>
  <c r="AB2710" i="2"/>
  <c r="AK2710" i="2" s="1"/>
  <c r="AF2368" i="2"/>
  <c r="AF2295" i="2"/>
  <c r="AF2263" i="2"/>
  <c r="R44" i="3"/>
  <c r="T44" i="3" s="1"/>
  <c r="U44" i="3" s="1"/>
  <c r="V44" i="3" s="1"/>
  <c r="AH2626" i="2"/>
  <c r="Y2390" i="2"/>
  <c r="Y2382" i="2"/>
  <c r="Y2374" i="2"/>
  <c r="Y2711" i="2"/>
  <c r="AB2605" i="2"/>
  <c r="AK2605" i="2" s="1"/>
  <c r="AK2591" i="2"/>
  <c r="Y2301" i="2"/>
  <c r="Y2484" i="2"/>
  <c r="Y569" i="2"/>
  <c r="Y199" i="2"/>
  <c r="Y747" i="2"/>
  <c r="Y651" i="2"/>
  <c r="AB939" i="2"/>
  <c r="AK939" i="2" s="1"/>
  <c r="Y835" i="2"/>
  <c r="Y779" i="2"/>
  <c r="AB114" i="2"/>
  <c r="AK114" i="2" s="1"/>
  <c r="Y517" i="2"/>
  <c r="Y509" i="2"/>
  <c r="Y501" i="2"/>
  <c r="Y493" i="2"/>
  <c r="Y485" i="2"/>
  <c r="Y477" i="2"/>
  <c r="Y469" i="2"/>
  <c r="Y461" i="2"/>
  <c r="Y453" i="2"/>
  <c r="Y445" i="2"/>
  <c r="Y423" i="2"/>
  <c r="Y401" i="2"/>
  <c r="Y389" i="2"/>
  <c r="Y369" i="2"/>
  <c r="Y322" i="2"/>
  <c r="Y263" i="2"/>
  <c r="Y253" i="2"/>
  <c r="Y179" i="2"/>
  <c r="Y221" i="2"/>
  <c r="Y207" i="2"/>
  <c r="Y244" i="2"/>
  <c r="Y251" i="2"/>
  <c r="Y259" i="2"/>
  <c r="Y306" i="2"/>
  <c r="Y314" i="2"/>
  <c r="Y1385" i="2"/>
  <c r="AB1399" i="2"/>
  <c r="AK1399" i="2" s="1"/>
  <c r="AC1399" i="2"/>
  <c r="Y1363" i="2"/>
  <c r="AB1363" i="2"/>
  <c r="AK1363" i="2" s="1"/>
  <c r="AB1373" i="2"/>
  <c r="AK1373" i="2" s="1"/>
  <c r="Y1373" i="2"/>
  <c r="AB1691" i="2"/>
  <c r="AK1691" i="2" s="1"/>
  <c r="Y1691" i="2"/>
  <c r="Y2086" i="2"/>
  <c r="AB2086" i="2"/>
  <c r="AK2086" i="2" s="1"/>
  <c r="Y2160" i="2"/>
  <c r="AB2160" i="2"/>
  <c r="AK2160" i="2" s="1"/>
  <c r="AB2174" i="2"/>
  <c r="AK2174" i="2" s="1"/>
  <c r="Y2174" i="2"/>
  <c r="AB2124" i="2"/>
  <c r="AK2124" i="2" s="1"/>
  <c r="Y2124" i="2"/>
  <c r="Y2186" i="2"/>
  <c r="AB2186" i="2"/>
  <c r="AK2186" i="2" s="1"/>
  <c r="AB2200" i="2"/>
  <c r="AK2200" i="2" s="1"/>
  <c r="Y2200" i="2"/>
  <c r="Y2212" i="2"/>
  <c r="AB2212" i="2"/>
  <c r="AK2212" i="2" s="1"/>
  <c r="AB2214" i="2"/>
  <c r="AK2214" i="2" s="1"/>
  <c r="Y2214" i="2"/>
  <c r="AB2228" i="2"/>
  <c r="AK2228" i="2" s="1"/>
  <c r="Y2228" i="2"/>
  <c r="AB2246" i="2"/>
  <c r="AK2246" i="2" s="1"/>
  <c r="Y2246" i="2"/>
  <c r="Y2365" i="2"/>
  <c r="AF2365" i="2"/>
  <c r="Y163" i="2"/>
  <c r="Y521" i="2"/>
  <c r="Y513" i="2"/>
  <c r="Y505" i="2"/>
  <c r="Y489" i="2"/>
  <c r="Y481" i="2"/>
  <c r="Y473" i="2"/>
  <c r="Y465" i="2"/>
  <c r="Y457" i="2"/>
  <c r="Y449" i="2"/>
  <c r="Y353" i="2"/>
  <c r="Y345" i="2"/>
  <c r="Y316" i="2"/>
  <c r="Y257" i="2"/>
  <c r="Y242" i="2"/>
  <c r="Y643" i="2"/>
  <c r="Y589" i="2"/>
  <c r="Y213" i="2"/>
  <c r="Y7" i="2"/>
  <c r="AB7" i="2"/>
  <c r="AK7" i="2" s="1"/>
  <c r="AB444" i="2"/>
  <c r="AK444" i="2" s="1"/>
  <c r="Y444" i="2"/>
  <c r="AB464" i="2"/>
  <c r="AK464" i="2" s="1"/>
  <c r="Y464" i="2"/>
  <c r="AB490" i="2"/>
  <c r="AK490" i="2" s="1"/>
  <c r="Y490" i="2"/>
  <c r="Y203" i="2"/>
  <c r="Y211" i="2"/>
  <c r="Y215" i="2"/>
  <c r="AB229" i="2"/>
  <c r="AK229" i="2" s="1"/>
  <c r="Y229" i="2"/>
  <c r="Y246" i="2"/>
  <c r="Y271" i="2"/>
  <c r="Y338" i="2"/>
  <c r="Y579" i="2"/>
  <c r="AB595" i="2"/>
  <c r="AK595" i="2" s="1"/>
  <c r="Y595" i="2"/>
  <c r="Y607" i="2"/>
  <c r="Y625" i="2"/>
  <c r="Y635" i="2"/>
  <c r="Y639" i="2"/>
  <c r="Y821" i="2"/>
  <c r="Y827" i="2"/>
  <c r="AK831" i="2"/>
  <c r="Y833" i="2"/>
  <c r="Y841" i="2"/>
  <c r="AB841" i="2"/>
  <c r="AK841" i="2" s="1"/>
  <c r="Y867" i="2"/>
  <c r="Y879" i="2"/>
  <c r="Y901" i="2"/>
  <c r="AK917" i="2"/>
  <c r="AF1066" i="2"/>
  <c r="Y1066" i="2"/>
  <c r="AK2454" i="2"/>
  <c r="AC2454" i="2"/>
  <c r="Y2551" i="2"/>
  <c r="Y2978" i="2"/>
  <c r="AB3053" i="2"/>
  <c r="AK3053" i="2" s="1"/>
  <c r="AB2886" i="2"/>
  <c r="AK2886" i="2" s="1"/>
  <c r="AC3083" i="2"/>
  <c r="AC3081" i="2"/>
  <c r="Y3321" i="2"/>
  <c r="Y3293" i="2"/>
  <c r="Y3285" i="2"/>
  <c r="Y3277" i="2"/>
  <c r="Y3269" i="2"/>
  <c r="Y3517" i="2"/>
  <c r="Y4147" i="2"/>
  <c r="Y4094" i="2"/>
  <c r="Y4028" i="2"/>
  <c r="Y3948" i="2"/>
  <c r="Y3852" i="2"/>
  <c r="Y3807" i="2"/>
  <c r="Y3759" i="2"/>
  <c r="Y3583" i="2"/>
  <c r="Y2914" i="2"/>
  <c r="Y2974" i="2"/>
  <c r="Y3106" i="2"/>
  <c r="AB3106" i="2"/>
  <c r="AK3106" i="2" s="1"/>
  <c r="AK3364" i="2"/>
  <c r="AC3069" i="2"/>
  <c r="AC3087" i="2"/>
  <c r="AB3353" i="2"/>
  <c r="AK3353" i="2" s="1"/>
  <c r="Y3313" i="2"/>
  <c r="Y3259" i="2"/>
  <c r="AB3201" i="2"/>
  <c r="AK3201" i="2" s="1"/>
  <c r="Y3477" i="2"/>
  <c r="AB4259" i="2"/>
  <c r="AK4259" i="2" s="1"/>
  <c r="Y4060" i="2"/>
  <c r="AB3988" i="2"/>
  <c r="AK3988" i="2" s="1"/>
  <c r="AB3940" i="2"/>
  <c r="AK3940" i="2" s="1"/>
  <c r="Y3892" i="2"/>
  <c r="Y3703" i="2"/>
  <c r="AB3655" i="2"/>
  <c r="AK3655" i="2" s="1"/>
  <c r="Y3469" i="2"/>
  <c r="Y4623" i="2"/>
  <c r="AB4500" i="2"/>
  <c r="AK4500" i="2" s="1"/>
  <c r="Y3128" i="2"/>
  <c r="AB3098" i="2"/>
  <c r="AK3098" i="2" s="1"/>
  <c r="Y3198" i="2"/>
  <c r="AB3160" i="2"/>
  <c r="AK3160" i="2" s="1"/>
  <c r="AB3089" i="2"/>
  <c r="AK3089" i="2" s="1"/>
  <c r="Y3133" i="2"/>
  <c r="Y3460" i="2"/>
  <c r="Y3109" i="2"/>
  <c r="AB4020" i="2"/>
  <c r="AK4020" i="2" s="1"/>
  <c r="Y3980" i="2"/>
  <c r="AB3844" i="2"/>
  <c r="AK3844" i="2" s="1"/>
  <c r="AB3799" i="2"/>
  <c r="AK3799" i="2" s="1"/>
  <c r="Y3743" i="2"/>
  <c r="Y3695" i="2"/>
  <c r="Y2844" i="2"/>
  <c r="Y3067" i="2"/>
  <c r="AH2764" i="2"/>
  <c r="Y2764" i="2"/>
  <c r="Y2909" i="2"/>
  <c r="Y3193" i="2"/>
  <c r="AB3193" i="2"/>
  <c r="AK3193" i="2" s="1"/>
  <c r="Y3417" i="2"/>
  <c r="AB3417" i="2"/>
  <c r="AK3417" i="2" s="1"/>
  <c r="AB3085" i="2"/>
  <c r="AK3085" i="2" s="1"/>
  <c r="Y3085" i="2"/>
  <c r="Y3091" i="2"/>
  <c r="AB3091" i="2"/>
  <c r="AK3091" i="2" s="1"/>
  <c r="Y3541" i="2"/>
  <c r="AB3541" i="2"/>
  <c r="AK3541" i="2" s="1"/>
  <c r="Y3647" i="2"/>
  <c r="AB3647" i="2"/>
  <c r="AK3647" i="2" s="1"/>
  <c r="Y3868" i="2"/>
  <c r="AB3868" i="2"/>
  <c r="AK3868" i="2" s="1"/>
  <c r="Y3908" i="2"/>
  <c r="AB3908" i="2"/>
  <c r="AK3908" i="2" s="1"/>
  <c r="Y4428" i="2"/>
  <c r="AB4428" i="2"/>
  <c r="AK4428" i="2" s="1"/>
  <c r="AH4691" i="2"/>
  <c r="Y4691" i="2"/>
  <c r="Y3131" i="2"/>
  <c r="Y3303" i="2"/>
  <c r="Y3289" i="2"/>
  <c r="Y3281" i="2"/>
  <c r="Y3273" i="2"/>
  <c r="Y3265" i="2"/>
  <c r="Y3501" i="2"/>
  <c r="Y3924" i="2"/>
  <c r="Y3831" i="2"/>
  <c r="AB3783" i="2"/>
  <c r="AK3783" i="2" s="1"/>
  <c r="AB3679" i="2"/>
  <c r="AK3679" i="2" s="1"/>
  <c r="Y3631" i="2"/>
  <c r="Y3562" i="2"/>
  <c r="Y3437" i="2"/>
  <c r="Y3065" i="2"/>
  <c r="Y2898" i="2"/>
  <c r="Y2922" i="2"/>
  <c r="Y3103" i="2"/>
  <c r="AB3103" i="2"/>
  <c r="AK3103" i="2" s="1"/>
  <c r="Y248" i="2"/>
  <c r="Y283" i="2"/>
  <c r="Y362" i="2"/>
  <c r="Y368" i="2"/>
  <c r="Y410" i="2"/>
  <c r="AK3399" i="2"/>
  <c r="AC3265" i="2"/>
  <c r="Y3263" i="2"/>
  <c r="Y3554" i="2"/>
  <c r="Y3445" i="2"/>
  <c r="Y4163" i="2"/>
  <c r="AB3876" i="2"/>
  <c r="AK3876" i="2" s="1"/>
  <c r="Y3823" i="2"/>
  <c r="Y3775" i="2"/>
  <c r="Y3727" i="2"/>
  <c r="Y3671" i="2"/>
  <c r="Y3615" i="2"/>
  <c r="Y3546" i="2"/>
  <c r="Y3059" i="2"/>
  <c r="AB3069" i="2"/>
  <c r="AK3069" i="2" s="1"/>
  <c r="Y3037" i="2"/>
  <c r="AB3037" i="2"/>
  <c r="AK3037" i="2" s="1"/>
  <c r="Y3493" i="2"/>
  <c r="Y3916" i="2"/>
  <c r="Y3719" i="2"/>
  <c r="Y3051" i="2"/>
  <c r="AB3057" i="2"/>
  <c r="AK3057" i="2" s="1"/>
  <c r="AB2969" i="2"/>
  <c r="AK2969" i="2" s="1"/>
  <c r="Y2969" i="2"/>
  <c r="Y3035" i="2"/>
  <c r="AB3035" i="2"/>
  <c r="AK3035" i="2" s="1"/>
  <c r="Y3190" i="2"/>
  <c r="AB3190" i="2"/>
  <c r="AK3190" i="2" s="1"/>
  <c r="AB3228" i="2"/>
  <c r="AK3228" i="2" s="1"/>
  <c r="Y3228" i="2"/>
  <c r="Y3420" i="2"/>
  <c r="AB3420" i="2"/>
  <c r="AK3420" i="2" s="1"/>
  <c r="AH3340" i="2"/>
  <c r="Y3340" i="2"/>
  <c r="Y3346" i="2"/>
  <c r="Y3328" i="2"/>
  <c r="Y3594" i="2"/>
  <c r="Y3602" i="2"/>
  <c r="Y3626" i="2"/>
  <c r="Y3642" i="2"/>
  <c r="Y3447" i="2"/>
  <c r="Y3463" i="2"/>
  <c r="Y3479" i="2"/>
  <c r="Y3514" i="2"/>
  <c r="Y3530" i="2"/>
  <c r="Y3551" i="2"/>
  <c r="Y3567" i="2"/>
  <c r="Y3580" i="2"/>
  <c r="Y3591" i="2"/>
  <c r="Y3599" i="2"/>
  <c r="Y3604" i="2"/>
  <c r="Y3607" i="2"/>
  <c r="Y3623" i="2"/>
  <c r="AF5378" i="2"/>
  <c r="Y3641" i="2"/>
  <c r="Y3649" i="2"/>
  <c r="Y3657" i="2"/>
  <c r="Y3665" i="2"/>
  <c r="Y3673" i="2"/>
  <c r="Y3681" i="2"/>
  <c r="Y3689" i="2"/>
  <c r="Y3697" i="2"/>
  <c r="Y3713" i="2"/>
  <c r="Y3721" i="2"/>
  <c r="Y3729" i="2"/>
  <c r="Y3737" i="2"/>
  <c r="Y3761" i="2"/>
  <c r="Y3777" i="2"/>
  <c r="Y3785" i="2"/>
  <c r="Y3801" i="2"/>
  <c r="Y3809" i="2"/>
  <c r="Y3132" i="2"/>
  <c r="Y3491" i="2"/>
  <c r="Y3507" i="2"/>
  <c r="Y3531" i="2"/>
  <c r="Y3573" i="2"/>
  <c r="Y3608" i="2"/>
  <c r="Y5398" i="2"/>
  <c r="AF5470" i="2"/>
  <c r="AF5510" i="2"/>
  <c r="Y3677" i="2"/>
  <c r="Y3717" i="2"/>
  <c r="Y3749" i="2"/>
  <c r="Y5419" i="2"/>
  <c r="Y5440" i="2"/>
  <c r="Y5472" i="2"/>
  <c r="Y5480" i="2"/>
  <c r="Y5493" i="2"/>
  <c r="AF5496" i="2"/>
  <c r="Y5504" i="2"/>
  <c r="AF5507" i="2"/>
  <c r="Y5509" i="2"/>
  <c r="Y5512" i="2"/>
  <c r="Y5528" i="2"/>
  <c r="AF5536" i="2"/>
  <c r="Y5544" i="2"/>
  <c r="Y5552" i="2"/>
  <c r="AF5563" i="2"/>
  <c r="Y5573" i="2"/>
  <c r="AF5584" i="2"/>
  <c r="AF5597" i="2"/>
  <c r="AF5600" i="2"/>
  <c r="Y5605" i="2"/>
  <c r="AF5608" i="2"/>
  <c r="AF5616" i="2"/>
  <c r="Y5618" i="2"/>
  <c r="AF5621" i="2"/>
  <c r="AF5637" i="2"/>
  <c r="Y5645" i="2"/>
  <c r="AF5661" i="2"/>
  <c r="AF5677" i="2"/>
  <c r="AF5685" i="2"/>
  <c r="AF5693" i="2"/>
  <c r="AF5709" i="2"/>
  <c r="AF5712" i="2"/>
  <c r="AF5717" i="2"/>
  <c r="Y5741" i="2"/>
  <c r="Y5780" i="2"/>
  <c r="Y5795" i="2"/>
  <c r="Y5800" i="2"/>
  <c r="AF5803" i="2"/>
  <c r="Y5805" i="2"/>
  <c r="AF5808" i="2"/>
  <c r="AF5819" i="2"/>
  <c r="Y5869" i="2"/>
  <c r="AF5872" i="2"/>
  <c r="Y5901" i="2"/>
  <c r="AF5912" i="2"/>
  <c r="AF5917" i="2"/>
  <c r="Y5933" i="2"/>
  <c r="AF5936" i="2"/>
  <c r="AF5944" i="2"/>
  <c r="AF5960" i="2"/>
  <c r="Y6031" i="2"/>
  <c r="Y6042" i="2"/>
  <c r="AF6045" i="2"/>
  <c r="Y6073" i="2"/>
  <c r="AF5408" i="2"/>
  <c r="Y5442" i="2"/>
  <c r="AF5445" i="2"/>
  <c r="Y5490" i="2"/>
  <c r="AF5501" i="2"/>
  <c r="AB935" i="2"/>
  <c r="AK935" i="2" s="1"/>
  <c r="Y935" i="2"/>
  <c r="AB983" i="2"/>
  <c r="AK983" i="2" s="1"/>
  <c r="Y983" i="2"/>
  <c r="Y2182" i="2"/>
  <c r="AB2182" i="2"/>
  <c r="AK2182" i="2" s="1"/>
  <c r="AB2196" i="2"/>
  <c r="AK2196" i="2" s="1"/>
  <c r="Y2196" i="2"/>
  <c r="AB2208" i="2"/>
  <c r="AK2208" i="2" s="1"/>
  <c r="Y2208" i="2"/>
  <c r="Y118" i="2"/>
  <c r="Y334" i="2"/>
  <c r="Y1034" i="2"/>
  <c r="Y1022" i="2"/>
  <c r="Y985" i="2"/>
  <c r="Y525" i="2"/>
  <c r="AB259" i="2"/>
  <c r="AK259" i="2" s="1"/>
  <c r="AB244" i="2"/>
  <c r="AK244" i="2" s="1"/>
  <c r="Y267" i="2"/>
  <c r="Y603" i="2"/>
  <c r="AB1010" i="2"/>
  <c r="AK1010" i="2" s="1"/>
  <c r="AB927" i="2"/>
  <c r="AK927" i="2" s="1"/>
  <c r="Y99" i="2"/>
  <c r="Y58" i="2"/>
  <c r="AB538" i="2"/>
  <c r="AK538" i="2" s="1"/>
  <c r="Y538" i="2"/>
  <c r="AF1313" i="2"/>
  <c r="Y1313" i="2"/>
  <c r="AF1339" i="2"/>
  <c r="Y1339" i="2"/>
  <c r="AF1381" i="2"/>
  <c r="Y1381" i="2"/>
  <c r="AF2513" i="2"/>
  <c r="Y2513" i="2"/>
  <c r="AC2584" i="2"/>
  <c r="AB2584" i="2"/>
  <c r="AK2584" i="2" s="1"/>
  <c r="Y37" i="2"/>
  <c r="Y57" i="2"/>
  <c r="Y80" i="2"/>
  <c r="Y701" i="2"/>
  <c r="Y713" i="2"/>
  <c r="Y717" i="2"/>
  <c r="AB853" i="2"/>
  <c r="AK853" i="2" s="1"/>
  <c r="AB875" i="2"/>
  <c r="AK875" i="2" s="1"/>
  <c r="Y875" i="2"/>
  <c r="Y19" i="2"/>
  <c r="AK3751" i="2"/>
  <c r="Y3751" i="2"/>
  <c r="Y2853" i="2"/>
  <c r="Y2912" i="2"/>
  <c r="Y2995" i="2"/>
  <c r="AB3146" i="2"/>
  <c r="AK3146" i="2" s="1"/>
  <c r="Y3146" i="2"/>
  <c r="AB3158" i="2"/>
  <c r="AK3158" i="2" s="1"/>
  <c r="Y3158" i="2"/>
  <c r="Y3170" i="2"/>
  <c r="AB3170" i="2"/>
  <c r="AK3170" i="2" s="1"/>
  <c r="AB3218" i="2"/>
  <c r="AK3218" i="2" s="1"/>
  <c r="Y3218" i="2"/>
  <c r="Y3434" i="2"/>
  <c r="Y3450" i="2"/>
  <c r="Y3466" i="2"/>
  <c r="Y3482" i="2"/>
  <c r="Y3498" i="2"/>
  <c r="Y2979" i="2"/>
  <c r="AB2775" i="2"/>
  <c r="AK2775" i="2" s="1"/>
  <c r="Y2775" i="2"/>
  <c r="Y3304" i="2"/>
  <c r="Y3308" i="2"/>
  <c r="Y3310" i="2"/>
  <c r="Y3312" i="2"/>
  <c r="Y3314" i="2"/>
  <c r="Y3318" i="2"/>
  <c r="Y3414" i="2"/>
  <c r="AB3414" i="2"/>
  <c r="AK3414" i="2" s="1"/>
  <c r="Y3524" i="2"/>
  <c r="Y3077" i="2"/>
  <c r="AB3077" i="2"/>
  <c r="AK3077" i="2" s="1"/>
  <c r="AB3079" i="2"/>
  <c r="AK3079" i="2" s="1"/>
  <c r="Y3079" i="2"/>
  <c r="Y3330" i="2"/>
  <c r="AB3330" i="2"/>
  <c r="AK3330" i="2" s="1"/>
  <c r="Y3338" i="2"/>
  <c r="AB3344" i="2"/>
  <c r="AK3344" i="2" s="1"/>
  <c r="Y3344" i="2"/>
  <c r="Y307" i="2"/>
  <c r="Y889" i="2"/>
  <c r="Y917" i="2"/>
  <c r="Y919" i="2"/>
  <c r="Y921" i="2"/>
  <c r="Y1048" i="2"/>
  <c r="Y1050" i="2"/>
  <c r="Y1056" i="2"/>
  <c r="Y1058" i="2"/>
  <c r="Y3117" i="2"/>
  <c r="AB3117" i="2"/>
  <c r="AK3117" i="2" s="1"/>
  <c r="Y3635" i="2"/>
  <c r="AK3635" i="2"/>
  <c r="Y299" i="2"/>
  <c r="Y301" i="2"/>
  <c r="Y472" i="2"/>
  <c r="Y478" i="2"/>
  <c r="Y488" i="2"/>
  <c r="Y492" i="2"/>
  <c r="Y496" i="2"/>
  <c r="Y3048" i="2"/>
  <c r="AB3039" i="2"/>
  <c r="AK3039" i="2" s="1"/>
  <c r="Y3039" i="2"/>
  <c r="Y3370" i="2"/>
  <c r="Y3372" i="2"/>
  <c r="Y3388" i="2"/>
  <c r="Y3454" i="2"/>
  <c r="Y3467" i="2"/>
  <c r="AB3467" i="2"/>
  <c r="AK3467" i="2" s="1"/>
  <c r="Y3560" i="2"/>
  <c r="AB3560" i="2"/>
  <c r="AK3560" i="2" s="1"/>
  <c r="Y3600" i="2"/>
  <c r="AB3600" i="2"/>
  <c r="AK3600" i="2" s="1"/>
  <c r="R24" i="3"/>
  <c r="T24" i="3" s="1"/>
  <c r="U24" i="3" s="1"/>
  <c r="V24" i="3" s="1"/>
  <c r="Y2917" i="2"/>
  <c r="Y2609" i="2"/>
  <c r="AB478" i="2"/>
  <c r="AK478" i="2" s="1"/>
  <c r="Y434" i="2"/>
  <c r="Y333" i="2"/>
  <c r="Y128" i="2"/>
  <c r="Y949" i="2"/>
  <c r="Y1004" i="2"/>
  <c r="Y2594" i="2"/>
  <c r="AB3003" i="2"/>
  <c r="AK3003" i="2" s="1"/>
  <c r="AK2902" i="2"/>
  <c r="Y3349" i="2"/>
  <c r="Y3436" i="2"/>
  <c r="Y3484" i="2"/>
  <c r="Y3516" i="2"/>
  <c r="Y3532" i="2"/>
  <c r="Y3553" i="2"/>
  <c r="Y3574" i="2"/>
  <c r="Y3595" i="2"/>
  <c r="Y3627" i="2"/>
  <c r="Y3646" i="2"/>
  <c r="Y3678" i="2"/>
  <c r="Y3726" i="2"/>
  <c r="Y3758" i="2"/>
  <c r="Y3835" i="2"/>
  <c r="Y3846" i="2"/>
  <c r="Y3862" i="2"/>
  <c r="Y3878" i="2"/>
  <c r="Y3891" i="2"/>
  <c r="Y3907" i="2"/>
  <c r="Y3910" i="2"/>
  <c r="Y3918" i="2"/>
  <c r="AB3923" i="2"/>
  <c r="AK3923" i="2" s="1"/>
  <c r="Y3923" i="2"/>
  <c r="Y3934" i="2"/>
  <c r="Y3942" i="2"/>
  <c r="Y3966" i="2"/>
  <c r="Y3979" i="2"/>
  <c r="Y3982" i="2"/>
  <c r="Y3987" i="2"/>
  <c r="Y3998" i="2"/>
  <c r="Y4011" i="2"/>
  <c r="Y4014" i="2"/>
  <c r="Y4030" i="2"/>
  <c r="AB3848" i="2"/>
  <c r="AK3848" i="2" s="1"/>
  <c r="Y3848" i="2"/>
  <c r="AB3952" i="2"/>
  <c r="AK3952" i="2" s="1"/>
  <c r="Y3952" i="2"/>
  <c r="AB4255" i="2"/>
  <c r="AK4255" i="2" s="1"/>
  <c r="Y4255" i="2"/>
  <c r="AB4400" i="2"/>
  <c r="AK4400" i="2" s="1"/>
  <c r="Y4400" i="2"/>
  <c r="Y3747" i="2"/>
  <c r="AB3484" i="2"/>
  <c r="AK3484" i="2" s="1"/>
  <c r="AH4809" i="2"/>
  <c r="Y4809" i="2"/>
  <c r="R178" i="3"/>
  <c r="T178" i="3" s="1"/>
  <c r="U178" i="3" s="1"/>
  <c r="V178" i="3" s="1"/>
  <c r="Y4752" i="2"/>
  <c r="Y4760" i="2"/>
  <c r="AC5690" i="2"/>
  <c r="R184" i="3"/>
  <c r="T184" i="3" s="1"/>
  <c r="U184" i="3" s="1"/>
  <c r="V184" i="3" s="1"/>
  <c r="Y5428" i="2"/>
  <c r="Y5446" i="2"/>
  <c r="AF5484" i="2"/>
  <c r="AF5524" i="2"/>
  <c r="Y2836" i="2"/>
  <c r="Y2915" i="2"/>
  <c r="Y2934" i="2"/>
  <c r="Y2942" i="2"/>
  <c r="Y2955" i="2"/>
  <c r="Y2977" i="2"/>
  <c r="Y2985" i="2"/>
  <c r="Y2990" i="2"/>
  <c r="Y2993" i="2"/>
  <c r="Y3001" i="2"/>
  <c r="Y3017" i="2"/>
  <c r="Y3307" i="2"/>
  <c r="Y3309" i="2"/>
  <c r="Y3311" i="2"/>
  <c r="Y3317" i="2"/>
  <c r="Y3319" i="2"/>
  <c r="AC5533" i="2"/>
  <c r="AB5509" i="2"/>
  <c r="AK5509" i="2" s="1"/>
  <c r="Y5477" i="2"/>
  <c r="AB5442" i="2"/>
  <c r="AK5442" i="2" s="1"/>
  <c r="AB5698" i="2"/>
  <c r="AK5698" i="2" s="1"/>
  <c r="AB5626" i="2"/>
  <c r="AK5626" i="2" s="1"/>
  <c r="AF5605" i="2"/>
  <c r="R152" i="3"/>
  <c r="T152" i="3" s="1"/>
  <c r="U152" i="3" s="1"/>
  <c r="V152" i="3" s="1"/>
  <c r="AC2521" i="2"/>
  <c r="AB2521" i="2"/>
  <c r="AK2521" i="2" s="1"/>
  <c r="AC2494" i="2"/>
  <c r="AB2494" i="2"/>
  <c r="AK2494" i="2" s="1"/>
  <c r="Y2494" i="2"/>
  <c r="Y279" i="2"/>
  <c r="Y258" i="2"/>
  <c r="AK647" i="2"/>
  <c r="Y647" i="2"/>
  <c r="AF1369" i="2"/>
  <c r="Y1369" i="2"/>
  <c r="AF2459" i="2"/>
  <c r="Y2459" i="2"/>
  <c r="Y297" i="2"/>
  <c r="AK248" i="2"/>
  <c r="Y432" i="2"/>
  <c r="AB123" i="2"/>
  <c r="AK123" i="2" s="1"/>
  <c r="AB127" i="2"/>
  <c r="AK127" i="2" s="1"/>
  <c r="AF759" i="2"/>
  <c r="Y777" i="2"/>
  <c r="Y783" i="2"/>
  <c r="Y785" i="2"/>
  <c r="Y801" i="2"/>
  <c r="Y803" i="2"/>
  <c r="AB803" i="2"/>
  <c r="AK803" i="2" s="1"/>
  <c r="AB805" i="2"/>
  <c r="AK805" i="2" s="1"/>
  <c r="Y805" i="2"/>
  <c r="Y807" i="2"/>
  <c r="AB252" i="2"/>
  <c r="AK252" i="2" s="1"/>
  <c r="Y252" i="2"/>
  <c r="AB303" i="2"/>
  <c r="AK303" i="2" s="1"/>
  <c r="Y303" i="2"/>
  <c r="AB819" i="2"/>
  <c r="AK819" i="2" s="1"/>
  <c r="Y819" i="2"/>
  <c r="AF2128" i="2"/>
  <c r="Y2128" i="2"/>
  <c r="AF2132" i="2"/>
  <c r="Y2132" i="2"/>
  <c r="AF2138" i="2"/>
  <c r="Y2138" i="2"/>
  <c r="AF2140" i="2"/>
  <c r="Y2140" i="2"/>
  <c r="AF2146" i="2"/>
  <c r="Y2146" i="2"/>
  <c r="AF2148" i="2"/>
  <c r="Y2148" i="2"/>
  <c r="AF2156" i="2"/>
  <c r="Y2156" i="2"/>
  <c r="AF2166" i="2"/>
  <c r="Y2166" i="2"/>
  <c r="AF2168" i="2"/>
  <c r="Y2168" i="2"/>
  <c r="AF2176" i="2"/>
  <c r="Y2176" i="2"/>
  <c r="AK2194" i="2"/>
  <c r="Y2194" i="2"/>
  <c r="AB2204" i="2"/>
  <c r="AK2204" i="2" s="1"/>
  <c r="Y2204" i="2"/>
  <c r="AB2222" i="2"/>
  <c r="AK2222" i="2" s="1"/>
  <c r="Y2222" i="2"/>
  <c r="AB2232" i="2"/>
  <c r="AK2232" i="2" s="1"/>
  <c r="Y2232" i="2"/>
  <c r="AB2242" i="2"/>
  <c r="AK2242" i="2" s="1"/>
  <c r="Y2242" i="2"/>
  <c r="AH2615" i="2"/>
  <c r="AF2615" i="2"/>
  <c r="AH2623" i="2"/>
  <c r="AF2623" i="2"/>
  <c r="Y2631" i="2"/>
  <c r="AF2631" i="2"/>
  <c r="AF428" i="2"/>
  <c r="Y428" i="2"/>
  <c r="AF430" i="2"/>
  <c r="Y430" i="2"/>
  <c r="AB442" i="2"/>
  <c r="AK442" i="2" s="1"/>
  <c r="Y442" i="2"/>
  <c r="Y460" i="2"/>
  <c r="AB460" i="2"/>
  <c r="AK460" i="2" s="1"/>
  <c r="AB486" i="2"/>
  <c r="AK486" i="2" s="1"/>
  <c r="Y486" i="2"/>
  <c r="AB498" i="2"/>
  <c r="AK498" i="2" s="1"/>
  <c r="Y498" i="2"/>
  <c r="AK516" i="2"/>
  <c r="AB518" i="2"/>
  <c r="AK518" i="2" s="1"/>
  <c r="Y518" i="2"/>
  <c r="AF877" i="2"/>
  <c r="Y877" i="2"/>
  <c r="AB897" i="2"/>
  <c r="AK897" i="2" s="1"/>
  <c r="Y897" i="2"/>
  <c r="Y295" i="2"/>
  <c r="Y909" i="2"/>
  <c r="Y197" i="2"/>
  <c r="AB307" i="2"/>
  <c r="AK307" i="2" s="1"/>
  <c r="AK583" i="2"/>
  <c r="Y583" i="2"/>
  <c r="Y629" i="2"/>
  <c r="Y631" i="2"/>
  <c r="AF977" i="2"/>
  <c r="Y977" i="2"/>
  <c r="Y987" i="2"/>
  <c r="AF1030" i="2"/>
  <c r="Y1030" i="2"/>
  <c r="AC2665" i="2"/>
  <c r="AB2665" i="2"/>
  <c r="AK2665" i="2" s="1"/>
  <c r="Y2709" i="2"/>
  <c r="Y2545" i="2"/>
  <c r="Y2535" i="2"/>
  <c r="AC2709" i="2"/>
  <c r="AF154" i="2"/>
  <c r="Y154" i="2"/>
  <c r="Y310" i="2"/>
  <c r="Y318" i="2"/>
  <c r="Y326" i="2"/>
  <c r="AF532" i="2"/>
  <c r="Y532" i="2"/>
  <c r="Y857" i="2"/>
  <c r="Y861" i="2"/>
  <c r="Y865" i="2"/>
  <c r="Y873" i="2"/>
  <c r="Y405" i="2"/>
  <c r="Y411" i="2"/>
  <c r="Y413" i="2"/>
  <c r="Y417" i="2"/>
  <c r="Y421" i="2"/>
  <c r="Y431" i="2"/>
  <c r="Y881" i="2"/>
  <c r="R2" i="3"/>
  <c r="T2" i="3" s="1"/>
  <c r="U2" i="3" s="1"/>
  <c r="V2" i="3" s="1"/>
  <c r="Y342" i="2"/>
  <c r="Y348" i="2"/>
  <c r="Y370" i="2"/>
  <c r="Y388" i="2"/>
  <c r="Y667" i="2"/>
  <c r="Y671" i="2"/>
  <c r="Y675" i="2"/>
  <c r="AK677" i="2"/>
  <c r="R53" i="3"/>
  <c r="T53" i="3" s="1"/>
  <c r="U53" i="3" s="1"/>
  <c r="V53" i="3" s="1"/>
  <c r="Y27" i="2"/>
  <c r="Y33" i="2"/>
  <c r="Y35" i="2"/>
  <c r="Y78" i="2"/>
  <c r="Y145" i="2"/>
  <c r="Y223" i="2"/>
  <c r="Y402" i="2"/>
  <c r="Y404" i="2"/>
  <c r="Y416" i="2"/>
  <c r="Y424" i="2"/>
  <c r="AF2300" i="2"/>
  <c r="Y2300" i="2"/>
  <c r="AF2308" i="2"/>
  <c r="Y2308" i="2"/>
  <c r="AF2316" i="2"/>
  <c r="Y2316" i="2"/>
  <c r="Y2475" i="2"/>
  <c r="Y2496" i="2"/>
  <c r="Y2525" i="2"/>
  <c r="Y2533" i="2"/>
  <c r="AK3335" i="2"/>
  <c r="Y2907" i="2"/>
  <c r="Y3443" i="2"/>
  <c r="AH3372" i="2"/>
  <c r="Y3376" i="2"/>
  <c r="Y3394" i="2"/>
  <c r="Y3400" i="2"/>
  <c r="Y3404" i="2"/>
  <c r="AB3319" i="2"/>
  <c r="AK3319" i="2" s="1"/>
  <c r="Y3299" i="2"/>
  <c r="Y2931" i="2"/>
  <c r="Y3014" i="2"/>
  <c r="Y3362" i="2"/>
  <c r="Y113" i="2"/>
  <c r="Y168" i="2"/>
  <c r="Y170" i="2"/>
  <c r="Y172" i="2"/>
  <c r="Y514" i="2"/>
  <c r="Y528" i="2"/>
  <c r="Y548" i="2"/>
  <c r="Y550" i="2"/>
  <c r="Y552" i="2"/>
  <c r="Y749" i="2"/>
  <c r="Y751" i="2"/>
  <c r="Y757" i="2"/>
  <c r="Y771" i="2"/>
  <c r="AB2772" i="2"/>
  <c r="AK2772" i="2" s="1"/>
  <c r="Y2939" i="2"/>
  <c r="AB2939" i="2"/>
  <c r="AK2939" i="2" s="1"/>
  <c r="AB2947" i="2"/>
  <c r="AK2947" i="2" s="1"/>
  <c r="Y2947" i="2"/>
  <c r="AB2963" i="2"/>
  <c r="AK2963" i="2" s="1"/>
  <c r="Y2963" i="2"/>
  <c r="AB2981" i="2"/>
  <c r="AK2981" i="2" s="1"/>
  <c r="Y2981" i="2"/>
  <c r="AB2982" i="2"/>
  <c r="AK2982" i="2" s="1"/>
  <c r="Y2982" i="2"/>
  <c r="AB2994" i="2"/>
  <c r="AK2994" i="2" s="1"/>
  <c r="AB3018" i="2"/>
  <c r="Y3018" i="2"/>
  <c r="AB3019" i="2"/>
  <c r="AK3019" i="2" s="1"/>
  <c r="Y3019" i="2"/>
  <c r="AB3023" i="2"/>
  <c r="AK3023" i="2" s="1"/>
  <c r="Y3023" i="2"/>
  <c r="Y3024" i="2"/>
  <c r="AB3024" i="2"/>
  <c r="AK3024" i="2" s="1"/>
  <c r="AB3027" i="2"/>
  <c r="AK3027" i="2" s="1"/>
  <c r="Y3027" i="2"/>
  <c r="Y3028" i="2"/>
  <c r="AB3028" i="2"/>
  <c r="AK3028" i="2" s="1"/>
  <c r="AB3031" i="2"/>
  <c r="AK3031" i="2" s="1"/>
  <c r="Y3031" i="2"/>
  <c r="Y3036" i="2"/>
  <c r="AB3036" i="2"/>
  <c r="AK3036" i="2" s="1"/>
  <c r="Y3100" i="2"/>
  <c r="AB3100" i="2"/>
  <c r="AK3100" i="2" s="1"/>
  <c r="AB3104" i="2"/>
  <c r="AK3104" i="2" s="1"/>
  <c r="AB3108" i="2"/>
  <c r="AK3108" i="2" s="1"/>
  <c r="Y3108" i="2"/>
  <c r="AB3112" i="2"/>
  <c r="AK3112" i="2" s="1"/>
  <c r="Y3112" i="2"/>
  <c r="AB3116" i="2"/>
  <c r="AK3116" i="2" s="1"/>
  <c r="Y3116" i="2"/>
  <c r="Y3123" i="2"/>
  <c r="AB3123" i="2"/>
  <c r="AK3123" i="2" s="1"/>
  <c r="AB3126" i="2"/>
  <c r="AK3126" i="2" s="1"/>
  <c r="Y3126" i="2"/>
  <c r="AB3130" i="2"/>
  <c r="AK3130" i="2" s="1"/>
  <c r="Y3130" i="2"/>
  <c r="AB3135" i="2"/>
  <c r="AK3135" i="2" s="1"/>
  <c r="Y3135" i="2"/>
  <c r="AB3138" i="2"/>
  <c r="AK3138" i="2" s="1"/>
  <c r="Y3138" i="2"/>
  <c r="AB3142" i="2"/>
  <c r="AK3142" i="2" s="1"/>
  <c r="Y3142" i="2"/>
  <c r="AB3257" i="2"/>
  <c r="AK3257" i="2" s="1"/>
  <c r="Y3257" i="2"/>
  <c r="Y3296" i="2"/>
  <c r="AB3296" i="2"/>
  <c r="AK3296" i="2" s="1"/>
  <c r="AB3297" i="2"/>
  <c r="AK3297" i="2" s="1"/>
  <c r="Y3297" i="2"/>
  <c r="AB3298" i="2"/>
  <c r="AK3298" i="2" s="1"/>
  <c r="Y3298" i="2"/>
  <c r="AB3301" i="2"/>
  <c r="AK3301" i="2" s="1"/>
  <c r="Y3301" i="2"/>
  <c r="AB3305" i="2"/>
  <c r="AK3305" i="2" s="1"/>
  <c r="Y3305" i="2"/>
  <c r="AB3306" i="2"/>
  <c r="AK3306" i="2" s="1"/>
  <c r="Y3306" i="2"/>
  <c r="AB3315" i="2"/>
  <c r="AK3315" i="2" s="1"/>
  <c r="Y3315" i="2"/>
  <c r="AH3354" i="2"/>
  <c r="Y3354" i="2"/>
  <c r="AH3358" i="2"/>
  <c r="Y3358" i="2"/>
  <c r="AH3360" i="2"/>
  <c r="Y3360" i="2"/>
  <c r="AH3368" i="2"/>
  <c r="Y3368" i="2"/>
  <c r="AH3393" i="2"/>
  <c r="Y3393" i="2"/>
  <c r="AH3395" i="2"/>
  <c r="Y3395" i="2"/>
  <c r="AH3399" i="2"/>
  <c r="Y3399" i="2"/>
  <c r="AH3403" i="2"/>
  <c r="Y3403" i="2"/>
  <c r="AB3421" i="2"/>
  <c r="AK3421" i="2" s="1"/>
  <c r="Y3421" i="2"/>
  <c r="AB3427" i="2"/>
  <c r="AK3427" i="2" s="1"/>
  <c r="Y3427" i="2"/>
  <c r="AB3451" i="2"/>
  <c r="AK3451" i="2" s="1"/>
  <c r="Y3451" i="2"/>
  <c r="AB3475" i="2"/>
  <c r="AK3475" i="2" s="1"/>
  <c r="Y3475" i="2"/>
  <c r="AB3502" i="2"/>
  <c r="AK3502" i="2" s="1"/>
  <c r="Y3502" i="2"/>
  <c r="AB3515" i="2"/>
  <c r="AK3515" i="2" s="1"/>
  <c r="Y3515" i="2"/>
  <c r="AB3542" i="2"/>
  <c r="AK3542" i="2" s="1"/>
  <c r="Y3542" i="2"/>
  <c r="AB3592" i="2"/>
  <c r="AK3592" i="2" s="1"/>
  <c r="Y3592" i="2"/>
  <c r="AB3596" i="2"/>
  <c r="AK3596" i="2" s="1"/>
  <c r="Y3596" i="2"/>
  <c r="AB3616" i="2"/>
  <c r="AK3616" i="2" s="1"/>
  <c r="Y3616" i="2"/>
  <c r="AK3632" i="2"/>
  <c r="Y3632" i="2"/>
  <c r="AB3643" i="2"/>
  <c r="AK3643" i="2" s="1"/>
  <c r="Y3643" i="2"/>
  <c r="AB3659" i="2"/>
  <c r="AK3659" i="2" s="1"/>
  <c r="Y3659" i="2"/>
  <c r="AB3667" i="2"/>
  <c r="AK3667" i="2" s="1"/>
  <c r="Y3667" i="2"/>
  <c r="AK3683" i="2"/>
  <c r="Y3683" i="2"/>
  <c r="AK3691" i="2"/>
  <c r="Y3691" i="2"/>
  <c r="AB3715" i="2"/>
  <c r="AK3715" i="2" s="1"/>
  <c r="Y3715" i="2"/>
  <c r="Y3723" i="2"/>
  <c r="AB3723" i="2"/>
  <c r="AK3723" i="2" s="1"/>
  <c r="AB3731" i="2"/>
  <c r="AK3731" i="2" s="1"/>
  <c r="Y3731" i="2"/>
  <c r="AB3763" i="2"/>
  <c r="AK3763" i="2" s="1"/>
  <c r="Y3763" i="2"/>
  <c r="Y3779" i="2"/>
  <c r="AB3779" i="2"/>
  <c r="AK3779" i="2" s="1"/>
  <c r="AB3787" i="2"/>
  <c r="AK3787" i="2" s="1"/>
  <c r="Y3787" i="2"/>
  <c r="AB3790" i="2"/>
  <c r="AK3790" i="2" s="1"/>
  <c r="Y3790" i="2"/>
  <c r="AB3795" i="2"/>
  <c r="AK3795" i="2" s="1"/>
  <c r="Y3795" i="2"/>
  <c r="AK3811" i="2"/>
  <c r="Y3811" i="2"/>
  <c r="Y3827" i="2"/>
  <c r="AB3827" i="2"/>
  <c r="AK3827" i="2" s="1"/>
  <c r="AB3830" i="2"/>
  <c r="AK3830" i="2" s="1"/>
  <c r="Y3830" i="2"/>
  <c r="Y3840" i="2"/>
  <c r="AB3840" i="2"/>
  <c r="AK3840" i="2" s="1"/>
  <c r="AB3843" i="2"/>
  <c r="AK3843" i="2" s="1"/>
  <c r="Y3843" i="2"/>
  <c r="Y3864" i="2"/>
  <c r="AB3864" i="2"/>
  <c r="AK3864" i="2" s="1"/>
  <c r="Y3880" i="2"/>
  <c r="AB3880" i="2"/>
  <c r="AK3880" i="2" s="1"/>
  <c r="AB3899" i="2"/>
  <c r="AK3899" i="2" s="1"/>
  <c r="Y3899" i="2"/>
  <c r="Y3904" i="2"/>
  <c r="AB3904" i="2"/>
  <c r="AK3904" i="2" s="1"/>
  <c r="AB3915" i="2"/>
  <c r="AK3915" i="2" s="1"/>
  <c r="Y3915" i="2"/>
  <c r="Y3920" i="2"/>
  <c r="AB3920" i="2"/>
  <c r="AK3920" i="2" s="1"/>
  <c r="AB3928" i="2"/>
  <c r="AK3928" i="2" s="1"/>
  <c r="Y3928" i="2"/>
  <c r="AB3931" i="2"/>
  <c r="AK3931" i="2" s="1"/>
  <c r="Y3931" i="2"/>
  <c r="AB3944" i="2"/>
  <c r="AK3944" i="2" s="1"/>
  <c r="Y3944" i="2"/>
  <c r="AB3955" i="2"/>
  <c r="AK3955" i="2" s="1"/>
  <c r="Y3955" i="2"/>
  <c r="AB3960" i="2"/>
  <c r="AK3960" i="2" s="1"/>
  <c r="Y3960" i="2"/>
  <c r="AB3968" i="2"/>
  <c r="AK3968" i="2" s="1"/>
  <c r="Y3968" i="2"/>
  <c r="Y3971" i="2"/>
  <c r="AB3971" i="2"/>
  <c r="AK3971" i="2" s="1"/>
  <c r="AB3992" i="2"/>
  <c r="AK3992" i="2" s="1"/>
  <c r="Y3992" i="2"/>
  <c r="AB3995" i="2"/>
  <c r="AK3995" i="2" s="1"/>
  <c r="Y3995" i="2"/>
  <c r="AB4008" i="2"/>
  <c r="AK4008" i="2" s="1"/>
  <c r="Y4008" i="2"/>
  <c r="Y4016" i="2"/>
  <c r="AB4016" i="2"/>
  <c r="AK4016" i="2" s="1"/>
  <c r="AB4019" i="2"/>
  <c r="AK4019" i="2" s="1"/>
  <c r="Y4019" i="2"/>
  <c r="AB4027" i="2"/>
  <c r="AK4027" i="2" s="1"/>
  <c r="Y4027" i="2"/>
  <c r="AB4032" i="2"/>
  <c r="AK4032" i="2" s="1"/>
  <c r="Y4032" i="2"/>
  <c r="Y4035" i="2"/>
  <c r="AB4035" i="2"/>
  <c r="AK4035" i="2" s="1"/>
  <c r="Y4048" i="2"/>
  <c r="AB4048" i="2"/>
  <c r="AK4048" i="2" s="1"/>
  <c r="AB4056" i="2"/>
  <c r="AK4056" i="2" s="1"/>
  <c r="Y4056" i="2"/>
  <c r="AB4072" i="2"/>
  <c r="AK4072" i="2" s="1"/>
  <c r="Y4072" i="2"/>
  <c r="Y4085" i="2"/>
  <c r="AB4085" i="2"/>
  <c r="AK4085" i="2" s="1"/>
  <c r="AB4090" i="2"/>
  <c r="AK4090" i="2" s="1"/>
  <c r="Y4090" i="2"/>
  <c r="AK4106" i="2"/>
  <c r="Y4106" i="2"/>
  <c r="AB4111" i="2"/>
  <c r="AK4111" i="2" s="1"/>
  <c r="Y4111" i="2"/>
  <c r="Y4127" i="2"/>
  <c r="AB4127" i="2"/>
  <c r="AK4127" i="2" s="1"/>
  <c r="AB4151" i="2"/>
  <c r="AK4151" i="2" s="1"/>
  <c r="Y4151" i="2"/>
  <c r="Y4167" i="2"/>
  <c r="AB4167" i="2"/>
  <c r="AK4167" i="2" s="1"/>
  <c r="AB4175" i="2"/>
  <c r="AK4175" i="2" s="1"/>
  <c r="Y4175" i="2"/>
  <c r="Y4191" i="2"/>
  <c r="AB4191" i="2"/>
  <c r="AK4191" i="2" s="1"/>
  <c r="AH4748" i="2"/>
  <c r="Y4748" i="2"/>
  <c r="AH4756" i="2"/>
  <c r="Y4756" i="2"/>
  <c r="AH4764" i="2"/>
  <c r="Y4764" i="2"/>
  <c r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
  <c r="AB3412" i="2"/>
  <c r="AK3412" i="2" s="1"/>
  <c r="Y3412" i="2"/>
  <c r="AK2825" i="2"/>
  <c r="Y4231" i="2"/>
  <c r="AB6742" i="2"/>
  <c r="AK6742" i="2" s="1"/>
  <c r="AK4464" i="2"/>
  <c r="Y4464" i="2"/>
  <c r="AB4292" i="2"/>
  <c r="AK4292" i="2" s="1"/>
  <c r="Y4215" i="2"/>
  <c r="AB3063" i="2"/>
  <c r="AK3063" i="2" s="1"/>
  <c r="Y3063" i="2"/>
  <c r="Y3148" i="2"/>
  <c r="AB3148" i="2"/>
  <c r="AK3148" i="2" s="1"/>
  <c r="AB4324" i="2"/>
  <c r="AK4324" i="2" s="1"/>
  <c r="Y2796" i="2"/>
  <c r="Y2820" i="2"/>
  <c r="Y2831" i="2"/>
  <c r="Y2996" i="2"/>
  <c r="Y3045" i="2"/>
  <c r="AB3045" i="2"/>
  <c r="AK3045" i="2" s="1"/>
  <c r="Y3093" i="2"/>
  <c r="AB3093" i="2"/>
  <c r="AK3093" i="2" s="1"/>
  <c r="AB3095" i="2"/>
  <c r="AK3095" i="2" s="1"/>
  <c r="Y3095" i="2"/>
  <c r="AB3192" i="2"/>
  <c r="AK3192" i="2" s="1"/>
  <c r="Y3192" i="2"/>
  <c r="AB3202" i="2"/>
  <c r="AK3202" i="2" s="1"/>
  <c r="Y3202" i="2"/>
  <c r="Y3331" i="2"/>
  <c r="Y3345" i="2"/>
  <c r="Y4059" i="2"/>
  <c r="Y4122" i="2"/>
  <c r="Y4146" i="2"/>
  <c r="Y4218" i="2"/>
  <c r="Y4250" i="2"/>
  <c r="Y4287" i="2"/>
  <c r="Y4295" i="2"/>
  <c r="Y4319" i="2"/>
  <c r="Y4361" i="2"/>
  <c r="Y2879" i="2"/>
  <c r="Y2887" i="2"/>
  <c r="Y2933" i="2"/>
  <c r="Y2941" i="2"/>
  <c r="Y2987" i="2"/>
  <c r="Y2998" i="2"/>
  <c r="Y3006" i="2"/>
  <c r="Y3645" i="2"/>
  <c r="Y3350" i="2"/>
  <c r="AH8151" i="2"/>
  <c r="Y5973" i="2"/>
  <c r="AF5976" i="2"/>
  <c r="AK6047" i="2"/>
  <c r="AC5726" i="2"/>
  <c r="Y5416" i="2"/>
  <c r="AF5448" i="2"/>
  <c r="AF6789" i="2"/>
  <c r="Y3444" i="2"/>
  <c r="Y71" i="2"/>
  <c r="Y52" i="2"/>
  <c r="Y393" i="2"/>
  <c r="Y377" i="2"/>
  <c r="Y367" i="2"/>
  <c r="Y359" i="2"/>
  <c r="Y79" i="2"/>
  <c r="AB675" i="2"/>
  <c r="AK675" i="2" s="1"/>
  <c r="AB172" i="2"/>
  <c r="AK172" i="2" s="1"/>
  <c r="AF146" i="2"/>
  <c r="Y146" i="2"/>
  <c r="AK839" i="2"/>
  <c r="AF122" i="2"/>
  <c r="Y122" i="2"/>
  <c r="AF189" i="2"/>
  <c r="Y189" i="2"/>
  <c r="AB203" i="2"/>
  <c r="AK203" i="2" s="1"/>
  <c r="Y56" i="2"/>
  <c r="Y365" i="2"/>
  <c r="AB671" i="2"/>
  <c r="AK671" i="2" s="1"/>
  <c r="AB59" i="2"/>
  <c r="AK59" i="2" s="1"/>
  <c r="Y59" i="2"/>
  <c r="AB70" i="2"/>
  <c r="AK70" i="2" s="1"/>
  <c r="Y70" i="2"/>
  <c r="AB74" i="2"/>
  <c r="AK74" i="2" s="1"/>
  <c r="AB239" i="2"/>
  <c r="AK239" i="2" s="1"/>
  <c r="Y239" i="2"/>
  <c r="AF241" i="2"/>
  <c r="Y241" i="2"/>
  <c r="AB915" i="2"/>
  <c r="AK915" i="2" s="1"/>
  <c r="Y915" i="2"/>
  <c r="AK39" i="2"/>
  <c r="Y39" i="2"/>
  <c r="AB47" i="2"/>
  <c r="AK47" i="2" s="1"/>
  <c r="Y47" i="2"/>
  <c r="AF219" i="2"/>
  <c r="Y219" i="2"/>
  <c r="AF231" i="2"/>
  <c r="Y231" i="2"/>
  <c r="AF655" i="2"/>
  <c r="Y655" i="2"/>
  <c r="AF659" i="2"/>
  <c r="Y659" i="2"/>
  <c r="AB679" i="2"/>
  <c r="AK679" i="2" s="1"/>
  <c r="Y679" i="2"/>
  <c r="AF907" i="2"/>
  <c r="Y907" i="2"/>
  <c r="Y138" i="2"/>
  <c r="Y657" i="2"/>
  <c r="AB88" i="2"/>
  <c r="AK88" i="2" s="1"/>
  <c r="Y88" i="2"/>
  <c r="AB145" i="2"/>
  <c r="AK145" i="2" s="1"/>
  <c r="Y407" i="2"/>
  <c r="Y397" i="2"/>
  <c r="Y387" i="2"/>
  <c r="Y379" i="2"/>
  <c r="Y677" i="2"/>
  <c r="AB667" i="2"/>
  <c r="AK667" i="2" s="1"/>
  <c r="Y233" i="2"/>
  <c r="Y45" i="2"/>
  <c r="AB35" i="2"/>
  <c r="AK35" i="2" s="1"/>
  <c r="Y903" i="2"/>
  <c r="AB176" i="2"/>
  <c r="AK176" i="2" s="1"/>
  <c r="Y176" i="2"/>
  <c r="AF502" i="2"/>
  <c r="Y502" i="2"/>
  <c r="AF506" i="2"/>
  <c r="Y506" i="2"/>
  <c r="AF516" i="2"/>
  <c r="Y516" i="2"/>
  <c r="Y522" i="2"/>
  <c r="AB522" i="2"/>
  <c r="AK522" i="2" s="1"/>
  <c r="Y554" i="2"/>
  <c r="AB554" i="2"/>
  <c r="AK554" i="2" s="1"/>
  <c r="Y73" i="2"/>
  <c r="Y427" i="2"/>
  <c r="AB417" i="2"/>
  <c r="AK417" i="2" s="1"/>
  <c r="AB405" i="2"/>
  <c r="AK405" i="2" s="1"/>
  <c r="Y361" i="2"/>
  <c r="Y51" i="2"/>
  <c r="Y136" i="2"/>
  <c r="Y665" i="2"/>
  <c r="AB33" i="2"/>
  <c r="AK33" i="2" s="1"/>
  <c r="AF109" i="2"/>
  <c r="Y109" i="2"/>
  <c r="AF111" i="2"/>
  <c r="Y111" i="2"/>
  <c r="AF156" i="2"/>
  <c r="Y156" i="2"/>
  <c r="Y791" i="2"/>
  <c r="AK791" i="2"/>
  <c r="AB795" i="2"/>
  <c r="AK795" i="2" s="1"/>
  <c r="Y795" i="2"/>
  <c r="Y799" i="2"/>
  <c r="AB799" i="2"/>
  <c r="AK799" i="2" s="1"/>
  <c r="AB813" i="2"/>
  <c r="AK813" i="2" s="1"/>
  <c r="Y813" i="2"/>
  <c r="Y91" i="2"/>
  <c r="AB91" i="2"/>
  <c r="AK91" i="2" s="1"/>
  <c r="AB142" i="2"/>
  <c r="AK142" i="2" s="1"/>
  <c r="Y142" i="2"/>
  <c r="AF363" i="2"/>
  <c r="Y363" i="2"/>
  <c r="AF787" i="2"/>
  <c r="Y787" i="2"/>
  <c r="Y563" i="2"/>
  <c r="Y81" i="2"/>
  <c r="Y996" i="2"/>
  <c r="Y975" i="2"/>
  <c r="Y967" i="2"/>
  <c r="Y959" i="2"/>
  <c r="Y951" i="2"/>
  <c r="Y943" i="2"/>
  <c r="Y831" i="2"/>
  <c r="Y291" i="2"/>
  <c r="Y182" i="2"/>
  <c r="Y95" i="2"/>
  <c r="Y107" i="2"/>
  <c r="AB119" i="2"/>
  <c r="AK119" i="2" s="1"/>
  <c r="Y119" i="2"/>
  <c r="Y187" i="2"/>
  <c r="Y741" i="2"/>
  <c r="Y1000" i="2"/>
  <c r="AB631" i="2"/>
  <c r="AK631" i="2" s="1"/>
  <c r="Y621" i="2"/>
  <c r="Y605" i="2"/>
  <c r="Y1042" i="2"/>
  <c r="Y287" i="2"/>
  <c r="Y408" i="2"/>
  <c r="Y394" i="2"/>
  <c r="AK352" i="2"/>
  <c r="Y737" i="2"/>
  <c r="Y611" i="2"/>
  <c r="Y597" i="2"/>
  <c r="Y853" i="2"/>
  <c r="Y767" i="2"/>
  <c r="Y390" i="2"/>
  <c r="Y376" i="2"/>
  <c r="Y350" i="2"/>
  <c r="Y29" i="2"/>
  <c r="Y789" i="2"/>
  <c r="R43" i="3"/>
  <c r="T43" i="3" s="1"/>
  <c r="U43" i="3" s="1"/>
  <c r="V43" i="3" s="1"/>
  <c r="AC2658" i="2"/>
  <c r="Y2371" i="2"/>
  <c r="AF2371" i="2"/>
  <c r="Y293" i="2"/>
  <c r="Y323" i="2"/>
  <c r="Y132" i="2"/>
  <c r="Y285" i="2"/>
  <c r="Y289" i="2"/>
  <c r="Y683" i="2"/>
  <c r="AH3382" i="2"/>
  <c r="Y3382" i="2"/>
  <c r="AB3406" i="2"/>
  <c r="AK3406" i="2" s="1"/>
  <c r="Y3406" i="2"/>
  <c r="AB3638" i="2"/>
  <c r="AK3638" i="2" s="1"/>
  <c r="Y3638" i="2"/>
  <c r="AB3859" i="2"/>
  <c r="AK3859" i="2" s="1"/>
  <c r="Y3859" i="2"/>
  <c r="Y3867" i="2"/>
  <c r="AB3867" i="2"/>
  <c r="AK3867" i="2" s="1"/>
  <c r="Y3939" i="2"/>
  <c r="AB3939" i="2"/>
  <c r="AK3939" i="2" s="1"/>
  <c r="AB3947" i="2"/>
  <c r="AK3947" i="2" s="1"/>
  <c r="Y3947" i="2"/>
  <c r="AK3963" i="2"/>
  <c r="Y4109" i="2"/>
  <c r="AB4109" i="2"/>
  <c r="AK4109" i="2" s="1"/>
  <c r="Y3351" i="2"/>
  <c r="Y3341" i="2"/>
  <c r="Y2800" i="2"/>
  <c r="AB3576" i="2"/>
  <c r="AK3576" i="2" s="1"/>
  <c r="Y3494" i="2"/>
  <c r="Y3446" i="2"/>
  <c r="Y3402" i="2"/>
  <c r="AB3595" i="2"/>
  <c r="AK3595" i="2" s="1"/>
  <c r="AB3552" i="2"/>
  <c r="AK3552" i="2" s="1"/>
  <c r="Y3552" i="2"/>
  <c r="Y3611" i="2"/>
  <c r="Y25" i="2"/>
  <c r="Y260" i="2"/>
  <c r="Y418" i="2"/>
  <c r="Y1040" i="2"/>
  <c r="AK4812" i="2"/>
  <c r="Y3367" i="2"/>
  <c r="Y3329" i="2"/>
  <c r="AB2770" i="2"/>
  <c r="AK2770" i="2" s="1"/>
  <c r="Y2873" i="2"/>
  <c r="AB3423" i="2"/>
  <c r="AK3423" i="2" s="1"/>
  <c r="Y3571" i="2"/>
  <c r="AB3534" i="2"/>
  <c r="AK3534" i="2" s="1"/>
  <c r="AB3400" i="2"/>
  <c r="AK3400" i="2" s="1"/>
  <c r="Y3374" i="2"/>
  <c r="AB3304" i="2"/>
  <c r="AK3304" i="2" s="1"/>
  <c r="Y3587" i="2"/>
  <c r="Y3750" i="2"/>
  <c r="Y2871" i="2"/>
  <c r="AK2871" i="2"/>
  <c r="AB2938" i="2"/>
  <c r="AK2938" i="2" s="1"/>
  <c r="Y2938" i="2"/>
  <c r="Y2946" i="2"/>
  <c r="AB2946" i="2"/>
  <c r="AK2946" i="2" s="1"/>
  <c r="Y3339" i="2"/>
  <c r="Y3327" i="2"/>
  <c r="Y3563" i="2"/>
  <c r="Y3526" i="2"/>
  <c r="Y3478" i="2"/>
  <c r="Y3438" i="2"/>
  <c r="Y3398" i="2"/>
  <c r="Y3316" i="2"/>
  <c r="Y3302" i="2"/>
  <c r="AB2820" i="2"/>
  <c r="AK2820" i="2" s="1"/>
  <c r="Y2865" i="2"/>
  <c r="Y2876" i="2"/>
  <c r="Y2884" i="2"/>
  <c r="Y2892" i="2"/>
  <c r="AB2892" i="2"/>
  <c r="AK2892" i="2" s="1"/>
  <c r="Y2951" i="2"/>
  <c r="Y2973" i="2"/>
  <c r="Y2976" i="2"/>
  <c r="AK3155" i="2"/>
  <c r="Y3347" i="2"/>
  <c r="Y3325" i="2"/>
  <c r="Y3384" i="2"/>
  <c r="AK3302" i="2"/>
  <c r="AB3627" i="2"/>
  <c r="AK3627" i="2" s="1"/>
  <c r="AB3678" i="2"/>
  <c r="AK3678" i="2" s="1"/>
  <c r="AB2812" i="2"/>
  <c r="AK2812" i="2" s="1"/>
  <c r="Y2812" i="2"/>
  <c r="AB2854" i="2"/>
  <c r="AK2854" i="2" s="1"/>
  <c r="Y2854" i="2"/>
  <c r="Y3337" i="2"/>
  <c r="Y3555" i="2"/>
  <c r="AB3518" i="2"/>
  <c r="AK3518" i="2" s="1"/>
  <c r="Y3470" i="2"/>
  <c r="Y3430" i="2"/>
  <c r="Y3396" i="2"/>
  <c r="Y3619" i="2"/>
  <c r="Y2889" i="2"/>
  <c r="Y2948" i="2"/>
  <c r="Y2989" i="2"/>
  <c r="AB3026" i="2"/>
  <c r="AK3026" i="2" s="1"/>
  <c r="Y3026" i="2"/>
  <c r="Y3510" i="2"/>
  <c r="Y3380" i="2"/>
  <c r="Y3300" i="2"/>
  <c r="AB2796" i="2"/>
  <c r="AK2796" i="2" s="1"/>
  <c r="AK3619" i="2"/>
  <c r="Y2793" i="2"/>
  <c r="Y2801" i="2"/>
  <c r="AF2804" i="2"/>
  <c r="Y2809" i="2"/>
  <c r="Y2817" i="2"/>
  <c r="AF2820" i="2"/>
  <c r="Y2825" i="2"/>
  <c r="Y2833" i="2"/>
  <c r="Y2867" i="2"/>
  <c r="Y2870" i="2"/>
  <c r="AB2918" i="2"/>
  <c r="AK2918" i="2" s="1"/>
  <c r="Y2918" i="2"/>
  <c r="AB2926" i="2"/>
  <c r="AK2926" i="2" s="1"/>
  <c r="Y2926" i="2"/>
  <c r="Y3343" i="2"/>
  <c r="Y3335" i="2"/>
  <c r="AB3547" i="2"/>
  <c r="AK3547" i="2" s="1"/>
  <c r="Y3462" i="2"/>
  <c r="Y3390" i="2"/>
  <c r="Y3378" i="2"/>
  <c r="AB2843" i="2"/>
  <c r="AK2843" i="2" s="1"/>
  <c r="Y3049" i="2"/>
  <c r="AK3049" i="2"/>
  <c r="AB3075" i="2"/>
  <c r="AK3075" i="2" s="1"/>
  <c r="Y3075" i="2"/>
  <c r="AK4345" i="2"/>
  <c r="Y4345" i="2"/>
  <c r="AK4377" i="2"/>
  <c r="Y4377" i="2"/>
  <c r="AK5055" i="2"/>
  <c r="AF5038" i="2"/>
  <c r="Y5038" i="2"/>
  <c r="AF5047" i="2"/>
  <c r="Y5047" i="2"/>
  <c r="Y2899" i="2"/>
  <c r="Y2980" i="2"/>
  <c r="Y3180" i="2"/>
  <c r="AB3180" i="2"/>
  <c r="AK3180" i="2" s="1"/>
  <c r="AB4218" i="2"/>
  <c r="AK4218" i="2" s="1"/>
  <c r="AH3356" i="2"/>
  <c r="Y3356" i="2"/>
  <c r="AH3364" i="2"/>
  <c r="Y3364" i="2"/>
  <c r="Y3129" i="2"/>
  <c r="AB3129" i="2"/>
  <c r="AK3129" i="2" s="1"/>
  <c r="Y3449" i="2"/>
  <c r="Y3481" i="2"/>
  <c r="Y3513" i="2"/>
  <c r="AK3558" i="2"/>
  <c r="Y3582" i="2"/>
  <c r="Y2818" i="2"/>
  <c r="Y2826" i="2"/>
  <c r="Y2842" i="2"/>
  <c r="Y2851" i="2"/>
  <c r="Y2949" i="2"/>
  <c r="AB5861" i="2"/>
  <c r="AK5861" i="2" s="1"/>
  <c r="AB5602" i="2"/>
  <c r="AK5602" i="2" s="1"/>
  <c r="AB5853" i="2"/>
  <c r="AK5853" i="2" s="1"/>
  <c r="Y5821" i="2"/>
  <c r="AB5541" i="2"/>
  <c r="AK5541" i="2" s="1"/>
  <c r="AB5962" i="2"/>
  <c r="AK5962" i="2" s="1"/>
  <c r="AB5946" i="2"/>
  <c r="AK5946" i="2" s="1"/>
  <c r="AC5573" i="2"/>
  <c r="AB5517" i="2"/>
  <c r="AK5517" i="2" s="1"/>
  <c r="Y5738" i="2"/>
  <c r="AB5650" i="2"/>
  <c r="AK5650" i="2" s="1"/>
  <c r="Y5634" i="2"/>
  <c r="Y3452" i="2"/>
  <c r="Y3468" i="2"/>
  <c r="R157" i="3"/>
  <c r="T157" i="3" s="1"/>
  <c r="U157" i="3" s="1"/>
  <c r="V157" i="3" s="1"/>
  <c r="AB5666" i="2"/>
  <c r="AK5666" i="2" s="1"/>
  <c r="R150" i="3"/>
  <c r="T150" i="3" s="1"/>
  <c r="U150" i="3" s="1"/>
  <c r="V150" i="3" s="1"/>
  <c r="R158" i="3"/>
  <c r="T158" i="3" s="1"/>
  <c r="U158" i="3" s="1"/>
  <c r="V158" i="3" s="1"/>
  <c r="AB6892" i="2"/>
  <c r="AK6892" i="2" s="1"/>
  <c r="AC5738" i="2"/>
  <c r="AK5485" i="2"/>
  <c r="AC5485" i="2"/>
  <c r="AK5549" i="2"/>
  <c r="AC5565" i="2"/>
  <c r="Y5565" i="2"/>
  <c r="AC5618" i="2"/>
  <c r="AB5618" i="2"/>
  <c r="AK5618" i="2" s="1"/>
  <c r="AC5642" i="2"/>
  <c r="Y5642" i="2"/>
  <c r="AK5658" i="2"/>
  <c r="AC5658" i="2"/>
  <c r="Y5658" i="2"/>
  <c r="AC5674" i="2"/>
  <c r="AB5674" i="2"/>
  <c r="AK5674" i="2" s="1"/>
  <c r="AC5714" i="2"/>
  <c r="AK5714" i="2"/>
  <c r="AC5722" i="2"/>
  <c r="AB5722" i="2"/>
  <c r="AK5722" i="2" s="1"/>
  <c r="AC5730" i="2"/>
  <c r="AK5730" i="2"/>
  <c r="AC5762" i="2"/>
  <c r="Y5762" i="2"/>
  <c r="Y5017" i="2"/>
  <c r="Y6474" i="2"/>
  <c r="AB6423" i="2"/>
  <c r="AK6423" i="2" s="1"/>
  <c r="AF5373" i="2"/>
  <c r="AF5458" i="2"/>
  <c r="AF5471" i="2"/>
  <c r="Y5482" i="2"/>
  <c r="AF5530" i="2"/>
  <c r="AK1978" i="2"/>
  <c r="Y329" i="2"/>
  <c r="AF615" i="2"/>
  <c r="Y615" i="2"/>
  <c r="AF623" i="2"/>
  <c r="Y623" i="2"/>
  <c r="Y5" i="2"/>
  <c r="AB5" i="2"/>
  <c r="Y13" i="2"/>
  <c r="AB13" i="2"/>
  <c r="AK13" i="2" s="1"/>
  <c r="AF317" i="2"/>
  <c r="Y317" i="2"/>
  <c r="AK340" i="2"/>
  <c r="Y340" i="2"/>
  <c r="Y354" i="2"/>
  <c r="AK356" i="2"/>
  <c r="Y356" i="2"/>
  <c r="Y526" i="2"/>
  <c r="AK653" i="2"/>
  <c r="Y653" i="2"/>
  <c r="Y262" i="2"/>
  <c r="AB262" i="2"/>
  <c r="AK262" i="2" s="1"/>
  <c r="AB364" i="2"/>
  <c r="AK364" i="2" s="1"/>
  <c r="Y364" i="2"/>
  <c r="AB374" i="2"/>
  <c r="AK374" i="2" s="1"/>
  <c r="Y374" i="2"/>
  <c r="AB398" i="2"/>
  <c r="AK398" i="2" s="1"/>
  <c r="Y398" i="2"/>
  <c r="AB534" i="2"/>
  <c r="AK534" i="2" s="1"/>
  <c r="Y534" i="2"/>
  <c r="AB546" i="2"/>
  <c r="AK546" i="2" s="1"/>
  <c r="Y546" i="2"/>
  <c r="AB55" i="2"/>
  <c r="AK55" i="2" s="1"/>
  <c r="Y55" i="2"/>
  <c r="AF76" i="2"/>
  <c r="Y76" i="2"/>
  <c r="AF116" i="2"/>
  <c r="Y116" i="2"/>
  <c r="AB152" i="2"/>
  <c r="AK152" i="2" s="1"/>
  <c r="Y152" i="2"/>
  <c r="AB158" i="2"/>
  <c r="AK158" i="2" s="1"/>
  <c r="Y158" i="2"/>
  <c r="Y160" i="2"/>
  <c r="AK227" i="2"/>
  <c r="Y227" i="2"/>
  <c r="Y235" i="2"/>
  <c r="Y254" i="2"/>
  <c r="Y302" i="2"/>
  <c r="AC86" i="2"/>
  <c r="AB86" i="2"/>
  <c r="AK86" i="2" s="1"/>
  <c r="R26" i="3"/>
  <c r="T26" i="3" s="1"/>
  <c r="U26" i="3" s="1"/>
  <c r="V26" i="3" s="1"/>
  <c r="AB168" i="2"/>
  <c r="AK168" i="2" s="1"/>
  <c r="AB184" i="2"/>
  <c r="AK184" i="2" s="1"/>
  <c r="Y184" i="2"/>
  <c r="Y97" i="2"/>
  <c r="AB97" i="2"/>
  <c r="AK97" i="2" s="1"/>
  <c r="AB438" i="2"/>
  <c r="AK438" i="2" s="1"/>
  <c r="Y438" i="2"/>
  <c r="AB446" i="2"/>
  <c r="AK446" i="2" s="1"/>
  <c r="Y446" i="2"/>
  <c r="Y458" i="2"/>
  <c r="AB458" i="2"/>
  <c r="AK458" i="2" s="1"/>
  <c r="Y484" i="2"/>
  <c r="AB484" i="2"/>
  <c r="AK484" i="2" s="1"/>
  <c r="AB125" i="2"/>
  <c r="AK125" i="2" s="1"/>
  <c r="Y125" i="2"/>
  <c r="AF371" i="2"/>
  <c r="Y371" i="2"/>
  <c r="Y281" i="2"/>
  <c r="Y386" i="2"/>
  <c r="Y2361" i="2"/>
  <c r="Y733" i="2"/>
  <c r="Y707" i="2"/>
  <c r="Y1032" i="2"/>
  <c r="Y1024" i="2"/>
  <c r="Y560" i="2"/>
  <c r="Y512" i="2"/>
  <c r="Y476" i="2"/>
  <c r="Y468" i="2"/>
  <c r="Y420" i="2"/>
  <c r="Y895" i="2"/>
  <c r="Y344" i="2"/>
  <c r="Y133" i="2"/>
  <c r="AB4265" i="2"/>
  <c r="AK4265" i="2" s="1"/>
  <c r="R71" i="3"/>
  <c r="T71" i="3" s="1"/>
  <c r="U71" i="3" s="1"/>
  <c r="V71" i="3" s="1"/>
  <c r="AB2912" i="2"/>
  <c r="AK2912" i="2" s="1"/>
  <c r="AB3254" i="2"/>
  <c r="AK3254" i="2" s="1"/>
  <c r="AB3238" i="2"/>
  <c r="AK3238" i="2" s="1"/>
  <c r="AB3230" i="2"/>
  <c r="AB3220" i="2"/>
  <c r="AK3220" i="2" s="1"/>
  <c r="AB4083" i="2"/>
  <c r="AK4083" i="2" s="1"/>
  <c r="Y4043" i="2"/>
  <c r="AB4011" i="2"/>
  <c r="AK4011" i="2" s="1"/>
  <c r="AB3907" i="2"/>
  <c r="AK3907" i="2" s="1"/>
  <c r="AB3835" i="2"/>
  <c r="AK3835" i="2" s="1"/>
  <c r="Y3798" i="2"/>
  <c r="AB3758" i="2"/>
  <c r="AK3758" i="2" s="1"/>
  <c r="AB3726" i="2"/>
  <c r="AK3726" i="2" s="1"/>
  <c r="AB3646" i="2"/>
  <c r="AK3646" i="2" s="1"/>
  <c r="AK3694" i="2"/>
  <c r="Y3694" i="2"/>
  <c r="AK4101" i="2"/>
  <c r="Y3242" i="2"/>
  <c r="Y3822" i="2"/>
  <c r="AK3750" i="2"/>
  <c r="Y3710" i="2"/>
  <c r="Y3670" i="2"/>
  <c r="AB6740" i="2"/>
  <c r="AK6740" i="2" s="1"/>
  <c r="AB3250" i="2"/>
  <c r="AK3250" i="2" s="1"/>
  <c r="Y3234" i="2"/>
  <c r="Y3226" i="2"/>
  <c r="Y3851" i="2"/>
  <c r="Y3782" i="2"/>
  <c r="Y2811" i="2"/>
  <c r="Y2846" i="2"/>
  <c r="Y2891" i="2"/>
  <c r="Y2902" i="2"/>
  <c r="Y2910" i="2"/>
  <c r="Y3248" i="2"/>
  <c r="Y3240" i="2"/>
  <c r="Y3224" i="2"/>
  <c r="AB3891" i="2"/>
  <c r="AK3891" i="2" s="1"/>
  <c r="Y3814" i="2"/>
  <c r="Y3742" i="2"/>
  <c r="Y3702" i="2"/>
  <c r="Y3662" i="2"/>
  <c r="Y2808" i="2"/>
  <c r="Y2840" i="2"/>
  <c r="Y2848" i="2"/>
  <c r="Y3232" i="2"/>
  <c r="Y3222" i="2"/>
  <c r="Y3774" i="2"/>
  <c r="Y3654" i="2"/>
  <c r="Y3246" i="2"/>
  <c r="Y3238" i="2"/>
  <c r="Y3806" i="2"/>
  <c r="Y3734" i="2"/>
  <c r="Y3686" i="2"/>
  <c r="Y2784" i="2"/>
  <c r="AF2824" i="2"/>
  <c r="AB2882" i="2"/>
  <c r="AK2882" i="2" s="1"/>
  <c r="Y2882" i="2"/>
  <c r="Y2762" i="2"/>
  <c r="Y3342" i="2"/>
  <c r="AK3230" i="2"/>
  <c r="AB3979" i="2"/>
  <c r="AK3979" i="2" s="1"/>
  <c r="Y3875" i="2"/>
  <c r="Y3766" i="2"/>
  <c r="Y2791" i="2"/>
  <c r="Y2799" i="2"/>
  <c r="AF5334" i="2"/>
  <c r="AF5479" i="2"/>
  <c r="AF5559" i="2"/>
  <c r="AF5604" i="2"/>
  <c r="AF5612" i="2"/>
  <c r="AF5620" i="2"/>
  <c r="AF5628" i="2"/>
  <c r="AF5636" i="2"/>
  <c r="Y3011" i="2"/>
  <c r="Y6677" i="2"/>
  <c r="AK5662" i="2"/>
  <c r="AK5972" i="2"/>
  <c r="Y2895" i="2"/>
  <c r="Y2903" i="2"/>
  <c r="Y2911" i="2"/>
  <c r="Y2919" i="2"/>
  <c r="Y2927" i="2"/>
  <c r="Y2935" i="2"/>
  <c r="Y2943" i="2"/>
  <c r="Y2954" i="2"/>
  <c r="Y2962" i="2"/>
  <c r="Y2970" i="2"/>
  <c r="AB6677" i="2"/>
  <c r="AK6677" i="2" s="1"/>
  <c r="Y2894" i="2"/>
  <c r="Y2905" i="2"/>
  <c r="Y2986" i="2"/>
  <c r="Y3010" i="2"/>
  <c r="Y3579" i="2"/>
  <c r="Y3622" i="2"/>
  <c r="AC5359" i="2"/>
  <c r="Y5372" i="2"/>
  <c r="AK6743" i="2"/>
  <c r="AK5771" i="2"/>
  <c r="AK5964" i="2"/>
  <c r="Y2950" i="2"/>
  <c r="AB5362" i="2"/>
  <c r="AK5362" i="2" s="1"/>
  <c r="Y5431" i="2"/>
  <c r="AK6569" i="2"/>
  <c r="AB5357" i="2"/>
  <c r="AK5357" i="2" s="1"/>
  <c r="AB5361" i="2"/>
  <c r="AK5361" i="2" s="1"/>
  <c r="Y225" i="2"/>
  <c r="AK360" i="2"/>
  <c r="Y436" i="2"/>
  <c r="Y21" i="2"/>
  <c r="Y65" i="2"/>
  <c r="AB80" i="2"/>
  <c r="AK80" i="2" s="1"/>
  <c r="Y380" i="2"/>
  <c r="AK392" i="2"/>
  <c r="Y392" i="2"/>
  <c r="Y454" i="2"/>
  <c r="AF315" i="2"/>
  <c r="Y315" i="2"/>
  <c r="AK327" i="2"/>
  <c r="Y174" i="2"/>
  <c r="Y325" i="2"/>
  <c r="AB331" i="2"/>
  <c r="AK331" i="2" s="1"/>
  <c r="Y331" i="2"/>
  <c r="Y346" i="2"/>
  <c r="Y129" i="2"/>
  <c r="AB129" i="2"/>
  <c r="AK129" i="2" s="1"/>
  <c r="AK430" i="2"/>
  <c r="AB3365" i="2"/>
  <c r="AK3365" i="2" s="1"/>
  <c r="Y311" i="2"/>
  <c r="Y313" i="2"/>
  <c r="Y466" i="2"/>
  <c r="Y500" i="2"/>
  <c r="Y504" i="2"/>
  <c r="Y510" i="2"/>
  <c r="AB2061" i="2"/>
  <c r="AK2061" i="2" s="1"/>
  <c r="Y2061" i="2"/>
  <c r="Y2758" i="2"/>
  <c r="AB2758" i="2"/>
  <c r="AK2758" i="2" s="1"/>
  <c r="AK3307" i="2"/>
  <c r="Y115" i="2"/>
  <c r="Y117" i="2"/>
  <c r="Y121" i="2"/>
  <c r="Y406" i="2"/>
  <c r="Y412" i="2"/>
  <c r="Y450" i="2"/>
  <c r="Y542" i="2"/>
  <c r="Y544" i="2"/>
  <c r="AC2757" i="2"/>
  <c r="Y2757" i="2"/>
  <c r="Y2883" i="2"/>
  <c r="Y2886" i="2"/>
  <c r="Y3392" i="2"/>
  <c r="AB2986" i="2"/>
  <c r="AK2986" i="2" s="1"/>
  <c r="Y2798" i="2"/>
  <c r="AB3125" i="2"/>
  <c r="AK3125" i="2" s="1"/>
  <c r="AB3034" i="2"/>
  <c r="AK3034" i="2" s="1"/>
  <c r="AB3127" i="2"/>
  <c r="AK3127" i="2" s="1"/>
  <c r="Y2843" i="2"/>
  <c r="AK2894" i="2"/>
  <c r="Y2916" i="2"/>
  <c r="Y2940" i="2"/>
  <c r="Y2959" i="2"/>
  <c r="Y2967" i="2"/>
  <c r="Y2786" i="2"/>
  <c r="Y2773" i="2"/>
  <c r="Y2835" i="2"/>
  <c r="Y2795" i="2"/>
  <c r="Y2803" i="2"/>
  <c r="Y2819" i="2"/>
  <c r="AB3418" i="2"/>
  <c r="AK3418" i="2" s="1"/>
  <c r="AK2773" i="2"/>
  <c r="AB2799" i="2"/>
  <c r="AK2799" i="2" s="1"/>
  <c r="Y2897" i="2"/>
  <c r="Y2875" i="2"/>
  <c r="AK2819" i="2"/>
  <c r="Y2822" i="2"/>
  <c r="Y2760" i="2"/>
  <c r="R85" i="3"/>
  <c r="T85" i="3" s="1"/>
  <c r="U85" i="3" s="1"/>
  <c r="V85" i="3" s="1"/>
  <c r="AB2769" i="2"/>
  <c r="AK2769" i="2" s="1"/>
  <c r="Y3386" i="2"/>
  <c r="AB3188" i="2"/>
  <c r="AK3188" i="2" s="1"/>
  <c r="AB2940" i="2"/>
  <c r="AK2940" i="2" s="1"/>
  <c r="Y2814" i="2"/>
  <c r="AB2967" i="2"/>
  <c r="AK2967" i="2" s="1"/>
  <c r="Y3418" i="2"/>
  <c r="AC5343" i="2"/>
  <c r="AC5363" i="2"/>
  <c r="R154" i="3"/>
  <c r="T154" i="3" s="1"/>
  <c r="U154" i="3" s="1"/>
  <c r="V154" i="3" s="1"/>
  <c r="Y3707" i="2"/>
  <c r="Y3718" i="2"/>
  <c r="AC5334" i="2"/>
  <c r="AC5345" i="2"/>
  <c r="R159" i="3"/>
  <c r="T159" i="3" s="1"/>
  <c r="U159" i="3" s="1"/>
  <c r="V159" i="3" s="1"/>
  <c r="AK5599" i="2"/>
  <c r="AF3680" i="2"/>
  <c r="Y5347" i="2"/>
  <c r="Y5358" i="2"/>
  <c r="AB5372" i="2"/>
  <c r="AK5372" i="2" s="1"/>
  <c r="R148" i="3"/>
  <c r="T148" i="3" s="1"/>
  <c r="U148" i="3" s="1"/>
  <c r="V148" i="3" s="1"/>
  <c r="AK6835" i="2"/>
  <c r="AK5718" i="2"/>
  <c r="AK5977" i="2"/>
  <c r="AK5596" i="2"/>
  <c r="Y2913" i="2"/>
  <c r="AF2916" i="2"/>
  <c r="Y2929" i="2"/>
  <c r="Y2937" i="2"/>
  <c r="Y2945" i="2"/>
  <c r="Y2956" i="2"/>
  <c r="Y2964" i="2"/>
  <c r="Y2975" i="2"/>
  <c r="Y2994" i="2"/>
  <c r="Y3002" i="2"/>
  <c r="Y3005" i="2"/>
  <c r="Y3013" i="2"/>
  <c r="Y3550" i="2"/>
  <c r="Y3569" i="2"/>
  <c r="AC5347" i="2"/>
  <c r="Y5351" i="2"/>
  <c r="AC5358" i="2"/>
  <c r="AK6766" i="2"/>
  <c r="Y3486" i="2"/>
  <c r="AK2014" i="2"/>
  <c r="AK390" i="2"/>
  <c r="AK1982" i="2"/>
  <c r="AK2049" i="2"/>
  <c r="AK422" i="2"/>
  <c r="Y277" i="2"/>
  <c r="Y237" i="2"/>
  <c r="Y23" i="2"/>
  <c r="AK542" i="2"/>
  <c r="AK510" i="2"/>
  <c r="AK450" i="2"/>
  <c r="AB388" i="2"/>
  <c r="AK388" i="2" s="1"/>
  <c r="Y327" i="2"/>
  <c r="Y243" i="2"/>
  <c r="AF281" i="2"/>
  <c r="AF418" i="2"/>
  <c r="AB29" i="2"/>
  <c r="AK29" i="2" s="1"/>
  <c r="Y103" i="2"/>
  <c r="Y540" i="2"/>
  <c r="Y508" i="2"/>
  <c r="Y448" i="2"/>
  <c r="Y422" i="2"/>
  <c r="Y256" i="2"/>
  <c r="Y186" i="2"/>
  <c r="AB121" i="2"/>
  <c r="AK121" i="2" s="1"/>
  <c r="AK76" i="2"/>
  <c r="Y131" i="2"/>
  <c r="Y250" i="2"/>
  <c r="Y352" i="2"/>
  <c r="Y178" i="2"/>
  <c r="Y74" i="2"/>
  <c r="Y384" i="2"/>
  <c r="AB133" i="2"/>
  <c r="AK133" i="2" s="1"/>
  <c r="AK117" i="2"/>
  <c r="Y72" i="2"/>
  <c r="R84" i="3"/>
  <c r="T84" i="3" s="1"/>
  <c r="U84" i="3" s="1"/>
  <c r="V84" i="3" s="1"/>
  <c r="AB4356" i="2"/>
  <c r="AK4356" i="2" s="1"/>
  <c r="AB4263" i="2"/>
  <c r="AK4263" i="2" s="1"/>
  <c r="R83" i="3"/>
  <c r="T83" i="3" s="1"/>
  <c r="U83" i="3" s="1"/>
  <c r="V83" i="3" s="1"/>
  <c r="AB4828" i="2"/>
  <c r="AK4828" i="2" s="1"/>
  <c r="AK3323" i="2"/>
  <c r="AK3318" i="2"/>
  <c r="AC2762" i="2"/>
  <c r="AB2364" i="2"/>
  <c r="AK2364" i="2" s="1"/>
  <c r="AB2762" i="2"/>
  <c r="AK2762" i="2" s="1"/>
  <c r="AB3311" i="2"/>
  <c r="AK3311" i="2" s="1"/>
  <c r="AK4813" i="2"/>
  <c r="Y2782" i="2"/>
  <c r="AK2803" i="2"/>
  <c r="AK2810" i="2"/>
  <c r="Y2364" i="2"/>
  <c r="AK2361" i="2"/>
  <c r="AB2778" i="2"/>
  <c r="AK2778" i="2" s="1"/>
  <c r="Y2778" i="2"/>
  <c r="Y2783" i="2"/>
  <c r="AB2783" i="2"/>
  <c r="AK2783" i="2" s="1"/>
  <c r="AB2788" i="2"/>
  <c r="AK2788" i="2" s="1"/>
  <c r="Y2788" i="2"/>
  <c r="AB2790" i="2"/>
  <c r="AK2790" i="2" s="1"/>
  <c r="Y2790" i="2"/>
  <c r="Y2849" i="2"/>
  <c r="AB2849" i="2"/>
  <c r="AK2849" i="2" s="1"/>
  <c r="AB2864" i="2"/>
  <c r="AK2864" i="2" s="1"/>
  <c r="Y2864" i="2"/>
  <c r="AK2924" i="2"/>
  <c r="AK3378" i="2"/>
  <c r="AK2780" i="2"/>
  <c r="AK2765" i="2"/>
  <c r="AB2781" i="2"/>
  <c r="AK2781" i="2" s="1"/>
  <c r="AB2827" i="2"/>
  <c r="AK2827" i="2" s="1"/>
  <c r="Y2827" i="2"/>
  <c r="AB2861" i="2"/>
  <c r="AK2861" i="2" s="1"/>
  <c r="AK3333" i="2"/>
  <c r="AB2816" i="2"/>
  <c r="AK2816" i="2" s="1"/>
  <c r="AB2832" i="2"/>
  <c r="AK2832" i="2" s="1"/>
  <c r="Y2832" i="2"/>
  <c r="AB2852" i="2"/>
  <c r="AK2852" i="2" s="1"/>
  <c r="Y2852" i="2"/>
  <c r="AK2798" i="2"/>
  <c r="AK2771" i="2"/>
  <c r="AB2821" i="2"/>
  <c r="AK2821" i="2" s="1"/>
  <c r="AB2860" i="2"/>
  <c r="AK2860" i="2" s="1"/>
  <c r="Y2860" i="2"/>
  <c r="Y2953" i="2"/>
  <c r="AK3081" i="2"/>
  <c r="Y3081" i="2"/>
  <c r="Y2869" i="2"/>
  <c r="AK2934" i="2"/>
  <c r="AB2983" i="2"/>
  <c r="AK2983" i="2" s="1"/>
  <c r="Y2983" i="2"/>
  <c r="AB3020" i="2"/>
  <c r="AK3020" i="2" s="1"/>
  <c r="Y3020" i="2"/>
  <c r="AB3022" i="2"/>
  <c r="AK3022" i="2" s="1"/>
  <c r="Y3030" i="2"/>
  <c r="AK3030" i="2"/>
  <c r="Y3032" i="2"/>
  <c r="AB3032" i="2"/>
  <c r="AK3032" i="2" s="1"/>
  <c r="AB3739" i="2"/>
  <c r="AK3739" i="2" s="1"/>
  <c r="Y3739" i="2"/>
  <c r="Y2863" i="2"/>
  <c r="Y2877" i="2"/>
  <c r="Y2885" i="2"/>
  <c r="Y2958" i="2"/>
  <c r="Y2988" i="2"/>
  <c r="AB2996" i="2"/>
  <c r="AK2996" i="2" s="1"/>
  <c r="AK3166" i="2"/>
  <c r="Y3166" i="2"/>
  <c r="AB3174" i="2"/>
  <c r="AK3174" i="2" s="1"/>
  <c r="Y2890" i="2"/>
  <c r="AB2959" i="2"/>
  <c r="AK2959" i="2" s="1"/>
  <c r="AB2953" i="2"/>
  <c r="AK2953" i="2" s="1"/>
  <c r="AK2823" i="2"/>
  <c r="Y2823" i="2"/>
  <c r="Y2924" i="2"/>
  <c r="AK3047" i="2"/>
  <c r="Y3047" i="2"/>
  <c r="AB3055" i="2"/>
  <c r="AK3055" i="2" s="1"/>
  <c r="Y3113" i="2"/>
  <c r="AB3113" i="2"/>
  <c r="AK3113" i="2" s="1"/>
  <c r="AB3598" i="2"/>
  <c r="AK3598" i="2" s="1"/>
  <c r="Y3598" i="2"/>
  <c r="AB2910" i="2"/>
  <c r="AK2910" i="2" s="1"/>
  <c r="Y2874" i="2"/>
  <c r="AB3144" i="2"/>
  <c r="AK3144" i="2" s="1"/>
  <c r="Y3144" i="2"/>
  <c r="AB2878" i="2"/>
  <c r="AK2878" i="2" s="1"/>
  <c r="Y2878" i="2"/>
  <c r="AB2900" i="2"/>
  <c r="AK2900" i="2" s="1"/>
  <c r="Y2900" i="2"/>
  <c r="Y2908" i="2"/>
  <c r="AB2908" i="2"/>
  <c r="AK2908" i="2" s="1"/>
  <c r="Y2932" i="2"/>
  <c r="AB2997" i="2"/>
  <c r="AK2997" i="2" s="1"/>
  <c r="Y2997" i="2"/>
  <c r="AB3071" i="2"/>
  <c r="AK3071" i="2" s="1"/>
  <c r="Y3071" i="2"/>
  <c r="AB3073" i="2"/>
  <c r="AK3073" i="2" s="1"/>
  <c r="Y3073" i="2"/>
  <c r="Y3119" i="2"/>
  <c r="AB3119" i="2"/>
  <c r="AK3119" i="2" s="1"/>
  <c r="Y5337" i="2"/>
  <c r="Y1677" i="2"/>
  <c r="Y5334" i="2"/>
  <c r="Y5349" i="2"/>
  <c r="AC5342" i="2"/>
  <c r="AB5352" i="2"/>
  <c r="AK5352" i="2" s="1"/>
  <c r="AC5337" i="2"/>
  <c r="AK5654" i="2"/>
  <c r="AF5796" i="2"/>
  <c r="AC5594" i="2"/>
  <c r="AK5598" i="2"/>
  <c r="AF5489" i="2"/>
  <c r="AF5513" i="2"/>
  <c r="AF5540" i="2"/>
  <c r="AF5548" i="2"/>
  <c r="AF5556" i="2"/>
  <c r="AF5478" i="2"/>
  <c r="AF5657" i="2"/>
  <c r="AF5716" i="2"/>
  <c r="Y2789" i="2"/>
  <c r="Y2805" i="2"/>
  <c r="AB2805" i="2"/>
  <c r="AK2805" i="2" s="1"/>
  <c r="Y2821" i="2"/>
  <c r="Y2845" i="2"/>
  <c r="AF2861" i="2"/>
  <c r="Y2866" i="2"/>
  <c r="AF2956" i="2"/>
  <c r="AK2988" i="2"/>
  <c r="AB3015" i="2"/>
  <c r="AK3015" i="2" s="1"/>
  <c r="Y3015" i="2"/>
  <c r="Y2766" i="2"/>
  <c r="AB2766" i="2"/>
  <c r="AK2766" i="2" s="1"/>
  <c r="AF2942" i="2"/>
  <c r="AF2950" i="2"/>
  <c r="AF2983" i="2"/>
  <c r="AF2999" i="2"/>
  <c r="Y2824" i="2"/>
  <c r="AB2842" i="2"/>
  <c r="AK2842" i="2" s="1"/>
  <c r="Y2855" i="2"/>
  <c r="Y2776" i="2"/>
  <c r="AB2885" i="2"/>
  <c r="AK2885" i="2" s="1"/>
  <c r="AF2789" i="2"/>
  <c r="Y2794" i="2"/>
  <c r="AF2797" i="2"/>
  <c r="Y2802" i="2"/>
  <c r="AB2807" i="2"/>
  <c r="AK2807" i="2" s="1"/>
  <c r="AB2857" i="2"/>
  <c r="AK2857" i="2" s="1"/>
  <c r="Y2857" i="2"/>
  <c r="AF2899" i="2"/>
  <c r="AF2907" i="2"/>
  <c r="AF2915" i="2"/>
  <c r="AK2941" i="2"/>
  <c r="Y2829" i="2"/>
  <c r="Y2880" i="2"/>
  <c r="Y2816" i="2"/>
  <c r="Y2792" i="2"/>
  <c r="AK2942" i="2"/>
  <c r="Y2807" i="2"/>
  <c r="AK2822" i="2"/>
  <c r="AK2855" i="2"/>
  <c r="Y2768" i="2"/>
  <c r="AB2877" i="2"/>
  <c r="AK2877" i="2" s="1"/>
  <c r="Y2777" i="2"/>
  <c r="AK2804" i="2"/>
  <c r="AB2828" i="2"/>
  <c r="AK2828" i="2" s="1"/>
  <c r="Y2828" i="2"/>
  <c r="AF2842" i="2"/>
  <c r="Y2847" i="2"/>
  <c r="AF2851" i="2"/>
  <c r="Y3004" i="2"/>
  <c r="Y2868" i="2"/>
  <c r="Y2804" i="2"/>
  <c r="Y2787" i="2"/>
  <c r="AB2818" i="2"/>
  <c r="AK2818" i="2" s="1"/>
  <c r="Y2999" i="2"/>
  <c r="AK2847" i="2"/>
  <c r="AB2845" i="2"/>
  <c r="AK2845" i="2" s="1"/>
  <c r="AK2777" i="2"/>
  <c r="AB3115" i="2"/>
  <c r="AK3115" i="2" s="1"/>
  <c r="AB2826" i="2"/>
  <c r="AK2826" i="2" s="1"/>
  <c r="Y2771" i="2"/>
  <c r="AK2794" i="2"/>
  <c r="Y2813" i="2"/>
  <c r="AB2806" i="2"/>
  <c r="AK2806" i="2" s="1"/>
  <c r="Y2806" i="2"/>
  <c r="AB2879" i="2"/>
  <c r="AK2879" i="2" s="1"/>
  <c r="AB2853" i="2"/>
  <c r="AK2853" i="2" s="1"/>
  <c r="AB2851" i="2"/>
  <c r="AK2851" i="2" s="1"/>
  <c r="AK2814" i="2"/>
  <c r="Y2834" i="2"/>
  <c r="AK2813" i="2"/>
  <c r="AK3232" i="2"/>
  <c r="AK2768" i="2"/>
  <c r="AB2858" i="2"/>
  <c r="AK2858" i="2" s="1"/>
  <c r="Y2858" i="2"/>
  <c r="AK3018" i="2"/>
  <c r="AF3435" i="2"/>
  <c r="AB2949" i="2"/>
  <c r="AK2949" i="2" s="1"/>
  <c r="AB2989" i="2"/>
  <c r="AK2989" i="2" s="1"/>
  <c r="AF3470" i="2"/>
  <c r="AF3561" i="2"/>
  <c r="AK1677" i="2"/>
  <c r="AF3432" i="2"/>
  <c r="AF3459" i="2"/>
  <c r="AF3467" i="2"/>
  <c r="AF3494" i="2"/>
  <c r="AF3502" i="2"/>
  <c r="AF3510" i="2"/>
  <c r="AB5337" i="2"/>
  <c r="AK5337" i="2" s="1"/>
  <c r="AB5371" i="2"/>
  <c r="AK5371" i="2" s="1"/>
  <c r="Y5356" i="2"/>
  <c r="Y2841" i="2"/>
  <c r="Y2859" i="2"/>
  <c r="Y2930" i="2"/>
  <c r="AF3835" i="2"/>
  <c r="Y5355" i="2"/>
  <c r="Y5363" i="2"/>
  <c r="Y5044" i="2"/>
  <c r="AK5359" i="2"/>
  <c r="Y5369" i="2"/>
  <c r="AB6777" i="2"/>
  <c r="AK6777" i="2" s="1"/>
  <c r="AB7276" i="2"/>
  <c r="AK7276" i="2" s="1"/>
  <c r="R161" i="3"/>
  <c r="T161" i="3" s="1"/>
  <c r="U161" i="3" s="1"/>
  <c r="V161" i="3" s="1"/>
  <c r="AK2839" i="2"/>
  <c r="AF5361" i="2"/>
  <c r="Y5361" i="2"/>
  <c r="Y5371" i="2"/>
  <c r="AB6790" i="2"/>
  <c r="AK6790" i="2" s="1"/>
  <c r="AF2817" i="2"/>
  <c r="Y2861" i="2"/>
  <c r="AF3341" i="2"/>
  <c r="AB4952" i="2"/>
  <c r="AK4952" i="2" s="1"/>
  <c r="AB5338" i="2"/>
  <c r="AK5338" i="2" s="1"/>
  <c r="AC5338" i="2"/>
  <c r="AC5350" i="2"/>
  <c r="AB5350" i="2"/>
  <c r="AK5350" i="2" s="1"/>
  <c r="AC5360" i="2"/>
  <c r="AK5366" i="2"/>
  <c r="AB5369" i="2"/>
  <c r="AK5369" i="2" s="1"/>
  <c r="AC5339" i="2"/>
  <c r="Y5339" i="2"/>
  <c r="Y5350" i="2"/>
  <c r="Y5362" i="2"/>
  <c r="AK5368" i="2"/>
  <c r="R138" i="3"/>
  <c r="T138" i="3" s="1"/>
  <c r="U138" i="3" s="1"/>
  <c r="V138" i="3" s="1"/>
  <c r="AB7274" i="2"/>
  <c r="AK7274" i="2" s="1"/>
  <c r="AK5367" i="2"/>
  <c r="AK6817" i="2"/>
  <c r="AK6753" i="2"/>
  <c r="AK6750" i="2"/>
  <c r="AK6851" i="2"/>
  <c r="AF5490" i="2"/>
  <c r="AF5506" i="2"/>
  <c r="AF5514" i="2"/>
  <c r="AF5522" i="2"/>
  <c r="AF5541" i="2"/>
  <c r="AF5557" i="2"/>
  <c r="AF5560" i="2"/>
  <c r="AF5571" i="2"/>
  <c r="AF5579" i="2"/>
  <c r="AF5587" i="2"/>
  <c r="AF5933" i="2"/>
  <c r="AF5941" i="2"/>
  <c r="AF5949" i="2"/>
  <c r="AF5957" i="2"/>
  <c r="AF5898" i="2"/>
  <c r="AF5906" i="2"/>
  <c r="AK5563" i="2"/>
  <c r="AK5431" i="2"/>
  <c r="AF5680" i="2"/>
  <c r="AF5688" i="2"/>
  <c r="AF5696" i="2"/>
  <c r="AF5704" i="2"/>
  <c r="AF6737" i="2"/>
  <c r="AF6769" i="2"/>
  <c r="AF6777" i="2"/>
  <c r="AF6793" i="2"/>
  <c r="AF6841" i="2"/>
  <c r="R182" i="3"/>
  <c r="T182" i="3" s="1"/>
  <c r="U182" i="3" s="1"/>
  <c r="V182" i="3" s="1"/>
  <c r="AF5379" i="2"/>
  <c r="AF5387" i="2"/>
  <c r="AF5395" i="2"/>
  <c r="AF5411" i="2"/>
  <c r="AF5438" i="2"/>
  <c r="AF5804" i="2"/>
  <c r="AF5844" i="2"/>
  <c r="AF5860" i="2"/>
  <c r="AF5881" i="2"/>
  <c r="AF5889" i="2"/>
  <c r="AF5381" i="2"/>
  <c r="AF5389" i="2"/>
  <c r="AF5397" i="2"/>
  <c r="AF5405" i="2"/>
  <c r="AF5416" i="2"/>
  <c r="AF5435" i="2"/>
  <c r="AF5440" i="2"/>
  <c r="AF5456" i="2"/>
  <c r="AF5464" i="2"/>
  <c r="R180" i="3"/>
  <c r="T180" i="3" s="1"/>
  <c r="U180" i="3" s="1"/>
  <c r="V180" i="3" s="1"/>
  <c r="AF5719" i="2"/>
  <c r="AF5738" i="2"/>
  <c r="AF5746" i="2"/>
  <c r="AF5762" i="2"/>
  <c r="AF5770" i="2"/>
  <c r="AF5974" i="2"/>
  <c r="AF5987" i="2"/>
  <c r="AF5995" i="2"/>
  <c r="AF6003" i="2"/>
  <c r="AF6011" i="2"/>
  <c r="AF6030" i="2"/>
  <c r="AF6046" i="2"/>
  <c r="AF6051" i="2"/>
  <c r="AF6072" i="2"/>
  <c r="AF2728" i="2"/>
  <c r="Y2728" i="2"/>
  <c r="T8" i="3"/>
  <c r="U8" i="3" s="1"/>
  <c r="V8" i="3" s="1"/>
  <c r="R34" i="3"/>
  <c r="T34" i="3" s="1"/>
  <c r="U34" i="3" s="1"/>
  <c r="V34" i="3" s="1"/>
  <c r="AK1958" i="2"/>
  <c r="AK1352" i="2"/>
  <c r="AK1967" i="2"/>
  <c r="AK1990" i="2"/>
  <c r="AK148" i="2"/>
  <c r="AK53" i="2"/>
  <c r="Y53" i="2"/>
  <c r="Y148" i="2"/>
  <c r="AK107" i="2"/>
  <c r="Y150" i="2"/>
  <c r="AB150" i="2"/>
  <c r="AK150" i="2" s="1"/>
  <c r="Y166" i="2"/>
  <c r="AF166" i="2"/>
  <c r="AK65" i="2"/>
  <c r="Y124" i="2"/>
  <c r="Y309" i="2"/>
  <c r="Y305" i="2"/>
  <c r="Y123" i="2"/>
  <c r="AB2126" i="2"/>
  <c r="AK2126" i="2" s="1"/>
  <c r="AB4262" i="2"/>
  <c r="AK4262" i="2" s="1"/>
  <c r="Y2126" i="2"/>
  <c r="AK90" i="2"/>
  <c r="AB3322" i="2"/>
  <c r="AK3322" i="2" s="1"/>
  <c r="AB2060" i="2"/>
  <c r="AK2060" i="2" s="1"/>
  <c r="AB3331" i="2"/>
  <c r="AK3331" i="2" s="1"/>
  <c r="Y2759" i="2"/>
  <c r="AC2759" i="2"/>
  <c r="AB2759" i="2"/>
  <c r="AK2759" i="2" s="1"/>
  <c r="AK2761" i="2"/>
  <c r="Y2761" i="2"/>
  <c r="AB3314" i="2"/>
  <c r="AK3314" i="2" s="1"/>
  <c r="AB1012" i="2"/>
  <c r="AK1012" i="2" s="1"/>
  <c r="R94" i="3"/>
  <c r="T94" i="3" s="1"/>
  <c r="U94" i="3" s="1"/>
  <c r="V94" i="3" s="1"/>
  <c r="AB3310" i="2"/>
  <c r="AK3310" i="2" s="1"/>
  <c r="AB4266" i="2"/>
  <c r="AK4266" i="2" s="1"/>
  <c r="AB2905" i="2"/>
  <c r="AK2905" i="2" s="1"/>
  <c r="AK3324" i="2"/>
  <c r="Y2763" i="2"/>
  <c r="Y2850" i="2"/>
  <c r="AB2797" i="2"/>
  <c r="AK2797" i="2" s="1"/>
  <c r="Y2797" i="2"/>
  <c r="AB2767" i="2"/>
  <c r="AK2767" i="2" s="1"/>
  <c r="AK2763" i="2"/>
  <c r="Y2810" i="2"/>
  <c r="AK2815" i="2"/>
  <c r="AK2831" i="2"/>
  <c r="AK2909" i="2"/>
  <c r="AK2925" i="2"/>
  <c r="AK2933" i="2"/>
  <c r="AK2844" i="2"/>
  <c r="AK2850" i="2"/>
  <c r="AF2890" i="2"/>
  <c r="AK2898" i="2"/>
  <c r="AB2906" i="2"/>
  <c r="AK2906" i="2" s="1"/>
  <c r="Y2906" i="2"/>
  <c r="AK2791" i="2"/>
  <c r="AK2830" i="2"/>
  <c r="AF2836" i="2"/>
  <c r="AK2838" i="2"/>
  <c r="Y2838" i="2"/>
  <c r="AK2795" i="2"/>
  <c r="AK2869" i="2"/>
  <c r="Y2781" i="2"/>
  <c r="Y2815" i="2"/>
  <c r="AB2779" i="2"/>
  <c r="AK2779" i="2" s="1"/>
  <c r="Y2925" i="2"/>
  <c r="Y2830" i="2"/>
  <c r="AF2784" i="2"/>
  <c r="AF2814" i="2"/>
  <c r="AF2822" i="2"/>
  <c r="AF2844" i="2"/>
  <c r="AF2854" i="2"/>
  <c r="AF2879" i="2"/>
  <c r="AF2920" i="2"/>
  <c r="AF2928" i="2"/>
  <c r="AF2944" i="2"/>
  <c r="AF2980" i="2"/>
  <c r="AF3429" i="2"/>
  <c r="AF3507" i="2"/>
  <c r="AF3534" i="2"/>
  <c r="AF3558" i="2"/>
  <c r="AF3743" i="2"/>
  <c r="AF3918" i="2"/>
  <c r="AF3942" i="2"/>
  <c r="Y5344" i="2"/>
  <c r="AC5344" i="2"/>
  <c r="AB5344" i="2"/>
  <c r="AK5344" i="2" s="1"/>
  <c r="AB5341" i="2"/>
  <c r="AK5341" i="2" s="1"/>
  <c r="Y5341" i="2"/>
  <c r="AC5341" i="2"/>
  <c r="AB5348" i="2"/>
  <c r="AK5348" i="2" s="1"/>
  <c r="Y5348" i="2"/>
  <c r="AC5348" i="2"/>
  <c r="AB5353" i="2"/>
  <c r="AK5353" i="2" s="1"/>
  <c r="AC5353" i="2"/>
  <c r="Y5353" i="2"/>
  <c r="AB68" i="2"/>
  <c r="AK68" i="2" s="1"/>
  <c r="AF3339" i="2"/>
  <c r="AK5335" i="2"/>
  <c r="Y5335" i="2"/>
  <c r="AC5335" i="2"/>
  <c r="AB5346" i="2"/>
  <c r="AK5346" i="2" s="1"/>
  <c r="AC5346" i="2"/>
  <c r="Y5346" i="2"/>
  <c r="AB5370" i="2"/>
  <c r="AK5370" i="2" s="1"/>
  <c r="Y5370" i="2"/>
  <c r="AC5370" i="2"/>
  <c r="AF2791" i="2"/>
  <c r="AF2799" i="2"/>
  <c r="AF2807" i="2"/>
  <c r="AF2815" i="2"/>
  <c r="AF2823" i="2"/>
  <c r="AF2826" i="2"/>
  <c r="AF2834" i="2"/>
  <c r="AF2845" i="2"/>
  <c r="AF2855" i="2"/>
  <c r="AF2863" i="2"/>
  <c r="AF2872" i="2"/>
  <c r="AF2880" i="2"/>
  <c r="AF2888" i="2"/>
  <c r="AF2902" i="2"/>
  <c r="AF2929" i="2"/>
  <c r="AF2997" i="2"/>
  <c r="AF3008" i="2"/>
  <c r="AF3016" i="2"/>
  <c r="AF3304" i="2"/>
  <c r="AF3311" i="2"/>
  <c r="AF3326" i="2"/>
  <c r="AF3356" i="2"/>
  <c r="AF3449" i="2"/>
  <c r="AB5299" i="2"/>
  <c r="AK5299" i="2" s="1"/>
  <c r="Y5299" i="2"/>
  <c r="AB5340" i="2"/>
  <c r="AK5340" i="2" s="1"/>
  <c r="Y5340" i="2"/>
  <c r="AC5340" i="2"/>
  <c r="AK5364" i="2"/>
  <c r="Y5364" i="2"/>
  <c r="AC5364" i="2"/>
  <c r="AB3407" i="2"/>
  <c r="AK3407" i="2" s="1"/>
  <c r="Y3407" i="2"/>
  <c r="AB3545" i="2"/>
  <c r="AK3545" i="2" s="1"/>
  <c r="Y5338" i="2"/>
  <c r="AF5338" i="2"/>
  <c r="Y3136" i="2"/>
  <c r="Y5345" i="2"/>
  <c r="AK5349" i="2"/>
  <c r="AB5351" i="2"/>
  <c r="AK5351" i="2" s="1"/>
  <c r="AC5355" i="2"/>
  <c r="AK5355" i="2"/>
  <c r="AB5044" i="2"/>
  <c r="AK5044" i="2" s="1"/>
  <c r="AC5365" i="2"/>
  <c r="AC5366" i="2"/>
  <c r="AC5367" i="2"/>
  <c r="AK6812" i="2"/>
  <c r="AB6788" i="2"/>
  <c r="AK6788" i="2" s="1"/>
  <c r="AF5335" i="2"/>
  <c r="AK4983" i="2"/>
  <c r="AK3136" i="2"/>
  <c r="AK5345" i="2"/>
  <c r="Y5342" i="2"/>
  <c r="AC5349" i="2"/>
  <c r="Y5352" i="2"/>
  <c r="AC5356" i="2"/>
  <c r="AC5044" i="2"/>
  <c r="Y5365" i="2"/>
  <c r="AC5368" i="2"/>
  <c r="AK84" i="2"/>
  <c r="AK5342" i="2"/>
  <c r="Y5357" i="2"/>
  <c r="Y5360" i="2"/>
  <c r="Y5359" i="2"/>
  <c r="AK5365" i="2"/>
  <c r="Y5366" i="2"/>
  <c r="Y5367" i="2"/>
  <c r="Y5368" i="2"/>
  <c r="Y5336" i="2"/>
  <c r="Y5343" i="2"/>
  <c r="Y5354" i="2"/>
  <c r="AB5336" i="2"/>
  <c r="AK5336" i="2" s="1"/>
  <c r="AK5347" i="2"/>
  <c r="AB5354" i="2"/>
  <c r="AK5354" i="2" s="1"/>
  <c r="AF5380" i="2"/>
  <c r="AF5388" i="2"/>
  <c r="AF5396" i="2"/>
  <c r="AF5404" i="2"/>
  <c r="AF5412" i="2"/>
  <c r="AF5415" i="2"/>
  <c r="AF5423" i="2"/>
  <c r="AF5374" i="2"/>
  <c r="AF5382" i="2"/>
  <c r="AF5390" i="2"/>
  <c r="AF5398" i="2"/>
  <c r="AF5417" i="2"/>
  <c r="AF5425" i="2"/>
  <c r="AF5436" i="2"/>
  <c r="AF5441" i="2"/>
  <c r="AF5449" i="2"/>
  <c r="AF5457" i="2"/>
  <c r="AF5465" i="2"/>
  <c r="AF5473" i="2"/>
  <c r="AF5476" i="2"/>
  <c r="AF5431" i="2"/>
  <c r="AF5434" i="2"/>
  <c r="AF5439" i="2"/>
  <c r="AF5447" i="2"/>
  <c r="AF5455" i="2"/>
  <c r="AF5477" i="2"/>
  <c r="AF5520" i="2"/>
  <c r="AF5531" i="2"/>
  <c r="AF5547" i="2"/>
  <c r="AF5555" i="2"/>
  <c r="AF6881" i="2"/>
  <c r="AF6894" i="2"/>
  <c r="AF6902" i="2"/>
  <c r="AF6910" i="2"/>
  <c r="AF6923" i="2"/>
  <c r="AF6931" i="2"/>
  <c r="AF6939" i="2"/>
  <c r="AF6945" i="2"/>
  <c r="AF6953" i="2"/>
  <c r="AF6961" i="2"/>
  <c r="AF6967" i="2"/>
  <c r="AF6983" i="2"/>
  <c r="AF6991" i="2"/>
  <c r="AF7007" i="2"/>
  <c r="AF7018" i="2"/>
  <c r="AF7026" i="2"/>
  <c r="AF7034" i="2"/>
  <c r="AF7037" i="2"/>
  <c r="AF7045" i="2"/>
  <c r="AF7053" i="2"/>
  <c r="AF7056" i="2"/>
  <c r="AF7064" i="2"/>
  <c r="AF7072" i="2"/>
  <c r="AF7083" i="2"/>
  <c r="AF7091" i="2"/>
  <c r="AF7096" i="2"/>
  <c r="AF7101" i="2"/>
  <c r="AF7112" i="2"/>
  <c r="AF7134" i="2"/>
  <c r="AF7174" i="2"/>
  <c r="AF7182" i="2"/>
  <c r="AF7214" i="2"/>
  <c r="AF7238" i="2"/>
  <c r="AF7246" i="2"/>
  <c r="AF7254" i="2"/>
  <c r="AF7257" i="2"/>
  <c r="AF7273" i="2"/>
  <c r="AF7281" i="2"/>
  <c r="AF7289" i="2"/>
  <c r="AF7313" i="2"/>
  <c r="AF7321" i="2"/>
  <c r="AF7340" i="2"/>
  <c r="AF7351" i="2"/>
  <c r="AF7359" i="2"/>
  <c r="AF7370" i="2"/>
  <c r="AF7378" i="2"/>
  <c r="AF5562" i="2"/>
  <c r="AF5570" i="2"/>
  <c r="AF5586" i="2"/>
  <c r="AF5603" i="2"/>
  <c r="AF5611" i="2"/>
  <c r="AF5619" i="2"/>
  <c r="AF5627" i="2"/>
  <c r="AF5635" i="2"/>
  <c r="AF5643" i="2"/>
  <c r="AF5659" i="2"/>
  <c r="AF5679" i="2"/>
  <c r="AF5687" i="2"/>
  <c r="AF5695" i="2"/>
  <c r="AF581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7381" i="2"/>
  <c r="AF7397" i="2"/>
  <c r="AF7405" i="2"/>
  <c r="AF7421" i="2"/>
  <c r="AF7429" i="2"/>
  <c r="AF7448" i="2"/>
  <c r="AF7453" i="2"/>
  <c r="AF7469" i="2"/>
  <c r="AF7493" i="2"/>
  <c r="AF7501" i="2"/>
  <c r="AF7530" i="2"/>
  <c r="AF7554" i="2"/>
  <c r="AF7570" i="2"/>
  <c r="AF7578" i="2"/>
  <c r="AF7586" i="2"/>
  <c r="AF7619" i="2"/>
  <c r="AF7627" i="2"/>
  <c r="AF7659" i="2"/>
  <c r="AF7667" i="2"/>
  <c r="AF7695" i="2"/>
  <c r="AF7714" i="2"/>
  <c r="AF7730" i="2"/>
  <c r="AF7741" i="2"/>
  <c r="AF7774" i="2"/>
  <c r="AF7785" i="2"/>
  <c r="AF7804" i="2"/>
  <c r="AF7807" i="2"/>
  <c r="AF7815" i="2"/>
  <c r="AF7823" i="2"/>
  <c r="AF7875" i="2"/>
  <c r="AF7883" i="2"/>
  <c r="AF7944" i="2"/>
  <c r="R186" i="3"/>
  <c r="T186" i="3" s="1"/>
  <c r="U186" i="3" s="1"/>
  <c r="V186" i="3" s="1"/>
  <c r="R189" i="3"/>
  <c r="T189" i="3" s="1"/>
  <c r="U189" i="3" s="1"/>
  <c r="V189" i="3" s="1"/>
  <c r="O92" i="3"/>
  <c r="T133" i="3"/>
  <c r="U133" i="3" s="1"/>
  <c r="V133" i="3" s="1"/>
  <c r="AB5981" i="2" l="1"/>
  <c r="AK5981" i="2" s="1"/>
  <c r="R25" i="3"/>
  <c r="T25" i="3" s="1"/>
  <c r="U25" i="3" s="1"/>
  <c r="V25" i="3" s="1"/>
  <c r="AB2503" i="2"/>
  <c r="AK2503" i="2" s="1"/>
  <c r="AL1" i="2"/>
  <c r="AK5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<sst xmlns="http://schemas.openxmlformats.org/spreadsheetml/2006/main" count="118458" uniqueCount="4236">
  <si>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</si>
  <si>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</si>
  <si>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</si>
  <si>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</si>
  <si>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</si>
  <si>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</si>
  <si>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</si>
  <si>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</si>
  <si>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</si>
  <si>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</si>
  <si>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</si>
  <si>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</si>
  <si>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</si>
  <si>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</si>
  <si>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</si>
  <si>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</si>
  <si>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</si>
  <si>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</si>
  <si>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</si>
  <si>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</si>
  <si>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</si>
  <si>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</si>
  <si>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</si>
  <si>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</si>
  <si>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</si>
  <si>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</si>
  <si>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</si>
  <si>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</si>
  <si>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</si>
  <si>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</si>
  <si>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</si>
  <si>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</si>
  <si>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</si>
  <si>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</si>
  <si>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</si>
  <si>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</si>
  <si>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</si>
  <si>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</si>
  <si>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</si>
  <si>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</si>
  <si>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</si>
  <si>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</si>
  <si>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</si>
  <si>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</si>
  <si>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</si>
  <si>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</si>
  <si>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</si>
  <si>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</si>
  <si>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</si>
  <si>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</si>
  <si>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</si>
  <si>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</si>
  <si>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</si>
  <si>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</si>
  <si>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</si>
  <si>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</si>
  <si>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</si>
  <si>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</si>
  <si>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</si>
  <si>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</si>
  <si>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</si>
  <si>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</si>
  <si>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</si>
  <si>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</si>
  <si>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</si>
  <si>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</si>
  <si>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</si>
  <si>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</si>
  <si>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</si>
  <si>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</si>
  <si>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</si>
  <si>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</si>
  <si>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</si>
  <si>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</si>
  <si>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</si>
  <si>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</si>
  <si>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</si>
  <si>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</si>
  <si>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</si>
  <si>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</si>
  <si>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</si>
  <si>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</si>
  <si>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</si>
  <si>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</si>
  <si>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</si>
  <si>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</si>
  <si>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</si>
  <si>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</si>
  <si>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</si>
  <si>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</si>
  <si>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</si>
  <si>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</si>
  <si>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</si>
  <si>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</si>
  <si>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</si>
  <si>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</si>
  <si>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</si>
  <si>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</si>
  <si>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</si>
  <si>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</si>
  <si>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</si>
  <si>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</si>
  <si>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</si>
  <si>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</si>
  <si>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</si>
  <si>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</si>
  <si>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</si>
  <si>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</si>
  <si>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</si>
  <si>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</si>
  <si>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</si>
  <si>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</si>
  <si>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</si>
  <si>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</si>
  <si>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</si>
  <si>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</si>
  <si>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</si>
  <si>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</si>
  <si>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</si>
  <si>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</si>
  <si>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</si>
  <si>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</si>
  <si>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</si>
  <si>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</si>
  <si>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</si>
  <si>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</si>
  <si>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</si>
  <si>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</si>
  <si>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</si>
  <si>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</si>
  <si>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</si>
  <si>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</si>
  <si>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</si>
  <si>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</si>
  <si>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</si>
  <si>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</si>
  <si>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</si>
  <si>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</si>
  <si>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</si>
  <si>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</si>
  <si>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</si>
  <si>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</si>
  <si>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</si>
  <si>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</si>
  <si>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</si>
  <si>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</si>
  <si>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</si>
  <si>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</si>
  <si>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</si>
  <si>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</si>
  <si>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</si>
  <si>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</si>
  <si>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</si>
  <si>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</si>
  <si>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</si>
  <si>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</si>
  <si>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</si>
  <si>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</si>
  <si>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</si>
  <si>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</si>
  <si>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</si>
  <si>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</si>
  <si>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</si>
  <si>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</si>
  <si>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</si>
  <si>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</si>
  <si>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</si>
  <si>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</si>
  <si>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</si>
  <si>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</si>
  <si>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</si>
  <si>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</si>
  <si>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</si>
  <si>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</si>
  <si>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</si>
  <si>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</si>
  <si>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</si>
  <si>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</si>
  <si>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</si>
  <si>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</si>
  <si>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</si>
  <si>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</si>
  <si>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</si>
  <si>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</si>
  <si>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</si>
  <si>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</si>
  <si>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</si>
  <si>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</si>
  <si>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</si>
  <si>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</si>
  <si>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</si>
  <si>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</si>
  <si>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</si>
  <si>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</si>
  <si>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</si>
  <si>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</si>
  <si>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</si>
  <si>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</si>
  <si>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</si>
  <si>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</si>
  <si>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</si>
  <si>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</si>
  <si>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</si>
  <si>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</si>
  <si>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</si>
  <si>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</si>
  <si>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</si>
  <si>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</si>
  <si>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</si>
  <si>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</si>
  <si>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</si>
  <si>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</si>
  <si>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</si>
  <si>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</si>
  <si>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</si>
  <si>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</si>
  <si>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</si>
  <si>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</si>
  <si>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</si>
  <si>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</si>
  <si>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</si>
  <si>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</si>
  <si>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</si>
  <si>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</si>
  <si>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</si>
  <si>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</si>
  <si>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</si>
  <si>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</si>
  <si>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</si>
  <si>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</si>
  <si>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</si>
  <si>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</si>
  <si>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</si>
  <si>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</si>
  <si>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</si>
  <si>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</si>
  <si>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</si>
  <si>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</si>
  <si>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</si>
  <si>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</si>
  <si>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</si>
  <si>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</si>
  <si>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</si>
  <si>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</si>
  <si>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</si>
  <si>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</si>
  <si>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</si>
  <si>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</si>
  <si>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</si>
  <si>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</si>
  <si>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</si>
  <si>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</si>
  <si>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</si>
  <si>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</si>
  <si>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</si>
  <si>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</si>
  <si>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</si>
  <si>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</si>
  <si>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</si>
  <si>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</si>
  <si>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</si>
  <si>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</si>
  <si>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</si>
  <si>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</si>
  <si>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</si>
  <si>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</si>
  <si>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</si>
  <si>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</si>
  <si>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</si>
  <si>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</si>
  <si>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</si>
  <si>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</si>
  <si>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</si>
  <si>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</si>
  <si>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</si>
  <si>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</si>
  <si>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</si>
  <si>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</si>
  <si>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</si>
  <si>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</si>
  <si>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</si>
  <si>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</si>
  <si>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</si>
  <si>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</si>
  <si>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</si>
  <si>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</si>
  <si>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</si>
  <si>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</si>
  <si>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</si>
  <si>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</si>
  <si>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</si>
  <si>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</si>
  <si>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</si>
  <si>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</si>
  <si>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</si>
  <si>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</si>
  <si>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</si>
  <si>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</si>
  <si>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</si>
  <si>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</si>
  <si>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</si>
  <si>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</si>
  <si>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</si>
  <si>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</si>
  <si>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</si>
  <si>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</si>
  <si>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</si>
  <si>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</si>
  <si>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</si>
  <si>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</si>
  <si>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</si>
  <si>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</si>
  <si>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</si>
  <si>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</si>
  <si>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</si>
  <si>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</si>
  <si>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</si>
  <si>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</si>
  <si>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</si>
  <si>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</si>
  <si>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</si>
  <si>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</si>
  <si>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</si>
  <si>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</si>
  <si>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</si>
  <si>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</si>
  <si>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</si>
  <si>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</si>
  <si>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</si>
  <si>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</si>
  <si>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</si>
  <si>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</si>
  <si>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</si>
  <si>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</si>
  <si>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</si>
  <si>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</si>
  <si>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</si>
  <si>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</si>
  <si>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</si>
  <si>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</si>
  <si>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</si>
  <si>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</si>
  <si>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</si>
  <si>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</si>
  <si>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</si>
  <si>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</si>
  <si>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</si>
  <si>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</si>
  <si>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</si>
  <si>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</si>
  <si>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</si>
  <si>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</si>
  <si>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</si>
  <si>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</si>
  <si>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</si>
  <si>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</si>
  <si>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</si>
  <si>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</si>
  <si>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</si>
  <si>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</si>
  <si>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</si>
  <si>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</si>
  <si>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</si>
  <si>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</si>
  <si>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</si>
  <si>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</si>
  <si>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</si>
  <si>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</si>
  <si>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</si>
  <si>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</si>
  <si>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</si>
  <si>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</si>
  <si>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</si>
  <si>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</si>
  <si>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</si>
  <si>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</si>
  <si>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</si>
  <si>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</si>
  <si>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</si>
  <si>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</si>
  <si>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</si>
  <si>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</si>
  <si>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</si>
  <si>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</si>
  <si>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</si>
  <si>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</si>
  <si>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</si>
  <si>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</si>
  <si>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</si>
  <si>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</si>
  <si>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</si>
  <si>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</si>
  <si>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</si>
  <si>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</si>
  <si>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</si>
  <si>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</si>
  <si>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</si>
  <si>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</si>
  <si>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</si>
  <si>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</si>
  <si>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</si>
  <si>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</si>
  <si>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</si>
  <si>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</si>
  <si>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</si>
  <si>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</si>
  <si>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</si>
  <si>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</si>
  <si>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</si>
  <si>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</si>
  <si>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</si>
  <si>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</si>
  <si>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</si>
  <si>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</si>
  <si>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</si>
  <si>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</si>
  <si>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</si>
  <si>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</si>
  <si>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</si>
  <si>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</si>
  <si>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</si>
  <si>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</si>
  <si>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</si>
  <si>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</si>
  <si>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</si>
  <si>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</si>
  <si>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</si>
  <si>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</si>
  <si>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</si>
  <si>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</si>
  <si>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</si>
  <si>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</si>
  <si>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</si>
  <si>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</si>
  <si>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</si>
  <si>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</si>
  <si>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</si>
  <si>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</si>
  <si>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</si>
  <si>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</si>
  <si>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</si>
  <si>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</si>
  <si>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</si>
  <si>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</si>
  <si>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</si>
  <si>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</si>
  <si>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</si>
  <si>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</si>
  <si>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</si>
  <si>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</si>
  <si>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</si>
  <si>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</si>
  <si>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</si>
  <si>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</si>
  <si>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</si>
  <si>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</si>
  <si>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</si>
  <si>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</si>
  <si>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</si>
  <si>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</si>
  <si>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</si>
  <si>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</si>
  <si>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</si>
  <si>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</si>
  <si>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</si>
  <si>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</si>
  <si>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</si>
  <si>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</si>
  <si>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</si>
  <si>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</si>
  <si>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</si>
  <si>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</si>
  <si>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</si>
  <si>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</si>
  <si>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</si>
  <si>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</si>
  <si>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</si>
  <si>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</si>
  <si>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</si>
  <si>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</si>
  <si>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</si>
  <si>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</si>
  <si>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</si>
  <si>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</si>
  <si>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</si>
  <si>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</si>
  <si>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</si>
  <si>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</si>
  <si>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</si>
  <si>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</si>
  <si>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</si>
  <si>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</si>
  <si>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</si>
  <si>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</si>
  <si>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</si>
  <si>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</si>
  <si>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</si>
  <si>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</si>
  <si>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</si>
  <si>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</si>
  <si>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</si>
  <si>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</si>
  <si>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</si>
  <si>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</si>
  <si>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</si>
  <si>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</si>
  <si>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</si>
  <si>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</si>
  <si>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</si>
  <si>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</si>
  <si>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</si>
  <si>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</si>
  <si>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</si>
  <si>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</si>
  <si>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</si>
  <si>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</si>
  <si>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</si>
  <si>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</si>
  <si>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</si>
  <si>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</si>
  <si>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</si>
  <si>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</si>
  <si>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</si>
  <si>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</si>
  <si>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</si>
  <si>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</si>
  <si>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</si>
  <si>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</si>
  <si>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</si>
  <si>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</si>
  <si>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</si>
  <si>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</si>
  <si>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</si>
  <si>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</si>
  <si>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</si>
  <si>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</si>
  <si>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</si>
  <si>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</si>
  <si>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</si>
  <si>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</si>
  <si>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</si>
  <si>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</si>
  <si>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</si>
  <si>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</si>
  <si>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</si>
  <si>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</si>
  <si>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</si>
  <si>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</si>
  <si>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</si>
  <si>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</si>
  <si>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</si>
  <si>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</si>
  <si>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</si>
  <si>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</si>
  <si>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</si>
  <si>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</si>
  <si>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</si>
  <si>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</si>
  <si>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</si>
  <si>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</si>
  <si>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</si>
  <si>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</si>
  <si>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</si>
  <si>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</si>
  <si>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</si>
  <si>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</si>
  <si>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</si>
  <si>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</si>
  <si>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</si>
  <si>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</si>
  <si>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</si>
  <si>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</si>
  <si>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</si>
  <si>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</si>
  <si>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</si>
  <si>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</si>
  <si>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</si>
  <si>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</si>
  <si>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</si>
  <si>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</si>
  <si>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</si>
  <si>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</si>
  <si>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</si>
  <si>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</si>
  <si>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</si>
  <si>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</si>
  <si>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</si>
  <si>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</si>
  <si>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</si>
  <si>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</si>
  <si>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</si>
  <si>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</si>
  <si>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</si>
  <si>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</si>
  <si>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</si>
  <si>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</si>
  <si>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</si>
  <si>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</si>
  <si>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</si>
  <si>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</si>
  <si>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</si>
  <si>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</si>
  <si>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</si>
  <si>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</si>
  <si>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</si>
  <si>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</si>
  <si>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</si>
  <si>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</si>
  <si>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</si>
  <si>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</si>
  <si>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</si>
  <si>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</si>
  <si>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</si>
  <si>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</si>
  <si>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</si>
  <si>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</si>
  <si>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</si>
  <si>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</si>
  <si>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</si>
  <si>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</si>
  <si>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</si>
  <si>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</si>
  <si>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</si>
  <si>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</si>
  <si>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</si>
  <si>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</si>
  <si>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</si>
  <si>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</si>
  <si>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</si>
  <si>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</si>
  <si>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</si>
  <si>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</si>
  <si>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</si>
  <si>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</si>
  <si>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</si>
  <si>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</si>
  <si>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</si>
  <si>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</si>
  <si>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</si>
  <si>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</si>
  <si>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</si>
  <si>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</si>
  <si>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</si>
  <si>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</si>
  <si>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</si>
  <si>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</si>
  <si>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</si>
  <si>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</si>
  <si>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</si>
  <si>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</si>
  <si>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</si>
  <si>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</si>
  <si>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</si>
  <si>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</si>
  <si>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</si>
  <si>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</si>
  <si>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</si>
  <si>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</si>
  <si>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</si>
  <si>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</si>
  <si>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</si>
  <si>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</si>
  <si>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</si>
  <si>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</si>
  <si>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</si>
  <si>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</si>
  <si>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</si>
  <si>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</si>
  <si>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</si>
  <si>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</si>
  <si>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</si>
  <si>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</si>
  <si>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</si>
  <si>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</si>
  <si>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</si>
  <si>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</si>
  <si>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</si>
  <si>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</si>
  <si>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</si>
  <si>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</si>
  <si>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</si>
  <si>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</si>
  <si>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</si>
  <si>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</si>
  <si>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</si>
  <si>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</si>
  <si>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</si>
  <si>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</si>
  <si>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</si>
  <si>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</si>
  <si>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</si>
  <si>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</si>
  <si>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</si>
  <si>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</si>
  <si>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</si>
  <si>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</si>
  <si>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</si>
  <si>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</si>
  <si>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</si>
  <si>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</si>
  <si>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</si>
  <si>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</si>
  <si>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</si>
  <si>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</si>
  <si>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</si>
  <si>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</si>
  <si>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</si>
  <si>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</si>
  <si>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</si>
  <si>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</si>
  <si>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</si>
  <si>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</si>
  <si>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</si>
  <si>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</si>
  <si>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</si>
  <si>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</si>
  <si>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</si>
  <si>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</si>
  <si>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</si>
  <si>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</si>
  <si>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</si>
  <si>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</si>
  <si>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</si>
  <si>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</si>
  <si>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</si>
  <si>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</si>
  <si>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</si>
  <si>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</si>
  <si>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</si>
  <si>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</si>
  <si>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</si>
  <si>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</si>
  <si>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</si>
  <si>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</si>
  <si>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</si>
  <si>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</si>
  <si>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</si>
  <si>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</si>
  <si>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</si>
  <si>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</si>
  <si>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</si>
  <si>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</si>
  <si>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</si>
  <si>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</si>
  <si>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</si>
  <si>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</si>
  <si>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</si>
  <si>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</si>
  <si>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</si>
  <si>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</si>
  <si>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</si>
  <si>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</si>
  <si>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</si>
  <si>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</si>
  <si>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</si>
  <si>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</si>
  <si>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</si>
  <si>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</si>
  <si>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</si>
  <si>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</si>
  <si>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</si>
  <si>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</si>
  <si>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</si>
  <si>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</si>
  <si>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</si>
  <si>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</si>
  <si>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</si>
  <si>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</si>
  <si>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</si>
  <si>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</si>
  <si>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</si>
  <si>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</si>
  <si>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</si>
  <si>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</si>
  <si>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</si>
  <si>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</si>
  <si>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</si>
  <si>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</si>
  <si>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</si>
  <si>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</si>
  <si>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</si>
  <si>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</si>
  <si>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</si>
  <si>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</si>
  <si>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</si>
  <si>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</si>
  <si>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</si>
  <si>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</si>
  <si>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</si>
  <si>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</si>
  <si>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</si>
  <si>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</si>
  <si>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</si>
  <si>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</si>
  <si>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</si>
  <si>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</si>
  <si>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</si>
  <si>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</si>
  <si>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</si>
  <si>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</si>
  <si>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</si>
  <si>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</si>
  <si>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</si>
  <si>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</si>
  <si>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</si>
  <si>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</si>
  <si>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</si>
  <si>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</si>
  <si>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</si>
  <si>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</si>
  <si>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</si>
  <si>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</si>
  <si>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</si>
  <si>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</si>
  <si>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</si>
  <si>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</si>
  <si>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</si>
  <si>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</si>
  <si>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</si>
  <si>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</si>
  <si>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</si>
  <si>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</si>
  <si>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</si>
  <si>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</si>
  <si>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</si>
  <si>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</si>
  <si>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</si>
  <si>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</si>
  <si>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</si>
  <si>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</si>
  <si>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</si>
  <si>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</si>
  <si>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</si>
  <si>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</si>
  <si>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</si>
  <si>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</si>
  <si>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</si>
  <si>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</si>
  <si>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</si>
  <si>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</si>
  <si>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</si>
  <si>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</si>
  <si>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</si>
  <si>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</si>
  <si>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</si>
  <si>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</si>
  <si>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</si>
  <si>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</si>
  <si>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</si>
  <si>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</si>
  <si>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</si>
  <si>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</si>
  <si>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</si>
  <si>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</si>
  <si>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</si>
  <si>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</si>
  <si>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</si>
  <si>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</si>
  <si>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</si>
  <si>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</si>
  <si>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</si>
  <si>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</si>
  <si>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</si>
  <si>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</si>
  <si>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</si>
  <si>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</si>
  <si>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</si>
  <si>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</si>
  <si>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</si>
  <si>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</si>
  <si>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</si>
  <si>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</si>
  <si>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</si>
  <si>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</si>
  <si>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</si>
  <si>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</si>
  <si>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</si>
  <si>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</si>
  <si>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</si>
  <si>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</si>
  <si>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</si>
  <si>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</si>
  <si>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</si>
  <si>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</si>
  <si>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</si>
  <si>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</si>
  <si>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</si>
  <si>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</si>
  <si>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</si>
  <si>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</si>
  <si>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</si>
  <si>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</si>
  <si>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</si>
  <si>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</si>
  <si>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</si>
  <si>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</si>
  <si>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</si>
  <si>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</si>
  <si>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</si>
  <si>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</si>
  <si>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</si>
  <si>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</si>
  <si>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</si>
  <si>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</si>
  <si>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</si>
  <si>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</si>
  <si>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</si>
  <si>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</si>
  <si>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</si>
  <si>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</si>
  <si>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</si>
  <si>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</si>
  <si>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</si>
  <si>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</si>
  <si>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</si>
  <si>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</si>
  <si>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</si>
  <si>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</si>
  <si>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</si>
  <si>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</si>
  <si>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</si>
  <si>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</si>
  <si>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</si>
  <si>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</si>
  <si>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</si>
  <si>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</si>
  <si>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</si>
  <si>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</si>
  <si>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</si>
  <si>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</si>
  <si>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</si>
  <si>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</si>
  <si>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</si>
  <si>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</si>
  <si>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</si>
  <si>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</si>
  <si>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</si>
  <si>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</si>
  <si>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</si>
  <si>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</si>
  <si>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</si>
  <si>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</si>
  <si>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</si>
  <si>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</si>
  <si>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</si>
  <si>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</si>
  <si>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</si>
  <si>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</si>
  <si>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</si>
  <si>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</si>
  <si>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</si>
  <si>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</si>
  <si>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</si>
  <si>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</si>
  <si>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</si>
  <si>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</si>
  <si>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</si>
  <si>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</si>
  <si>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</si>
  <si>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</si>
  <si>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</si>
  <si>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</si>
  <si>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</si>
  <si>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</si>
  <si>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</si>
  <si>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</si>
  <si>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</si>
  <si>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</si>
  <si>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</si>
  <si>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</si>
  <si>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</si>
  <si>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</si>
  <si>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</si>
  <si>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</si>
  <si>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</si>
  <si>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</si>
  <si>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</si>
  <si>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</si>
  <si>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</si>
  <si>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</si>
  <si>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</si>
  <si>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</si>
  <si>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</si>
  <si>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</si>
  <si>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</si>
  <si>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</si>
  <si>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</si>
  <si>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</si>
  <si>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</si>
  <si>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</si>
  <si>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</si>
  <si>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</si>
  <si>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</si>
  <si>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</si>
  <si>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</si>
  <si>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</si>
  <si>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</si>
  <si>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</si>
  <si>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</si>
  <si>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</si>
  <si>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</si>
  <si>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</si>
  <si>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</si>
  <si>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</si>
  <si>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</si>
  <si>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</si>
  <si>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</si>
  <si>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</si>
  <si>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</si>
  <si>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</si>
  <si>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</si>
  <si>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</si>
  <si>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</si>
  <si>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</si>
  <si>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</si>
  <si>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</si>
  <si>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</si>
  <si>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</si>
  <si>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</si>
  <si>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</si>
  <si>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</si>
  <si>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</si>
  <si>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</si>
  <si>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</si>
  <si>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</si>
  <si>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</si>
  <si>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</si>
  <si>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</si>
  <si>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</si>
  <si>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</si>
  <si>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</si>
  <si>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</si>
  <si>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</si>
  <si>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</si>
  <si>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</si>
  <si>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</si>
  <si>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</si>
  <si>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</si>
  <si>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</si>
  <si>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</si>
  <si>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</si>
  <si>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</si>
  <si>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</si>
  <si>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</si>
  <si>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</si>
  <si>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</si>
  <si>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</si>
  <si>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</si>
  <si>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</si>
  <si>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</si>
  <si>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</si>
  <si>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</si>
  <si>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</si>
  <si>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</si>
  <si>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</si>
  <si>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</si>
  <si>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</si>
  <si>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</si>
  <si>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</si>
  <si>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</si>
  <si>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</si>
  <si>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</si>
  <si>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</si>
  <si>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</si>
  <si>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</si>
  <si>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</si>
  <si>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</si>
  <si>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</si>
  <si>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</si>
  <si>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</si>
  <si>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</si>
  <si>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</si>
  <si>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</si>
  <si>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</si>
  <si>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</si>
  <si>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</si>
  <si>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</si>
  <si>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</si>
  <si>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</si>
  <si>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</si>
  <si>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</si>
  <si>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</si>
  <si>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</si>
  <si>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</si>
  <si>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</si>
  <si>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</si>
  <si>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</si>
  <si>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</si>
  <si>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</si>
  <si>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</si>
  <si>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</si>
  <si>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</si>
  <si>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</si>
  <si>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</si>
  <si>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</si>
  <si>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</si>
  <si>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</si>
  <si>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</si>
  <si>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</si>
  <si>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</si>
  <si>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</si>
  <si>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</si>
  <si>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</si>
  <si>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</si>
  <si>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</si>
  <si>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</si>
  <si>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</si>
  <si>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</si>
  <si>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</si>
  <si>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</si>
  <si>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</si>
  <si>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</si>
  <si>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</si>
  <si>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</si>
  <si>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</si>
  <si>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</si>
  <si>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</si>
  <si>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</si>
  <si>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</si>
  <si>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</si>
  <si>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</si>
  <si>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</si>
  <si>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</si>
  <si>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</si>
  <si>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</si>
  <si>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</si>
  <si>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</si>
  <si>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</si>
  <si>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</si>
  <si>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</si>
  <si>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</si>
  <si>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</si>
  <si>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</si>
  <si>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</si>
  <si>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</si>
  <si>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</si>
  <si>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</si>
  <si>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</si>
  <si>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</si>
  <si>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</si>
  <si>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</si>
  <si>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</si>
  <si>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</si>
  <si>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</si>
  <si>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</si>
  <si>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</si>
  <si>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</si>
  <si>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</si>
  <si>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</si>
  <si>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</si>
  <si>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</si>
  <si>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</si>
  <si>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</si>
  <si>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</si>
  <si>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</si>
  <si>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</si>
  <si>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</si>
  <si>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</si>
  <si>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</si>
  <si>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</si>
  <si>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</si>
  <si>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</si>
  <si>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</si>
  <si>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</si>
  <si>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</si>
  <si>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</si>
  <si>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</si>
  <si>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</si>
  <si>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</si>
  <si>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</si>
  <si>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</si>
  <si>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</si>
  <si>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</si>
  <si>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</si>
  <si>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</si>
  <si>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</si>
  <si>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</si>
  <si>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</si>
  <si>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</si>
  <si>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</si>
  <si>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</si>
  <si>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</si>
  <si>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</si>
  <si>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</si>
  <si>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</si>
  <si>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</si>
  <si>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</si>
  <si>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</si>
  <si>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</si>
  <si>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</si>
  <si>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</si>
  <si>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</si>
  <si>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</si>
  <si>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</si>
  <si>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</si>
  <si>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</si>
  <si>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</si>
  <si>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</si>
  <si>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</si>
  <si>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</si>
  <si>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</si>
  <si>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</si>
  <si>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</si>
  <si>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</si>
  <si>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</si>
  <si>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</si>
  <si>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</si>
  <si>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</si>
  <si>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</si>
  <si>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</si>
  <si>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</si>
  <si>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</si>
  <si>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</si>
  <si>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</si>
  <si>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</si>
  <si>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</si>
  <si>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</si>
  <si>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</si>
  <si>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</si>
  <si>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</si>
  <si>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</si>
  <si>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</si>
  <si>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</si>
  <si>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</si>
  <si>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</si>
  <si>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</si>
  <si>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</si>
  <si>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</si>
  <si>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</si>
  <si>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</si>
  <si>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</si>
  <si>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</si>
  <si>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</si>
  <si>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</si>
  <si>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</si>
  <si>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</si>
  <si>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</si>
  <si>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</si>
  <si>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</si>
  <si>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</si>
  <si>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</si>
  <si>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</si>
  <si>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</si>
  <si>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</si>
  <si>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</si>
  <si>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</si>
  <si>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</si>
  <si>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</si>
  <si>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</si>
  <si>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</si>
  <si>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</si>
  <si>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</si>
  <si>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</si>
  <si>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</si>
  <si>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</si>
  <si>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</si>
  <si>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</si>
  <si>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</si>
  <si>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</si>
  <si>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</si>
  <si>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</si>
  <si>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</si>
  <si>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</si>
  <si>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</si>
  <si>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</si>
  <si>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</si>
  <si>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</si>
  <si>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</si>
  <si>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</si>
  <si>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</si>
  <si>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</si>
  <si>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</si>
  <si>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</si>
  <si>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</si>
  <si>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</si>
  <si>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</si>
  <si>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</si>
  <si>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</si>
  <si>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</si>
  <si>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</si>
  <si>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</si>
  <si>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</si>
  <si>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</si>
  <si>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</si>
  <si>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</si>
  <si>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</si>
  <si>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</si>
  <si>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</si>
  <si>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</si>
  <si>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</si>
  <si>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</si>
  <si>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</si>
  <si>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</si>
  <si>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</si>
  <si>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</si>
  <si>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</si>
  <si>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</si>
  <si>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</si>
  <si>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</si>
  <si>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</si>
  <si>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</si>
  <si>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</si>
  <si>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</si>
  <si>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</si>
  <si>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</si>
  <si>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</si>
  <si>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</si>
  <si>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</si>
  <si>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</si>
  <si>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</si>
  <si>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</si>
  <si>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</si>
  <si>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</si>
  <si>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</si>
  <si>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</si>
  <si>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</si>
  <si>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</si>
  <si>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</si>
  <si>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</si>
  <si>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</si>
  <si>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</si>
  <si>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</si>
  <si>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</si>
  <si>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</si>
  <si>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</si>
  <si>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</si>
  <si>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</si>
  <si>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</si>
  <si>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</si>
  <si>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</si>
  <si>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</si>
  <si>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</si>
  <si>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</si>
  <si>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</si>
  <si>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</si>
  <si>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</si>
  <si>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</si>
  <si>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</si>
  <si>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</si>
  <si>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</si>
  <si>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</si>
  <si>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</si>
  <si>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</si>
  <si>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</si>
  <si>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</si>
  <si>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</si>
  <si>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</si>
  <si>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</si>
  <si>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</si>
  <si>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</si>
  <si>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</si>
  <si>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</si>
  <si>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</si>
  <si>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</si>
  <si>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</si>
  <si>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</si>
  <si>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</si>
  <si>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</si>
  <si>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</si>
  <si>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</si>
  <si>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</si>
  <si>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</si>
  <si>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</si>
  <si>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</si>
  <si>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</si>
  <si>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</si>
  <si>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</si>
  <si>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</si>
  <si>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</si>
  <si>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</si>
  <si>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</si>
  <si>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</si>
  <si>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</si>
  <si>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</si>
  <si>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</si>
  <si>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</si>
  <si>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</si>
  <si>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</si>
  <si>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</si>
  <si>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</si>
  <si>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</si>
  <si>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</si>
  <si>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</si>
  <si>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</si>
  <si>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</si>
  <si>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</si>
  <si>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</si>
  <si>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</si>
  <si>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</si>
  <si>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</si>
  <si>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</si>
  <si>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</si>
  <si>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</si>
  <si>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</si>
  <si>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</si>
  <si>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</si>
  <si>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</si>
  <si>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</si>
  <si>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</si>
  <si>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</si>
  <si>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</si>
  <si>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</si>
  <si>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</si>
  <si>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</si>
  <si>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</si>
  <si>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</si>
  <si>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</si>
  <si>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</si>
  <si>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</si>
  <si>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</si>
  <si>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</si>
  <si>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</si>
  <si>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</si>
  <si>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</si>
  <si>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</si>
  <si>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</si>
  <si>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</si>
  <si>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</si>
  <si>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</si>
  <si>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</si>
  <si>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</si>
  <si>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</si>
  <si>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</si>
  <si>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</si>
  <si>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</si>
  <si>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</si>
  <si>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</si>
  <si>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</si>
  <si>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</si>
  <si>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</si>
  <si>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</si>
  <si>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</si>
  <si>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</si>
  <si>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</si>
  <si>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</si>
  <si>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</si>
  <si>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</si>
  <si>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</si>
  <si>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</si>
  <si>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</si>
  <si>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</si>
  <si>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</si>
  <si>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</si>
  <si>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</si>
  <si>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</si>
  <si>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</si>
  <si>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</si>
  <si>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</si>
  <si>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</si>
  <si>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</si>
  <si>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</si>
  <si>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</si>
  <si>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</si>
  <si>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</si>
  <si>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</si>
  <si>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</si>
  <si>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</si>
  <si>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</si>
  <si>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</si>
  <si>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</si>
  <si>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</si>
  <si>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</si>
  <si>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</si>
  <si>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</si>
  <si>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</si>
  <si>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</si>
  <si>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</si>
  <si>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</si>
  <si>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</si>
  <si>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</si>
  <si>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</si>
  <si>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</si>
  <si>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</si>
  <si>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</si>
  <si>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</si>
  <si>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</si>
  <si>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</si>
  <si>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</si>
  <si>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</si>
  <si>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</si>
  <si>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</si>
  <si>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</si>
  <si>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</si>
  <si>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</si>
  <si>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</si>
  <si>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</si>
  <si>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</si>
  <si>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</si>
  <si>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</si>
  <si>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</si>
  <si>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</si>
  <si>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</si>
  <si>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</si>
  <si>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</si>
  <si>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</si>
  <si>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</si>
  <si>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</si>
  <si>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</si>
  <si>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</si>
  <si>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</si>
  <si>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</si>
  <si>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</si>
  <si>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</si>
  <si>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</si>
  <si>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</si>
  <si>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</si>
  <si>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</si>
  <si>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</si>
  <si>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</si>
  <si>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</si>
  <si>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</si>
  <si>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</si>
  <si>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</si>
  <si>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</si>
  <si>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</si>
  <si>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</si>
  <si>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</si>
  <si>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</si>
  <si>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</si>
  <si>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</si>
  <si>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</si>
  <si>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</si>
  <si>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</si>
  <si>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</si>
  <si>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</si>
  <si>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</si>
  <si>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</si>
  <si>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</si>
  <si>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</si>
  <si>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</si>
  <si>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</si>
  <si>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</si>
  <si>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</si>
  <si>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</si>
  <si>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</si>
  <si>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</si>
  <si>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</si>
  <si>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</si>
  <si>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</si>
  <si>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</si>
  <si>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</si>
  <si>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</si>
  <si>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</si>
  <si>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</si>
  <si>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</si>
  <si>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</si>
  <si>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</si>
  <si>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</si>
  <si>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</si>
  <si>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</si>
  <si>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</si>
  <si>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</si>
  <si>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</si>
  <si>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</si>
  <si>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</si>
  <si>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</si>
  <si>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</si>
  <si>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</si>
  <si>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</si>
  <si>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</si>
  <si>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</si>
  <si>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</si>
  <si>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</si>
  <si>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</si>
  <si>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</si>
  <si>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</si>
  <si>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</si>
  <si>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</si>
  <si>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</si>
  <si>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</si>
  <si>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</si>
  <si>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</si>
  <si>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</si>
  <si>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</si>
  <si>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</si>
  <si>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</si>
  <si>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</si>
  <si>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</si>
  <si>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</si>
  <si>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</si>
  <si>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</si>
  <si>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</si>
  <si>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</si>
  <si>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</si>
  <si>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</si>
  <si>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</si>
  <si>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</si>
  <si>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</si>
  <si>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</si>
  <si>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</si>
  <si>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</si>
  <si>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</si>
  <si>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</si>
  <si>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</si>
  <si>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</si>
  <si>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</si>
  <si>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</si>
  <si>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</si>
  <si>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</si>
  <si>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</si>
  <si>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</si>
  <si>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</si>
  <si>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</si>
  <si>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</si>
  <si>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</si>
  <si>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</si>
  <si>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</si>
  <si>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</si>
  <si>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</si>
  <si>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</si>
  <si>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</si>
  <si>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</si>
  <si>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</si>
  <si>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</si>
  <si>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</si>
  <si>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</si>
  <si>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</si>
  <si>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</si>
  <si>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</si>
  <si>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</si>
  <si>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</si>
  <si>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</si>
  <si>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</si>
  <si>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</si>
  <si>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</si>
  <si>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</si>
  <si>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</si>
  <si>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</si>
  <si>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</si>
  <si>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</si>
  <si>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</si>
  <si>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</si>
  <si>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</si>
  <si>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</si>
  <si>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</si>
  <si>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</si>
  <si>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</si>
  <si>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</si>
  <si>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</si>
  <si>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</si>
  <si>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</si>
  <si>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</si>
  <si>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</si>
  <si>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</si>
  <si>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</si>
  <si>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</si>
  <si>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</si>
  <si>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</si>
  <si>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</si>
  <si>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</si>
  <si>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</si>
  <si>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</si>
  <si>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</si>
  <si>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</si>
  <si>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</si>
  <si>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</si>
  <si>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</si>
  <si>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</si>
  <si>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</si>
  <si>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</si>
  <si>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</si>
  <si>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</si>
  <si>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</si>
  <si>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</si>
  <si>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</si>
  <si>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</si>
  <si>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</si>
  <si>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</si>
  <si>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</si>
  <si>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</si>
  <si>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</si>
  <si>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</si>
  <si>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</si>
  <si>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</si>
  <si>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</si>
  <si>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</si>
  <si>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</si>
  <si>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</si>
  <si>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</si>
  <si>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</si>
  <si>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</si>
  <si>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</si>
  <si>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</si>
  <si>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</si>
  <si>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</si>
  <si>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</si>
  <si>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</si>
  <si>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</si>
  <si>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</si>
  <si>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</si>
  <si>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</si>
  <si>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</si>
  <si>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</si>
  <si>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</si>
  <si>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</si>
  <si>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</si>
  <si>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</si>
  <si>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</si>
  <si>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</si>
  <si>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</si>
  <si>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</si>
  <si>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</si>
  <si>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</si>
  <si>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</si>
  <si>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</si>
  <si>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</si>
  <si>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</si>
  <si>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</si>
  <si>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</si>
  <si>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</si>
  <si>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</si>
  <si>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</si>
  <si>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</si>
  <si>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</si>
  <si>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</si>
  <si>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</si>
  <si>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</si>
  <si>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</si>
  <si>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</si>
  <si>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</si>
  <si>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</si>
  <si>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</si>
  <si>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</si>
  <si>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</si>
  <si>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</si>
  <si>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</si>
  <si>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</si>
  <si>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</si>
  <si>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</si>
  <si>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</si>
  <si>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</si>
  <si>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</si>
  <si>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</si>
  <si>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</si>
  <si>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</si>
  <si>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</si>
  <si>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</si>
  <si>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</si>
  <si>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</si>
  <si>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</si>
  <si>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</si>
  <si>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</si>
  <si>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</si>
  <si>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</si>
  <si>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</si>
  <si>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</si>
  <si>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</si>
  <si>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</si>
  <si>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</si>
  <si>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</si>
  <si>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</si>
  <si>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</si>
  <si>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</si>
  <si>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</si>
  <si>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</si>
  <si>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</si>
  <si>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</si>
  <si>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</si>
  <si>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</si>
  <si>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</si>
  <si>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</si>
  <si>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</si>
  <si>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</si>
  <si>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</si>
  <si>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</si>
  <si>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</si>
  <si>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</si>
  <si>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</si>
  <si>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</si>
  <si>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</si>
  <si>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</si>
  <si>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</si>
  <si>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</si>
  <si>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</si>
  <si>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</si>
  <si>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</si>
  <si>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</si>
  <si>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</si>
  <si>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</si>
  <si>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</si>
  <si>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</si>
  <si>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</si>
  <si>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</si>
  <si>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</si>
  <si>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</si>
  <si>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</si>
  <si>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</si>
  <si>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</si>
  <si>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</si>
  <si>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</si>
  <si>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</si>
  <si>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</si>
  <si>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</si>
  <si>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</si>
  <si>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</si>
  <si>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</si>
  <si>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</si>
  <si>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</si>
  <si>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</si>
  <si>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</si>
  <si>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</si>
  <si>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</si>
  <si>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</si>
  <si>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</si>
  <si>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</si>
  <si>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</si>
  <si>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</si>
  <si>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</si>
  <si>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</si>
  <si>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</si>
  <si>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</si>
  <si>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</si>
  <si>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</si>
  <si>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</si>
  <si>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</si>
  <si>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</si>
  <si>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</si>
  <si>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</si>
  <si>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</si>
  <si>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</si>
  <si>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</si>
  <si>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</si>
  <si>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</si>
  <si>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</si>
  <si>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</si>
  <si>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</si>
  <si>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</si>
  <si>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</si>
  <si>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</si>
  <si>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</si>
  <si>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</si>
  <si>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</si>
  <si>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</si>
  <si>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</si>
  <si>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</si>
  <si>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</si>
  <si>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</si>
  <si>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</si>
  <si>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</si>
  <si>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</si>
  <si>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</si>
  <si>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</si>
  <si>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</si>
  <si>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</si>
  <si>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</si>
  <si>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</si>
  <si>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</si>
  <si>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</si>
  <si>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</si>
  <si>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</si>
  <si>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</si>
  <si>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</si>
  <si>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</si>
  <si>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</si>
  <si>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</si>
  <si>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</si>
  <si>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</si>
  <si>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</si>
  <si>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</si>
  <si>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</si>
  <si>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</si>
  <si>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</si>
  <si>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</si>
  <si>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</si>
  <si>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</si>
  <si>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</si>
  <si>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</si>
  <si>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</si>
  <si>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</si>
  <si>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</si>
  <si>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</si>
  <si>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</si>
  <si>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</si>
  <si>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</si>
  <si>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</si>
  <si>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</si>
  <si>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</si>
  <si>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</si>
  <si>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</si>
  <si>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</si>
  <si>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</si>
  <si>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</si>
  <si>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</si>
  <si>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</si>
  <si>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</si>
  <si>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</si>
  <si>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</si>
  <si>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</si>
  <si>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</si>
  <si>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</si>
  <si>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</si>
  <si>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</si>
  <si>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</si>
  <si>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</si>
  <si>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</si>
  <si>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</si>
  <si>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</si>
  <si>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</si>
  <si>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</si>
  <si>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</si>
  <si>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</si>
  <si>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</si>
  <si>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</si>
  <si>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</si>
  <si>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</si>
  <si>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</si>
  <si>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</si>
  <si>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</si>
  <si>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</si>
  <si>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</si>
  <si>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</si>
  <si>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</si>
  <si>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</si>
  <si>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</si>
  <si>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</si>
  <si>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</si>
  <si>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</si>
  <si>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</si>
  <si>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</si>
  <si>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</si>
  <si>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</si>
  <si>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</si>
  <si>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</si>
  <si>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</si>
  <si>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</si>
  <si>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</si>
  <si>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</si>
  <si>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</si>
  <si>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</si>
  <si>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</si>
  <si>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</si>
  <si>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</si>
  <si>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</si>
  <si>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</si>
  <si>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</si>
  <si>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</si>
  <si>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</si>
  <si>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</si>
  <si>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</si>
  <si>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</si>
  <si>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</si>
  <si>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</si>
  <si>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</si>
  <si>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</si>
  <si>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</si>
  <si>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</si>
  <si>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</si>
  <si>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</si>
  <si>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</si>
  <si>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</si>
  <si>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</si>
  <si>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</si>
  <si>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</si>
  <si>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</si>
  <si>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</si>
  <si>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</si>
  <si>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</si>
  <si>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</si>
  <si>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</si>
  <si>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</si>
  <si>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</si>
  <si>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</si>
  <si>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</si>
  <si>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</si>
  <si>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</si>
  <si>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</si>
  <si>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</si>
  <si>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</si>
  <si>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</si>
  <si>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</si>
  <si>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</si>
  <si>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</si>
  <si>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</si>
  <si>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</si>
  <si>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</si>
  <si>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</si>
  <si>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</si>
  <si>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</si>
  <si>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</si>
  <si>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</si>
  <si>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</si>
  <si>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</si>
  <si>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</si>
  <si>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</si>
  <si>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</si>
  <si>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</si>
  <si>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</si>
  <si>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</si>
  <si>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</si>
  <si>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</si>
  <si>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</si>
  <si>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</si>
  <si>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</si>
  <si>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</si>
  <si>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</si>
  <si>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</si>
  <si>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</si>
  <si>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</si>
  <si>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</si>
  <si>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</si>
  <si>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</si>
  <si>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</si>
  <si>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</si>
  <si>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</si>
  <si>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</si>
  <si>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</si>
  <si>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</si>
  <si>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</si>
  <si>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</si>
  <si>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</si>
  <si>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</si>
  <si>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</si>
  <si>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</si>
  <si>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</si>
  <si>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</si>
  <si>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</si>
  <si>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</si>
  <si>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</si>
  <si>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</si>
  <si>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</si>
  <si>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</si>
  <si>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</si>
  <si>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</si>
  <si>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</si>
  <si>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</si>
  <si>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</si>
  <si>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</si>
  <si>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</si>
  <si>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</si>
  <si>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</si>
  <si>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</si>
  <si>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</si>
  <si>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</si>
  <si>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</si>
  <si>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</si>
  <si>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</si>
  <si>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</si>
  <si>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</si>
  <si>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</si>
  <si>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</si>
  <si>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</si>
  <si>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</si>
  <si>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</si>
  <si>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</si>
  <si>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</si>
  <si>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</si>
  <si>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</si>
  <si>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</si>
  <si>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</si>
  <si>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</si>
  <si>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</si>
  <si>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</si>
  <si>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</si>
  <si>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</si>
  <si>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</si>
  <si>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</si>
  <si>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</si>
  <si>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</si>
  <si>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</si>
  <si>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</si>
  <si>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</si>
  <si>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</si>
  <si>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</si>
  <si>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</si>
  <si>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</si>
  <si>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</si>
  <si>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</si>
  <si>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</si>
  <si>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</si>
  <si>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</si>
  <si>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</si>
  <si>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</si>
  <si>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</si>
  <si>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</si>
  <si>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</si>
  <si>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</si>
  <si>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</si>
  <si>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</si>
  <si>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</si>
  <si>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</si>
  <si>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</si>
  <si>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</si>
  <si>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</si>
  <si>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</si>
  <si>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</si>
  <si>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</si>
  <si>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</si>
  <si>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</si>
  <si>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</si>
  <si>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</si>
  <si>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</si>
  <si>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</si>
  <si>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</si>
  <si>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</si>
  <si>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</si>
  <si>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</si>
  <si>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</si>
  <si>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</si>
  <si>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</si>
  <si>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</si>
  <si>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</si>
  <si>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</si>
  <si>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</si>
  <si>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</si>
  <si>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</si>
  <si>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</si>
  <si>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</si>
  <si>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</si>
  <si>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</si>
  <si>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</si>
  <si>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</si>
  <si>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</si>
  <si>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</si>
  <si>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</si>
  <si>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</si>
  <si>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</si>
  <si>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</si>
  <si>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</si>
  <si>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</si>
  <si>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</si>
  <si>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</si>
  <si>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</si>
  <si>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</si>
  <si>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</si>
  <si>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</si>
  <si>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</si>
  <si>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</si>
  <si>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</si>
  <si>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</si>
  <si>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</si>
  <si>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</si>
  <si>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</si>
  <si>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</si>
  <si>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</si>
  <si>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</si>
  <si>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</si>
  <si>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</si>
  <si>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</si>
  <si>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</si>
  <si>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</si>
  <si>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</si>
  <si>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</si>
  <si>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</si>
  <si>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</si>
  <si>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</si>
  <si>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</si>
  <si>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</si>
  <si>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</si>
  <si>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</si>
  <si>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</si>
  <si>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</si>
  <si>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</si>
  <si>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</si>
  <si>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</si>
  <si>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</si>
  <si>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</si>
  <si>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</si>
  <si>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</si>
  <si>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</si>
  <si>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</si>
  <si>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</si>
  <si>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</si>
  <si>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</si>
  <si>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</si>
  <si>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</si>
  <si>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</si>
  <si>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</si>
  <si>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</si>
  <si>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</si>
  <si>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</si>
  <si>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</si>
  <si>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</si>
  <si>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</si>
  <si>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</si>
  <si>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</si>
  <si>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</si>
  <si>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</si>
  <si>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</si>
  <si>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</si>
  <si>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</si>
  <si>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</si>
  <si>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</si>
  <si>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</si>
  <si>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</si>
  <si>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</si>
  <si>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</si>
  <si>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</si>
  <si>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</si>
  <si>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</si>
  <si>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</si>
  <si>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</si>
  <si>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</si>
  <si>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</si>
  <si>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</si>
  <si>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</si>
  <si>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</si>
  <si>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</si>
  <si>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</si>
  <si>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</si>
  <si>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</si>
  <si>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</si>
  <si>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</si>
  <si>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</si>
  <si>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</si>
  <si>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</si>
  <si>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</si>
  <si>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</si>
  <si>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</si>
  <si>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</si>
  <si>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</si>
  <si>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</si>
  <si>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</si>
  <si>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</si>
  <si>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</si>
  <si>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</si>
  <si>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</si>
  <si>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</si>
  <si>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</si>
  <si>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</si>
  <si>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</si>
  <si>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</si>
  <si>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</si>
  <si>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</si>
  <si>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</si>
  <si>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</si>
  <si>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</si>
  <si>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</si>
  <si>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</si>
  <si>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</si>
  <si>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</si>
  <si>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</si>
  <si>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</si>
  <si>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</si>
  <si>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</si>
  <si>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</si>
  <si>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</si>
  <si>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</si>
  <si>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</si>
  <si>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</si>
  <si>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</si>
  <si>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</si>
  <si>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</si>
  <si>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</si>
  <si>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</si>
  <si>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</si>
  <si>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</si>
  <si>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</si>
  <si>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</si>
  <si>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</si>
  <si>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</si>
  <si>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</si>
  <si>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</si>
  <si>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</si>
  <si>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</si>
  <si>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</si>
  <si>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</si>
  <si>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</si>
  <si>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</si>
  <si>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</si>
  <si>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</si>
  <si>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</si>
  <si>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</si>
  <si>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</si>
  <si>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</si>
  <si>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</si>
  <si>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</si>
  <si>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</si>
  <si>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</si>
  <si>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</si>
  <si>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</si>
  <si>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</si>
  <si>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</si>
  <si>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</si>
  <si>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</si>
  <si>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</si>
  <si>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</si>
  <si>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</si>
  <si>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</si>
  <si>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</si>
  <si>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</si>
  <si>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</si>
  <si>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</si>
  <si>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</si>
  <si>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</si>
  <si>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</si>
  <si>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</si>
  <si>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</si>
  <si>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</si>
  <si>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</si>
  <si>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</si>
  <si>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</si>
  <si>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</si>
  <si>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</si>
  <si>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</si>
  <si>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</si>
  <si>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</si>
  <si>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</si>
  <si>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</si>
  <si>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</si>
  <si>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</si>
  <si>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</si>
  <si>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</si>
  <si>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</si>
  <si>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</si>
  <si>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</si>
  <si>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</si>
  <si>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</si>
  <si>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</si>
  <si>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</si>
  <si>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</si>
  <si>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</si>
  <si>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</si>
  <si>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</si>
  <si>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</si>
  <si>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</si>
  <si>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</si>
  <si>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</si>
  <si>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</si>
  <si>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</si>
  <si>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</si>
  <si>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</si>
  <si>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</si>
  <si>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</si>
  <si>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</si>
  <si>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</si>
  <si>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</si>
  <si>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</si>
  <si>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</si>
  <si>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</si>
  <si>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</si>
  <si>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</si>
  <si>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</si>
  <si>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</si>
  <si>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</si>
  <si>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</si>
  <si>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</si>
  <si>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</si>
  <si>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</si>
  <si>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</si>
  <si>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</si>
  <si>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</si>
  <si>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</si>
  <si>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</si>
  <si>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</si>
  <si>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</si>
  <si>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</si>
  <si>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</si>
  <si>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</si>
  <si>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</si>
  <si>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</si>
  <si>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</si>
  <si>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</si>
  <si>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</si>
  <si>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</si>
  <si>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</si>
  <si>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</si>
  <si>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</si>
  <si>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</si>
  <si>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</si>
  <si>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</si>
  <si>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</si>
  <si>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</si>
  <si>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</si>
  <si>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</si>
  <si>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</si>
  <si>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</si>
  <si>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</si>
  <si>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</si>
  <si>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</si>
  <si>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</si>
  <si>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</si>
  <si>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</si>
  <si>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</si>
  <si>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</si>
  <si>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</si>
  <si>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</si>
  <si>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</si>
  <si>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</si>
  <si>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</si>
  <si>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</si>
  <si>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</si>
  <si>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</si>
  <si>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</si>
  <si>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</si>
  <si>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</si>
  <si>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</si>
  <si>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</si>
  <si>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</si>
  <si>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</si>
  <si>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</si>
  <si>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</si>
  <si>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</si>
  <si>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</si>
  <si>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</si>
  <si>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</si>
  <si>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</si>
  <si>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</si>
  <si>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</si>
  <si>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</si>
  <si>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</si>
  <si>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</si>
  <si>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</si>
  <si>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</si>
  <si>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</si>
  <si>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</si>
  <si>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</si>
  <si>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</si>
  <si>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</si>
  <si>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</si>
  <si>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</si>
  <si>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</si>
  <si>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</si>
  <si>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</si>
  <si>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</si>
  <si>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</si>
  <si>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</si>
  <si>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</si>
  <si>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</si>
  <si>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</si>
  <si>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</si>
  <si>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</si>
  <si>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</si>
  <si>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</si>
  <si>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</si>
  <si>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</si>
  <si>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</si>
  <si>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</si>
  <si>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</si>
  <si>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</si>
  <si>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</si>
  <si>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</si>
  <si>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</si>
  <si>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</si>
  <si>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</si>
  <si>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</si>
  <si>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</si>
  <si>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</si>
  <si>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</si>
  <si>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</si>
  <si>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</si>
  <si>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</si>
  <si>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</si>
  <si>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</si>
  <si>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</si>
  <si>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</si>
  <si>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</si>
  <si>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</si>
  <si>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</si>
  <si>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</si>
  <si>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</si>
  <si>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</si>
  <si>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</si>
  <si>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</si>
  <si>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</si>
  <si>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</si>
  <si>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</si>
  <si>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</si>
  <si>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</si>
  <si>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</si>
  <si>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</si>
  <si>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</si>
  <si>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</si>
  <si>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</si>
  <si>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</si>
  <si>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</si>
  <si>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</si>
  <si>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</si>
  <si>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</si>
  <si>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</si>
  <si>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</si>
  <si>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</si>
  <si>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</si>
  <si>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</si>
  <si>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</si>
  <si>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</si>
  <si>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</si>
  <si>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</si>
  <si>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</si>
  <si>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</si>
  <si>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</si>
  <si>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</si>
  <si>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</si>
  <si>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</si>
  <si>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</si>
  <si>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</si>
  <si>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</si>
  <si>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</si>
  <si>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</si>
  <si>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</si>
  <si>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</si>
  <si>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</si>
  <si>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</si>
  <si>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</si>
  <si>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</si>
  <si>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</si>
  <si>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</si>
  <si>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</si>
  <si>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</si>
  <si>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</si>
  <si>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</si>
  <si>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</si>
  <si>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</si>
  <si>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</si>
  <si>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</si>
  <si>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</si>
  <si>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</si>
  <si>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</si>
  <si>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</si>
  <si>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</si>
  <si>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</si>
  <si>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</si>
  <si>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</si>
  <si>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</si>
  <si>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</si>
  <si>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</si>
  <si>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</si>
  <si>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</si>
  <si>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</si>
  <si>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</si>
  <si>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</si>
  <si>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</si>
  <si>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</si>
  <si>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</si>
  <si>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</si>
  <si>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</si>
  <si>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</si>
  <si>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</si>
  <si>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</si>
  <si>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</si>
  <si>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</si>
  <si>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</si>
  <si>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</si>
  <si>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</si>
  <si>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</si>
  <si>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</si>
  <si>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</si>
  <si>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</si>
  <si>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</si>
  <si>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</si>
  <si>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</si>
  <si>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</si>
  <si>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</si>
  <si>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</si>
  <si>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</si>
  <si>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</si>
  <si>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</si>
  <si>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</si>
  <si>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</si>
  <si>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</si>
  <si>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</si>
  <si>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</si>
  <si>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</si>
  <si>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</si>
  <si>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</si>
  <si>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</si>
  <si>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</si>
  <si>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</si>
  <si>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</si>
  <si>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</si>
  <si>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</si>
  <si>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</si>
  <si>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</si>
  <si>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</si>
  <si>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</si>
  <si>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</si>
  <si>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</si>
  <si>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</si>
  <si>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</si>
  <si>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</si>
  <si>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</si>
  <si>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</si>
  <si>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</si>
  <si>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</si>
  <si>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</si>
  <si>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</si>
  <si>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</si>
  <si>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</si>
  <si>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</si>
  <si>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</si>
  <si>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</si>
  <si>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</si>
  <si>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</si>
  <si>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</si>
  <si>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</si>
  <si>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</si>
  <si>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</si>
  <si>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</si>
  <si>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</si>
  <si>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</si>
  <si>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</si>
  <si>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</si>
  <si>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</si>
  <si>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</si>
  <si>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</si>
  <si>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</si>
  <si>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</si>
  <si>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</si>
  <si>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</si>
  <si>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</si>
  <si>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</si>
  <si>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</si>
  <si>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</si>
  <si>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</si>
  <si>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</si>
  <si>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</si>
  <si>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</si>
  <si>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</si>
  <si>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</si>
  <si>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</si>
  <si>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</si>
  <si>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</si>
  <si>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</si>
  <si>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</si>
  <si>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</si>
  <si>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</si>
  <si>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</si>
  <si>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</si>
  <si>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</si>
  <si>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</si>
  <si>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</si>
  <si>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</si>
  <si>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</si>
  <si>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</si>
  <si>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</si>
  <si>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</si>
  <si>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</si>
  <si>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</si>
  <si>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</si>
  <si>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</si>
  <si>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</si>
  <si>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</si>
  <si>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</si>
  <si>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</si>
  <si>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</si>
  <si>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</si>
  <si>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</si>
  <si>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</si>
  <si>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</si>
  <si>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</si>
  <si>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</si>
  <si>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</si>
  <si>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</si>
  <si>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</si>
  <si>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</si>
  <si>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</si>
  <si>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</si>
  <si>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</si>
  <si>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</si>
  <si>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</si>
  <si>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</si>
  <si>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</si>
  <si>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</si>
  <si>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</si>
  <si>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</si>
  <si>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</si>
  <si>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</si>
  <si>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</si>
  <si>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</si>
  <si>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</si>
  <si>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</si>
  <si>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</si>
  <si>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</si>
  <si>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</si>
  <si>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</si>
  <si>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</si>
  <si>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</si>
  <si>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</si>
  <si>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</si>
  <si>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</si>
  <si>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</si>
  <si>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</si>
  <si>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</si>
  <si>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</si>
  <si>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</si>
  <si>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</si>
  <si>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</si>
  <si>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</si>
  <si>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</si>
  <si>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</si>
  <si>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</si>
  <si>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</si>
  <si>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</si>
  <si>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</si>
  <si>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</si>
  <si>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</si>
  <si>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</si>
  <si>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</si>
  <si>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</si>
  <si>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</si>
  <si>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</si>
  <si>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</si>
  <si>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</si>
  <si>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</si>
  <si>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</si>
  <si>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</si>
  <si>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</si>
  <si>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</si>
  <si>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</si>
  <si>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</si>
  <si>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</si>
  <si>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</si>
  <si>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</si>
  <si>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</si>
  <si>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</si>
  <si>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</si>
  <si>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</si>
  <si>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</si>
  <si>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</si>
  <si>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</si>
  <si>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</si>
  <si>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</si>
  <si>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</si>
  <si>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</si>
  <si>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</si>
  <si>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</si>
  <si>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</si>
  <si>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</si>
  <si>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</si>
  <si>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</si>
  <si>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</si>
  <si>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</si>
  <si>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</si>
  <si>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</si>
  <si>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</si>
  <si>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</si>
  <si>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</si>
  <si>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</si>
  <si>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</si>
  <si>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</si>
  <si>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</si>
  <si>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</si>
  <si>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</si>
  <si>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</si>
  <si>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</si>
  <si>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</si>
  <si>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</si>
  <si>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</si>
  <si>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</si>
  <si>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</si>
  <si>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</si>
  <si>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</si>
  <si>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</si>
  <si>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</si>
  <si>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</si>
  <si>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</si>
  <si>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</si>
  <si>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</si>
  <si>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</si>
  <si>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</si>
  <si>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</si>
  <si>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</si>
  <si>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</si>
  <si>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</si>
  <si>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</si>
  <si>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</si>
  <si>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</si>
  <si>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</si>
  <si>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</si>
  <si>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</si>
  <si>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</si>
  <si>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</si>
  <si>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</si>
  <si>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</si>
  <si>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</si>
  <si>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</si>
  <si>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</si>
  <si>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</si>
  <si>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</si>
  <si>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</si>
  <si>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</si>
  <si>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</si>
  <si>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</si>
  <si>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</si>
  <si>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</si>
  <si>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</si>
  <si>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</si>
  <si>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</si>
  <si>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</si>
  <si>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</si>
  <si>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</si>
  <si>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</si>
  <si>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</si>
  <si>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</si>
  <si>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</si>
  <si>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</si>
  <si>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</si>
  <si>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</si>
  <si>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</si>
  <si>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</si>
  <si>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</si>
  <si>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</si>
  <si>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</si>
  <si>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</si>
  <si>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</si>
  <si>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</si>
  <si>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</si>
  <si>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</si>
  <si>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</si>
  <si>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</si>
  <si>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</si>
  <si>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</si>
  <si>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</si>
  <si>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</si>
  <si>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</si>
  <si>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</si>
  <si>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</si>
  <si>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</si>
  <si>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</si>
  <si>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</si>
  <si>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</si>
  <si>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</si>
  <si>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</si>
  <si>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</si>
  <si>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</si>
  <si>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</si>
  <si>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</si>
  <si>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</si>
  <si>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</si>
  <si>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</si>
  <si>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</si>
  <si>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</si>
  <si>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</si>
  <si>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</si>
  <si>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</si>
  <si>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</si>
  <si>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</si>
  <si>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</si>
  <si>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</si>
  <si>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</si>
  <si>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</si>
  <si>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</si>
  <si>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</si>
  <si>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</si>
  <si>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</si>
  <si>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</si>
  <si>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</si>
  <si>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</si>
  <si>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</si>
  <si>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</si>
  <si>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</si>
  <si>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</si>
  <si>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</si>
  <si>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</si>
  <si>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</si>
  <si>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</si>
  <si>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</si>
  <si>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</si>
  <si>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</si>
  <si>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</si>
  <si>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</si>
  <si>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</si>
  <si>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</si>
  <si>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</si>
  <si>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</si>
  <si>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</si>
  <si>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</si>
  <si>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</si>
  <si>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</si>
  <si>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</si>
  <si>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</si>
  <si>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</si>
  <si>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</si>
  <si>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</si>
  <si>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</si>
  <si>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</si>
  <si>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</si>
  <si>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</si>
  <si>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</si>
  <si>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</si>
  <si>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</si>
  <si>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</si>
  <si>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</si>
  <si>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</si>
  <si>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</si>
  <si>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</si>
  <si>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</si>
  <si>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</si>
  <si>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</si>
  <si>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</si>
  <si>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</si>
  <si>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</si>
  <si>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</si>
  <si>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</si>
  <si>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</si>
  <si>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</si>
  <si>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</si>
  <si>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</si>
  <si>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</si>
  <si>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</si>
  <si>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</si>
  <si>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</si>
  <si>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</si>
  <si>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</si>
  <si>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</si>
  <si>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</si>
  <si>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</si>
  <si>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</si>
  <si>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</si>
  <si>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</si>
  <si>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</si>
  <si>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</si>
  <si>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</si>
  <si>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</si>
  <si>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</si>
  <si>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</si>
  <si>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</si>
  <si>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</si>
  <si>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</si>
  <si>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</si>
  <si>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</si>
  <si>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</si>
  <si>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</si>
  <si>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</si>
  <si>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</si>
  <si>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</si>
  <si>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</si>
  <si>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</si>
  <si>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</si>
  <si>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</si>
  <si>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</si>
  <si>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</si>
  <si>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</si>
  <si>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</si>
  <si>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</si>
  <si>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</si>
  <si>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</si>
  <si>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</si>
  <si>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</si>
  <si>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</si>
  <si>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</si>
  <si>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</si>
  <si>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</si>
  <si>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</si>
  <si>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</si>
  <si>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</si>
  <si>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</si>
  <si>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</si>
  <si>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</si>
  <si>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</si>
  <si>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</si>
  <si>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</si>
  <si>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</si>
  <si>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</si>
  <si>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</si>
  <si>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</si>
  <si>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</si>
  <si>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</si>
  <si>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</si>
  <si>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</si>
  <si>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</si>
  <si>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</si>
  <si>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</si>
  <si>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</si>
  <si>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</si>
  <si>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</si>
  <si>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</si>
  <si>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</si>
  <si>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</si>
  <si>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</si>
  <si>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</si>
  <si>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</si>
  <si>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</si>
  <si>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</si>
  <si>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</si>
  <si>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</si>
  <si>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</si>
  <si>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</si>
  <si>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</si>
  <si>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</si>
  <si>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</si>
  <si>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</si>
  <si>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</si>
  <si>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</si>
  <si>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</si>
  <si>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</si>
  <si>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</si>
  <si>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</si>
  <si>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</si>
  <si>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</si>
  <si>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</si>
  <si>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</si>
  <si>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</si>
  <si>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</si>
  <si>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</si>
  <si>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</si>
  <si>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</si>
  <si>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</si>
  <si>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</si>
  <si>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</si>
  <si>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</si>
  <si>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</si>
  <si>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</si>
  <si>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</si>
  <si>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</si>
  <si>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</si>
  <si>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</si>
  <si>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</si>
  <si>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</si>
  <si>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</si>
  <si>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</si>
  <si>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</si>
  <si>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</si>
  <si>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</si>
  <si>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</si>
  <si>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</si>
  <si>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</si>
  <si>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</si>
  <si>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</si>
  <si>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</si>
  <si>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</si>
  <si>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</si>
  <si>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</si>
  <si>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</si>
  <si>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</si>
  <si>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</si>
  <si>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</si>
  <si>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</si>
  <si>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</si>
  <si>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</si>
  <si>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</si>
  <si>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</si>
  <si>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</si>
  <si>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</si>
  <si>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</si>
  <si>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</si>
  <si>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</si>
  <si>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</si>
  <si>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</si>
  <si>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</si>
  <si>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</si>
  <si>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</si>
  <si>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</si>
  <si>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</si>
  <si>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</si>
  <si>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</si>
  <si>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</si>
  <si>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</si>
  <si>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</si>
  <si>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</si>
  <si>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</si>
  <si>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</si>
  <si>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</si>
  <si>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</si>
  <si>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</si>
  <si>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</si>
  <si>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</si>
  <si>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</si>
  <si>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</si>
  <si>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</si>
  <si>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</si>
  <si>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</si>
  <si>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</si>
  <si>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</si>
  <si>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</si>
  <si>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</si>
  <si>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</si>
  <si>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</si>
  <si>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</si>
  <si>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</si>
  <si>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</si>
  <si>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</si>
  <si>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</si>
  <si>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</si>
  <si>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</si>
  <si>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</si>
  <si>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</si>
  <si>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</si>
  <si>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</si>
  <si>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</si>
  <si>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</si>
  <si>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</si>
  <si>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</si>
  <si>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</si>
  <si>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</si>
  <si>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</si>
  <si>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</si>
  <si>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</si>
  <si>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</si>
  <si>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</si>
  <si>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</si>
  <si>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</si>
  <si>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</si>
  <si>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</si>
  <si>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</si>
  <si>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</si>
  <si>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</si>
  <si>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</si>
  <si>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</si>
  <si>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</si>
  <si>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</si>
  <si>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</si>
  <si>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</si>
  <si>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</si>
  <si>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</si>
  <si>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</si>
  <si>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</si>
  <si>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</si>
  <si>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</si>
  <si>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</si>
  <si>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</si>
  <si>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</si>
  <si>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</si>
  <si>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</si>
  <si>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</si>
  <si>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</si>
  <si>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</si>
  <si>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</si>
  <si>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</si>
  <si>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</si>
  <si>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</si>
  <si>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</si>
  <si>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</si>
  <si>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</si>
  <si>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</si>
  <si>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</si>
  <si>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</si>
  <si>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</si>
  <si>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</si>
  <si>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</si>
  <si>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</si>
  <si>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</si>
  <si>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</si>
  <si>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</si>
  <si>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</si>
  <si>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</si>
  <si>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</si>
  <si>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</si>
  <si>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</si>
  <si>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</si>
  <si>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</si>
  <si>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</si>
  <si>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</si>
  <si>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</si>
  <si>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</si>
  <si>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</si>
  <si>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</si>
  <si>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</si>
  <si>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</si>
  <si>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</si>
  <si>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</si>
  <si>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</si>
  <si>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</si>
  <si>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</si>
  <si>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</si>
  <si>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</si>
  <si>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</si>
  <si>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</si>
  <si>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</si>
  <si>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</si>
  <si>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</si>
  <si>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</si>
  <si>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</si>
  <si>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</si>
  <si>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</si>
  <si>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</si>
  <si>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</si>
  <si>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</si>
  <si>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</si>
  <si>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</si>
  <si>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</si>
  <si>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</si>
  <si>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</si>
  <si>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</si>
  <si>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</si>
  <si>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</si>
  <si>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</si>
  <si>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</si>
  <si>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</si>
  <si>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</si>
  <si>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</si>
  <si>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</si>
  <si>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</si>
  <si>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</si>
  <si>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</si>
  <si>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</si>
  <si>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</si>
  <si>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</si>
  <si>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</si>
  <si>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</si>
  <si>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</si>
  <si>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</si>
  <si>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</si>
  <si>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</si>
  <si>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</si>
  <si>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</si>
  <si>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</si>
  <si>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</si>
  <si>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</si>
  <si>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</si>
  <si>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</si>
  <si>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</si>
  <si>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</si>
  <si>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</si>
  <si>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</si>
  <si>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</si>
  <si>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</si>
  <si>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</si>
  <si>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</si>
  <si>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</si>
  <si>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</si>
  <si>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</si>
  <si>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</si>
  <si>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</si>
  <si>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</si>
  <si>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</si>
  <si>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</si>
  <si>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</si>
  <si>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</si>
  <si>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</si>
  <si>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</si>
  <si>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</si>
  <si>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</si>
  <si>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</si>
  <si>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</si>
  <si>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</si>
  <si>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</si>
  <si>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</si>
  <si>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</si>
  <si>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</si>
  <si>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</si>
  <si>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</si>
  <si>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</si>
  <si>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</si>
  <si>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</si>
  <si>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</si>
  <si>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</si>
  <si>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</si>
  <si>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</si>
  <si>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</si>
  <si>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</si>
  <si>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</si>
  <si>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</si>
  <si>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</si>
  <si>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</si>
  <si>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</si>
  <si>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</si>
  <si>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</si>
  <si>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</si>
  <si>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</si>
  <si>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</si>
  <si>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</si>
  <si>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</si>
  <si>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</si>
  <si>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</si>
  <si>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</si>
  <si>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</si>
  <si>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</si>
  <si>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</si>
  <si>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</si>
  <si>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</si>
  <si>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</si>
  <si>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</si>
  <si>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</si>
  <si>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</si>
  <si>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</si>
  <si>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</si>
  <si>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</si>
  <si>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</si>
  <si>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</si>
  <si>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</si>
  <si>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</si>
  <si>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</si>
  <si>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</si>
  <si>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</si>
  <si>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</si>
  <si>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</si>
  <si>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</si>
  <si>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</si>
  <si>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</si>
  <si>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</si>
  <si>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</si>
  <si>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</si>
  <si>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</si>
  <si>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</si>
  <si>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</si>
  <si>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</si>
  <si>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</si>
  <si>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</si>
  <si>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</si>
  <si>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</si>
  <si>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</si>
  <si>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</si>
  <si>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</si>
  <si>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</si>
  <si>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</si>
  <si>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</si>
  <si>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</si>
  <si>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</si>
  <si>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</si>
  <si>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</si>
  <si>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</si>
  <si>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</si>
  <si>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</si>
  <si>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</si>
  <si>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</si>
  <si>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</si>
  <si>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</si>
  <si>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</si>
  <si>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</si>
  <si>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</si>
  <si>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</si>
  <si>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</si>
  <si>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</si>
  <si>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</si>
  <si>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</si>
  <si>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</si>
  <si>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</si>
  <si>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</si>
  <si>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</si>
  <si>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</si>
  <si>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</si>
  <si>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</si>
  <si>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</si>
  <si>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</si>
  <si>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</si>
  <si>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</si>
  <si>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</si>
  <si>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</si>
  <si>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</si>
  <si>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</si>
  <si>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</si>
  <si>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</si>
  <si>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</si>
  <si>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</si>
  <si>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</si>
  <si>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</si>
  <si>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</si>
  <si>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</si>
  <si>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</si>
  <si>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</si>
  <si>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</si>
  <si>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</si>
  <si>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</si>
  <si>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</si>
  <si>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</si>
  <si>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</si>
  <si>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</si>
  <si>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</si>
  <si>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</si>
  <si>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</si>
  <si>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</si>
  <si>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</si>
  <si>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</si>
  <si>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</si>
  <si>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</si>
  <si>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</si>
  <si>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</si>
  <si>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</si>
  <si>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</si>
  <si>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</si>
  <si>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</si>
  <si>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</si>
  <si>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</si>
  <si>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</si>
  <si>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</si>
  <si>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</si>
  <si>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</si>
  <si>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</si>
  <si>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</si>
  <si>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</si>
  <si>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</si>
  <si>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</si>
  <si>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</si>
  <si>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</si>
  <si>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</si>
  <si>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</si>
  <si>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</si>
  <si>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</si>
  <si>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</si>
  <si>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</si>
  <si>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</si>
  <si>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</si>
  <si>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</si>
  <si>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</si>
  <si>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</si>
  <si>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</si>
  <si>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</si>
  <si>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</si>
  <si>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</si>
  <si>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</si>
  <si>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</si>
  <si>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</si>
  <si>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</si>
  <si>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</si>
  <si>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</si>
  <si>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</si>
  <si>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</si>
  <si>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</si>
  <si>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</si>
  <si>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</si>
  <si>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</si>
  <si>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</si>
  <si>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</si>
  <si>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</si>
  <si>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</si>
  <si>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</si>
  <si>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</si>
  <si>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</si>
  <si>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</si>
  <si>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</si>
  <si>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</si>
  <si>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</si>
  <si>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</si>
  <si>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</si>
  <si>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</si>
  <si>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</si>
  <si>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</si>
  <si>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</si>
  <si>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</si>
  <si>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</si>
  <si>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</si>
  <si>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</si>
  <si>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</si>
  <si>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</si>
  <si>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</si>
  <si>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</si>
  <si>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</si>
  <si>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</si>
  <si>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</si>
  <si>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</si>
  <si>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</si>
  <si>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</si>
  <si>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</si>
  <si>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</si>
  <si>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</si>
  <si>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</si>
  <si>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</si>
  <si>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</si>
  <si>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</si>
  <si>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</si>
  <si>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</si>
  <si>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</si>
  <si>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</si>
  <si>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</si>
  <si>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</si>
  <si>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</si>
  <si>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</si>
  <si>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</si>
  <si>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</si>
  <si>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</si>
  <si>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</si>
  <si>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</si>
  <si>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</si>
  <si>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</si>
  <si>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</si>
  <si>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</si>
  <si>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</si>
  <si>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</si>
  <si>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</si>
  <si>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</si>
  <si>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</si>
  <si>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</si>
  <si>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</si>
  <si>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</si>
  <si>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</si>
  <si>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</si>
  <si>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</si>
  <si>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</si>
  <si>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</si>
  <si>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</si>
  <si>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</si>
  <si>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</si>
  <si>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</si>
  <si>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</si>
  <si>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</si>
  <si>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</si>
  <si>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</si>
  <si>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</si>
  <si>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</si>
  <si>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</si>
  <si>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</si>
  <si>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</si>
  <si>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</si>
  <si>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</si>
  <si>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</si>
  <si>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</si>
  <si>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</si>
  <si>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</si>
  <si>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</si>
  <si>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</si>
  <si>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</si>
  <si>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</si>
  <si>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</si>
  <si>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</si>
  <si>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</si>
  <si>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</si>
  <si>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</si>
  <si>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</si>
  <si>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</si>
  <si>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</si>
  <si>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</si>
  <si>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</si>
  <si>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</si>
  <si>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</si>
  <si>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</si>
  <si>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</si>
  <si>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</si>
  <si>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</si>
  <si>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</si>
  <si>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</si>
  <si>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</si>
  <si>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</si>
  <si>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</si>
  <si>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</si>
  <si>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</si>
  <si>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</si>
  <si>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</si>
  <si>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</si>
  <si>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</si>
  <si>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</si>
  <si>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</si>
  <si>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</si>
  <si>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</si>
  <si>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</si>
  <si>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</si>
  <si>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</si>
  <si>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</si>
  <si>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</si>
  <si>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</si>
  <si>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</si>
  <si>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</si>
  <si>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</si>
  <si>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</si>
  <si>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</si>
  <si>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</si>
  <si>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</si>
  <si>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</si>
  <si>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</si>
  <si>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</si>
  <si>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</si>
  <si>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</si>
  <si>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</si>
  <si>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</si>
  <si>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</si>
  <si>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</si>
  <si>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</si>
  <si>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</si>
  <si>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</si>
  <si>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</si>
  <si>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</si>
  <si>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</si>
  <si>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</si>
  <si>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</si>
  <si>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</si>
  <si>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</si>
  <si>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</si>
  <si>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</si>
  <si>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</si>
  <si>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</si>
  <si>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</si>
  <si>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</si>
  <si>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</si>
  <si>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</si>
  <si>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</si>
  <si>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</si>
  <si>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</si>
  <si>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</si>
  <si>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</si>
  <si>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</si>
  <si>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</si>
  <si>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</si>
  <si>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</si>
  <si>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</si>
  <si>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</si>
  <si>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</si>
  <si>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</si>
  <si>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</si>
  <si>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</si>
  <si>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</si>
  <si>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</si>
  <si>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</si>
  <si>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</si>
  <si>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</si>
  <si>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</si>
  <si>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</si>
  <si>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</si>
  <si>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</si>
  <si>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</si>
  <si>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</si>
  <si>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</si>
  <si>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</si>
  <si>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</si>
  <si>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</si>
  <si>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</si>
  <si>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</si>
  <si>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</si>
  <si>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</si>
  <si>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</si>
  <si>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</si>
  <si>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</si>
  <si>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</si>
  <si>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</si>
  <si>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</si>
  <si>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</si>
  <si>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</si>
  <si>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</si>
  <si>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</si>
  <si>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</si>
  <si>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</si>
  <si>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</si>
  <si>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</si>
  <si>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</si>
  <si>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</si>
  <si>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</si>
  <si>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</si>
  <si>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</si>
  <si>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</si>
  <si>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</si>
  <si>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</si>
  <si>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</si>
  <si>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</si>
  <si>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</si>
  <si>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</si>
  <si>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</si>
  <si>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</si>
  <si>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</si>
  <si>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</si>
  <si>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</si>
  <si>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</si>
  <si>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</si>
  <si>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</si>
  <si>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</si>
  <si>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</si>
  <si>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</si>
  <si>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</si>
  <si>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</si>
  <si>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</si>
  <si>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</si>
  <si>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</si>
  <si>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</si>
  <si>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</si>
  <si>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</si>
  <si>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</si>
  <si>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</si>
  <si>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</si>
  <si>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</si>
  <si>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</si>
  <si>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</si>
  <si>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</si>
  <si>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</si>
  <si>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</si>
  <si>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</si>
  <si>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</si>
  <si>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</si>
  <si>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</si>
  <si>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</si>
  <si>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</si>
  <si>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</si>
  <si>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</si>
  <si>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</si>
  <si>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</si>
  <si>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</si>
  <si>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</si>
  <si>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</si>
  <si>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</si>
  <si>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</si>
  <si>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</si>
  <si>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</si>
  <si>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</si>
  <si>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</si>
  <si>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</si>
  <si>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</si>
  <si>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</si>
  <si>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</si>
  <si>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</si>
  <si>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</si>
  <si>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</si>
  <si>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</si>
  <si>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</si>
  <si>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</si>
  <si>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</si>
  <si>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</si>
  <si>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</si>
  <si>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</si>
  <si>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</si>
  <si>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</si>
  <si>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</si>
  <si>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</si>
  <si>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</si>
  <si>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</si>
  <si>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</si>
  <si>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</si>
  <si>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</si>
  <si>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</si>
  <si>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</si>
  <si>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</si>
  <si>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</si>
  <si>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</si>
  <si>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</si>
  <si>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</si>
  <si>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</si>
  <si>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</si>
  <si>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</si>
  <si>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</si>
  <si>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</si>
  <si>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</si>
  <si>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</si>
  <si>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</si>
  <si>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</si>
  <si>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</si>
  <si>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</si>
  <si>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</si>
  <si>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</si>
  <si>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</si>
  <si>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</si>
  <si>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</si>
  <si>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</si>
  <si>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</si>
  <si>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</si>
  <si>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</si>
  <si>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</si>
  <si>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</si>
  <si>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</si>
  <si>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</si>
  <si>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</si>
  <si>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</si>
  <si>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</si>
  <si>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</si>
  <si>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</si>
  <si>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</si>
  <si>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</si>
  <si>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</si>
  <si>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</si>
  <si>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</si>
  <si>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</si>
  <si>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</si>
  <si>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</si>
  <si>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</si>
  <si>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</si>
  <si>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</si>
  <si>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</si>
  <si>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</si>
  <si>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</si>
  <si>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</si>
  <si>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</si>
  <si>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</si>
  <si>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</si>
  <si>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</si>
  <si>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</si>
  <si>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</si>
  <si>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</si>
  <si>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</si>
  <si>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</si>
  <si>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</si>
  <si>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</si>
  <si>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</si>
  <si>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</si>
  <si>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</si>
  <si>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</si>
  <si>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</si>
  <si>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</si>
  <si>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</si>
  <si>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</si>
  <si>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</si>
  <si>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</si>
  <si>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</si>
  <si>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</si>
  <si>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</si>
  <si>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</si>
  <si>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</si>
  <si>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</si>
  <si>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</si>
  <si>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</si>
  <si>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</si>
  <si>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</si>
  <si>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</si>
  <si>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</si>
  <si>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</si>
  <si>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</si>
  <si>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</si>
  <si>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</si>
  <si>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</si>
  <si>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</si>
  <si>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</si>
  <si>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</si>
  <si>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</si>
  <si>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</si>
  <si>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</si>
  <si>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</si>
  <si>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</si>
  <si>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</si>
  <si>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</si>
  <si>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</si>
  <si>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</si>
  <si>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</si>
  <si>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</si>
  <si>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</si>
  <si>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</si>
  <si>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</si>
  <si>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</si>
  <si>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</si>
  <si>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</si>
  <si>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</si>
  <si>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</si>
  <si>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</si>
  <si>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</si>
  <si>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</si>
  <si>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</si>
  <si>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</si>
  <si>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</si>
  <si>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</si>
  <si>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</si>
  <si>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</si>
  <si>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</si>
  <si>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</si>
  <si>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</si>
  <si>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</si>
  <si>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</si>
  <si>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</si>
  <si>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</si>
  <si>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</si>
  <si>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</si>
  <si>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</si>
  <si>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</si>
  <si>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</si>
  <si>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</si>
  <si>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</si>
  <si>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</si>
  <si>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</si>
  <si>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</si>
  <si>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</si>
  <si>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</si>
  <si>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</si>
  <si>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</si>
  <si>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</si>
  <si>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</si>
  <si>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</si>
  <si>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</si>
  <si>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</si>
  <si>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</si>
  <si>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</si>
  <si>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</si>
  <si>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</si>
  <si>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</si>
  <si>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</si>
  <si>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</si>
  <si>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</si>
  <si>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</si>
  <si>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</si>
  <si>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</si>
  <si>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</si>
  <si>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</si>
  <si>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</si>
  <si>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</si>
  <si>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</si>
  <si>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</si>
  <si>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</si>
  <si>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</si>
  <si>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</si>
  <si>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</si>
  <si>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</si>
  <si>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</si>
  <si>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</si>
  <si>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</si>
  <si>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</si>
  <si>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</si>
  <si>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</si>
  <si>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</si>
  <si>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</si>
  <si>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</si>
  <si>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</si>
  <si>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</si>
  <si>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</si>
  <si>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</si>
  <si>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</si>
  <si>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</si>
  <si>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</si>
  <si>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</si>
  <si>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</si>
  <si>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</si>
  <si>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</si>
  <si>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</si>
  <si>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</si>
  <si>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</si>
  <si>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</si>
  <si>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</si>
  <si>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</si>
  <si>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</si>
  <si>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</si>
  <si>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</si>
  <si>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</si>
  <si>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</si>
  <si>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</si>
  <si>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</si>
  <si>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</si>
  <si>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</si>
  <si>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</si>
  <si>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</si>
  <si>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</si>
  <si>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</si>
  <si>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</si>
  <si>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</si>
  <si>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</si>
  <si>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</si>
  <si>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</si>
  <si>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</si>
  <si>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</si>
  <si>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</si>
  <si>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</si>
  <si>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</si>
  <si>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</si>
  <si>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</si>
  <si>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</si>
  <si>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</si>
  <si>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</si>
  <si>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</si>
  <si>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</si>
  <si>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</si>
  <si>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</si>
  <si>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</si>
  <si>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</si>
  <si>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</si>
  <si>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</si>
  <si>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</si>
  <si>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</si>
  <si>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</si>
  <si>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</si>
  <si>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</si>
  <si>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</si>
  <si>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</si>
  <si>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</si>
  <si>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</si>
  <si>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</si>
  <si>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</si>
  <si>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</si>
  <si>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</si>
  <si>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巨量引擎-二类</t>
    <phoneticPr fontId="5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</si>
  <si>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</si>
  <si>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</si>
  <si>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</si>
  <si>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</si>
  <si>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</si>
  <si>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</si>
  <si>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巨量引擎-一类</t>
    <phoneticPr fontId="4" type="noConversion"/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</si>
  <si>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</si>
  <si>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</si>
  <si>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</si>
  <si>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</si>
  <si>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</si>
  <si>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巨量引擎-三类</t>
    <phoneticPr fontId="4" type="noConversion"/>
  </si>
  <si>
    <t>巨量引擎-三类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</si>
  <si>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</si>
  <si>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</si>
  <si>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</si>
  <si>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</si>
  <si>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</si>
  <si>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</si>
  <si>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</si>
  <si>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</si>
  <si>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</si>
  <si>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</si>
  <si>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</si>
  <si>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</si>
  <si>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</si>
  <si>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</si>
  <si>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巨量引擎-一类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</si>
  <si>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</si>
  <si>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</si>
  <si>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</si>
  <si>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</si>
  <si>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</si>
  <si>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</si>
  <si>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</si>
  <si>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</si>
  <si>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</si>
  <si>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巨量引擎-一类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</si>
  <si>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</si>
  <si>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</si>
  <si>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</si>
  <si>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</si>
  <si>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</si>
  <si>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</si>
  <si>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</si>
  <si>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</si>
  <si>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</si>
  <si>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</si>
  <si>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</si>
  <si>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</si>
  <si>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</si>
  <si>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</si>
  <si>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</si>
  <si>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</si>
  <si>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</si>
  <si>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</si>
  <si>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</si>
  <si>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</si>
  <si>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</si>
  <si>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</si>
  <si>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</si>
  <si>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</si>
  <si>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</si>
  <si>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</si>
  <si>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</si>
  <si>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</si>
  <si>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</si>
  <si>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</si>
  <si>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</si>
  <si>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</si>
  <si>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</si>
  <si>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</si>
  <si>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</si>
  <si>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</si>
  <si>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</si>
  <si>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</si>
  <si>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</si>
  <si>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</si>
  <si>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</si>
  <si>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</si>
  <si>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</si>
  <si>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</si>
  <si>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</si>
  <si>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</si>
  <si>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</si>
  <si>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</si>
  <si>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</si>
  <si>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</si>
  <si>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</si>
  <si>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</si>
  <si>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</si>
  <si>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</si>
  <si>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</si>
  <si>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</si>
  <si>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</si>
  <si>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</si>
  <si>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</si>
  <si>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</si>
  <si>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</si>
  <si>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</si>
  <si>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</si>
  <si>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</si>
  <si>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</si>
  <si>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</si>
  <si>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</si>
  <si>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</si>
  <si>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</si>
  <si>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</si>
  <si>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</si>
  <si>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</si>
  <si>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</si>
  <si>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</si>
  <si>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</si>
  <si>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</si>
  <si>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</si>
  <si>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</si>
  <si>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</si>
  <si>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</si>
  <si>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</si>
  <si>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</si>
  <si>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</si>
  <si>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</si>
  <si>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</si>
  <si>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</si>
  <si>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</si>
  <si>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</si>
  <si>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</si>
  <si>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</si>
  <si>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</si>
  <si>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</si>
  <si>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</si>
  <si>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</si>
  <si>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</si>
  <si>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</si>
  <si>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</si>
  <si>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</si>
  <si>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</si>
  <si>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</si>
  <si>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</si>
  <si>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</si>
  <si>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</si>
  <si>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</si>
  <si>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</si>
  <si>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</si>
  <si>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</si>
  <si>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</si>
  <si>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</si>
  <si>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</si>
  <si>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</si>
  <si>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</si>
  <si>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</si>
  <si>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</si>
  <si>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</si>
  <si>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</si>
  <si>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</si>
  <si>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</si>
  <si>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</si>
  <si>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</si>
  <si>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</si>
  <si>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</si>
  <si>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</si>
  <si>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</si>
  <si>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</si>
  <si>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</si>
  <si>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</si>
  <si>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</si>
  <si>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</si>
  <si>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</si>
  <si>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</si>
  <si>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</si>
  <si>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</si>
  <si>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</si>
  <si>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</si>
  <si>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</si>
  <si>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</si>
  <si>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</si>
  <si>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</si>
  <si>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</si>
  <si>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</si>
  <si>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</si>
  <si>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</si>
  <si>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</si>
  <si>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</si>
  <si>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</si>
  <si>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</si>
  <si>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</si>
  <si>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</si>
  <si>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</si>
  <si>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</si>
  <si>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</si>
  <si>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</si>
  <si>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</si>
  <si>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</si>
  <si>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</si>
  <si>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</si>
  <si>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</si>
  <si>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</si>
  <si>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巨量引擎-一类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</si>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</sst>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8188"/>
  <sheetViews>
    <sheetView tabSelected="1" zoomScale="80" zoomScaleNormal="80" workbookViewId="0">
      <pane ySplit="1" topLeftCell="A2" activePane="bottomLeft" state="frozen"/>
      <selection pane="bottomLeft" activeCell="F8211" sqref="F8211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hidden="1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8287360.297029702</v>
      </c>
      <c r="AM1" s="124">
        <f>SUBTOTAL(9,AK:AK)</f>
        <v>0</v>
      </c>
      <c r="AN1" s="123">
        <f>AL1+AM1-媒体表!W1</f>
        <v>-1998437543.1775038</v>
      </c>
    </row>
    <row r="2" spans="1:40" hidden="1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hidden="1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hidden="1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hidden="1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hidden="1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hidden="1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hidden="1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hidden="1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hidden="1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hidden="1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hidden="1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hidden="1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">
        <v>3707</v>
      </c>
      <c r="L18" s="1" t="s">
        <v>35</v>
      </c>
      <c r="N18" s="3" t="s">
        <v>3709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hidden="1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">
        <v>3712</v>
      </c>
      <c r="L19" s="1" t="s">
        <v>35</v>
      </c>
      <c r="N19" s="3" t="s">
        <v>3712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hidden="1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">
        <v>3712</v>
      </c>
      <c r="L20" s="1" t="s">
        <v>35</v>
      </c>
      <c r="N20" s="3" t="s">
        <v>3713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hidden="1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hidden="1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">
        <v>3712</v>
      </c>
      <c r="L22" s="1" t="s">
        <v>35</v>
      </c>
      <c r="N22" s="3" t="s">
        <v>3717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hidden="1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">
        <v>3707</v>
      </c>
      <c r="L23" s="1" t="s">
        <v>35</v>
      </c>
      <c r="N23" s="3" t="s">
        <v>3707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hidden="1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">
        <v>3707</v>
      </c>
      <c r="L24" s="1" t="s">
        <v>35</v>
      </c>
      <c r="N24" s="3" t="s">
        <v>3708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hidden="1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">
        <v>3707</v>
      </c>
      <c r="L25" s="1" t="s">
        <v>35</v>
      </c>
      <c r="N25" s="3" t="s">
        <v>3708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hidden="1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">
        <v>3707</v>
      </c>
      <c r="L26" s="1" t="s">
        <v>35</v>
      </c>
      <c r="N26" s="3" t="s">
        <v>3708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hidden="1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">
        <v>3707</v>
      </c>
      <c r="L27" s="1" t="s">
        <v>35</v>
      </c>
      <c r="N27" s="3" t="s">
        <v>3708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hidden="1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">
        <v>3712</v>
      </c>
      <c r="L28" s="1" t="s">
        <v>35</v>
      </c>
      <c r="N28" s="3" t="s">
        <v>3729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hidden="1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">
        <v>3712</v>
      </c>
      <c r="L29" s="1" t="s">
        <v>35</v>
      </c>
      <c r="N29" s="3" t="s">
        <v>3729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hidden="1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">
        <v>3712</v>
      </c>
      <c r="L30" s="1" t="s">
        <v>35</v>
      </c>
      <c r="N30" s="3" t="s">
        <v>3726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hidden="1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">
        <v>3712</v>
      </c>
      <c r="L31" s="1" t="s">
        <v>35</v>
      </c>
      <c r="N31" s="3" t="s">
        <v>3712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hidden="1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">
        <v>3707</v>
      </c>
      <c r="L32" s="1" t="s">
        <v>35</v>
      </c>
      <c r="N32" s="3" t="s">
        <v>3715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hidden="1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1" t="s">
        <v>3718</v>
      </c>
      <c r="L33" s="1" t="s">
        <v>35</v>
      </c>
      <c r="N33" s="3" t="s">
        <v>3718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hidden="1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1" t="s">
        <v>3718</v>
      </c>
      <c r="L34" s="1" t="s">
        <v>35</v>
      </c>
      <c r="N34" s="3" t="s">
        <v>3718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hidden="1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1" t="s">
        <v>3718</v>
      </c>
      <c r="L35" s="1" t="s">
        <v>35</v>
      </c>
      <c r="N35" s="3" t="s">
        <v>3718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hidden="1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">
        <v>3707</v>
      </c>
      <c r="L36" s="1" t="s">
        <v>35</v>
      </c>
      <c r="N36" s="3" t="s">
        <v>3707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hidden="1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">
        <v>3712</v>
      </c>
      <c r="L37" s="1" t="s">
        <v>35</v>
      </c>
      <c r="N37" s="3" t="s">
        <v>3713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hidden="1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">
        <v>3712</v>
      </c>
      <c r="L38" s="1" t="s">
        <v>35</v>
      </c>
      <c r="N38" s="3" t="s">
        <v>3713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hidden="1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1" t="s">
        <v>3718</v>
      </c>
      <c r="L39" s="1" t="s">
        <v>35</v>
      </c>
      <c r="N39" s="3" t="s">
        <v>3718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hidden="1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1" t="s">
        <v>3718</v>
      </c>
      <c r="L40" s="1" t="s">
        <v>35</v>
      </c>
      <c r="N40" s="3" t="s">
        <v>3718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hidden="1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">
        <v>3712</v>
      </c>
      <c r="L41" s="1" t="s">
        <v>35</v>
      </c>
      <c r="N41" s="3" t="s">
        <v>3712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hidden="1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">
        <v>3712</v>
      </c>
      <c r="L42" s="1" t="s">
        <v>35</v>
      </c>
      <c r="N42" s="3" t="s">
        <v>3729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hidden="1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">
        <v>3712</v>
      </c>
      <c r="L43" s="1" t="s">
        <v>35</v>
      </c>
      <c r="N43" s="3" t="s">
        <v>3712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hidden="1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">
        <v>3712</v>
      </c>
      <c r="L44" s="1" t="s">
        <v>35</v>
      </c>
      <c r="N44" s="3" t="s">
        <v>3712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hidden="1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">
        <v>3710</v>
      </c>
      <c r="L45" s="1" t="s">
        <v>35</v>
      </c>
      <c r="N45" s="3" t="s">
        <v>3711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hidden="1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">
        <v>3710</v>
      </c>
      <c r="L46" s="1" t="s">
        <v>35</v>
      </c>
      <c r="N46" s="3" t="s">
        <v>3711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hidden="1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hidden="1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">
        <v>3707</v>
      </c>
      <c r="L48" s="1" t="s">
        <v>35</v>
      </c>
      <c r="N48" s="3" t="s">
        <v>3716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hidden="1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">
        <v>3707</v>
      </c>
      <c r="L49" s="1" t="s">
        <v>35</v>
      </c>
      <c r="N49" s="3" t="s">
        <v>3707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hidden="1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">
        <v>3712</v>
      </c>
      <c r="L50" s="1" t="s">
        <v>35</v>
      </c>
      <c r="N50" s="3" t="s">
        <v>3712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hidden="1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">
        <v>3707</v>
      </c>
      <c r="L51" s="1" t="s">
        <v>35</v>
      </c>
      <c r="N51" s="3" t="s">
        <v>3716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hidden="1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">
        <v>3707</v>
      </c>
      <c r="L52" s="1" t="s">
        <v>35</v>
      </c>
      <c r="N52" s="3" t="s">
        <v>3707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hidden="1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">
        <v>3712</v>
      </c>
      <c r="L53" s="1" t="s">
        <v>35</v>
      </c>
      <c r="N53" s="3" t="s">
        <v>3712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hidden="1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">
        <v>3710</v>
      </c>
      <c r="L54" s="1" t="s">
        <v>35</v>
      </c>
      <c r="N54" s="3" t="s">
        <v>3710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">
        <v>3710</v>
      </c>
      <c r="L55" s="1" t="s">
        <v>35</v>
      </c>
      <c r="N55" s="3" t="s">
        <v>3710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">
        <v>3710</v>
      </c>
      <c r="L56" s="1" t="s">
        <v>35</v>
      </c>
      <c r="N56" s="3" t="s">
        <v>3711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hidden="1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">
        <v>3710</v>
      </c>
      <c r="L57" s="1" t="s">
        <v>35</v>
      </c>
      <c r="N57" s="3" t="s">
        <v>3710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hidden="1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">
        <v>3710</v>
      </c>
      <c r="L58" s="1" t="s">
        <v>35</v>
      </c>
      <c r="N58" s="3" t="s">
        <v>3710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hidden="1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">
        <v>3712</v>
      </c>
      <c r="L59" s="1" t="s">
        <v>35</v>
      </c>
      <c r="N59" s="3" t="s">
        <v>3729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hidden="1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">
        <v>3712</v>
      </c>
      <c r="L60" s="1" t="s">
        <v>35</v>
      </c>
      <c r="N60" s="3" t="s">
        <v>3713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hidden="1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">
        <v>3707</v>
      </c>
      <c r="L61" s="1" t="s">
        <v>35</v>
      </c>
      <c r="N61" s="3" t="s">
        <v>3707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hidden="1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">
        <v>3707</v>
      </c>
      <c r="L62" s="1" t="s">
        <v>35</v>
      </c>
      <c r="N62" s="3" t="s">
        <v>3707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hidden="1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">
        <v>3712</v>
      </c>
      <c r="L63" s="1" t="s">
        <v>35</v>
      </c>
      <c r="N63" s="3" t="s">
        <v>3712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hidden="1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">
        <v>3712</v>
      </c>
      <c r="L64" s="1" t="s">
        <v>35</v>
      </c>
      <c r="N64" s="3" t="s">
        <v>3729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hidden="1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">
        <v>3707</v>
      </c>
      <c r="L65" s="1" t="s">
        <v>35</v>
      </c>
      <c r="N65" s="3" t="s">
        <v>3707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hidden="1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">
        <v>3710</v>
      </c>
      <c r="L66" s="1" t="s">
        <v>35</v>
      </c>
      <c r="N66" s="3" t="s">
        <v>3710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hidden="1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">
        <v>3710</v>
      </c>
      <c r="L67" s="1" t="s">
        <v>35</v>
      </c>
      <c r="N67" s="3" t="s">
        <v>3710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12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13">X67+AA67</f>
        <v>0</v>
      </c>
      <c r="AC67" s="6">
        <f t="shared" ref="AC67:AC130" si="14">IF(P67="返现",X67*Q67,V67-X67)</f>
        <v>0</v>
      </c>
      <c r="AD67" s="13">
        <f t="shared" si="10"/>
        <v>0</v>
      </c>
      <c r="AE67" s="2">
        <v>0.05</v>
      </c>
      <c r="AF67" s="5">
        <f t="shared" ref="AF67:AF130" si="15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16">X67+AA67-AB67</f>
        <v>0</v>
      </c>
      <c r="AM67" s="85"/>
    </row>
    <row r="68" spans="1:39" hidden="1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">
        <v>3710</v>
      </c>
      <c r="L68" s="1" t="s">
        <v>35</v>
      </c>
      <c r="N68" s="3" t="s">
        <v>3714</v>
      </c>
      <c r="O68" s="1" t="s">
        <v>45</v>
      </c>
      <c r="P68" s="1" t="s">
        <v>3753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12"/>
        <v>0</v>
      </c>
      <c r="Z68" s="2">
        <v>0</v>
      </c>
      <c r="AA68" s="4">
        <v>0</v>
      </c>
      <c r="AB68" s="4">
        <f t="shared" si="13"/>
        <v>6459624.1987128705</v>
      </c>
      <c r="AC68" s="6">
        <f t="shared" si="14"/>
        <v>64379.191287129186</v>
      </c>
      <c r="AD68" s="13">
        <f t="shared" si="10"/>
        <v>6524003.3899999997</v>
      </c>
      <c r="AE68" s="2">
        <v>0.05</v>
      </c>
      <c r="AF68" s="5">
        <f t="shared" si="15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16"/>
        <v>0</v>
      </c>
      <c r="AM68" s="85"/>
    </row>
    <row r="69" spans="1:39" hidden="1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">
        <v>3712</v>
      </c>
      <c r="L69" s="1" t="s">
        <v>35</v>
      </c>
      <c r="N69" s="3" t="s">
        <v>3713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12"/>
        <v>0</v>
      </c>
      <c r="Z69" s="2">
        <v>0</v>
      </c>
      <c r="AA69" s="4">
        <v>0</v>
      </c>
      <c r="AB69" s="4">
        <f t="shared" si="13"/>
        <v>1244881.49</v>
      </c>
      <c r="AC69" s="6">
        <f t="shared" si="14"/>
        <v>0</v>
      </c>
      <c r="AD69" s="13">
        <f t="shared" si="10"/>
        <v>1244881.49</v>
      </c>
      <c r="AE69" s="2">
        <v>0.05</v>
      </c>
      <c r="AF69" s="5">
        <f t="shared" si="15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16"/>
        <v>0</v>
      </c>
      <c r="AM69" s="85"/>
    </row>
    <row r="70" spans="1:39" hidden="1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">
        <v>3707</v>
      </c>
      <c r="L70" s="1" t="s">
        <v>35</v>
      </c>
      <c r="N70" s="3" t="s">
        <v>3707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12"/>
        <v>0</v>
      </c>
      <c r="Z70" s="2">
        <v>0</v>
      </c>
      <c r="AA70" s="4">
        <v>0</v>
      </c>
      <c r="AB70" s="4">
        <f t="shared" si="13"/>
        <v>3205454.0291262143</v>
      </c>
      <c r="AC70" s="6">
        <f t="shared" si="14"/>
        <v>96163.620873786509</v>
      </c>
      <c r="AD70" s="13">
        <f t="shared" si="10"/>
        <v>3301617.6500000008</v>
      </c>
      <c r="AE70" s="2">
        <v>0.05</v>
      </c>
      <c r="AF70" s="5">
        <f t="shared" si="15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16"/>
        <v>0</v>
      </c>
      <c r="AM70" s="85"/>
    </row>
    <row r="71" spans="1:39" hidden="1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">
        <v>3707</v>
      </c>
      <c r="L71" s="1" t="s">
        <v>35</v>
      </c>
      <c r="N71" s="3" t="s">
        <v>3707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12"/>
        <v>0</v>
      </c>
      <c r="Z71" s="2">
        <v>0</v>
      </c>
      <c r="AA71" s="4">
        <v>0</v>
      </c>
      <c r="AB71" s="4">
        <f t="shared" si="13"/>
        <v>3778991.4799999991</v>
      </c>
      <c r="AC71" s="6">
        <f t="shared" si="14"/>
        <v>0</v>
      </c>
      <c r="AD71" s="13">
        <f t="shared" si="10"/>
        <v>3778991.4799999991</v>
      </c>
      <c r="AE71" s="2">
        <v>0.05</v>
      </c>
      <c r="AF71" s="5">
        <f t="shared" si="15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16"/>
        <v>0</v>
      </c>
      <c r="AM71" s="85"/>
    </row>
    <row r="72" spans="1:39" hidden="1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">
        <v>3712</v>
      </c>
      <c r="L72" s="1" t="s">
        <v>35</v>
      </c>
      <c r="N72" s="3" t="s">
        <v>3729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12"/>
        <v>0</v>
      </c>
      <c r="Z72" s="2">
        <v>0</v>
      </c>
      <c r="AA72" s="4">
        <v>0</v>
      </c>
      <c r="AB72" s="4">
        <f t="shared" si="13"/>
        <v>0</v>
      </c>
      <c r="AC72" s="6">
        <f t="shared" si="14"/>
        <v>0</v>
      </c>
      <c r="AD72" s="13">
        <f t="shared" si="10"/>
        <v>0</v>
      </c>
      <c r="AE72" s="2">
        <v>0.05</v>
      </c>
      <c r="AF72" s="5">
        <f t="shared" si="15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16"/>
        <v>0</v>
      </c>
      <c r="AM72" s="85"/>
    </row>
    <row r="73" spans="1:39" hidden="1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">
        <v>3712</v>
      </c>
      <c r="L73" s="1" t="s">
        <v>35</v>
      </c>
      <c r="N73" s="3" t="s">
        <v>3712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12"/>
        <v>0</v>
      </c>
      <c r="Z73" s="2">
        <v>0</v>
      </c>
      <c r="AA73" s="4">
        <v>0</v>
      </c>
      <c r="AB73" s="4">
        <f t="shared" si="13"/>
        <v>2961314.5399999996</v>
      </c>
      <c r="AC73" s="6">
        <f t="shared" si="14"/>
        <v>0</v>
      </c>
      <c r="AD73" s="13">
        <f t="shared" si="10"/>
        <v>2961314.5399999996</v>
      </c>
      <c r="AE73" s="2">
        <v>0.05</v>
      </c>
      <c r="AF73" s="5">
        <f t="shared" si="15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16"/>
        <v>0</v>
      </c>
      <c r="AM73" s="85"/>
    </row>
    <row r="74" spans="1:39" hidden="1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">
        <v>3710</v>
      </c>
      <c r="L74" s="1" t="s">
        <v>35</v>
      </c>
      <c r="N74" s="3" t="s">
        <v>3710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12"/>
        <v>0</v>
      </c>
      <c r="Z74" s="2">
        <v>0</v>
      </c>
      <c r="AA74" s="4">
        <v>0</v>
      </c>
      <c r="AB74" s="4">
        <f t="shared" si="13"/>
        <v>253188.94285714292</v>
      </c>
      <c r="AC74" s="6">
        <f t="shared" si="14"/>
        <v>12659.447142857156</v>
      </c>
      <c r="AD74" s="13">
        <f t="shared" si="10"/>
        <v>265848.39000000007</v>
      </c>
      <c r="AE74" s="2">
        <v>0.05</v>
      </c>
      <c r="AF74" s="5">
        <f t="shared" si="15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16"/>
        <v>0</v>
      </c>
      <c r="AM74" s="85"/>
    </row>
    <row r="75" spans="1:39" hidden="1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">
        <v>3710</v>
      </c>
      <c r="L75" s="1" t="s">
        <v>35</v>
      </c>
      <c r="N75" s="3" t="s">
        <v>3710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12"/>
        <v>0</v>
      </c>
      <c r="Z75" s="2">
        <v>0</v>
      </c>
      <c r="AA75" s="4">
        <v>0</v>
      </c>
      <c r="AB75" s="4">
        <f t="shared" si="13"/>
        <v>49926.644859813052</v>
      </c>
      <c r="AC75" s="6">
        <f t="shared" si="14"/>
        <v>3494.8651401869138</v>
      </c>
      <c r="AD75" s="13">
        <f t="shared" si="10"/>
        <v>53421.509999999966</v>
      </c>
      <c r="AE75" s="2">
        <v>0.05</v>
      </c>
      <c r="AF75" s="5">
        <f t="shared" si="15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16"/>
        <v>0</v>
      </c>
      <c r="AM75" s="85"/>
    </row>
    <row r="76" spans="1:39" hidden="1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">
        <v>3710</v>
      </c>
      <c r="L76" s="1" t="s">
        <v>35</v>
      </c>
      <c r="N76" s="3" t="s">
        <v>3710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12"/>
        <v>0</v>
      </c>
      <c r="Z76" s="2">
        <v>0</v>
      </c>
      <c r="AA76" s="4">
        <v>0</v>
      </c>
      <c r="AB76" s="4">
        <f t="shared" si="13"/>
        <v>397559.16000000003</v>
      </c>
      <c r="AC76" s="6">
        <f t="shared" si="14"/>
        <v>0</v>
      </c>
      <c r="AD76" s="13">
        <f t="shared" si="10"/>
        <v>397559.16000000003</v>
      </c>
      <c r="AE76" s="2">
        <v>0.05</v>
      </c>
      <c r="AF76" s="5">
        <f t="shared" si="15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16"/>
        <v>0</v>
      </c>
      <c r="AM76" s="85"/>
    </row>
    <row r="77" spans="1:39" hidden="1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">
        <v>3712</v>
      </c>
      <c r="L77" s="1" t="s">
        <v>35</v>
      </c>
      <c r="N77" s="3" t="s">
        <v>3729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12"/>
        <v>0</v>
      </c>
      <c r="Z77" s="2">
        <v>0</v>
      </c>
      <c r="AA77" s="4">
        <v>0</v>
      </c>
      <c r="AB77" s="4">
        <f t="shared" si="13"/>
        <v>0</v>
      </c>
      <c r="AC77" s="6">
        <f t="shared" si="14"/>
        <v>0</v>
      </c>
      <c r="AD77" s="13">
        <f t="shared" si="10"/>
        <v>0</v>
      </c>
      <c r="AE77" s="2">
        <v>0.05</v>
      </c>
      <c r="AF77" s="5">
        <f t="shared" si="15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16"/>
        <v>0</v>
      </c>
      <c r="AM77" s="85"/>
    </row>
    <row r="78" spans="1:39" hidden="1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">
        <v>3712</v>
      </c>
      <c r="L78" s="1" t="s">
        <v>35</v>
      </c>
      <c r="N78" s="3" t="s">
        <v>3729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12"/>
        <v>0</v>
      </c>
      <c r="Z78" s="2">
        <v>0</v>
      </c>
      <c r="AA78" s="4">
        <v>0</v>
      </c>
      <c r="AB78" s="4">
        <f t="shared" si="13"/>
        <v>0</v>
      </c>
      <c r="AC78" s="6">
        <f t="shared" si="14"/>
        <v>0</v>
      </c>
      <c r="AD78" s="13">
        <f t="shared" si="10"/>
        <v>0</v>
      </c>
      <c r="AE78" s="2">
        <v>0.05</v>
      </c>
      <c r="AF78" s="5">
        <f t="shared" si="15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16"/>
        <v>0</v>
      </c>
      <c r="AM78" s="85"/>
    </row>
    <row r="79" spans="1:39" hidden="1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">
        <v>3712</v>
      </c>
      <c r="L79" s="1" t="s">
        <v>35</v>
      </c>
      <c r="N79" s="3" t="s">
        <v>3712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12"/>
        <v>0</v>
      </c>
      <c r="Z79" s="2">
        <v>0</v>
      </c>
      <c r="AA79" s="4">
        <v>0</v>
      </c>
      <c r="AB79" s="4">
        <f t="shared" si="13"/>
        <v>2255548.2399999998</v>
      </c>
      <c r="AC79" s="6">
        <f t="shared" si="14"/>
        <v>943.24000000022352</v>
      </c>
      <c r="AD79" s="13">
        <f t="shared" si="10"/>
        <v>2256491.48</v>
      </c>
      <c r="AE79" s="2">
        <v>0.05</v>
      </c>
      <c r="AF79" s="5">
        <f t="shared" si="15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16"/>
        <v>0</v>
      </c>
      <c r="AM79" s="85"/>
    </row>
    <row r="80" spans="1:39" hidden="1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">
        <v>3712</v>
      </c>
      <c r="L80" s="1" t="s">
        <v>35</v>
      </c>
      <c r="N80" s="3" t="s">
        <v>3712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12"/>
        <v>0</v>
      </c>
      <c r="Z80" s="2">
        <v>0</v>
      </c>
      <c r="AA80" s="4">
        <v>0</v>
      </c>
      <c r="AB80" s="4">
        <f t="shared" si="13"/>
        <v>2115275.529999997</v>
      </c>
      <c r="AC80" s="6">
        <f t="shared" si="14"/>
        <v>0</v>
      </c>
      <c r="AD80" s="13">
        <f t="shared" si="10"/>
        <v>2115275.529999997</v>
      </c>
      <c r="AE80" s="2">
        <v>0.05</v>
      </c>
      <c r="AF80" s="5">
        <f t="shared" si="15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16"/>
        <v>0</v>
      </c>
      <c r="AM80" s="85"/>
    </row>
    <row r="81" spans="1:39" hidden="1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">
        <v>3712</v>
      </c>
      <c r="L81" s="1" t="s">
        <v>35</v>
      </c>
      <c r="N81" s="3" t="s">
        <v>3712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12"/>
        <v>0</v>
      </c>
      <c r="Z81" s="2">
        <v>0</v>
      </c>
      <c r="AA81" s="4">
        <v>0</v>
      </c>
      <c r="AB81" s="4">
        <f t="shared" si="13"/>
        <v>1691232.8811881221</v>
      </c>
      <c r="AC81" s="6">
        <f t="shared" si="14"/>
        <v>16912.328811881132</v>
      </c>
      <c r="AD81" s="13">
        <f t="shared" si="10"/>
        <v>1708145.2100000032</v>
      </c>
      <c r="AE81" s="2">
        <v>0.05</v>
      </c>
      <c r="AF81" s="5">
        <f t="shared" si="15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16"/>
        <v>0</v>
      </c>
      <c r="AM81" s="85"/>
    </row>
    <row r="82" spans="1:39" hidden="1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1" t="s">
        <v>3718</v>
      </c>
      <c r="L82" s="1" t="s">
        <v>35</v>
      </c>
      <c r="N82" s="3" t="s">
        <v>3718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12"/>
        <v>0</v>
      </c>
      <c r="Z82" s="2">
        <v>0</v>
      </c>
      <c r="AA82" s="4">
        <v>0</v>
      </c>
      <c r="AB82" s="4">
        <f t="shared" si="13"/>
        <v>103122.28</v>
      </c>
      <c r="AC82" s="6">
        <f t="shared" si="14"/>
        <v>0</v>
      </c>
      <c r="AD82" s="13">
        <f t="shared" si="10"/>
        <v>103122.28</v>
      </c>
      <c r="AE82" s="2">
        <v>0.05</v>
      </c>
      <c r="AF82" s="5">
        <f t="shared" si="15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16"/>
        <v>0</v>
      </c>
      <c r="AM82" s="85"/>
    </row>
    <row r="83" spans="1:39" hidden="1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">
        <v>3707</v>
      </c>
      <c r="L83" s="1" t="s">
        <v>35</v>
      </c>
      <c r="N83" s="3" t="s">
        <v>3707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17">T83+U83-V83</f>
        <v>49523.78</v>
      </c>
      <c r="X83" s="13">
        <f t="shared" ref="X83:X146" si="18">IF(P83="折扣",V83*Q83,IF(P83="返现",V83,V83/(1+Q83)))</f>
        <v>476.22</v>
      </c>
      <c r="Y83" s="13">
        <f t="shared" si="12"/>
        <v>0</v>
      </c>
      <c r="Z83" s="2">
        <v>0</v>
      </c>
      <c r="AA83" s="4">
        <v>0</v>
      </c>
      <c r="AB83" s="4">
        <f t="shared" si="13"/>
        <v>476.22</v>
      </c>
      <c r="AC83" s="6">
        <f t="shared" si="14"/>
        <v>0</v>
      </c>
      <c r="AD83" s="13">
        <f t="shared" ref="AD83:AD146" si="19">V83</f>
        <v>476.22</v>
      </c>
      <c r="AE83" s="2">
        <v>0.05</v>
      </c>
      <c r="AF83" s="5">
        <f t="shared" si="15"/>
        <v>23.811000000000003</v>
      </c>
      <c r="AG83" s="2">
        <v>0</v>
      </c>
      <c r="AH83" s="5">
        <f t="shared" ref="AH83:AH146" si="20">V83</f>
        <v>476.22</v>
      </c>
      <c r="AJ83" s="126" t="e">
        <v>#N/A</v>
      </c>
      <c r="AK83" s="80">
        <f t="shared" si="16"/>
        <v>0</v>
      </c>
      <c r="AM83" s="85"/>
    </row>
    <row r="84" spans="1:39" hidden="1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">
        <v>3712</v>
      </c>
      <c r="L84" s="1" t="s">
        <v>35</v>
      </c>
      <c r="N84" s="3" t="s">
        <v>3712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17"/>
        <v>367097.20999999961</v>
      </c>
      <c r="X84" s="13">
        <f>IF(P84="折扣",V84*Q84,IF(P84="返现",V84,(V84+400.62)/(1+Q84)))</f>
        <v>709338.8899999999</v>
      </c>
      <c r="Y84" s="13">
        <f t="shared" si="12"/>
        <v>400.61999999999534</v>
      </c>
      <c r="Z84" s="2">
        <v>0</v>
      </c>
      <c r="AA84" s="4">
        <v>0</v>
      </c>
      <c r="AB84" s="4">
        <f t="shared" si="13"/>
        <v>709338.8899999999</v>
      </c>
      <c r="AC84" s="6">
        <f t="shared" si="14"/>
        <v>-400.61999999999534</v>
      </c>
      <c r="AD84" s="13">
        <f t="shared" si="19"/>
        <v>708938.2699999999</v>
      </c>
      <c r="AE84" s="2">
        <v>0.05</v>
      </c>
      <c r="AF84" s="5">
        <f t="shared" si="15"/>
        <v>35446.913499999995</v>
      </c>
      <c r="AG84" s="2">
        <v>0</v>
      </c>
      <c r="AH84" s="5">
        <f t="shared" si="20"/>
        <v>708938.2699999999</v>
      </c>
      <c r="AJ84" s="126" t="e">
        <v>#N/A</v>
      </c>
      <c r="AK84" s="80">
        <f t="shared" si="16"/>
        <v>0</v>
      </c>
      <c r="AM84" s="85"/>
    </row>
    <row r="85" spans="1:39" hidden="1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">
        <v>3710</v>
      </c>
      <c r="L85" s="1" t="s">
        <v>35</v>
      </c>
      <c r="N85" s="3" t="s">
        <v>3714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17"/>
        <v>0</v>
      </c>
      <c r="X85" s="13">
        <f t="shared" si="18"/>
        <v>752524.88999999908</v>
      </c>
      <c r="Y85" s="13">
        <f t="shared" si="12"/>
        <v>0</v>
      </c>
      <c r="Z85" s="2">
        <v>0</v>
      </c>
      <c r="AA85" s="4">
        <v>0</v>
      </c>
      <c r="AB85" s="4">
        <f t="shared" si="13"/>
        <v>752524.88999999908</v>
      </c>
      <c r="AC85" s="6">
        <f t="shared" si="14"/>
        <v>0</v>
      </c>
      <c r="AD85" s="13">
        <f t="shared" si="19"/>
        <v>752524.88999999908</v>
      </c>
      <c r="AE85" s="2">
        <v>0.05</v>
      </c>
      <c r="AF85" s="5">
        <f t="shared" si="15"/>
        <v>37626.244499999957</v>
      </c>
      <c r="AG85" s="2">
        <v>0</v>
      </c>
      <c r="AH85" s="5">
        <f t="shared" si="20"/>
        <v>752524.88999999908</v>
      </c>
      <c r="AJ85" s="126" t="e">
        <v>#N/A</v>
      </c>
      <c r="AK85" s="80">
        <f t="shared" si="16"/>
        <v>0</v>
      </c>
      <c r="AM85" s="85"/>
    </row>
    <row r="86" spans="1:39" hidden="1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">
        <v>3710</v>
      </c>
      <c r="L86" s="1" t="s">
        <v>35</v>
      </c>
      <c r="N86" s="3" t="s">
        <v>3714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17"/>
        <v>474652.93999999901</v>
      </c>
      <c r="X86" s="13">
        <f t="shared" si="18"/>
        <v>225347.06000000102</v>
      </c>
      <c r="Y86" s="13">
        <f t="shared" si="12"/>
        <v>0</v>
      </c>
      <c r="Z86" s="2">
        <v>0</v>
      </c>
      <c r="AA86" s="4">
        <v>0</v>
      </c>
      <c r="AB86" s="4">
        <f t="shared" si="13"/>
        <v>225347.06000000102</v>
      </c>
      <c r="AC86" s="6">
        <f t="shared" si="14"/>
        <v>0</v>
      </c>
      <c r="AD86" s="13">
        <f t="shared" si="19"/>
        <v>225347.06000000102</v>
      </c>
      <c r="AE86" s="2">
        <v>0.05</v>
      </c>
      <c r="AF86" s="5">
        <f t="shared" si="15"/>
        <v>11267.353000000052</v>
      </c>
      <c r="AG86" s="2">
        <v>0</v>
      </c>
      <c r="AH86" s="5">
        <f t="shared" si="20"/>
        <v>225347.06000000102</v>
      </c>
      <c r="AJ86" s="126" t="e">
        <v>#N/A</v>
      </c>
      <c r="AK86" s="80">
        <f t="shared" si="16"/>
        <v>0</v>
      </c>
      <c r="AM86" s="85"/>
    </row>
    <row r="87" spans="1:39" hidden="1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">
        <v>3712</v>
      </c>
      <c r="L87" s="1" t="s">
        <v>35</v>
      </c>
      <c r="N87" s="3" t="s">
        <v>3729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17"/>
        <v>2.9103830456733704E-11</v>
      </c>
      <c r="X87" s="13">
        <f t="shared" si="18"/>
        <v>0</v>
      </c>
      <c r="Y87" s="13">
        <f t="shared" si="12"/>
        <v>0</v>
      </c>
      <c r="Z87" s="2">
        <v>0</v>
      </c>
      <c r="AA87" s="4">
        <v>0</v>
      </c>
      <c r="AB87" s="4">
        <f t="shared" si="13"/>
        <v>0</v>
      </c>
      <c r="AC87" s="6">
        <f t="shared" si="14"/>
        <v>0</v>
      </c>
      <c r="AD87" s="13">
        <f t="shared" si="19"/>
        <v>0</v>
      </c>
      <c r="AE87" s="2">
        <v>0.05</v>
      </c>
      <c r="AF87" s="5">
        <f t="shared" si="15"/>
        <v>0</v>
      </c>
      <c r="AG87" s="2">
        <v>0</v>
      </c>
      <c r="AH87" s="5">
        <f t="shared" si="20"/>
        <v>0</v>
      </c>
      <c r="AJ87" s="126" t="e">
        <v>#N/A</v>
      </c>
      <c r="AK87" s="80">
        <f t="shared" si="16"/>
        <v>0</v>
      </c>
      <c r="AM87" s="85"/>
    </row>
    <row r="88" spans="1:39" hidden="1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">
        <v>3710</v>
      </c>
      <c r="L88" s="1" t="s">
        <v>35</v>
      </c>
      <c r="N88" s="3" t="s">
        <v>3710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17"/>
        <v>158823.2100000002</v>
      </c>
      <c r="X88" s="13">
        <f t="shared" si="18"/>
        <v>404812.15999999992</v>
      </c>
      <c r="Y88" s="13">
        <f t="shared" si="12"/>
        <v>0</v>
      </c>
      <c r="Z88" s="2">
        <v>0</v>
      </c>
      <c r="AA88" s="4">
        <v>0</v>
      </c>
      <c r="AB88" s="4">
        <f t="shared" si="13"/>
        <v>404812.15999999992</v>
      </c>
      <c r="AC88" s="6">
        <f t="shared" si="14"/>
        <v>0</v>
      </c>
      <c r="AD88" s="13">
        <f t="shared" si="19"/>
        <v>404812.15999999992</v>
      </c>
      <c r="AE88" s="2">
        <v>0.05</v>
      </c>
      <c r="AF88" s="5">
        <f t="shared" si="15"/>
        <v>20240.607999999997</v>
      </c>
      <c r="AG88" s="2">
        <v>0</v>
      </c>
      <c r="AH88" s="5">
        <f t="shared" si="20"/>
        <v>404812.15999999992</v>
      </c>
      <c r="AJ88" s="126" t="e">
        <v>#N/A</v>
      </c>
      <c r="AK88" s="80">
        <f t="shared" si="16"/>
        <v>0</v>
      </c>
      <c r="AM88" s="85"/>
    </row>
    <row r="89" spans="1:39" hidden="1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">
        <v>3710</v>
      </c>
      <c r="L89" s="1" t="s">
        <v>35</v>
      </c>
      <c r="N89" s="3" t="s">
        <v>3710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17"/>
        <v>3491279.1699999832</v>
      </c>
      <c r="X89" s="13">
        <f t="shared" si="18"/>
        <v>19338038.979999993</v>
      </c>
      <c r="Y89" s="13">
        <f t="shared" si="12"/>
        <v>0</v>
      </c>
      <c r="Z89" s="2">
        <v>0</v>
      </c>
      <c r="AA89" s="4">
        <v>0</v>
      </c>
      <c r="AB89" s="4">
        <f t="shared" si="13"/>
        <v>19338038.979999993</v>
      </c>
      <c r="AC89" s="6">
        <f t="shared" si="14"/>
        <v>1160282.3387999996</v>
      </c>
      <c r="AD89" s="13">
        <f t="shared" si="19"/>
        <v>19338038.979999993</v>
      </c>
      <c r="AE89" s="2">
        <v>0.05</v>
      </c>
      <c r="AF89" s="5">
        <f t="shared" si="15"/>
        <v>966901.94899999967</v>
      </c>
      <c r="AG89" s="2">
        <v>0</v>
      </c>
      <c r="AH89" s="5">
        <f t="shared" si="20"/>
        <v>19338038.979999993</v>
      </c>
      <c r="AJ89" s="126" t="e">
        <v>#N/A</v>
      </c>
      <c r="AK89" s="80">
        <f t="shared" si="16"/>
        <v>0</v>
      </c>
      <c r="AM89" s="85"/>
    </row>
    <row r="90" spans="1:39" hidden="1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">
        <v>3710</v>
      </c>
      <c r="L90" s="1" t="s">
        <v>35</v>
      </c>
      <c r="N90" s="3" t="s">
        <v>3710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17"/>
        <v>1619254.8299999889</v>
      </c>
      <c r="X90" s="13">
        <f>IF(P90="折扣",V90*Q90,IF(P90="返现",V90,V90/(1+Q90)))-2003.18</f>
        <v>16319809.980000002</v>
      </c>
      <c r="Y90" s="13">
        <f t="shared" si="12"/>
        <v>0</v>
      </c>
      <c r="Z90" s="2">
        <v>0</v>
      </c>
      <c r="AA90" s="4">
        <v>0</v>
      </c>
      <c r="AB90" s="4">
        <f t="shared" si="13"/>
        <v>16319809.980000002</v>
      </c>
      <c r="AC90" s="6">
        <f t="shared" si="14"/>
        <v>979188.59880000015</v>
      </c>
      <c r="AD90" s="13">
        <f t="shared" si="19"/>
        <v>16321813.160000002</v>
      </c>
      <c r="AE90" s="2">
        <v>0.05</v>
      </c>
      <c r="AF90" s="5">
        <f t="shared" si="15"/>
        <v>816090.65800000017</v>
      </c>
      <c r="AG90" s="2">
        <v>0</v>
      </c>
      <c r="AH90" s="5">
        <f t="shared" si="20"/>
        <v>16321813.160000002</v>
      </c>
      <c r="AJ90" s="126" t="e">
        <v>#N/A</v>
      </c>
      <c r="AK90" s="80">
        <f t="shared" si="16"/>
        <v>0</v>
      </c>
      <c r="AM90" s="85"/>
    </row>
    <row r="91" spans="1:39" hidden="1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">
        <v>3710</v>
      </c>
      <c r="L91" s="1" t="s">
        <v>35</v>
      </c>
      <c r="N91" s="3" t="s">
        <v>3710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17"/>
        <v>3431908.9699999914</v>
      </c>
      <c r="X91" s="13">
        <f>(V91-8959.11)/(1+Q91)</f>
        <v>10642237.343137264</v>
      </c>
      <c r="Y91" s="13">
        <f t="shared" si="12"/>
        <v>0</v>
      </c>
      <c r="Z91" s="2">
        <v>0</v>
      </c>
      <c r="AA91" s="4">
        <v>0</v>
      </c>
      <c r="AB91" s="4">
        <f t="shared" si="13"/>
        <v>10642237.343137264</v>
      </c>
      <c r="AC91" s="6">
        <f t="shared" si="14"/>
        <v>221803.85686274432</v>
      </c>
      <c r="AD91" s="13">
        <f t="shared" si="19"/>
        <v>10864041.200000009</v>
      </c>
      <c r="AE91" s="2">
        <v>0.05</v>
      </c>
      <c r="AF91" s="5">
        <f t="shared" si="15"/>
        <v>543202.06000000041</v>
      </c>
      <c r="AG91" s="2">
        <v>0</v>
      </c>
      <c r="AH91" s="5">
        <f t="shared" si="20"/>
        <v>10864041.200000009</v>
      </c>
      <c r="AJ91" s="126" t="e">
        <v>#N/A</v>
      </c>
      <c r="AK91" s="80">
        <f t="shared" si="16"/>
        <v>0</v>
      </c>
      <c r="AM91" s="85"/>
    </row>
    <row r="92" spans="1:39" hidden="1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">
        <v>3710</v>
      </c>
      <c r="L92" s="1" t="s">
        <v>35</v>
      </c>
      <c r="N92" s="3" t="s">
        <v>3710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17"/>
        <v>3148959.1100000003</v>
      </c>
      <c r="X92" s="13">
        <f t="shared" si="18"/>
        <v>0</v>
      </c>
      <c r="Y92" s="13">
        <f t="shared" si="12"/>
        <v>0</v>
      </c>
      <c r="Z92" s="2">
        <v>0</v>
      </c>
      <c r="AA92" s="4">
        <v>0</v>
      </c>
      <c r="AB92" s="4">
        <f t="shared" si="13"/>
        <v>0</v>
      </c>
      <c r="AC92" s="6">
        <f t="shared" si="14"/>
        <v>0</v>
      </c>
      <c r="AD92" s="13">
        <f t="shared" si="19"/>
        <v>0</v>
      </c>
      <c r="AE92" s="2">
        <v>0.05</v>
      </c>
      <c r="AF92" s="5">
        <f t="shared" si="15"/>
        <v>0</v>
      </c>
      <c r="AG92" s="2">
        <v>0</v>
      </c>
      <c r="AH92" s="5">
        <f t="shared" si="20"/>
        <v>0</v>
      </c>
      <c r="AJ92" s="126" t="e">
        <v>#N/A</v>
      </c>
      <c r="AK92" s="80">
        <f t="shared" si="16"/>
        <v>0</v>
      </c>
      <c r="AM92" s="85"/>
    </row>
    <row r="93" spans="1:39" hidden="1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">
        <v>3712</v>
      </c>
      <c r="L93" s="1" t="s">
        <v>35</v>
      </c>
      <c r="N93" s="3" t="s">
        <v>3713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18"/>
        <v>563173.91176470625</v>
      </c>
      <c r="Y93" s="13">
        <f t="shared" si="12"/>
        <v>0</v>
      </c>
      <c r="Z93" s="2">
        <v>0</v>
      </c>
      <c r="AA93" s="4">
        <v>0</v>
      </c>
      <c r="AB93" s="4">
        <f t="shared" si="13"/>
        <v>563173.91176470625</v>
      </c>
      <c r="AC93" s="6">
        <f t="shared" si="14"/>
        <v>11263.478235294111</v>
      </c>
      <c r="AD93" s="13">
        <f t="shared" si="19"/>
        <v>574437.39000000036</v>
      </c>
      <c r="AE93" s="2">
        <v>0.05</v>
      </c>
      <c r="AF93" s="5">
        <f t="shared" si="15"/>
        <v>28721.869500000019</v>
      </c>
      <c r="AG93" s="2">
        <v>0</v>
      </c>
      <c r="AH93" s="5">
        <f t="shared" si="20"/>
        <v>574437.39000000036</v>
      </c>
      <c r="AJ93" s="126" t="e">
        <v>#N/A</v>
      </c>
      <c r="AK93" s="80">
        <f t="shared" si="16"/>
        <v>0</v>
      </c>
      <c r="AM93" s="85"/>
    </row>
    <row r="94" spans="1:39" hidden="1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">
        <v>3712</v>
      </c>
      <c r="L94" s="1" t="s">
        <v>35</v>
      </c>
      <c r="N94" s="3" t="s">
        <v>3713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17"/>
        <v>0</v>
      </c>
      <c r="X94" s="13">
        <f t="shared" si="18"/>
        <v>0</v>
      </c>
      <c r="Y94" s="13">
        <f t="shared" si="12"/>
        <v>0</v>
      </c>
      <c r="Z94" s="2">
        <v>0</v>
      </c>
      <c r="AA94" s="4">
        <v>0</v>
      </c>
      <c r="AB94" s="4">
        <f t="shared" si="13"/>
        <v>0</v>
      </c>
      <c r="AC94" s="6">
        <f t="shared" si="14"/>
        <v>0</v>
      </c>
      <c r="AD94" s="13">
        <f t="shared" si="19"/>
        <v>0</v>
      </c>
      <c r="AE94" s="2">
        <v>0.05</v>
      </c>
      <c r="AF94" s="5">
        <f t="shared" si="15"/>
        <v>0</v>
      </c>
      <c r="AG94" s="2">
        <v>0</v>
      </c>
      <c r="AH94" s="5">
        <f t="shared" si="20"/>
        <v>0</v>
      </c>
      <c r="AJ94" s="126" t="e">
        <v>#N/A</v>
      </c>
      <c r="AK94" s="80">
        <f t="shared" si="16"/>
        <v>0</v>
      </c>
      <c r="AM94" s="85"/>
    </row>
    <row r="95" spans="1:39" hidden="1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">
        <v>3710</v>
      </c>
      <c r="L95" s="1" t="s">
        <v>35</v>
      </c>
      <c r="N95" s="3" t="s">
        <v>3714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18"/>
        <v>3328728.9215686279</v>
      </c>
      <c r="Y95" s="13">
        <f t="shared" si="12"/>
        <v>0</v>
      </c>
      <c r="Z95" s="2">
        <v>0</v>
      </c>
      <c r="AA95" s="4">
        <v>0</v>
      </c>
      <c r="AB95" s="4">
        <f t="shared" si="13"/>
        <v>3328728.9215686279</v>
      </c>
      <c r="AC95" s="6">
        <f t="shared" si="14"/>
        <v>66574.578431372531</v>
      </c>
      <c r="AD95" s="13">
        <f t="shared" si="19"/>
        <v>3395303.5000000005</v>
      </c>
      <c r="AE95" s="2">
        <v>0.05</v>
      </c>
      <c r="AF95" s="5">
        <f t="shared" si="15"/>
        <v>169765.17500000005</v>
      </c>
      <c r="AG95" s="2">
        <v>0</v>
      </c>
      <c r="AH95" s="5">
        <f t="shared" si="20"/>
        <v>3395303.5000000005</v>
      </c>
      <c r="AJ95" s="126" t="e">
        <v>#N/A</v>
      </c>
      <c r="AK95" s="80">
        <f t="shared" si="16"/>
        <v>0</v>
      </c>
      <c r="AM95" s="85"/>
    </row>
    <row r="96" spans="1:39" hidden="1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17"/>
        <v>2064.6799999999785</v>
      </c>
      <c r="X96" s="13">
        <f t="shared" si="18"/>
        <v>37935.320000000022</v>
      </c>
      <c r="Y96" s="13">
        <f t="shared" si="12"/>
        <v>0</v>
      </c>
      <c r="Z96" s="2">
        <v>0</v>
      </c>
      <c r="AA96" s="4">
        <v>0</v>
      </c>
      <c r="AB96" s="4">
        <f t="shared" si="13"/>
        <v>37935.320000000022</v>
      </c>
      <c r="AC96" s="6">
        <f t="shared" si="14"/>
        <v>0</v>
      </c>
      <c r="AD96" s="13">
        <f t="shared" si="19"/>
        <v>37935.320000000022</v>
      </c>
      <c r="AE96" s="2">
        <v>0.05</v>
      </c>
      <c r="AF96" s="5">
        <f t="shared" si="15"/>
        <v>1896.7660000000012</v>
      </c>
      <c r="AG96" s="2">
        <v>0</v>
      </c>
      <c r="AH96" s="5">
        <f t="shared" si="20"/>
        <v>37935.320000000022</v>
      </c>
      <c r="AJ96" s="126" t="e">
        <v>#N/A</v>
      </c>
      <c r="AK96" s="80">
        <f t="shared" si="16"/>
        <v>0</v>
      </c>
      <c r="AM96" s="85"/>
    </row>
    <row r="97" spans="1:39" hidden="1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17"/>
        <v>3196977.4600000018</v>
      </c>
      <c r="X97" s="13">
        <f t="shared" si="18"/>
        <v>0</v>
      </c>
      <c r="Y97" s="13">
        <f t="shared" si="12"/>
        <v>0</v>
      </c>
      <c r="Z97" s="2">
        <v>0</v>
      </c>
      <c r="AA97" s="4">
        <v>0</v>
      </c>
      <c r="AB97" s="4">
        <f t="shared" si="13"/>
        <v>0</v>
      </c>
      <c r="AC97" s="6">
        <f t="shared" si="14"/>
        <v>0</v>
      </c>
      <c r="AD97" s="13">
        <f t="shared" si="19"/>
        <v>0</v>
      </c>
      <c r="AE97" s="2">
        <v>0.05</v>
      </c>
      <c r="AF97" s="5">
        <f t="shared" si="15"/>
        <v>0</v>
      </c>
      <c r="AG97" s="2">
        <v>0</v>
      </c>
      <c r="AH97" s="5">
        <f t="shared" si="20"/>
        <v>0</v>
      </c>
      <c r="AJ97" s="126" t="e">
        <v>#N/A</v>
      </c>
      <c r="AK97" s="80">
        <f t="shared" si="16"/>
        <v>0</v>
      </c>
      <c r="AM97" s="85"/>
    </row>
    <row r="98" spans="1:39" hidden="1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17"/>
        <v>-1192116.620000002</v>
      </c>
      <c r="X98" s="13">
        <f t="shared" si="18"/>
        <v>4264190.8932038853</v>
      </c>
      <c r="Y98" s="13">
        <f t="shared" si="12"/>
        <v>0</v>
      </c>
      <c r="Z98" s="2">
        <v>0</v>
      </c>
      <c r="AA98" s="4">
        <v>0</v>
      </c>
      <c r="AB98" s="4">
        <f t="shared" si="13"/>
        <v>4264190.8932038853</v>
      </c>
      <c r="AC98" s="6">
        <f t="shared" si="14"/>
        <v>127925.72679611668</v>
      </c>
      <c r="AD98" s="13">
        <f t="shared" si="19"/>
        <v>4392116.620000002</v>
      </c>
      <c r="AE98" s="2">
        <v>0.05</v>
      </c>
      <c r="AF98" s="5">
        <f t="shared" si="15"/>
        <v>219605.83100000012</v>
      </c>
      <c r="AG98" s="2">
        <v>0</v>
      </c>
      <c r="AH98" s="5">
        <f t="shared" si="20"/>
        <v>4392116.620000002</v>
      </c>
      <c r="AJ98" s="126" t="e">
        <v>#N/A</v>
      </c>
      <c r="AK98" s="80">
        <f t="shared" si="16"/>
        <v>0</v>
      </c>
      <c r="AM98" s="85"/>
    </row>
    <row r="99" spans="1:39" hidden="1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">
        <v>3712</v>
      </c>
      <c r="L99" s="1" t="s">
        <v>35</v>
      </c>
      <c r="N99" s="3" t="s">
        <v>3712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17"/>
        <v>504399.35</v>
      </c>
      <c r="X99" s="13">
        <f t="shared" si="18"/>
        <v>0</v>
      </c>
      <c r="Y99" s="13">
        <f t="shared" si="12"/>
        <v>0</v>
      </c>
      <c r="Z99" s="2">
        <v>0</v>
      </c>
      <c r="AA99" s="4">
        <v>0</v>
      </c>
      <c r="AB99" s="4">
        <f t="shared" si="13"/>
        <v>0</v>
      </c>
      <c r="AC99" s="6">
        <f t="shared" si="14"/>
        <v>0</v>
      </c>
      <c r="AD99" s="13">
        <f t="shared" si="19"/>
        <v>0</v>
      </c>
      <c r="AE99" s="2">
        <v>0.05</v>
      </c>
      <c r="AF99" s="5">
        <f t="shared" si="15"/>
        <v>0</v>
      </c>
      <c r="AG99" s="2">
        <v>0</v>
      </c>
      <c r="AH99" s="5">
        <f t="shared" si="20"/>
        <v>0</v>
      </c>
      <c r="AJ99" s="126" t="e">
        <v>#N/A</v>
      </c>
      <c r="AK99" s="80">
        <f t="shared" si="16"/>
        <v>0</v>
      </c>
      <c r="AM99" s="85"/>
    </row>
    <row r="100" spans="1:39" hidden="1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17"/>
        <v>883167.65999999968</v>
      </c>
      <c r="X100" s="13">
        <f t="shared" si="18"/>
        <v>121470.73999999999</v>
      </c>
      <c r="Y100" s="13">
        <f t="shared" si="12"/>
        <v>0</v>
      </c>
      <c r="Z100" s="2">
        <v>0</v>
      </c>
      <c r="AA100" s="4">
        <v>0</v>
      </c>
      <c r="AB100" s="4">
        <f t="shared" si="13"/>
        <v>121470.73999999999</v>
      </c>
      <c r="AC100" s="6">
        <f t="shared" si="14"/>
        <v>0</v>
      </c>
      <c r="AD100" s="13">
        <f t="shared" si="19"/>
        <v>121470.73999999999</v>
      </c>
      <c r="AE100" s="2">
        <v>0.05</v>
      </c>
      <c r="AF100" s="5">
        <f t="shared" si="15"/>
        <v>6073.5370000000003</v>
      </c>
      <c r="AG100" s="2">
        <v>0</v>
      </c>
      <c r="AH100" s="5">
        <f t="shared" si="20"/>
        <v>121470.73999999999</v>
      </c>
      <c r="AJ100" s="126" t="e">
        <v>#N/A</v>
      </c>
      <c r="AK100" s="80">
        <f t="shared" si="16"/>
        <v>0</v>
      </c>
      <c r="AM100" s="85"/>
    </row>
    <row r="101" spans="1:39" hidden="1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">
        <v>3712</v>
      </c>
      <c r="L101" s="1" t="s">
        <v>35</v>
      </c>
      <c r="N101" s="3" t="s">
        <v>3712</v>
      </c>
      <c r="O101" s="1" t="s">
        <v>45</v>
      </c>
      <c r="P101" s="1" t="s">
        <v>3753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17"/>
        <v>2083923.1799999992</v>
      </c>
      <c r="X101" s="13">
        <f t="shared" si="18"/>
        <v>3877303.7821782185</v>
      </c>
      <c r="Y101" s="13">
        <f t="shared" si="12"/>
        <v>0</v>
      </c>
      <c r="Z101" s="2">
        <v>0</v>
      </c>
      <c r="AA101" s="4">
        <v>0</v>
      </c>
      <c r="AB101" s="4">
        <f t="shared" si="13"/>
        <v>3877303.7821782185</v>
      </c>
      <c r="AC101" s="6">
        <f t="shared" si="14"/>
        <v>38773.037821782287</v>
      </c>
      <c r="AD101" s="13">
        <f t="shared" si="19"/>
        <v>3916076.8200000008</v>
      </c>
      <c r="AE101" s="2">
        <v>0.05</v>
      </c>
      <c r="AF101" s="5">
        <f t="shared" si="15"/>
        <v>195803.84100000004</v>
      </c>
      <c r="AG101" s="2">
        <v>0</v>
      </c>
      <c r="AH101" s="5">
        <f t="shared" si="20"/>
        <v>3916076.8200000008</v>
      </c>
      <c r="AJ101" s="126" t="e">
        <v>#N/A</v>
      </c>
      <c r="AK101" s="80">
        <f t="shared" si="16"/>
        <v>0</v>
      </c>
      <c r="AM101" s="85"/>
    </row>
    <row r="102" spans="1:39" hidden="1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17"/>
        <v>495272.53000000049</v>
      </c>
      <c r="X102" s="13">
        <f t="shared" si="18"/>
        <v>809152.88349514513</v>
      </c>
      <c r="Y102" s="13">
        <f t="shared" si="12"/>
        <v>0</v>
      </c>
      <c r="Z102" s="2">
        <v>0</v>
      </c>
      <c r="AA102" s="4">
        <v>0</v>
      </c>
      <c r="AB102" s="4">
        <f t="shared" si="13"/>
        <v>809152.88349514513</v>
      </c>
      <c r="AC102" s="6">
        <f t="shared" si="14"/>
        <v>24274.586504854378</v>
      </c>
      <c r="AD102" s="13">
        <f t="shared" si="19"/>
        <v>833427.46999999951</v>
      </c>
      <c r="AE102" s="2">
        <v>0.05</v>
      </c>
      <c r="AF102" s="5">
        <f t="shared" si="15"/>
        <v>41671.37349999998</v>
      </c>
      <c r="AG102" s="2">
        <v>0</v>
      </c>
      <c r="AH102" s="5">
        <f t="shared" si="20"/>
        <v>833427.46999999951</v>
      </c>
      <c r="AJ102" s="126" t="e">
        <v>#N/A</v>
      </c>
      <c r="AK102" s="80">
        <f t="shared" si="16"/>
        <v>0</v>
      </c>
      <c r="AM102" s="85"/>
    </row>
    <row r="103" spans="1:39" hidden="1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17"/>
        <v>660000</v>
      </c>
      <c r="X103" s="13">
        <f t="shared" si="18"/>
        <v>0</v>
      </c>
      <c r="Y103" s="13">
        <f t="shared" si="12"/>
        <v>0</v>
      </c>
      <c r="Z103" s="2">
        <v>0</v>
      </c>
      <c r="AA103" s="4">
        <v>0</v>
      </c>
      <c r="AB103" s="4">
        <f t="shared" si="13"/>
        <v>0</v>
      </c>
      <c r="AC103" s="6">
        <f t="shared" si="14"/>
        <v>0</v>
      </c>
      <c r="AD103" s="13">
        <f t="shared" si="19"/>
        <v>0</v>
      </c>
      <c r="AE103" s="2">
        <v>0.05</v>
      </c>
      <c r="AF103" s="5">
        <f t="shared" si="15"/>
        <v>0</v>
      </c>
      <c r="AG103" s="2">
        <v>0</v>
      </c>
      <c r="AH103" s="5">
        <f t="shared" si="20"/>
        <v>0</v>
      </c>
      <c r="AJ103" s="126" t="e">
        <v>#N/A</v>
      </c>
      <c r="AK103" s="80">
        <f t="shared" si="16"/>
        <v>0</v>
      </c>
      <c r="AM103" s="85"/>
    </row>
    <row r="104" spans="1:39" hidden="1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17"/>
        <v>87737.87999999999</v>
      </c>
      <c r="X104" s="13">
        <f t="shared" si="18"/>
        <v>64817.592233009716</v>
      </c>
      <c r="Y104" s="13">
        <f t="shared" si="12"/>
        <v>0</v>
      </c>
      <c r="Z104" s="2">
        <v>0</v>
      </c>
      <c r="AA104" s="4">
        <v>0</v>
      </c>
      <c r="AB104" s="4">
        <f t="shared" si="13"/>
        <v>64817.592233009716</v>
      </c>
      <c r="AC104" s="6">
        <f t="shared" si="14"/>
        <v>1944.5277669902935</v>
      </c>
      <c r="AD104" s="13">
        <f t="shared" si="19"/>
        <v>66762.12000000001</v>
      </c>
      <c r="AE104" s="2">
        <v>0.05</v>
      </c>
      <c r="AF104" s="5">
        <f t="shared" si="15"/>
        <v>3338.1060000000007</v>
      </c>
      <c r="AG104" s="2">
        <v>0</v>
      </c>
      <c r="AH104" s="5">
        <f t="shared" si="20"/>
        <v>66762.12000000001</v>
      </c>
      <c r="AJ104" s="126" t="e">
        <v>#N/A</v>
      </c>
      <c r="AK104" s="80">
        <f t="shared" si="16"/>
        <v>0</v>
      </c>
      <c r="AM104" s="85"/>
    </row>
    <row r="105" spans="1:39" hidden="1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17"/>
        <v>30898713.669999991</v>
      </c>
      <c r="X105" s="13">
        <f t="shared" si="18"/>
        <v>19314298.962264158</v>
      </c>
      <c r="Y105" s="13">
        <f t="shared" si="12"/>
        <v>0</v>
      </c>
      <c r="Z105" s="2">
        <v>0</v>
      </c>
      <c r="AA105" s="4">
        <v>0</v>
      </c>
      <c r="AB105" s="4">
        <f t="shared" si="13"/>
        <v>19314298.962264158</v>
      </c>
      <c r="AC105" s="6">
        <f t="shared" si="14"/>
        <v>1158857.9377358519</v>
      </c>
      <c r="AD105" s="13">
        <f t="shared" si="19"/>
        <v>20473156.90000001</v>
      </c>
      <c r="AE105" s="2">
        <v>0.05</v>
      </c>
      <c r="AF105" s="5">
        <f t="shared" si="15"/>
        <v>1023657.8450000006</v>
      </c>
      <c r="AG105" s="2">
        <v>0</v>
      </c>
      <c r="AH105" s="5">
        <f t="shared" si="20"/>
        <v>20473156.90000001</v>
      </c>
      <c r="AJ105" s="126" t="e">
        <v>#N/A</v>
      </c>
      <c r="AK105" s="80">
        <f t="shared" si="16"/>
        <v>0</v>
      </c>
      <c r="AM105" s="85"/>
    </row>
    <row r="106" spans="1:39" hidden="1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17"/>
        <v>8000000</v>
      </c>
      <c r="X106" s="13">
        <f t="shared" si="18"/>
        <v>0</v>
      </c>
      <c r="Y106" s="13">
        <f t="shared" si="12"/>
        <v>0</v>
      </c>
      <c r="Z106" s="2">
        <v>0</v>
      </c>
      <c r="AA106" s="4">
        <v>0</v>
      </c>
      <c r="AB106" s="4">
        <f t="shared" si="13"/>
        <v>0</v>
      </c>
      <c r="AC106" s="6">
        <f t="shared" si="14"/>
        <v>0</v>
      </c>
      <c r="AD106" s="13">
        <f t="shared" si="19"/>
        <v>0</v>
      </c>
      <c r="AE106" s="2">
        <v>0.05</v>
      </c>
      <c r="AF106" s="5">
        <f t="shared" si="15"/>
        <v>0</v>
      </c>
      <c r="AG106" s="2">
        <v>0</v>
      </c>
      <c r="AH106" s="5">
        <f t="shared" si="20"/>
        <v>0</v>
      </c>
      <c r="AJ106" s="126" t="e">
        <v>#N/A</v>
      </c>
      <c r="AK106" s="80">
        <f t="shared" si="16"/>
        <v>0</v>
      </c>
      <c r="AM106" s="85"/>
    </row>
    <row r="107" spans="1:39" hidden="1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17"/>
        <v>552769.43000000005</v>
      </c>
      <c r="X107" s="13">
        <f t="shared" si="18"/>
        <v>818490.93269230763</v>
      </c>
      <c r="Y107" s="13">
        <f t="shared" si="12"/>
        <v>0</v>
      </c>
      <c r="Z107" s="2">
        <v>0</v>
      </c>
      <c r="AA107" s="4">
        <v>0</v>
      </c>
      <c r="AB107" s="4">
        <f t="shared" si="13"/>
        <v>818490.93269230763</v>
      </c>
      <c r="AC107" s="6">
        <f t="shared" si="14"/>
        <v>32739.637307692319</v>
      </c>
      <c r="AD107" s="13">
        <f t="shared" si="19"/>
        <v>851230.57</v>
      </c>
      <c r="AE107" s="2">
        <v>0.05</v>
      </c>
      <c r="AF107" s="5">
        <f t="shared" si="15"/>
        <v>42561.5285</v>
      </c>
      <c r="AG107" s="2">
        <v>0</v>
      </c>
      <c r="AH107" s="5">
        <f t="shared" si="20"/>
        <v>851230.57</v>
      </c>
      <c r="AJ107" s="126" t="e">
        <v>#N/A</v>
      </c>
      <c r="AK107" s="80">
        <f t="shared" si="16"/>
        <v>0</v>
      </c>
      <c r="AM107" s="85"/>
    </row>
    <row r="108" spans="1:39" hidden="1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17"/>
        <v>683970.89000000525</v>
      </c>
      <c r="X108" s="13">
        <f t="shared" si="18"/>
        <v>4526460.3203883441</v>
      </c>
      <c r="Y108" s="13">
        <f t="shared" si="12"/>
        <v>0</v>
      </c>
      <c r="Z108" s="2">
        <v>0</v>
      </c>
      <c r="AA108" s="4">
        <v>0</v>
      </c>
      <c r="AB108" s="4">
        <f t="shared" si="13"/>
        <v>4526460.3203883441</v>
      </c>
      <c r="AC108" s="6">
        <f t="shared" si="14"/>
        <v>135793.80961165018</v>
      </c>
      <c r="AD108" s="13">
        <f t="shared" si="19"/>
        <v>4662254.1299999943</v>
      </c>
      <c r="AE108" s="2">
        <v>0.05</v>
      </c>
      <c r="AF108" s="5">
        <f t="shared" si="15"/>
        <v>233112.70649999974</v>
      </c>
      <c r="AG108" s="2">
        <v>0</v>
      </c>
      <c r="AH108" s="5">
        <f t="shared" si="20"/>
        <v>4662254.1299999943</v>
      </c>
      <c r="AJ108" s="126" t="e">
        <v>#N/A</v>
      </c>
      <c r="AK108" s="80">
        <f t="shared" si="16"/>
        <v>0</v>
      </c>
      <c r="AM108" s="85"/>
    </row>
    <row r="109" spans="1:39" hidden="1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17"/>
        <v>200000</v>
      </c>
      <c r="X109" s="13">
        <f t="shared" si="18"/>
        <v>0</v>
      </c>
      <c r="Y109" s="13">
        <f t="shared" si="12"/>
        <v>0</v>
      </c>
      <c r="Z109" s="2">
        <v>0</v>
      </c>
      <c r="AA109" s="4">
        <v>0</v>
      </c>
      <c r="AB109" s="4">
        <f t="shared" si="13"/>
        <v>0</v>
      </c>
      <c r="AC109" s="6">
        <f t="shared" si="14"/>
        <v>0</v>
      </c>
      <c r="AD109" s="13">
        <f t="shared" si="19"/>
        <v>0</v>
      </c>
      <c r="AE109" s="2">
        <v>0.05</v>
      </c>
      <c r="AF109" s="5">
        <f t="shared" si="15"/>
        <v>0</v>
      </c>
      <c r="AG109" s="2">
        <v>0</v>
      </c>
      <c r="AH109" s="5">
        <f t="shared" si="20"/>
        <v>0</v>
      </c>
      <c r="AJ109" s="126" t="e">
        <v>#N/A</v>
      </c>
      <c r="AK109" s="80">
        <f t="shared" si="16"/>
        <v>0</v>
      </c>
      <c r="AM109" s="85"/>
    </row>
    <row r="110" spans="1:39" hidden="1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17"/>
        <v>0</v>
      </c>
      <c r="X110" s="13">
        <f t="shared" si="18"/>
        <v>0</v>
      </c>
      <c r="Y110" s="13">
        <f t="shared" si="12"/>
        <v>0</v>
      </c>
      <c r="Z110" s="2">
        <v>0</v>
      </c>
      <c r="AA110" s="4">
        <v>0</v>
      </c>
      <c r="AB110" s="4">
        <f t="shared" si="13"/>
        <v>0</v>
      </c>
      <c r="AC110" s="6">
        <f t="shared" si="14"/>
        <v>0</v>
      </c>
      <c r="AD110" s="13">
        <f t="shared" si="19"/>
        <v>0</v>
      </c>
      <c r="AE110" s="2">
        <v>0.05</v>
      </c>
      <c r="AF110" s="5">
        <f t="shared" si="15"/>
        <v>0</v>
      </c>
      <c r="AG110" s="2">
        <v>0</v>
      </c>
      <c r="AH110" s="5">
        <f t="shared" si="20"/>
        <v>0</v>
      </c>
      <c r="AJ110" s="126" t="e">
        <v>#N/A</v>
      </c>
      <c r="AK110" s="80">
        <f t="shared" si="16"/>
        <v>0</v>
      </c>
      <c r="AM110" s="85"/>
    </row>
    <row r="111" spans="1:39" hidden="1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17"/>
        <v>42618.589999999618</v>
      </c>
      <c r="X111" s="13">
        <f t="shared" si="18"/>
        <v>382381.41000000038</v>
      </c>
      <c r="Y111" s="13">
        <f t="shared" si="12"/>
        <v>0</v>
      </c>
      <c r="Z111" s="2">
        <v>0</v>
      </c>
      <c r="AA111" s="4">
        <v>0</v>
      </c>
      <c r="AB111" s="4">
        <f t="shared" si="13"/>
        <v>382381.41000000038</v>
      </c>
      <c r="AC111" s="6">
        <f t="shared" si="14"/>
        <v>0</v>
      </c>
      <c r="AD111" s="13">
        <f t="shared" si="19"/>
        <v>382381.41000000038</v>
      </c>
      <c r="AE111" s="2">
        <v>0.05</v>
      </c>
      <c r="AF111" s="5">
        <f t="shared" si="15"/>
        <v>19119.07050000002</v>
      </c>
      <c r="AG111" s="2">
        <v>0</v>
      </c>
      <c r="AH111" s="5">
        <f t="shared" si="20"/>
        <v>382381.41000000038</v>
      </c>
      <c r="AJ111" s="126" t="e">
        <v>#N/A</v>
      </c>
      <c r="AK111" s="80">
        <f t="shared" si="16"/>
        <v>0</v>
      </c>
      <c r="AM111" s="85"/>
    </row>
    <row r="112" spans="1:39" hidden="1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17"/>
        <v>0</v>
      </c>
      <c r="X112" s="13">
        <f t="shared" si="18"/>
        <v>5558092.6372548928</v>
      </c>
      <c r="Y112" s="13">
        <f t="shared" si="12"/>
        <v>0</v>
      </c>
      <c r="Z112" s="2">
        <v>0</v>
      </c>
      <c r="AA112" s="4">
        <v>0</v>
      </c>
      <c r="AB112" s="4">
        <f t="shared" si="13"/>
        <v>5558092.6372548928</v>
      </c>
      <c r="AC112" s="6">
        <f t="shared" si="14"/>
        <v>111161.85274509806</v>
      </c>
      <c r="AD112" s="13">
        <f t="shared" si="19"/>
        <v>5669254.4899999909</v>
      </c>
      <c r="AE112" s="2">
        <v>0.05</v>
      </c>
      <c r="AF112" s="5">
        <f t="shared" si="15"/>
        <v>283462.72449999955</v>
      </c>
      <c r="AG112" s="2">
        <v>0</v>
      </c>
      <c r="AH112" s="5">
        <f t="shared" si="20"/>
        <v>5669254.4899999909</v>
      </c>
      <c r="AJ112" s="126" t="e">
        <v>#N/A</v>
      </c>
      <c r="AK112" s="80">
        <f t="shared" si="16"/>
        <v>0</v>
      </c>
      <c r="AM112" s="85"/>
    </row>
    <row r="113" spans="1:39" hidden="1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17"/>
        <v>1877420.9499999909</v>
      </c>
      <c r="X113" s="13">
        <f>V113-21500</f>
        <v>297579.05000000913</v>
      </c>
      <c r="Y113" s="13">
        <f t="shared" si="12"/>
        <v>0</v>
      </c>
      <c r="Z113" s="2">
        <v>0</v>
      </c>
      <c r="AA113" s="4">
        <v>0</v>
      </c>
      <c r="AB113" s="4">
        <f t="shared" si="13"/>
        <v>297579.05000000913</v>
      </c>
      <c r="AC113" s="6">
        <f t="shared" si="14"/>
        <v>21500</v>
      </c>
      <c r="AD113" s="13">
        <f t="shared" si="19"/>
        <v>319079.05000000913</v>
      </c>
      <c r="AE113" s="2">
        <v>0.05</v>
      </c>
      <c r="AF113" s="5">
        <f t="shared" si="15"/>
        <v>15953.952500000458</v>
      </c>
      <c r="AG113" s="2">
        <v>0</v>
      </c>
      <c r="AH113" s="5">
        <f t="shared" si="20"/>
        <v>319079.05000000913</v>
      </c>
      <c r="AJ113" s="126" t="e">
        <v>#N/A</v>
      </c>
      <c r="AK113" s="80">
        <f t="shared" si="16"/>
        <v>0</v>
      </c>
      <c r="AM113" s="85"/>
    </row>
    <row r="114" spans="1:39" hidden="1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17"/>
        <v>797483.3899999992</v>
      </c>
      <c r="X114" s="13">
        <f t="shared" si="18"/>
        <v>1702516.6100000008</v>
      </c>
      <c r="Y114" s="13">
        <f t="shared" si="12"/>
        <v>0</v>
      </c>
      <c r="Z114" s="2">
        <v>0</v>
      </c>
      <c r="AA114" s="4">
        <v>0</v>
      </c>
      <c r="AB114" s="4">
        <f t="shared" si="13"/>
        <v>1702516.6100000008</v>
      </c>
      <c r="AC114" s="6">
        <f t="shared" si="14"/>
        <v>0</v>
      </c>
      <c r="AD114" s="13">
        <f t="shared" si="19"/>
        <v>1702516.6100000008</v>
      </c>
      <c r="AE114" s="2">
        <v>0.05</v>
      </c>
      <c r="AF114" s="5">
        <f t="shared" si="15"/>
        <v>85125.83050000004</v>
      </c>
      <c r="AG114" s="2">
        <v>0</v>
      </c>
      <c r="AH114" s="5">
        <f t="shared" si="20"/>
        <v>1702516.6100000008</v>
      </c>
      <c r="AJ114" s="126" t="e">
        <v>#N/A</v>
      </c>
      <c r="AK114" s="80">
        <f t="shared" si="16"/>
        <v>0</v>
      </c>
      <c r="AM114" s="85"/>
    </row>
    <row r="115" spans="1:39" hidden="1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17"/>
        <v>-675783.96999999974</v>
      </c>
      <c r="X115" s="13">
        <f t="shared" si="18"/>
        <v>0</v>
      </c>
      <c r="Y115" s="13">
        <f t="shared" si="12"/>
        <v>0</v>
      </c>
      <c r="Z115" s="2">
        <v>0</v>
      </c>
      <c r="AA115" s="4">
        <v>0</v>
      </c>
      <c r="AB115" s="4">
        <f t="shared" si="13"/>
        <v>0</v>
      </c>
      <c r="AC115" s="6">
        <f t="shared" si="14"/>
        <v>0</v>
      </c>
      <c r="AD115" s="13">
        <f t="shared" si="19"/>
        <v>0</v>
      </c>
      <c r="AE115" s="2">
        <v>0.05</v>
      </c>
      <c r="AF115" s="5">
        <f t="shared" si="15"/>
        <v>0</v>
      </c>
      <c r="AG115" s="2">
        <v>0</v>
      </c>
      <c r="AH115" s="5">
        <f t="shared" si="20"/>
        <v>0</v>
      </c>
      <c r="AJ115" s="126" t="e">
        <v>#N/A</v>
      </c>
      <c r="AK115" s="80">
        <f t="shared" si="16"/>
        <v>0</v>
      </c>
      <c r="AM115" s="85"/>
    </row>
    <row r="116" spans="1:39" hidden="1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18"/>
        <v>0</v>
      </c>
      <c r="Y116" s="13">
        <f t="shared" si="12"/>
        <v>0</v>
      </c>
      <c r="Z116" s="2">
        <v>0</v>
      </c>
      <c r="AA116" s="4">
        <v>0</v>
      </c>
      <c r="AB116" s="4">
        <f t="shared" si="13"/>
        <v>0</v>
      </c>
      <c r="AC116" s="6">
        <f t="shared" si="14"/>
        <v>0</v>
      </c>
      <c r="AD116" s="13">
        <f t="shared" si="19"/>
        <v>0</v>
      </c>
      <c r="AE116" s="2">
        <v>0.05</v>
      </c>
      <c r="AF116" s="5">
        <f t="shared" si="15"/>
        <v>0</v>
      </c>
      <c r="AG116" s="2">
        <v>0</v>
      </c>
      <c r="AH116" s="5">
        <f t="shared" si="20"/>
        <v>0</v>
      </c>
      <c r="AJ116" s="126" t="e">
        <v>#N/A</v>
      </c>
      <c r="AK116" s="80">
        <f t="shared" si="16"/>
        <v>0</v>
      </c>
      <c r="AM116" s="85"/>
    </row>
    <row r="117" spans="1:39" hidden="1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17"/>
        <v>209925.78999999998</v>
      </c>
      <c r="X117" s="13">
        <f t="shared" si="18"/>
        <v>135994.3786407767</v>
      </c>
      <c r="Y117" s="13">
        <f t="shared" si="12"/>
        <v>0</v>
      </c>
      <c r="Z117" s="2">
        <v>0</v>
      </c>
      <c r="AA117" s="4">
        <v>0</v>
      </c>
      <c r="AB117" s="4">
        <f t="shared" si="13"/>
        <v>135994.3786407767</v>
      </c>
      <c r="AC117" s="6">
        <f t="shared" si="14"/>
        <v>4079.8313592233171</v>
      </c>
      <c r="AD117" s="13">
        <f t="shared" si="19"/>
        <v>140074.21000000002</v>
      </c>
      <c r="AE117" s="2">
        <v>0.05</v>
      </c>
      <c r="AF117" s="5">
        <f t="shared" si="15"/>
        <v>7003.710500000001</v>
      </c>
      <c r="AG117" s="2">
        <v>0</v>
      </c>
      <c r="AH117" s="5">
        <f t="shared" si="20"/>
        <v>140074.21000000002</v>
      </c>
      <c r="AJ117" s="126" t="e">
        <v>#N/A</v>
      </c>
      <c r="AK117" s="80">
        <f t="shared" si="16"/>
        <v>0</v>
      </c>
      <c r="AM117" s="85"/>
    </row>
    <row r="118" spans="1:39" hidden="1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17"/>
        <v>6008444.9700000174</v>
      </c>
      <c r="X118" s="13">
        <f t="shared" si="18"/>
        <v>2841555.0299999821</v>
      </c>
      <c r="Y118" s="13">
        <f t="shared" si="12"/>
        <v>0</v>
      </c>
      <c r="Z118" s="2">
        <v>0</v>
      </c>
      <c r="AA118" s="4">
        <v>0</v>
      </c>
      <c r="AB118" s="4">
        <f t="shared" si="13"/>
        <v>2841555.0299999821</v>
      </c>
      <c r="AC118" s="6">
        <f t="shared" si="14"/>
        <v>0</v>
      </c>
      <c r="AD118" s="13">
        <f t="shared" si="19"/>
        <v>2841555.0299999821</v>
      </c>
      <c r="AE118" s="2">
        <v>0.05</v>
      </c>
      <c r="AF118" s="5">
        <f t="shared" si="15"/>
        <v>142077.75149999911</v>
      </c>
      <c r="AG118" s="2">
        <v>0</v>
      </c>
      <c r="AH118" s="5">
        <f t="shared" si="20"/>
        <v>2841555.0299999821</v>
      </c>
      <c r="AJ118" s="126" t="e">
        <v>#N/A</v>
      </c>
      <c r="AK118" s="80">
        <f t="shared" si="16"/>
        <v>0</v>
      </c>
      <c r="AM118" s="85"/>
    </row>
    <row r="119" spans="1:39" hidden="1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17"/>
        <v>200000</v>
      </c>
      <c r="X119" s="13">
        <f t="shared" si="18"/>
        <v>0</v>
      </c>
      <c r="Y119" s="13">
        <f t="shared" si="12"/>
        <v>0</v>
      </c>
      <c r="Z119" s="2">
        <v>0</v>
      </c>
      <c r="AA119" s="4">
        <v>0</v>
      </c>
      <c r="AB119" s="4">
        <f t="shared" si="13"/>
        <v>0</v>
      </c>
      <c r="AC119" s="6">
        <f t="shared" si="14"/>
        <v>0</v>
      </c>
      <c r="AD119" s="13">
        <f t="shared" si="19"/>
        <v>0</v>
      </c>
      <c r="AE119" s="2">
        <v>0.05</v>
      </c>
      <c r="AF119" s="5">
        <f t="shared" si="15"/>
        <v>0</v>
      </c>
      <c r="AG119" s="2">
        <v>0</v>
      </c>
      <c r="AH119" s="5">
        <f t="shared" si="20"/>
        <v>0</v>
      </c>
      <c r="AJ119" s="126" t="s">
        <v>4218</v>
      </c>
      <c r="AK119" s="80">
        <f t="shared" si="16"/>
        <v>0</v>
      </c>
      <c r="AL119" s="150"/>
      <c r="AM119" s="85"/>
    </row>
    <row r="120" spans="1:39" hidden="1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17"/>
        <v>0</v>
      </c>
      <c r="X120" s="13">
        <f t="shared" si="18"/>
        <v>35501.594339622694</v>
      </c>
      <c r="Y120" s="13">
        <f t="shared" si="12"/>
        <v>0</v>
      </c>
      <c r="Z120" s="2">
        <v>0</v>
      </c>
      <c r="AA120" s="4">
        <v>0</v>
      </c>
      <c r="AB120" s="4">
        <f t="shared" si="13"/>
        <v>35501.594339622694</v>
      </c>
      <c r="AC120" s="6">
        <f t="shared" si="14"/>
        <v>2130.0956603773666</v>
      </c>
      <c r="AD120" s="13">
        <f t="shared" si="19"/>
        <v>37631.690000000061</v>
      </c>
      <c r="AE120" s="2">
        <v>0.05</v>
      </c>
      <c r="AF120" s="5">
        <f t="shared" si="15"/>
        <v>1881.5845000000031</v>
      </c>
      <c r="AG120" s="2">
        <v>0</v>
      </c>
      <c r="AH120" s="5">
        <f t="shared" si="20"/>
        <v>37631.690000000061</v>
      </c>
      <c r="AJ120" s="126" t="e">
        <v>#N/A</v>
      </c>
      <c r="AK120" s="80">
        <f t="shared" si="16"/>
        <v>0</v>
      </c>
      <c r="AM120" s="85"/>
    </row>
    <row r="121" spans="1:39" hidden="1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17"/>
        <v>0</v>
      </c>
      <c r="X121" s="13">
        <f t="shared" si="18"/>
        <v>0</v>
      </c>
      <c r="Y121" s="13">
        <f t="shared" si="12"/>
        <v>0</v>
      </c>
      <c r="Z121" s="2">
        <v>0</v>
      </c>
      <c r="AA121" s="4">
        <v>0</v>
      </c>
      <c r="AB121" s="4">
        <f t="shared" si="13"/>
        <v>0</v>
      </c>
      <c r="AC121" s="6">
        <f t="shared" si="14"/>
        <v>0</v>
      </c>
      <c r="AD121" s="13">
        <f t="shared" si="19"/>
        <v>0</v>
      </c>
      <c r="AE121" s="2">
        <v>0.05</v>
      </c>
      <c r="AF121" s="5">
        <f t="shared" si="15"/>
        <v>0</v>
      </c>
      <c r="AG121" s="2">
        <v>0</v>
      </c>
      <c r="AH121" s="5">
        <f t="shared" si="20"/>
        <v>0</v>
      </c>
      <c r="AJ121" s="126" t="e">
        <v>#N/A</v>
      </c>
      <c r="AK121" s="80">
        <f t="shared" si="16"/>
        <v>0</v>
      </c>
      <c r="AM121" s="85"/>
    </row>
    <row r="122" spans="1:39" hidden="1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17"/>
        <v>16250.470000000103</v>
      </c>
      <c r="X122" s="13">
        <f t="shared" si="18"/>
        <v>61030.184466019316</v>
      </c>
      <c r="Y122" s="13">
        <f t="shared" si="12"/>
        <v>0</v>
      </c>
      <c r="Z122" s="2">
        <v>0</v>
      </c>
      <c r="AA122" s="4">
        <v>0</v>
      </c>
      <c r="AB122" s="4">
        <f t="shared" si="13"/>
        <v>61030.184466019316</v>
      </c>
      <c r="AC122" s="6">
        <f t="shared" si="14"/>
        <v>1830.9055339805782</v>
      </c>
      <c r="AD122" s="13">
        <f t="shared" si="19"/>
        <v>62861.089999999895</v>
      </c>
      <c r="AE122" s="2">
        <v>0.05</v>
      </c>
      <c r="AF122" s="5">
        <f t="shared" si="15"/>
        <v>3143.0544999999947</v>
      </c>
      <c r="AG122" s="2">
        <v>0</v>
      </c>
      <c r="AH122" s="5">
        <f t="shared" si="20"/>
        <v>62861.089999999895</v>
      </c>
      <c r="AJ122" s="126" t="e">
        <v>#N/A</v>
      </c>
      <c r="AK122" s="80">
        <f t="shared" si="16"/>
        <v>0</v>
      </c>
      <c r="AM122" s="85"/>
    </row>
    <row r="123" spans="1:39" hidden="1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17"/>
        <v>260804.89</v>
      </c>
      <c r="X123" s="13">
        <f t="shared" si="18"/>
        <v>518456.8365384615</v>
      </c>
      <c r="Y123" s="13">
        <f t="shared" si="12"/>
        <v>0</v>
      </c>
      <c r="Z123" s="2">
        <v>0</v>
      </c>
      <c r="AA123" s="4">
        <v>0</v>
      </c>
      <c r="AB123" s="4">
        <f t="shared" si="13"/>
        <v>518456.8365384615</v>
      </c>
      <c r="AC123" s="6">
        <f t="shared" si="14"/>
        <v>20738.273461538483</v>
      </c>
      <c r="AD123" s="13">
        <f t="shared" si="19"/>
        <v>539195.11</v>
      </c>
      <c r="AE123" s="2">
        <v>0.05</v>
      </c>
      <c r="AF123" s="5">
        <f t="shared" si="15"/>
        <v>26959.755499999999</v>
      </c>
      <c r="AG123" s="2">
        <v>0</v>
      </c>
      <c r="AH123" s="5">
        <f t="shared" si="20"/>
        <v>539195.11</v>
      </c>
      <c r="AJ123" s="126" t="e">
        <v>#N/A</v>
      </c>
      <c r="AK123" s="80">
        <f t="shared" si="16"/>
        <v>0</v>
      </c>
      <c r="AM123" s="85"/>
    </row>
    <row r="124" spans="1:39" hidden="1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17"/>
        <v>154577.05999999866</v>
      </c>
      <c r="X124" s="13">
        <f t="shared" si="18"/>
        <v>4175019.4230769239</v>
      </c>
      <c r="Y124" s="13">
        <f t="shared" si="12"/>
        <v>0</v>
      </c>
      <c r="Z124" s="2">
        <v>0</v>
      </c>
      <c r="AA124" s="4">
        <v>0</v>
      </c>
      <c r="AB124" s="4">
        <f t="shared" si="13"/>
        <v>4175019.4230769239</v>
      </c>
      <c r="AC124" s="6">
        <f t="shared" si="14"/>
        <v>167000.77692307718</v>
      </c>
      <c r="AD124" s="13">
        <f t="shared" si="19"/>
        <v>4342020.2000000011</v>
      </c>
      <c r="AE124" s="2">
        <v>0.05</v>
      </c>
      <c r="AF124" s="5">
        <f t="shared" si="15"/>
        <v>217101.01000000007</v>
      </c>
      <c r="AG124" s="2">
        <v>0</v>
      </c>
      <c r="AH124" s="5">
        <f t="shared" si="20"/>
        <v>4342020.2000000011</v>
      </c>
      <c r="AJ124" s="126" t="e">
        <v>#N/A</v>
      </c>
      <c r="AK124" s="80">
        <f t="shared" si="16"/>
        <v>0</v>
      </c>
      <c r="AM124" s="85"/>
    </row>
    <row r="125" spans="1:39" hidden="1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17"/>
        <v>261501.7300000001</v>
      </c>
      <c r="X125" s="13">
        <f t="shared" si="18"/>
        <v>238498.2699999999</v>
      </c>
      <c r="Y125" s="13">
        <f t="shared" si="12"/>
        <v>0</v>
      </c>
      <c r="Z125" s="2">
        <v>0</v>
      </c>
      <c r="AA125" s="4">
        <v>0</v>
      </c>
      <c r="AB125" s="4">
        <f t="shared" si="13"/>
        <v>238498.2699999999</v>
      </c>
      <c r="AC125" s="6">
        <f t="shared" si="14"/>
        <v>0</v>
      </c>
      <c r="AD125" s="13">
        <f t="shared" si="19"/>
        <v>238498.2699999999</v>
      </c>
      <c r="AE125" s="2">
        <v>0.05</v>
      </c>
      <c r="AF125" s="5">
        <f t="shared" si="15"/>
        <v>11924.913499999995</v>
      </c>
      <c r="AG125" s="2">
        <v>0</v>
      </c>
      <c r="AH125" s="5">
        <f t="shared" si="20"/>
        <v>238498.2699999999</v>
      </c>
      <c r="AJ125" s="126" t="e">
        <v>#N/A</v>
      </c>
      <c r="AK125" s="80">
        <f t="shared" si="16"/>
        <v>0</v>
      </c>
      <c r="AM125" s="85"/>
    </row>
    <row r="126" spans="1:39" hidden="1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17"/>
        <v>69234.33</v>
      </c>
      <c r="X126" s="13">
        <f t="shared" si="18"/>
        <v>765.67</v>
      </c>
      <c r="Y126" s="13">
        <f t="shared" si="12"/>
        <v>0</v>
      </c>
      <c r="Z126" s="2">
        <v>0</v>
      </c>
      <c r="AA126" s="4">
        <v>0</v>
      </c>
      <c r="AB126" s="4">
        <f t="shared" si="13"/>
        <v>765.67</v>
      </c>
      <c r="AC126" s="6">
        <f t="shared" si="14"/>
        <v>0</v>
      </c>
      <c r="AD126" s="13">
        <f t="shared" si="19"/>
        <v>765.67</v>
      </c>
      <c r="AE126" s="2">
        <v>0.05</v>
      </c>
      <c r="AF126" s="5">
        <f t="shared" si="15"/>
        <v>38.283499999999997</v>
      </c>
      <c r="AG126" s="2">
        <v>0</v>
      </c>
      <c r="AH126" s="5">
        <f t="shared" si="20"/>
        <v>765.67</v>
      </c>
      <c r="AJ126" s="126" t="e">
        <v>#N/A</v>
      </c>
      <c r="AK126" s="80">
        <f t="shared" si="16"/>
        <v>0</v>
      </c>
      <c r="AM126" s="85"/>
    </row>
    <row r="127" spans="1:39" hidden="1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17"/>
        <v>718732.22000000067</v>
      </c>
      <c r="X127" s="13">
        <f t="shared" si="18"/>
        <v>3251219.0192307686</v>
      </c>
      <c r="Y127" s="13">
        <f t="shared" si="12"/>
        <v>0</v>
      </c>
      <c r="Z127" s="2">
        <v>0</v>
      </c>
      <c r="AA127" s="4">
        <v>0</v>
      </c>
      <c r="AB127" s="4">
        <f t="shared" si="13"/>
        <v>3251219.0192307686</v>
      </c>
      <c r="AC127" s="6">
        <f t="shared" si="14"/>
        <v>130048.76076923078</v>
      </c>
      <c r="AD127" s="13">
        <f t="shared" si="19"/>
        <v>3381267.7799999993</v>
      </c>
      <c r="AE127" s="2">
        <v>0.05</v>
      </c>
      <c r="AF127" s="5">
        <f t="shared" si="15"/>
        <v>169063.38899999997</v>
      </c>
      <c r="AG127" s="2">
        <v>0</v>
      </c>
      <c r="AH127" s="5">
        <f t="shared" si="20"/>
        <v>3381267.7799999993</v>
      </c>
      <c r="AJ127" s="126" t="e">
        <v>#N/A</v>
      </c>
      <c r="AK127" s="80">
        <f t="shared" si="16"/>
        <v>0</v>
      </c>
      <c r="AM127" s="85"/>
    </row>
    <row r="128" spans="1:39" hidden="1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17"/>
        <v>300000</v>
      </c>
      <c r="X128" s="13">
        <f t="shared" si="18"/>
        <v>0</v>
      </c>
      <c r="Y128" s="13">
        <f t="shared" si="12"/>
        <v>0</v>
      </c>
      <c r="Z128" s="2">
        <v>0</v>
      </c>
      <c r="AA128" s="4">
        <v>0</v>
      </c>
      <c r="AB128" s="4">
        <f t="shared" si="13"/>
        <v>0</v>
      </c>
      <c r="AC128" s="6">
        <f t="shared" si="14"/>
        <v>0</v>
      </c>
      <c r="AD128" s="13">
        <f t="shared" si="19"/>
        <v>0</v>
      </c>
      <c r="AE128" s="2">
        <v>0.05</v>
      </c>
      <c r="AF128" s="5">
        <f t="shared" si="15"/>
        <v>0</v>
      </c>
      <c r="AG128" s="2">
        <v>0</v>
      </c>
      <c r="AH128" s="5">
        <f t="shared" si="20"/>
        <v>0</v>
      </c>
      <c r="AJ128" s="126" t="e">
        <v>#N/A</v>
      </c>
      <c r="AK128" s="80">
        <f t="shared" si="16"/>
        <v>0</v>
      </c>
      <c r="AM128" s="85"/>
    </row>
    <row r="129" spans="1:39" hidden="1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17"/>
        <v>93175.31</v>
      </c>
      <c r="X129" s="13">
        <f t="shared" si="18"/>
        <v>36824.69</v>
      </c>
      <c r="Y129" s="13">
        <f t="shared" si="12"/>
        <v>0</v>
      </c>
      <c r="Z129" s="2">
        <v>0</v>
      </c>
      <c r="AA129" s="4">
        <v>0</v>
      </c>
      <c r="AB129" s="4">
        <f t="shared" si="13"/>
        <v>36824.69</v>
      </c>
      <c r="AC129" s="6">
        <f t="shared" si="14"/>
        <v>0</v>
      </c>
      <c r="AD129" s="13">
        <f t="shared" si="19"/>
        <v>36824.69</v>
      </c>
      <c r="AE129" s="2">
        <v>0.05</v>
      </c>
      <c r="AF129" s="5">
        <f t="shared" si="15"/>
        <v>1841.2345000000003</v>
      </c>
      <c r="AG129" s="2">
        <v>0</v>
      </c>
      <c r="AH129" s="5">
        <f t="shared" si="20"/>
        <v>36824.69</v>
      </c>
      <c r="AJ129" s="126" t="e">
        <v>#N/A</v>
      </c>
      <c r="AK129" s="80">
        <f t="shared" si="16"/>
        <v>0</v>
      </c>
      <c r="AM129" s="85"/>
    </row>
    <row r="130" spans="1:39" hidden="1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17"/>
        <v>501585.6</v>
      </c>
      <c r="X130" s="13">
        <f t="shared" si="18"/>
        <v>198414.40000000002</v>
      </c>
      <c r="Y130" s="13">
        <f t="shared" si="12"/>
        <v>0</v>
      </c>
      <c r="Z130" s="2">
        <v>0</v>
      </c>
      <c r="AA130" s="4">
        <v>0</v>
      </c>
      <c r="AB130" s="4">
        <f t="shared" si="13"/>
        <v>198414.40000000002</v>
      </c>
      <c r="AC130" s="6">
        <f t="shared" si="14"/>
        <v>0</v>
      </c>
      <c r="AD130" s="13">
        <f t="shared" si="19"/>
        <v>198414.40000000002</v>
      </c>
      <c r="AE130" s="2">
        <v>0.05</v>
      </c>
      <c r="AF130" s="5">
        <f t="shared" si="15"/>
        <v>9920.7200000000012</v>
      </c>
      <c r="AG130" s="2">
        <v>0</v>
      </c>
      <c r="AH130" s="5">
        <f t="shared" si="20"/>
        <v>198414.40000000002</v>
      </c>
      <c r="AJ130" s="126" t="e">
        <v>#N/A</v>
      </c>
      <c r="AK130" s="80">
        <f t="shared" si="16"/>
        <v>0</v>
      </c>
      <c r="AM130" s="85"/>
    </row>
    <row r="131" spans="1:39" hidden="1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">
        <v>3712</v>
      </c>
      <c r="L131" s="1" t="s">
        <v>35</v>
      </c>
      <c r="M131" s="95"/>
      <c r="N131" s="3" t="s">
        <v>3729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18"/>
        <v>0</v>
      </c>
      <c r="Y131" s="13">
        <f t="shared" ref="Y131:Y194" si="21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22">X131+AA131</f>
        <v>0</v>
      </c>
      <c r="AC131" s="6">
        <f t="shared" ref="AC131:AC194" si="23">IF(P131="返现",X131*Q131,V131-X131)</f>
        <v>0</v>
      </c>
      <c r="AD131" s="13">
        <f t="shared" si="19"/>
        <v>0</v>
      </c>
      <c r="AE131" s="2">
        <v>0.05</v>
      </c>
      <c r="AF131" s="5">
        <f t="shared" ref="AF131:AF194" si="24">AD131*AE131</f>
        <v>0</v>
      </c>
      <c r="AG131" s="2">
        <v>0</v>
      </c>
      <c r="AH131" s="5">
        <f t="shared" si="20"/>
        <v>0</v>
      </c>
      <c r="AJ131" s="126" t="e">
        <v>#N/A</v>
      </c>
      <c r="AK131" s="80">
        <f t="shared" ref="AK131:AK194" si="25">X131+AA131-AB131</f>
        <v>0</v>
      </c>
      <c r="AM131" s="85"/>
    </row>
    <row r="132" spans="1:39" hidden="1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">
        <v>3712</v>
      </c>
      <c r="L132" s="1" t="s">
        <v>35</v>
      </c>
      <c r="M132" s="95"/>
      <c r="N132" s="3" t="s">
        <v>3729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17"/>
        <v>9989.83</v>
      </c>
      <c r="X132" s="13">
        <f t="shared" si="18"/>
        <v>0</v>
      </c>
      <c r="Y132" s="13">
        <f t="shared" si="21"/>
        <v>0</v>
      </c>
      <c r="Z132" s="2">
        <v>0</v>
      </c>
      <c r="AA132" s="4">
        <v>0</v>
      </c>
      <c r="AB132" s="4">
        <f t="shared" si="22"/>
        <v>0</v>
      </c>
      <c r="AC132" s="6">
        <f t="shared" si="23"/>
        <v>0</v>
      </c>
      <c r="AD132" s="13">
        <f t="shared" si="19"/>
        <v>0</v>
      </c>
      <c r="AE132" s="2">
        <v>0.05</v>
      </c>
      <c r="AF132" s="5">
        <f t="shared" si="24"/>
        <v>0</v>
      </c>
      <c r="AG132" s="2">
        <v>0</v>
      </c>
      <c r="AH132" s="5">
        <f t="shared" si="20"/>
        <v>0</v>
      </c>
      <c r="AJ132" s="126" t="e">
        <v>#N/A</v>
      </c>
      <c r="AK132" s="80">
        <f t="shared" si="25"/>
        <v>0</v>
      </c>
      <c r="AM132" s="85"/>
    </row>
    <row r="133" spans="1:39" hidden="1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">
        <v>3712</v>
      </c>
      <c r="L133" s="1" t="s">
        <v>35</v>
      </c>
      <c r="M133" s="95"/>
      <c r="N133" s="3" t="s">
        <v>3717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17"/>
        <v>67081.169999999984</v>
      </c>
      <c r="X133" s="13">
        <f t="shared" si="18"/>
        <v>0</v>
      </c>
      <c r="Y133" s="13">
        <f t="shared" si="21"/>
        <v>0</v>
      </c>
      <c r="Z133" s="2">
        <v>0</v>
      </c>
      <c r="AA133" s="4">
        <v>0</v>
      </c>
      <c r="AB133" s="4">
        <f t="shared" si="22"/>
        <v>0</v>
      </c>
      <c r="AC133" s="6">
        <f t="shared" si="23"/>
        <v>0</v>
      </c>
      <c r="AD133" s="13">
        <f t="shared" si="19"/>
        <v>0</v>
      </c>
      <c r="AE133" s="2">
        <v>0.05</v>
      </c>
      <c r="AF133" s="5">
        <f t="shared" si="24"/>
        <v>0</v>
      </c>
      <c r="AG133" s="2">
        <v>0</v>
      </c>
      <c r="AH133" s="5">
        <f t="shared" si="20"/>
        <v>0</v>
      </c>
      <c r="AJ133" s="126" t="e">
        <v>#N/A</v>
      </c>
      <c r="AK133" s="80">
        <f t="shared" si="25"/>
        <v>0</v>
      </c>
      <c r="AM133" s="85"/>
    </row>
    <row r="134" spans="1:39" hidden="1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">
        <v>3707</v>
      </c>
      <c r="L134" s="1" t="s">
        <v>35</v>
      </c>
      <c r="M134" s="95"/>
      <c r="N134" s="3" t="s">
        <v>3708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18"/>
        <v>4012013.4642000031</v>
      </c>
      <c r="Y134" s="13">
        <f t="shared" si="21"/>
        <v>0</v>
      </c>
      <c r="Z134" s="2">
        <v>0</v>
      </c>
      <c r="AA134" s="4">
        <v>0</v>
      </c>
      <c r="AB134" s="4">
        <f t="shared" si="22"/>
        <v>4012013.4642000031</v>
      </c>
      <c r="AC134" s="6">
        <f t="shared" si="23"/>
        <v>256085.96580000035</v>
      </c>
      <c r="AD134" s="13">
        <f t="shared" si="19"/>
        <v>4268099.4300000034</v>
      </c>
      <c r="AE134" s="2">
        <v>0.05</v>
      </c>
      <c r="AF134" s="5">
        <f t="shared" si="24"/>
        <v>213404.97150000019</v>
      </c>
      <c r="AG134" s="2">
        <v>0</v>
      </c>
      <c r="AH134" s="5">
        <f t="shared" si="20"/>
        <v>4268099.4300000034</v>
      </c>
      <c r="AJ134" s="126" t="e">
        <v>#N/A</v>
      </c>
      <c r="AK134" s="80">
        <f t="shared" si="25"/>
        <v>0</v>
      </c>
      <c r="AM134" s="85"/>
    </row>
    <row r="135" spans="1:39" hidden="1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">
        <v>3707</v>
      </c>
      <c r="L135" s="1" t="s">
        <v>35</v>
      </c>
      <c r="M135" s="95"/>
      <c r="N135" s="3" t="s">
        <v>3709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17"/>
        <v>0</v>
      </c>
      <c r="X135" s="13">
        <f t="shared" si="18"/>
        <v>852809.83333333256</v>
      </c>
      <c r="Y135" s="13">
        <f t="shared" si="21"/>
        <v>0</v>
      </c>
      <c r="Z135" s="2">
        <v>0</v>
      </c>
      <c r="AA135" s="4">
        <v>0</v>
      </c>
      <c r="AB135" s="4">
        <f t="shared" si="22"/>
        <v>852809.83333333256</v>
      </c>
      <c r="AC135" s="6">
        <f t="shared" si="23"/>
        <v>68224.786666666623</v>
      </c>
      <c r="AD135" s="13">
        <f t="shared" si="19"/>
        <v>921034.61999999918</v>
      </c>
      <c r="AE135" s="2">
        <v>0.05</v>
      </c>
      <c r="AF135" s="5">
        <f t="shared" si="24"/>
        <v>46051.730999999963</v>
      </c>
      <c r="AG135" s="2">
        <v>0</v>
      </c>
      <c r="AH135" s="5">
        <f t="shared" si="20"/>
        <v>921034.61999999918</v>
      </c>
      <c r="AJ135" s="126" t="e">
        <v>#N/A</v>
      </c>
      <c r="AK135" s="80">
        <f t="shared" si="25"/>
        <v>0</v>
      </c>
      <c r="AM135" s="85"/>
    </row>
    <row r="136" spans="1:39" hidden="1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1" t="s">
        <v>3718</v>
      </c>
      <c r="L136" s="1" t="s">
        <v>35</v>
      </c>
      <c r="M136" s="95"/>
      <c r="N136" s="3" t="s">
        <v>3718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17"/>
        <v>0</v>
      </c>
      <c r="X136" s="13">
        <f t="shared" si="18"/>
        <v>56519.990654205292</v>
      </c>
      <c r="Y136" s="13">
        <f t="shared" si="21"/>
        <v>0</v>
      </c>
      <c r="Z136" s="2">
        <v>0</v>
      </c>
      <c r="AA136" s="4">
        <v>0</v>
      </c>
      <c r="AB136" s="4">
        <f t="shared" si="22"/>
        <v>56519.990654205292</v>
      </c>
      <c r="AC136" s="6">
        <f t="shared" si="23"/>
        <v>3956.3993457943725</v>
      </c>
      <c r="AD136" s="13">
        <f t="shared" si="19"/>
        <v>60476.389999999665</v>
      </c>
      <c r="AE136" s="2">
        <v>0.05</v>
      </c>
      <c r="AF136" s="5">
        <f t="shared" si="24"/>
        <v>3023.8194999999832</v>
      </c>
      <c r="AG136" s="2">
        <v>0</v>
      </c>
      <c r="AH136" s="5">
        <f t="shared" si="20"/>
        <v>60476.389999999665</v>
      </c>
      <c r="AJ136" s="126" t="e">
        <v>#N/A</v>
      </c>
      <c r="AK136" s="80">
        <f t="shared" si="25"/>
        <v>0</v>
      </c>
      <c r="AM136" s="85"/>
    </row>
    <row r="137" spans="1:39" hidden="1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">
        <v>3712</v>
      </c>
      <c r="L137" s="1" t="s">
        <v>35</v>
      </c>
      <c r="M137" s="95"/>
      <c r="N137" s="3" t="s">
        <v>3712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17"/>
        <v>-871.09000000011292</v>
      </c>
      <c r="X137" s="13">
        <f t="shared" si="18"/>
        <v>25810.03</v>
      </c>
      <c r="Y137" s="13">
        <f t="shared" si="21"/>
        <v>0</v>
      </c>
      <c r="Z137" s="2">
        <v>0</v>
      </c>
      <c r="AA137" s="4">
        <v>0</v>
      </c>
      <c r="AB137" s="4">
        <f t="shared" si="22"/>
        <v>25810.03</v>
      </c>
      <c r="AC137" s="6">
        <f t="shared" si="23"/>
        <v>0</v>
      </c>
      <c r="AD137" s="13">
        <f t="shared" si="19"/>
        <v>25810.03</v>
      </c>
      <c r="AE137" s="2">
        <v>0.05</v>
      </c>
      <c r="AF137" s="5">
        <f t="shared" si="24"/>
        <v>1290.5015000000001</v>
      </c>
      <c r="AG137" s="2">
        <v>0</v>
      </c>
      <c r="AH137" s="5">
        <f t="shared" si="20"/>
        <v>25810.03</v>
      </c>
      <c r="AJ137" s="126" t="e">
        <v>#N/A</v>
      </c>
      <c r="AK137" s="80">
        <f t="shared" si="25"/>
        <v>0</v>
      </c>
      <c r="AM137" s="85"/>
    </row>
    <row r="138" spans="1:39" hidden="1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">
        <v>3712</v>
      </c>
      <c r="L138" s="1" t="s">
        <v>35</v>
      </c>
      <c r="M138" s="95"/>
      <c r="N138" s="3" t="s">
        <v>3712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17"/>
        <v>194974.17000000019</v>
      </c>
      <c r="X138" s="13">
        <f t="shared" si="18"/>
        <v>129826.57999999999</v>
      </c>
      <c r="Y138" s="13">
        <f t="shared" si="21"/>
        <v>0</v>
      </c>
      <c r="Z138" s="2">
        <v>0</v>
      </c>
      <c r="AA138" s="4">
        <v>0</v>
      </c>
      <c r="AB138" s="4">
        <f t="shared" si="22"/>
        <v>129826.57999999999</v>
      </c>
      <c r="AC138" s="6">
        <f t="shared" si="23"/>
        <v>0</v>
      </c>
      <c r="AD138" s="13">
        <f t="shared" si="19"/>
        <v>129826.57999999999</v>
      </c>
      <c r="AE138" s="2">
        <v>0.05</v>
      </c>
      <c r="AF138" s="5">
        <f t="shared" si="24"/>
        <v>6491.3289999999997</v>
      </c>
      <c r="AG138" s="2">
        <v>0</v>
      </c>
      <c r="AH138" s="5">
        <f t="shared" si="20"/>
        <v>129826.57999999999</v>
      </c>
      <c r="AJ138" s="126" t="e">
        <v>#N/A</v>
      </c>
      <c r="AK138" s="80">
        <f t="shared" si="25"/>
        <v>0</v>
      </c>
      <c r="AM138" s="85"/>
    </row>
    <row r="139" spans="1:39" hidden="1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">
        <v>3707</v>
      </c>
      <c r="L139" s="1" t="s">
        <v>35</v>
      </c>
      <c r="M139" s="95"/>
      <c r="N139" s="3" t="s">
        <v>3707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17"/>
        <v>109622.31000000046</v>
      </c>
      <c r="X139" s="13">
        <f t="shared" si="18"/>
        <v>110457.8</v>
      </c>
      <c r="Y139" s="13">
        <f t="shared" si="21"/>
        <v>0</v>
      </c>
      <c r="Z139" s="2">
        <v>0</v>
      </c>
      <c r="AA139" s="4">
        <v>0</v>
      </c>
      <c r="AB139" s="4">
        <f t="shared" si="22"/>
        <v>110457.8</v>
      </c>
      <c r="AC139" s="6">
        <f t="shared" si="23"/>
        <v>5522.8899999999994</v>
      </c>
      <c r="AD139" s="13">
        <f t="shared" si="19"/>
        <v>115980.69</v>
      </c>
      <c r="AE139" s="2">
        <v>0.05</v>
      </c>
      <c r="AF139" s="5">
        <f t="shared" si="24"/>
        <v>5799.0345000000007</v>
      </c>
      <c r="AG139" s="2">
        <v>0</v>
      </c>
      <c r="AH139" s="5">
        <f t="shared" si="20"/>
        <v>115980.69</v>
      </c>
      <c r="AJ139" s="126" t="e">
        <v>#N/A</v>
      </c>
      <c r="AK139" s="80">
        <f t="shared" si="25"/>
        <v>0</v>
      </c>
      <c r="AM139" s="85"/>
    </row>
    <row r="140" spans="1:39" hidden="1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">
        <v>3707</v>
      </c>
      <c r="L140" s="1" t="s">
        <v>35</v>
      </c>
      <c r="M140" s="95"/>
      <c r="N140" s="3" t="s">
        <v>3716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17"/>
        <v>0</v>
      </c>
      <c r="X140" s="13">
        <f t="shared" si="18"/>
        <v>0</v>
      </c>
      <c r="Y140" s="13">
        <f t="shared" si="21"/>
        <v>0</v>
      </c>
      <c r="Z140" s="2">
        <v>0</v>
      </c>
      <c r="AA140" s="4">
        <v>0</v>
      </c>
      <c r="AB140" s="4">
        <f t="shared" si="22"/>
        <v>0</v>
      </c>
      <c r="AC140" s="6">
        <f t="shared" si="23"/>
        <v>0</v>
      </c>
      <c r="AD140" s="13">
        <f t="shared" si="19"/>
        <v>0</v>
      </c>
      <c r="AE140" s="2">
        <v>0.05</v>
      </c>
      <c r="AF140" s="5">
        <f t="shared" si="24"/>
        <v>0</v>
      </c>
      <c r="AG140" s="2">
        <v>0</v>
      </c>
      <c r="AH140" s="5">
        <f t="shared" si="20"/>
        <v>0</v>
      </c>
      <c r="AJ140" s="126" t="e">
        <v>#N/A</v>
      </c>
      <c r="AK140" s="80">
        <f t="shared" si="25"/>
        <v>0</v>
      </c>
      <c r="AM140" s="85"/>
    </row>
    <row r="141" spans="1:39" hidden="1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">
        <v>3710</v>
      </c>
      <c r="L141" s="1" t="s">
        <v>35</v>
      </c>
      <c r="M141" s="95"/>
      <c r="N141" s="3" t="s">
        <v>3710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17"/>
        <v>51736.429999999775</v>
      </c>
      <c r="X141" s="13">
        <f t="shared" si="18"/>
        <v>7075.58</v>
      </c>
      <c r="Y141" s="13">
        <f t="shared" si="21"/>
        <v>0</v>
      </c>
      <c r="Z141" s="2">
        <v>0</v>
      </c>
      <c r="AA141" s="4">
        <v>0</v>
      </c>
      <c r="AB141" s="4">
        <f t="shared" si="22"/>
        <v>7075.58</v>
      </c>
      <c r="AC141" s="6">
        <f t="shared" si="23"/>
        <v>0</v>
      </c>
      <c r="AD141" s="13">
        <f t="shared" si="19"/>
        <v>7075.58</v>
      </c>
      <c r="AE141" s="2">
        <v>0.05</v>
      </c>
      <c r="AF141" s="5">
        <f t="shared" si="24"/>
        <v>353.779</v>
      </c>
      <c r="AG141" s="2">
        <v>0</v>
      </c>
      <c r="AH141" s="5">
        <f t="shared" si="20"/>
        <v>7075.58</v>
      </c>
      <c r="AJ141" s="126" t="e">
        <v>#N/A</v>
      </c>
      <c r="AK141" s="80">
        <f t="shared" si="25"/>
        <v>0</v>
      </c>
      <c r="AM141" s="85"/>
    </row>
    <row r="142" spans="1:39" hidden="1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">
        <v>3707</v>
      </c>
      <c r="L142" s="1" t="s">
        <v>35</v>
      </c>
      <c r="M142" s="95"/>
      <c r="N142" s="3" t="s">
        <v>3707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17"/>
        <v>268419.61999999988</v>
      </c>
      <c r="X142" s="13">
        <f t="shared" si="18"/>
        <v>0</v>
      </c>
      <c r="Y142" s="13">
        <f t="shared" si="21"/>
        <v>0</v>
      </c>
      <c r="Z142" s="2">
        <v>0</v>
      </c>
      <c r="AA142" s="4">
        <v>0</v>
      </c>
      <c r="AB142" s="4">
        <f t="shared" si="22"/>
        <v>0</v>
      </c>
      <c r="AC142" s="6">
        <f t="shared" si="23"/>
        <v>0</v>
      </c>
      <c r="AD142" s="13">
        <f t="shared" si="19"/>
        <v>0</v>
      </c>
      <c r="AE142" s="2">
        <v>0.05</v>
      </c>
      <c r="AF142" s="5">
        <f t="shared" si="24"/>
        <v>0</v>
      </c>
      <c r="AG142" s="2">
        <v>0</v>
      </c>
      <c r="AH142" s="5">
        <f t="shared" si="20"/>
        <v>0</v>
      </c>
      <c r="AJ142" s="126" t="e">
        <v>#N/A</v>
      </c>
      <c r="AK142" s="80">
        <f t="shared" si="25"/>
        <v>0</v>
      </c>
      <c r="AM142" s="85"/>
    </row>
    <row r="143" spans="1:39" hidden="1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">
        <v>3712</v>
      </c>
      <c r="L143" s="1" t="s">
        <v>35</v>
      </c>
      <c r="M143" s="95"/>
      <c r="N143" s="3" t="s">
        <v>3712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17"/>
        <v>497.80999999999767</v>
      </c>
      <c r="X143" s="13">
        <f t="shared" si="18"/>
        <v>17227.090000000004</v>
      </c>
      <c r="Y143" s="13">
        <f t="shared" si="21"/>
        <v>0</v>
      </c>
      <c r="Z143" s="2">
        <v>0</v>
      </c>
      <c r="AA143" s="4">
        <v>0</v>
      </c>
      <c r="AB143" s="4">
        <f t="shared" si="22"/>
        <v>17227.090000000004</v>
      </c>
      <c r="AC143" s="6">
        <f t="shared" si="23"/>
        <v>0</v>
      </c>
      <c r="AD143" s="13">
        <f t="shared" si="19"/>
        <v>17227.090000000004</v>
      </c>
      <c r="AE143" s="2">
        <v>0.05</v>
      </c>
      <c r="AF143" s="5">
        <f t="shared" si="24"/>
        <v>861.35450000000026</v>
      </c>
      <c r="AG143" s="2">
        <v>0</v>
      </c>
      <c r="AH143" s="5">
        <f t="shared" si="20"/>
        <v>17227.090000000004</v>
      </c>
      <c r="AJ143" s="126" t="e">
        <v>#N/A</v>
      </c>
      <c r="AK143" s="80">
        <f t="shared" si="25"/>
        <v>0</v>
      </c>
      <c r="AM143" s="85"/>
    </row>
    <row r="144" spans="1:39" hidden="1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">
        <v>3712</v>
      </c>
      <c r="L144" s="1" t="s">
        <v>35</v>
      </c>
      <c r="M144" s="95"/>
      <c r="N144" s="3" t="s">
        <v>3729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17"/>
        <v>3.5100000000020373</v>
      </c>
      <c r="X144" s="13">
        <f t="shared" si="18"/>
        <v>0</v>
      </c>
      <c r="Y144" s="13">
        <f t="shared" si="21"/>
        <v>0</v>
      </c>
      <c r="Z144" s="2">
        <v>0</v>
      </c>
      <c r="AA144" s="4">
        <v>0</v>
      </c>
      <c r="AB144" s="4">
        <f t="shared" si="22"/>
        <v>0</v>
      </c>
      <c r="AC144" s="6">
        <f t="shared" si="23"/>
        <v>0</v>
      </c>
      <c r="AD144" s="13">
        <f t="shared" si="19"/>
        <v>0</v>
      </c>
      <c r="AE144" s="2">
        <v>0.05</v>
      </c>
      <c r="AF144" s="5">
        <f t="shared" si="24"/>
        <v>0</v>
      </c>
      <c r="AG144" s="2">
        <v>0</v>
      </c>
      <c r="AH144" s="5">
        <f t="shared" si="20"/>
        <v>0</v>
      </c>
      <c r="AJ144" s="126" t="e">
        <v>#N/A</v>
      </c>
      <c r="AK144" s="80">
        <f t="shared" si="25"/>
        <v>0</v>
      </c>
      <c r="AM144" s="85"/>
    </row>
    <row r="145" spans="1:39" hidden="1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">
        <v>3707</v>
      </c>
      <c r="L145" s="1" t="s">
        <v>35</v>
      </c>
      <c r="M145" s="95"/>
      <c r="N145" s="3" t="s">
        <v>3709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17"/>
        <v>382494.92000000039</v>
      </c>
      <c r="X145" s="13">
        <f t="shared" si="18"/>
        <v>0</v>
      </c>
      <c r="Y145" s="13">
        <f t="shared" si="21"/>
        <v>0</v>
      </c>
      <c r="Z145" s="2">
        <v>0</v>
      </c>
      <c r="AA145" s="4">
        <v>0</v>
      </c>
      <c r="AB145" s="4">
        <f t="shared" si="22"/>
        <v>0</v>
      </c>
      <c r="AC145" s="6">
        <f t="shared" si="23"/>
        <v>0</v>
      </c>
      <c r="AD145" s="13">
        <f t="shared" si="19"/>
        <v>0</v>
      </c>
      <c r="AE145" s="2">
        <v>0.05</v>
      </c>
      <c r="AF145" s="5">
        <f t="shared" si="24"/>
        <v>0</v>
      </c>
      <c r="AG145" s="2">
        <v>0</v>
      </c>
      <c r="AH145" s="5">
        <f t="shared" si="20"/>
        <v>0</v>
      </c>
      <c r="AJ145" s="126" t="e">
        <v>#N/A</v>
      </c>
      <c r="AK145" s="80">
        <f t="shared" si="25"/>
        <v>0</v>
      </c>
      <c r="AM145" s="85"/>
    </row>
    <row r="146" spans="1:39" hidden="1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">
        <v>3712</v>
      </c>
      <c r="L146" s="1" t="s">
        <v>35</v>
      </c>
      <c r="M146" s="95"/>
      <c r="N146" s="3" t="s">
        <v>3713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17"/>
        <v>844115.07000000041</v>
      </c>
      <c r="X146" s="13">
        <f t="shared" si="18"/>
        <v>872041.24000000011</v>
      </c>
      <c r="Y146" s="13">
        <f t="shared" si="21"/>
        <v>0</v>
      </c>
      <c r="Z146" s="2">
        <v>0</v>
      </c>
      <c r="AA146" s="4">
        <v>0</v>
      </c>
      <c r="AB146" s="4">
        <f t="shared" si="22"/>
        <v>872041.24000000011</v>
      </c>
      <c r="AC146" s="6">
        <f t="shared" si="23"/>
        <v>0</v>
      </c>
      <c r="AD146" s="13">
        <f t="shared" si="19"/>
        <v>872041.24000000011</v>
      </c>
      <c r="AE146" s="2">
        <v>0.05</v>
      </c>
      <c r="AF146" s="5">
        <f t="shared" si="24"/>
        <v>43602.062000000005</v>
      </c>
      <c r="AG146" s="2">
        <v>0</v>
      </c>
      <c r="AH146" s="5">
        <f t="shared" si="20"/>
        <v>872041.24000000011</v>
      </c>
      <c r="AJ146" s="126" t="e">
        <v>#N/A</v>
      </c>
      <c r="AK146" s="80">
        <f t="shared" si="25"/>
        <v>0</v>
      </c>
      <c r="AM146" s="85"/>
    </row>
    <row r="147" spans="1:39" hidden="1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">
        <v>3712</v>
      </c>
      <c r="L147" s="1" t="s">
        <v>35</v>
      </c>
      <c r="M147" s="95"/>
      <c r="N147" s="3" t="s">
        <v>3713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26">IF(P147="折扣",V147*Q147,IF(P147="返现",V147,V147/(1+Q147)))</f>
        <v>117754.36</v>
      </c>
      <c r="Y147" s="13">
        <f t="shared" si="21"/>
        <v>0</v>
      </c>
      <c r="Z147" s="2">
        <v>0</v>
      </c>
      <c r="AA147" s="4">
        <v>0</v>
      </c>
      <c r="AB147" s="4">
        <f t="shared" si="22"/>
        <v>117754.36</v>
      </c>
      <c r="AC147" s="6">
        <f t="shared" si="23"/>
        <v>0</v>
      </c>
      <c r="AD147" s="13">
        <f t="shared" ref="AD147:AD210" si="27">V147</f>
        <v>117754.36</v>
      </c>
      <c r="AE147" s="2">
        <v>0.05</v>
      </c>
      <c r="AF147" s="5">
        <f t="shared" si="24"/>
        <v>5887.7180000000008</v>
      </c>
      <c r="AG147" s="2">
        <v>0</v>
      </c>
      <c r="AH147" s="5">
        <f t="shared" ref="AH147:AH210" si="28">V147</f>
        <v>117754.36</v>
      </c>
      <c r="AJ147" s="126" t="e">
        <v>#N/A</v>
      </c>
      <c r="AK147" s="80">
        <f t="shared" si="25"/>
        <v>0</v>
      </c>
      <c r="AM147" s="85"/>
    </row>
    <row r="148" spans="1:39" hidden="1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">
        <v>3712</v>
      </c>
      <c r="L148" s="1" t="s">
        <v>35</v>
      </c>
      <c r="M148" s="95"/>
      <c r="N148" s="3" t="s">
        <v>3729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29">T148+U148-V148</f>
        <v>132865.17000000016</v>
      </c>
      <c r="X148" s="13">
        <f t="shared" si="26"/>
        <v>0</v>
      </c>
      <c r="Y148" s="13">
        <f t="shared" si="21"/>
        <v>0</v>
      </c>
      <c r="Z148" s="2">
        <v>0</v>
      </c>
      <c r="AA148" s="4">
        <v>0</v>
      </c>
      <c r="AB148" s="4">
        <f t="shared" si="22"/>
        <v>0</v>
      </c>
      <c r="AC148" s="6">
        <f t="shared" si="23"/>
        <v>0</v>
      </c>
      <c r="AD148" s="13">
        <f t="shared" si="27"/>
        <v>0</v>
      </c>
      <c r="AE148" s="2">
        <v>0.05</v>
      </c>
      <c r="AF148" s="5">
        <f t="shared" si="24"/>
        <v>0</v>
      </c>
      <c r="AG148" s="2">
        <v>0</v>
      </c>
      <c r="AH148" s="5">
        <f t="shared" si="28"/>
        <v>0</v>
      </c>
      <c r="AJ148" s="126" t="e">
        <v>#N/A</v>
      </c>
      <c r="AK148" s="80">
        <f t="shared" si="25"/>
        <v>0</v>
      </c>
      <c r="AM148" s="85"/>
    </row>
    <row r="149" spans="1:39" hidden="1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">
        <v>3710</v>
      </c>
      <c r="L149" s="1" t="s">
        <v>35</v>
      </c>
      <c r="M149" s="95"/>
      <c r="N149" s="3" t="s">
        <v>3711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26"/>
        <v>0</v>
      </c>
      <c r="Y149" s="13">
        <f t="shared" si="21"/>
        <v>0</v>
      </c>
      <c r="Z149" s="2">
        <v>0</v>
      </c>
      <c r="AA149" s="4">
        <v>0</v>
      </c>
      <c r="AB149" s="4">
        <f t="shared" si="22"/>
        <v>0</v>
      </c>
      <c r="AC149" s="6">
        <f t="shared" si="23"/>
        <v>0</v>
      </c>
      <c r="AD149" s="13">
        <f t="shared" si="27"/>
        <v>0</v>
      </c>
      <c r="AE149" s="2">
        <v>0.05</v>
      </c>
      <c r="AF149" s="5">
        <f t="shared" si="24"/>
        <v>0</v>
      </c>
      <c r="AG149" s="2">
        <v>0</v>
      </c>
      <c r="AH149" s="5">
        <f t="shared" si="28"/>
        <v>0</v>
      </c>
      <c r="AJ149" s="126" t="e">
        <v>#N/A</v>
      </c>
      <c r="AK149" s="80">
        <f t="shared" si="25"/>
        <v>0</v>
      </c>
      <c r="AM149" s="85"/>
    </row>
    <row r="150" spans="1:39" hidden="1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">
        <v>3710</v>
      </c>
      <c r="L150" s="1" t="s">
        <v>35</v>
      </c>
      <c r="M150" s="95"/>
      <c r="N150" s="3" t="s">
        <v>3710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29"/>
        <v>31406.659999999996</v>
      </c>
      <c r="X150" s="13">
        <f t="shared" si="26"/>
        <v>18593.340000000004</v>
      </c>
      <c r="Y150" s="13">
        <f t="shared" si="21"/>
        <v>0</v>
      </c>
      <c r="Z150" s="2">
        <v>0</v>
      </c>
      <c r="AA150" s="4">
        <v>0</v>
      </c>
      <c r="AB150" s="4">
        <f t="shared" si="22"/>
        <v>18593.340000000004</v>
      </c>
      <c r="AC150" s="6">
        <f t="shared" si="23"/>
        <v>0</v>
      </c>
      <c r="AD150" s="13">
        <f t="shared" si="27"/>
        <v>18593.340000000004</v>
      </c>
      <c r="AE150" s="2">
        <v>0.05</v>
      </c>
      <c r="AF150" s="5">
        <f t="shared" si="24"/>
        <v>929.66700000000026</v>
      </c>
      <c r="AG150" s="2">
        <v>0</v>
      </c>
      <c r="AH150" s="5">
        <f t="shared" si="28"/>
        <v>18593.340000000004</v>
      </c>
      <c r="AJ150" s="126" t="e">
        <v>#N/A</v>
      </c>
      <c r="AK150" s="80">
        <f t="shared" si="25"/>
        <v>0</v>
      </c>
      <c r="AM150" s="85"/>
    </row>
    <row r="151" spans="1:39" hidden="1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">
        <v>3712</v>
      </c>
      <c r="L151" s="1" t="s">
        <v>35</v>
      </c>
      <c r="M151" s="95"/>
      <c r="N151" s="3" t="s">
        <v>3729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29"/>
        <v>15439.349999999999</v>
      </c>
      <c r="X151" s="13">
        <f t="shared" si="26"/>
        <v>0</v>
      </c>
      <c r="Y151" s="13">
        <f t="shared" si="21"/>
        <v>0</v>
      </c>
      <c r="Z151" s="2">
        <v>0</v>
      </c>
      <c r="AA151" s="4">
        <v>0</v>
      </c>
      <c r="AB151" s="4">
        <f t="shared" si="22"/>
        <v>0</v>
      </c>
      <c r="AC151" s="6">
        <f t="shared" si="23"/>
        <v>0</v>
      </c>
      <c r="AD151" s="13">
        <f t="shared" si="27"/>
        <v>0</v>
      </c>
      <c r="AE151" s="2">
        <v>0.05</v>
      </c>
      <c r="AF151" s="5">
        <f t="shared" si="24"/>
        <v>0</v>
      </c>
      <c r="AG151" s="2">
        <v>0</v>
      </c>
      <c r="AH151" s="5">
        <f t="shared" si="28"/>
        <v>0</v>
      </c>
      <c r="AJ151" s="126" t="e">
        <v>#N/A</v>
      </c>
      <c r="AK151" s="80">
        <f t="shared" si="25"/>
        <v>0</v>
      </c>
      <c r="AM151" s="85"/>
    </row>
    <row r="152" spans="1:39" hidden="1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">
        <v>3712</v>
      </c>
      <c r="L152" s="1" t="s">
        <v>35</v>
      </c>
      <c r="M152" s="95"/>
      <c r="N152" s="3" t="s">
        <v>3729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29"/>
        <v>50000</v>
      </c>
      <c r="X152" s="13">
        <f t="shared" si="26"/>
        <v>0</v>
      </c>
      <c r="Y152" s="13">
        <f t="shared" si="21"/>
        <v>0</v>
      </c>
      <c r="Z152" s="2">
        <v>0</v>
      </c>
      <c r="AA152" s="4">
        <v>0</v>
      </c>
      <c r="AB152" s="4">
        <f t="shared" si="22"/>
        <v>0</v>
      </c>
      <c r="AC152" s="6">
        <f t="shared" si="23"/>
        <v>0</v>
      </c>
      <c r="AD152" s="13">
        <f t="shared" si="27"/>
        <v>0</v>
      </c>
      <c r="AE152" s="2">
        <v>0.05</v>
      </c>
      <c r="AF152" s="5">
        <f t="shared" si="24"/>
        <v>0</v>
      </c>
      <c r="AG152" s="2">
        <v>0</v>
      </c>
      <c r="AH152" s="5">
        <f t="shared" si="28"/>
        <v>0</v>
      </c>
      <c r="AJ152" s="126" t="e">
        <v>#N/A</v>
      </c>
      <c r="AK152" s="80">
        <f t="shared" si="25"/>
        <v>0</v>
      </c>
      <c r="AM152" s="85"/>
    </row>
    <row r="153" spans="1:39" hidden="1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">
        <v>3710</v>
      </c>
      <c r="L153" s="1" t="s">
        <v>35</v>
      </c>
      <c r="M153" s="95"/>
      <c r="N153" s="3" t="s">
        <v>3714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29"/>
        <v>-74632.5</v>
      </c>
      <c r="X153" s="13">
        <f t="shared" si="26"/>
        <v>264069.7115384615</v>
      </c>
      <c r="Y153" s="13">
        <f t="shared" si="21"/>
        <v>0</v>
      </c>
      <c r="Z153" s="2">
        <v>0</v>
      </c>
      <c r="AA153" s="4">
        <v>0</v>
      </c>
      <c r="AB153" s="4">
        <f t="shared" si="22"/>
        <v>264069.7115384615</v>
      </c>
      <c r="AC153" s="6">
        <f t="shared" si="23"/>
        <v>10562.788461538497</v>
      </c>
      <c r="AD153" s="13">
        <f t="shared" si="27"/>
        <v>274632.5</v>
      </c>
      <c r="AE153" s="2">
        <v>0.05</v>
      </c>
      <c r="AF153" s="5">
        <f t="shared" si="24"/>
        <v>13731.625</v>
      </c>
      <c r="AG153" s="2">
        <v>0</v>
      </c>
      <c r="AH153" s="5">
        <f t="shared" si="28"/>
        <v>274632.5</v>
      </c>
      <c r="AJ153" s="126" t="e">
        <v>#N/A</v>
      </c>
      <c r="AK153" s="80">
        <f t="shared" si="25"/>
        <v>0</v>
      </c>
      <c r="AM153" s="85"/>
    </row>
    <row r="154" spans="1:39" hidden="1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">
        <v>3710</v>
      </c>
      <c r="L154" s="1" t="s">
        <v>35</v>
      </c>
      <c r="M154" s="95"/>
      <c r="N154" s="3" t="s">
        <v>3710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29"/>
        <v>626655.07999999996</v>
      </c>
      <c r="X154" s="13">
        <f t="shared" si="26"/>
        <v>0</v>
      </c>
      <c r="Y154" s="13">
        <f t="shared" si="21"/>
        <v>0</v>
      </c>
      <c r="Z154" s="2">
        <v>0</v>
      </c>
      <c r="AA154" s="4">
        <v>0</v>
      </c>
      <c r="AB154" s="4">
        <f t="shared" si="22"/>
        <v>0</v>
      </c>
      <c r="AC154" s="6">
        <f t="shared" si="23"/>
        <v>0</v>
      </c>
      <c r="AD154" s="13">
        <f t="shared" si="27"/>
        <v>0</v>
      </c>
      <c r="AE154" s="2">
        <v>0.05</v>
      </c>
      <c r="AF154" s="5">
        <f t="shared" si="24"/>
        <v>0</v>
      </c>
      <c r="AG154" s="2">
        <v>0</v>
      </c>
      <c r="AH154" s="5">
        <f t="shared" si="28"/>
        <v>0</v>
      </c>
      <c r="AJ154" s="126" t="e">
        <v>#N/A</v>
      </c>
      <c r="AK154" s="80">
        <f t="shared" si="25"/>
        <v>0</v>
      </c>
      <c r="AM154" s="85"/>
    </row>
    <row r="155" spans="1:39" hidden="1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29"/>
        <v>0</v>
      </c>
      <c r="X155" s="13">
        <f t="shared" si="26"/>
        <v>686323.21153846208</v>
      </c>
      <c r="Y155" s="13">
        <f t="shared" si="21"/>
        <v>0</v>
      </c>
      <c r="Z155" s="2">
        <v>0</v>
      </c>
      <c r="AA155" s="4">
        <v>0</v>
      </c>
      <c r="AB155" s="4">
        <f t="shared" si="22"/>
        <v>686323.21153846208</v>
      </c>
      <c r="AC155" s="6">
        <f t="shared" si="23"/>
        <v>27452.928461538511</v>
      </c>
      <c r="AD155" s="13">
        <f t="shared" si="27"/>
        <v>713776.1400000006</v>
      </c>
      <c r="AE155" s="2">
        <v>0.05</v>
      </c>
      <c r="AF155" s="5">
        <f t="shared" si="24"/>
        <v>35688.80700000003</v>
      </c>
      <c r="AG155" s="2">
        <v>0</v>
      </c>
      <c r="AH155" s="5">
        <f t="shared" si="28"/>
        <v>713776.1400000006</v>
      </c>
      <c r="AJ155" s="126" t="e">
        <v>#N/A</v>
      </c>
      <c r="AK155" s="80">
        <f t="shared" si="25"/>
        <v>0</v>
      </c>
      <c r="AM155" s="85"/>
    </row>
    <row r="156" spans="1:39" hidden="1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29"/>
        <v>89008.959999999905</v>
      </c>
      <c r="X156" s="13">
        <f t="shared" si="26"/>
        <v>0</v>
      </c>
      <c r="Y156" s="13">
        <f t="shared" si="21"/>
        <v>0</v>
      </c>
      <c r="Z156" s="2">
        <v>0</v>
      </c>
      <c r="AA156" s="4">
        <v>0</v>
      </c>
      <c r="AB156" s="4">
        <f t="shared" si="22"/>
        <v>0</v>
      </c>
      <c r="AC156" s="6">
        <f t="shared" si="23"/>
        <v>0</v>
      </c>
      <c r="AD156" s="13">
        <f t="shared" si="27"/>
        <v>0</v>
      </c>
      <c r="AE156" s="2">
        <v>0.05</v>
      </c>
      <c r="AF156" s="5">
        <f t="shared" si="24"/>
        <v>0</v>
      </c>
      <c r="AG156" s="2">
        <v>0</v>
      </c>
      <c r="AH156" s="5">
        <f t="shared" si="28"/>
        <v>0</v>
      </c>
      <c r="AJ156" s="126" t="e">
        <v>#N/A</v>
      </c>
      <c r="AK156" s="80">
        <f t="shared" si="25"/>
        <v>0</v>
      </c>
      <c r="AM156" s="85"/>
    </row>
    <row r="157" spans="1:39" hidden="1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29"/>
        <v>0</v>
      </c>
      <c r="X157" s="13">
        <f t="shared" si="26"/>
        <v>523475.42156863265</v>
      </c>
      <c r="Y157" s="13">
        <f t="shared" si="21"/>
        <v>0</v>
      </c>
      <c r="Z157" s="2">
        <v>0</v>
      </c>
      <c r="AA157" s="4">
        <v>0</v>
      </c>
      <c r="AB157" s="4">
        <f t="shared" si="22"/>
        <v>523475.42156863265</v>
      </c>
      <c r="AC157" s="6">
        <f t="shared" si="23"/>
        <v>10469.50843137264</v>
      </c>
      <c r="AD157" s="13">
        <f t="shared" si="27"/>
        <v>533944.93000000529</v>
      </c>
      <c r="AE157" s="2">
        <v>0.05</v>
      </c>
      <c r="AF157" s="5">
        <f t="shared" si="24"/>
        <v>26697.246500000267</v>
      </c>
      <c r="AG157" s="2">
        <v>0</v>
      </c>
      <c r="AH157" s="5">
        <f t="shared" si="28"/>
        <v>533944.93000000529</v>
      </c>
      <c r="AJ157" s="126" t="e">
        <v>#N/A</v>
      </c>
      <c r="AK157" s="80">
        <f t="shared" si="25"/>
        <v>0</v>
      </c>
      <c r="AM157" s="85"/>
    </row>
    <row r="158" spans="1:39" hidden="1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29"/>
        <v>0</v>
      </c>
      <c r="X158" s="13">
        <f t="shared" si="26"/>
        <v>46144.352941176119</v>
      </c>
      <c r="Y158" s="13">
        <f t="shared" si="21"/>
        <v>0</v>
      </c>
      <c r="Z158" s="2">
        <v>0</v>
      </c>
      <c r="AA158" s="4">
        <v>0</v>
      </c>
      <c r="AB158" s="4">
        <f t="shared" si="22"/>
        <v>46144.352941176119</v>
      </c>
      <c r="AC158" s="6">
        <f t="shared" si="23"/>
        <v>922.88705882352224</v>
      </c>
      <c r="AD158" s="13">
        <f t="shared" si="27"/>
        <v>47067.239999999641</v>
      </c>
      <c r="AE158" s="2">
        <v>0.05</v>
      </c>
      <c r="AF158" s="5">
        <f t="shared" si="24"/>
        <v>2353.3619999999823</v>
      </c>
      <c r="AG158" s="2">
        <v>0</v>
      </c>
      <c r="AH158" s="5">
        <f t="shared" si="28"/>
        <v>47067.239999999641</v>
      </c>
      <c r="AJ158" s="126" t="e">
        <v>#N/A</v>
      </c>
      <c r="AK158" s="80">
        <f t="shared" si="25"/>
        <v>0</v>
      </c>
      <c r="AM158" s="85"/>
    </row>
    <row r="159" spans="1:39" hidden="1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29"/>
        <v>0</v>
      </c>
      <c r="X159" s="13">
        <f t="shared" si="26"/>
        <v>931036.00961538381</v>
      </c>
      <c r="Y159" s="13">
        <f t="shared" si="21"/>
        <v>0</v>
      </c>
      <c r="Z159" s="2">
        <v>0</v>
      </c>
      <c r="AA159" s="4">
        <v>0</v>
      </c>
      <c r="AB159" s="4">
        <f t="shared" si="22"/>
        <v>931036.00961538381</v>
      </c>
      <c r="AC159" s="6">
        <f t="shared" si="23"/>
        <v>37241.440384615446</v>
      </c>
      <c r="AD159" s="13">
        <f t="shared" si="27"/>
        <v>968277.44999999925</v>
      </c>
      <c r="AE159" s="2">
        <v>0.05</v>
      </c>
      <c r="AF159" s="5">
        <f t="shared" si="24"/>
        <v>48413.872499999969</v>
      </c>
      <c r="AG159" s="2">
        <v>0</v>
      </c>
      <c r="AH159" s="5">
        <f t="shared" si="28"/>
        <v>968277.44999999925</v>
      </c>
      <c r="AJ159" s="126" t="e">
        <v>#N/A</v>
      </c>
      <c r="AK159" s="80">
        <f t="shared" si="25"/>
        <v>0</v>
      </c>
      <c r="AM159" s="85"/>
    </row>
    <row r="160" spans="1:39" hidden="1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29"/>
        <v>2476822.5500000119</v>
      </c>
      <c r="X160" s="13">
        <f t="shared" si="26"/>
        <v>1039687.1826923079</v>
      </c>
      <c r="Y160" s="13">
        <f t="shared" si="21"/>
        <v>0</v>
      </c>
      <c r="Z160" s="2">
        <v>0</v>
      </c>
      <c r="AA160" s="4">
        <v>0</v>
      </c>
      <c r="AB160" s="4">
        <f t="shared" si="22"/>
        <v>1039687.1826923079</v>
      </c>
      <c r="AC160" s="6">
        <f t="shared" si="23"/>
        <v>41587.487307692296</v>
      </c>
      <c r="AD160" s="13">
        <f t="shared" si="27"/>
        <v>1081274.6700000002</v>
      </c>
      <c r="AE160" s="2">
        <v>0.05</v>
      </c>
      <c r="AF160" s="5">
        <f t="shared" si="24"/>
        <v>54063.733500000009</v>
      </c>
      <c r="AG160" s="2">
        <v>0</v>
      </c>
      <c r="AH160" s="5">
        <f t="shared" si="28"/>
        <v>1081274.6700000002</v>
      </c>
      <c r="AJ160" s="126" t="e">
        <v>#N/A</v>
      </c>
      <c r="AK160" s="80">
        <f t="shared" si="25"/>
        <v>0</v>
      </c>
      <c r="AM160" s="85"/>
    </row>
    <row r="161" spans="1:39" hidden="1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29"/>
        <v>54957.919999999409</v>
      </c>
      <c r="X161" s="13">
        <f t="shared" si="26"/>
        <v>48171.392156862741</v>
      </c>
      <c r="Y161" s="13">
        <f t="shared" si="21"/>
        <v>0</v>
      </c>
      <c r="Z161" s="2">
        <v>0</v>
      </c>
      <c r="AA161" s="4">
        <v>0</v>
      </c>
      <c r="AB161" s="4">
        <f t="shared" si="22"/>
        <v>48171.392156862741</v>
      </c>
      <c r="AC161" s="6">
        <f t="shared" si="23"/>
        <v>963.42784313725861</v>
      </c>
      <c r="AD161" s="13">
        <f t="shared" si="27"/>
        <v>49134.82</v>
      </c>
      <c r="AE161" s="2">
        <v>0.05</v>
      </c>
      <c r="AF161" s="5">
        <f t="shared" si="24"/>
        <v>2456.741</v>
      </c>
      <c r="AG161" s="2">
        <v>0</v>
      </c>
      <c r="AH161" s="5">
        <f t="shared" si="28"/>
        <v>49134.82</v>
      </c>
      <c r="AJ161" s="126" t="e">
        <v>#N/A</v>
      </c>
      <c r="AK161" s="80">
        <f t="shared" si="25"/>
        <v>0</v>
      </c>
      <c r="AM161" s="85"/>
    </row>
    <row r="162" spans="1:39" hidden="1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29"/>
        <v>0</v>
      </c>
      <c r="X162" s="13">
        <f t="shared" si="26"/>
        <v>221525.07766990288</v>
      </c>
      <c r="Y162" s="13">
        <f t="shared" si="21"/>
        <v>0</v>
      </c>
      <c r="Z162" s="2">
        <v>0</v>
      </c>
      <c r="AA162" s="4">
        <v>0</v>
      </c>
      <c r="AB162" s="4">
        <f t="shared" si="22"/>
        <v>221525.07766990288</v>
      </c>
      <c r="AC162" s="6">
        <f t="shared" si="23"/>
        <v>6645.7523300970788</v>
      </c>
      <c r="AD162" s="13">
        <f t="shared" si="27"/>
        <v>228170.82999999996</v>
      </c>
      <c r="AE162" s="2">
        <v>0.05</v>
      </c>
      <c r="AF162" s="5">
        <f t="shared" si="24"/>
        <v>11408.541499999999</v>
      </c>
      <c r="AG162" s="2">
        <v>0</v>
      </c>
      <c r="AH162" s="5">
        <f t="shared" si="28"/>
        <v>228170.82999999996</v>
      </c>
      <c r="AJ162" s="126" t="e">
        <v>#N/A</v>
      </c>
      <c r="AK162" s="80">
        <f t="shared" si="25"/>
        <v>0</v>
      </c>
      <c r="AM162" s="85"/>
    </row>
    <row r="163" spans="1:39" hidden="1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29"/>
        <v>0</v>
      </c>
      <c r="X163" s="13">
        <f t="shared" si="26"/>
        <v>1266896.4519230844</v>
      </c>
      <c r="Y163" s="13">
        <f t="shared" si="21"/>
        <v>0</v>
      </c>
      <c r="Z163" s="2">
        <v>0</v>
      </c>
      <c r="AA163" s="4">
        <v>0</v>
      </c>
      <c r="AB163" s="4">
        <f t="shared" si="22"/>
        <v>1266896.4519230844</v>
      </c>
      <c r="AC163" s="6">
        <f t="shared" si="23"/>
        <v>50675.858076923527</v>
      </c>
      <c r="AD163" s="13">
        <f t="shared" si="27"/>
        <v>1317572.310000008</v>
      </c>
      <c r="AE163" s="2">
        <v>0.05</v>
      </c>
      <c r="AF163" s="5">
        <f t="shared" si="24"/>
        <v>65878.615500000407</v>
      </c>
      <c r="AG163" s="2">
        <v>0</v>
      </c>
      <c r="AH163" s="5">
        <f t="shared" si="28"/>
        <v>1317572.310000008</v>
      </c>
      <c r="AJ163" s="126" t="e">
        <v>#N/A</v>
      </c>
      <c r="AK163" s="80">
        <f t="shared" si="25"/>
        <v>0</v>
      </c>
      <c r="AM163" s="85"/>
    </row>
    <row r="164" spans="1:39" hidden="1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29"/>
        <v>497506.96999999927</v>
      </c>
      <c r="X164" s="13">
        <f t="shared" si="26"/>
        <v>1321898.4339622639</v>
      </c>
      <c r="Y164" s="13">
        <f t="shared" si="21"/>
        <v>0</v>
      </c>
      <c r="Z164" s="2">
        <v>0</v>
      </c>
      <c r="AA164" s="4">
        <v>0</v>
      </c>
      <c r="AB164" s="4">
        <f t="shared" si="22"/>
        <v>1321898.4339622639</v>
      </c>
      <c r="AC164" s="6">
        <f t="shared" si="23"/>
        <v>79313.906037735986</v>
      </c>
      <c r="AD164" s="13">
        <f t="shared" si="27"/>
        <v>1401212.3399999999</v>
      </c>
      <c r="AE164" s="2">
        <v>0.05</v>
      </c>
      <c r="AF164" s="5">
        <f t="shared" si="24"/>
        <v>70060.616999999998</v>
      </c>
      <c r="AG164" s="2">
        <v>0</v>
      </c>
      <c r="AH164" s="5">
        <f t="shared" si="28"/>
        <v>1401212.3399999999</v>
      </c>
      <c r="AJ164" s="126" t="e">
        <v>#N/A</v>
      </c>
      <c r="AK164" s="80">
        <f t="shared" si="25"/>
        <v>0</v>
      </c>
      <c r="AM164" s="85"/>
    </row>
    <row r="165" spans="1:39" hidden="1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29"/>
        <v>40512.670000005863</v>
      </c>
      <c r="X165" s="13">
        <f t="shared" si="26"/>
        <v>273203.95192307688</v>
      </c>
      <c r="Y165" s="13">
        <f t="shared" si="21"/>
        <v>0</v>
      </c>
      <c r="Z165" s="2">
        <v>0</v>
      </c>
      <c r="AA165" s="4">
        <v>0</v>
      </c>
      <c r="AB165" s="4">
        <f t="shared" si="22"/>
        <v>273203.95192307688</v>
      </c>
      <c r="AC165" s="6">
        <f t="shared" si="23"/>
        <v>10928.158076923108</v>
      </c>
      <c r="AD165" s="13">
        <f t="shared" si="27"/>
        <v>284132.11</v>
      </c>
      <c r="AE165" s="2">
        <v>0.05</v>
      </c>
      <c r="AF165" s="5">
        <f t="shared" si="24"/>
        <v>14206.6055</v>
      </c>
      <c r="AG165" s="2">
        <v>0</v>
      </c>
      <c r="AH165" s="5">
        <f t="shared" si="28"/>
        <v>284132.11</v>
      </c>
      <c r="AJ165" s="126" t="s">
        <v>4218</v>
      </c>
      <c r="AK165" s="80">
        <f t="shared" si="25"/>
        <v>0</v>
      </c>
      <c r="AL165" s="150"/>
      <c r="AM165" s="85"/>
    </row>
    <row r="166" spans="1:39" hidden="1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29"/>
        <v>0</v>
      </c>
      <c r="X166" s="13">
        <f t="shared" si="26"/>
        <v>186339.73529411765</v>
      </c>
      <c r="Y166" s="13">
        <f t="shared" si="21"/>
        <v>0</v>
      </c>
      <c r="Z166" s="2">
        <v>0</v>
      </c>
      <c r="AA166" s="4">
        <v>0</v>
      </c>
      <c r="AB166" s="4">
        <f t="shared" si="22"/>
        <v>186339.73529411765</v>
      </c>
      <c r="AC166" s="6">
        <f t="shared" si="23"/>
        <v>3726.7947058823484</v>
      </c>
      <c r="AD166" s="13">
        <f t="shared" si="27"/>
        <v>190066.53</v>
      </c>
      <c r="AE166" s="2">
        <v>0.05</v>
      </c>
      <c r="AF166" s="5">
        <f t="shared" si="24"/>
        <v>9503.326500000001</v>
      </c>
      <c r="AG166" s="2">
        <v>0</v>
      </c>
      <c r="AH166" s="5">
        <f t="shared" si="28"/>
        <v>190066.53</v>
      </c>
      <c r="AJ166" s="126" t="e">
        <v>#N/A</v>
      </c>
      <c r="AK166" s="80">
        <f t="shared" si="25"/>
        <v>0</v>
      </c>
      <c r="AM166" s="85"/>
    </row>
    <row r="167" spans="1:39" hidden="1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29"/>
        <v>39848.28999999995</v>
      </c>
      <c r="X167" s="13">
        <f t="shared" si="26"/>
        <v>32744.902912621357</v>
      </c>
      <c r="Y167" s="13">
        <f t="shared" si="21"/>
        <v>0</v>
      </c>
      <c r="Z167" s="2">
        <v>0</v>
      </c>
      <c r="AA167" s="4">
        <v>0</v>
      </c>
      <c r="AB167" s="4">
        <f t="shared" si="22"/>
        <v>32744.902912621357</v>
      </c>
      <c r="AC167" s="6">
        <f t="shared" si="23"/>
        <v>982.34708737864275</v>
      </c>
      <c r="AD167" s="13">
        <f t="shared" si="27"/>
        <v>33727.25</v>
      </c>
      <c r="AE167" s="2">
        <v>0.05</v>
      </c>
      <c r="AF167" s="5">
        <f t="shared" si="24"/>
        <v>1686.3625000000002</v>
      </c>
      <c r="AG167" s="2">
        <v>0</v>
      </c>
      <c r="AH167" s="5">
        <f t="shared" si="28"/>
        <v>33727.25</v>
      </c>
      <c r="AJ167" s="126" t="e">
        <v>#N/A</v>
      </c>
      <c r="AK167" s="80">
        <f t="shared" si="25"/>
        <v>0</v>
      </c>
      <c r="AM167" s="85"/>
    </row>
    <row r="168" spans="1:39" hidden="1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29"/>
        <v>6845.3200000000006</v>
      </c>
      <c r="X168" s="13">
        <f t="shared" si="26"/>
        <v>0</v>
      </c>
      <c r="Y168" s="13">
        <f t="shared" si="21"/>
        <v>0</v>
      </c>
      <c r="Z168" s="2">
        <v>0</v>
      </c>
      <c r="AA168" s="4">
        <v>0</v>
      </c>
      <c r="AB168" s="4">
        <f t="shared" si="22"/>
        <v>0</v>
      </c>
      <c r="AC168" s="6">
        <f t="shared" si="23"/>
        <v>0</v>
      </c>
      <c r="AD168" s="13">
        <f t="shared" si="27"/>
        <v>0</v>
      </c>
      <c r="AE168" s="2">
        <v>0.05</v>
      </c>
      <c r="AF168" s="5">
        <f t="shared" si="24"/>
        <v>0</v>
      </c>
      <c r="AG168" s="2">
        <v>0</v>
      </c>
      <c r="AH168" s="5">
        <f t="shared" si="28"/>
        <v>0</v>
      </c>
      <c r="AJ168" s="126" t="e">
        <v>#N/A</v>
      </c>
      <c r="AK168" s="80">
        <f t="shared" si="25"/>
        <v>0</v>
      </c>
      <c r="AM168" s="85"/>
    </row>
    <row r="169" spans="1:39" hidden="1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29"/>
        <v>1069828.1699999981</v>
      </c>
      <c r="X169" s="13">
        <f t="shared" si="26"/>
        <v>0</v>
      </c>
      <c r="Y169" s="13">
        <f t="shared" si="21"/>
        <v>0</v>
      </c>
      <c r="Z169" s="2">
        <v>0</v>
      </c>
      <c r="AA169" s="4">
        <v>0</v>
      </c>
      <c r="AB169" s="4">
        <f t="shared" si="22"/>
        <v>0</v>
      </c>
      <c r="AC169" s="6">
        <f t="shared" si="23"/>
        <v>0</v>
      </c>
      <c r="AD169" s="13">
        <f t="shared" si="27"/>
        <v>0</v>
      </c>
      <c r="AE169" s="2">
        <v>0.05</v>
      </c>
      <c r="AF169" s="5">
        <f t="shared" si="24"/>
        <v>0</v>
      </c>
      <c r="AG169" s="2">
        <v>0</v>
      </c>
      <c r="AH169" s="5">
        <f t="shared" si="28"/>
        <v>0</v>
      </c>
      <c r="AJ169" s="126" t="e">
        <v>#N/A</v>
      </c>
      <c r="AK169" s="80">
        <f t="shared" si="25"/>
        <v>0</v>
      </c>
      <c r="AM169" s="85"/>
    </row>
    <row r="170" spans="1:39" hidden="1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29"/>
        <v>0</v>
      </c>
      <c r="X170" s="13">
        <f t="shared" si="26"/>
        <v>365939.41346153821</v>
      </c>
      <c r="Y170" s="13">
        <f t="shared" si="21"/>
        <v>0</v>
      </c>
      <c r="Z170" s="2">
        <v>0</v>
      </c>
      <c r="AA170" s="4">
        <v>0</v>
      </c>
      <c r="AB170" s="4">
        <f t="shared" si="22"/>
        <v>365939.41346153821</v>
      </c>
      <c r="AC170" s="6">
        <f t="shared" si="23"/>
        <v>14637.576538461552</v>
      </c>
      <c r="AD170" s="13">
        <f t="shared" si="27"/>
        <v>380576.98999999976</v>
      </c>
      <c r="AE170" s="2">
        <v>0.05</v>
      </c>
      <c r="AF170" s="5">
        <f t="shared" si="24"/>
        <v>19028.849499999989</v>
      </c>
      <c r="AG170" s="2">
        <v>0</v>
      </c>
      <c r="AH170" s="5">
        <f t="shared" si="28"/>
        <v>380576.98999999976</v>
      </c>
      <c r="AJ170" s="126" t="e">
        <v>#N/A</v>
      </c>
      <c r="AK170" s="80">
        <f t="shared" si="25"/>
        <v>0</v>
      </c>
      <c r="AM170" s="85"/>
    </row>
    <row r="171" spans="1:39" hidden="1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29"/>
        <v>242260.61999999976</v>
      </c>
      <c r="X171" s="13">
        <f t="shared" si="26"/>
        <v>126604.61165048541</v>
      </c>
      <c r="Y171" s="13">
        <f t="shared" si="21"/>
        <v>0</v>
      </c>
      <c r="Z171" s="2">
        <v>0</v>
      </c>
      <c r="AA171" s="4">
        <v>0</v>
      </c>
      <c r="AB171" s="4">
        <f t="shared" si="22"/>
        <v>126604.61165048541</v>
      </c>
      <c r="AC171" s="6">
        <f t="shared" si="23"/>
        <v>3798.138349514571</v>
      </c>
      <c r="AD171" s="13">
        <f t="shared" si="27"/>
        <v>130402.74999999999</v>
      </c>
      <c r="AE171" s="2">
        <v>0.05</v>
      </c>
      <c r="AF171" s="5">
        <f t="shared" si="24"/>
        <v>6520.1374999999998</v>
      </c>
      <c r="AG171" s="2">
        <v>0</v>
      </c>
      <c r="AH171" s="5">
        <f t="shared" si="28"/>
        <v>130402.74999999999</v>
      </c>
      <c r="AJ171" s="126" t="e">
        <v>#N/A</v>
      </c>
      <c r="AK171" s="80">
        <f t="shared" si="25"/>
        <v>0</v>
      </c>
      <c r="AM171" s="85"/>
    </row>
    <row r="172" spans="1:39" hidden="1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26"/>
        <v>4824542.1588784903</v>
      </c>
      <c r="Y172" s="13">
        <f t="shared" si="21"/>
        <v>0</v>
      </c>
      <c r="Z172" s="2">
        <v>0</v>
      </c>
      <c r="AA172" s="4">
        <v>0</v>
      </c>
      <c r="AB172" s="4">
        <f t="shared" si="22"/>
        <v>4824542.1588784903</v>
      </c>
      <c r="AC172" s="6">
        <f t="shared" si="23"/>
        <v>337717.95112149511</v>
      </c>
      <c r="AD172" s="13">
        <f t="shared" si="27"/>
        <v>5162260.1099999854</v>
      </c>
      <c r="AE172" s="2">
        <v>0.05</v>
      </c>
      <c r="AF172" s="5">
        <f t="shared" si="24"/>
        <v>258113.00549999927</v>
      </c>
      <c r="AG172" s="2">
        <v>0</v>
      </c>
      <c r="AH172" s="5">
        <f t="shared" si="28"/>
        <v>5162260.1099999854</v>
      </c>
      <c r="AJ172" s="126" t="e">
        <v>#N/A</v>
      </c>
      <c r="AK172" s="80">
        <f t="shared" si="25"/>
        <v>0</v>
      </c>
      <c r="AM172" s="85"/>
    </row>
    <row r="173" spans="1:39" hidden="1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29"/>
        <v>0</v>
      </c>
      <c r="X173" s="13">
        <f t="shared" si="26"/>
        <v>606563.10576923157</v>
      </c>
      <c r="Y173" s="13">
        <f t="shared" si="21"/>
        <v>0</v>
      </c>
      <c r="Z173" s="2">
        <v>0</v>
      </c>
      <c r="AA173" s="4">
        <v>0</v>
      </c>
      <c r="AB173" s="4">
        <f t="shared" si="22"/>
        <v>606563.10576923157</v>
      </c>
      <c r="AC173" s="6">
        <f t="shared" si="23"/>
        <v>24262.524230769253</v>
      </c>
      <c r="AD173" s="13">
        <f t="shared" si="27"/>
        <v>630825.63000000082</v>
      </c>
      <c r="AE173" s="2">
        <v>0.05</v>
      </c>
      <c r="AF173" s="5">
        <f t="shared" si="24"/>
        <v>31541.281500000041</v>
      </c>
      <c r="AG173" s="2">
        <v>0</v>
      </c>
      <c r="AH173" s="5">
        <f t="shared" si="28"/>
        <v>630825.63000000082</v>
      </c>
      <c r="AJ173" s="126" t="e">
        <v>#N/A</v>
      </c>
      <c r="AK173" s="80">
        <f t="shared" si="25"/>
        <v>0</v>
      </c>
      <c r="AM173" s="85"/>
    </row>
    <row r="174" spans="1:39" hidden="1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29"/>
        <v>0</v>
      </c>
      <c r="X174" s="13">
        <f t="shared" si="26"/>
        <v>45574.971962616823</v>
      </c>
      <c r="Y174" s="13">
        <f t="shared" si="21"/>
        <v>0</v>
      </c>
      <c r="Z174" s="2">
        <v>0</v>
      </c>
      <c r="AA174" s="4">
        <v>0</v>
      </c>
      <c r="AB174" s="4">
        <f t="shared" si="22"/>
        <v>45574.971962616823</v>
      </c>
      <c r="AC174" s="6">
        <f t="shared" si="23"/>
        <v>3190.2480373831786</v>
      </c>
      <c r="AD174" s="13">
        <f t="shared" si="27"/>
        <v>48765.22</v>
      </c>
      <c r="AE174" s="2">
        <v>0.05</v>
      </c>
      <c r="AF174" s="5">
        <f t="shared" si="24"/>
        <v>2438.261</v>
      </c>
      <c r="AG174" s="2">
        <v>0</v>
      </c>
      <c r="AH174" s="5">
        <f t="shared" si="28"/>
        <v>48765.22</v>
      </c>
      <c r="AJ174" s="126" t="e">
        <v>#N/A</v>
      </c>
      <c r="AK174" s="80">
        <f t="shared" si="25"/>
        <v>0</v>
      </c>
      <c r="AM174" s="85"/>
    </row>
    <row r="175" spans="1:39" hidden="1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">
        <v>3712</v>
      </c>
      <c r="L175" s="1" t="s">
        <v>35</v>
      </c>
      <c r="M175" s="95"/>
      <c r="N175" s="3" t="s">
        <v>3712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29"/>
        <v>9574.2799999999916</v>
      </c>
      <c r="X175" s="13">
        <v>0</v>
      </c>
      <c r="Y175" s="13">
        <f t="shared" si="21"/>
        <v>0</v>
      </c>
      <c r="Z175" s="2">
        <v>0</v>
      </c>
      <c r="AA175" s="4">
        <v>0</v>
      </c>
      <c r="AB175" s="4">
        <f t="shared" si="22"/>
        <v>0</v>
      </c>
      <c r="AC175" s="6">
        <f t="shared" si="23"/>
        <v>25460.049999999996</v>
      </c>
      <c r="AD175" s="13">
        <f t="shared" si="27"/>
        <v>25460.049999999996</v>
      </c>
      <c r="AE175" s="2">
        <v>0.05</v>
      </c>
      <c r="AF175" s="5">
        <f t="shared" si="24"/>
        <v>1273.0024999999998</v>
      </c>
      <c r="AG175" s="2">
        <v>0</v>
      </c>
      <c r="AH175" s="5">
        <f t="shared" si="28"/>
        <v>25460.049999999996</v>
      </c>
      <c r="AJ175" s="126" t="e">
        <v>#N/A</v>
      </c>
      <c r="AK175" s="80">
        <f t="shared" si="25"/>
        <v>0</v>
      </c>
      <c r="AM175" s="85"/>
    </row>
    <row r="176" spans="1:39" hidden="1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">
        <v>3707</v>
      </c>
      <c r="L176" s="1" t="s">
        <v>35</v>
      </c>
      <c r="M176" s="95"/>
      <c r="N176" s="3" t="s">
        <v>3707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29"/>
        <v>0</v>
      </c>
      <c r="X176" s="13">
        <f t="shared" si="26"/>
        <v>124150.91666666666</v>
      </c>
      <c r="Y176" s="13">
        <f t="shared" si="21"/>
        <v>0</v>
      </c>
      <c r="Z176" s="2">
        <v>0</v>
      </c>
      <c r="AA176" s="4">
        <v>0</v>
      </c>
      <c r="AB176" s="4">
        <f t="shared" si="22"/>
        <v>124150.91666666666</v>
      </c>
      <c r="AC176" s="6">
        <f t="shared" si="23"/>
        <v>9932.0733333333337</v>
      </c>
      <c r="AD176" s="13">
        <f t="shared" si="27"/>
        <v>134082.99</v>
      </c>
      <c r="AE176" s="2">
        <v>0.05</v>
      </c>
      <c r="AF176" s="5">
        <f t="shared" si="24"/>
        <v>6704.1494999999995</v>
      </c>
      <c r="AG176" s="2">
        <v>0</v>
      </c>
      <c r="AH176" s="5">
        <f t="shared" si="28"/>
        <v>134082.99</v>
      </c>
      <c r="AJ176" s="126" t="e">
        <v>#N/A</v>
      </c>
      <c r="AK176" s="80">
        <f t="shared" si="25"/>
        <v>0</v>
      </c>
      <c r="AM176" s="85"/>
    </row>
    <row r="177" spans="1:39" hidden="1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">
        <v>3707</v>
      </c>
      <c r="L177" s="1" t="s">
        <v>35</v>
      </c>
      <c r="M177" s="95"/>
      <c r="N177" s="3" t="s">
        <v>3707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29"/>
        <v>1275.9200000000019</v>
      </c>
      <c r="X177" s="13">
        <f t="shared" si="26"/>
        <v>1509.433962264151</v>
      </c>
      <c r="Y177" s="13">
        <f t="shared" si="21"/>
        <v>0</v>
      </c>
      <c r="Z177" s="2">
        <v>0</v>
      </c>
      <c r="AA177" s="4">
        <v>0</v>
      </c>
      <c r="AB177" s="4">
        <f t="shared" si="22"/>
        <v>1509.433962264151</v>
      </c>
      <c r="AC177" s="6">
        <f t="shared" si="23"/>
        <v>90.566037735849022</v>
      </c>
      <c r="AD177" s="13">
        <f t="shared" si="27"/>
        <v>1600</v>
      </c>
      <c r="AE177" s="2">
        <v>0.05</v>
      </c>
      <c r="AF177" s="5">
        <f t="shared" si="24"/>
        <v>80</v>
      </c>
      <c r="AG177" s="2">
        <v>0</v>
      </c>
      <c r="AH177" s="5">
        <f t="shared" si="28"/>
        <v>1600</v>
      </c>
      <c r="AJ177" s="126" t="e">
        <v>#N/A</v>
      </c>
      <c r="AK177" s="80">
        <f t="shared" si="25"/>
        <v>0</v>
      </c>
      <c r="AM177" s="85"/>
    </row>
    <row r="178" spans="1:39" hidden="1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">
        <v>3712</v>
      </c>
      <c r="L178" s="1" t="s">
        <v>35</v>
      </c>
      <c r="M178" s="95"/>
      <c r="N178" s="3" t="s">
        <v>3729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29"/>
        <v>13934.639999999985</v>
      </c>
      <c r="X178" s="13">
        <f t="shared" si="26"/>
        <v>0</v>
      </c>
      <c r="Y178" s="13">
        <f t="shared" si="21"/>
        <v>0</v>
      </c>
      <c r="Z178" s="2">
        <v>0</v>
      </c>
      <c r="AA178" s="4">
        <v>0</v>
      </c>
      <c r="AB178" s="4">
        <f t="shared" si="22"/>
        <v>0</v>
      </c>
      <c r="AC178" s="6">
        <f t="shared" si="23"/>
        <v>0</v>
      </c>
      <c r="AD178" s="13">
        <f t="shared" si="27"/>
        <v>0</v>
      </c>
      <c r="AE178" s="2">
        <v>0.05</v>
      </c>
      <c r="AF178" s="5">
        <f t="shared" si="24"/>
        <v>0</v>
      </c>
      <c r="AG178" s="2">
        <v>0</v>
      </c>
      <c r="AH178" s="5">
        <f t="shared" si="28"/>
        <v>0</v>
      </c>
      <c r="AJ178" s="126" t="e">
        <v>#N/A</v>
      </c>
      <c r="AK178" s="80">
        <f t="shared" si="25"/>
        <v>0</v>
      </c>
      <c r="AM178" s="85"/>
    </row>
    <row r="179" spans="1:39" hidden="1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">
        <v>3712</v>
      </c>
      <c r="L179" s="1" t="s">
        <v>35</v>
      </c>
      <c r="M179" s="95"/>
      <c r="N179" s="3" t="s">
        <v>3712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29"/>
        <v>20638.059999999998</v>
      </c>
      <c r="X179" s="13">
        <f t="shared" si="26"/>
        <v>23389.79</v>
      </c>
      <c r="Y179" s="13">
        <f t="shared" si="21"/>
        <v>0</v>
      </c>
      <c r="Z179" s="2">
        <v>0</v>
      </c>
      <c r="AA179" s="4">
        <v>0</v>
      </c>
      <c r="AB179" s="4">
        <f t="shared" si="22"/>
        <v>23389.79</v>
      </c>
      <c r="AC179" s="6">
        <f t="shared" si="23"/>
        <v>0</v>
      </c>
      <c r="AD179" s="13">
        <f t="shared" si="27"/>
        <v>23389.79</v>
      </c>
      <c r="AE179" s="2">
        <v>0.05</v>
      </c>
      <c r="AF179" s="5">
        <f t="shared" si="24"/>
        <v>1169.4895000000001</v>
      </c>
      <c r="AG179" s="2">
        <v>0</v>
      </c>
      <c r="AH179" s="5">
        <f t="shared" si="28"/>
        <v>23389.79</v>
      </c>
      <c r="AJ179" s="126" t="e">
        <v>#N/A</v>
      </c>
      <c r="AK179" s="80">
        <f t="shared" si="25"/>
        <v>0</v>
      </c>
      <c r="AM179" s="85"/>
    </row>
    <row r="180" spans="1:39" hidden="1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">
        <v>3707</v>
      </c>
      <c r="L180" s="1" t="s">
        <v>35</v>
      </c>
      <c r="M180" s="95"/>
      <c r="N180" s="3" t="s">
        <v>3722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29"/>
        <v>278207.93000000005</v>
      </c>
      <c r="X180" s="13">
        <f t="shared" si="26"/>
        <v>22481.063636363637</v>
      </c>
      <c r="Y180" s="13">
        <f t="shared" si="21"/>
        <v>0</v>
      </c>
      <c r="Z180" s="2">
        <v>0</v>
      </c>
      <c r="AA180" s="4">
        <v>0</v>
      </c>
      <c r="AB180" s="4">
        <f t="shared" si="22"/>
        <v>22481.063636363637</v>
      </c>
      <c r="AC180" s="6">
        <f t="shared" si="23"/>
        <v>2248.1063636363651</v>
      </c>
      <c r="AD180" s="13">
        <f t="shared" si="27"/>
        <v>24729.170000000002</v>
      </c>
      <c r="AE180" s="2">
        <v>0.05</v>
      </c>
      <c r="AF180" s="5">
        <f t="shared" si="24"/>
        <v>1236.4585000000002</v>
      </c>
      <c r="AG180" s="2">
        <v>0</v>
      </c>
      <c r="AH180" s="5">
        <f t="shared" si="28"/>
        <v>24729.170000000002</v>
      </c>
      <c r="AJ180" s="126" t="e">
        <v>#N/A</v>
      </c>
      <c r="AK180" s="80">
        <f t="shared" si="25"/>
        <v>0</v>
      </c>
      <c r="AM180" s="85"/>
    </row>
    <row r="181" spans="1:39" hidden="1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">
        <v>3707</v>
      </c>
      <c r="L181" s="1" t="s">
        <v>35</v>
      </c>
      <c r="M181" s="95"/>
      <c r="N181" s="3" t="s">
        <v>3707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29"/>
        <v>31610.540000000852</v>
      </c>
      <c r="X181" s="13">
        <f t="shared" si="26"/>
        <v>0</v>
      </c>
      <c r="Y181" s="13">
        <f t="shared" si="21"/>
        <v>0</v>
      </c>
      <c r="Z181" s="2">
        <v>0</v>
      </c>
      <c r="AA181" s="4">
        <v>0</v>
      </c>
      <c r="AB181" s="4">
        <f t="shared" si="22"/>
        <v>0</v>
      </c>
      <c r="AC181" s="6">
        <f t="shared" si="23"/>
        <v>0</v>
      </c>
      <c r="AD181" s="13">
        <f t="shared" si="27"/>
        <v>0</v>
      </c>
      <c r="AE181" s="2">
        <v>0.05</v>
      </c>
      <c r="AF181" s="5">
        <f t="shared" si="24"/>
        <v>0</v>
      </c>
      <c r="AG181" s="2">
        <v>0</v>
      </c>
      <c r="AH181" s="5">
        <f t="shared" si="28"/>
        <v>0</v>
      </c>
      <c r="AJ181" s="126" t="e">
        <v>#N/A</v>
      </c>
      <c r="AK181" s="80">
        <f t="shared" si="25"/>
        <v>0</v>
      </c>
      <c r="AM181" s="85"/>
    </row>
    <row r="182" spans="1:39" hidden="1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">
        <v>3712</v>
      </c>
      <c r="L182" s="1" t="s">
        <v>35</v>
      </c>
      <c r="M182" s="95"/>
      <c r="N182" s="3" t="s">
        <v>3729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29"/>
        <v>57337.81</v>
      </c>
      <c r="X182" s="13">
        <f t="shared" si="26"/>
        <v>0</v>
      </c>
      <c r="Y182" s="13">
        <f t="shared" si="21"/>
        <v>0</v>
      </c>
      <c r="Z182" s="2">
        <v>0</v>
      </c>
      <c r="AA182" s="4">
        <v>0</v>
      </c>
      <c r="AB182" s="4">
        <f t="shared" si="22"/>
        <v>0</v>
      </c>
      <c r="AC182" s="6">
        <f t="shared" si="23"/>
        <v>0</v>
      </c>
      <c r="AD182" s="13">
        <f t="shared" si="27"/>
        <v>0</v>
      </c>
      <c r="AE182" s="2">
        <v>0.05</v>
      </c>
      <c r="AF182" s="5">
        <f t="shared" si="24"/>
        <v>0</v>
      </c>
      <c r="AG182" s="2">
        <v>0</v>
      </c>
      <c r="AH182" s="5">
        <f t="shared" si="28"/>
        <v>0</v>
      </c>
      <c r="AJ182" s="126" t="e">
        <v>#N/A</v>
      </c>
      <c r="AK182" s="80">
        <f t="shared" si="25"/>
        <v>0</v>
      </c>
      <c r="AM182" s="85"/>
    </row>
    <row r="183" spans="1:39" hidden="1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">
        <v>3712</v>
      </c>
      <c r="L183" s="1" t="s">
        <v>35</v>
      </c>
      <c r="M183" s="95"/>
      <c r="N183" s="3" t="s">
        <v>3729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29"/>
        <v>147006.94999999969</v>
      </c>
      <c r="X183" s="13">
        <f t="shared" si="26"/>
        <v>0</v>
      </c>
      <c r="Y183" s="13">
        <f t="shared" si="21"/>
        <v>0</v>
      </c>
      <c r="Z183" s="2">
        <v>0</v>
      </c>
      <c r="AA183" s="4">
        <v>0</v>
      </c>
      <c r="AB183" s="4">
        <f t="shared" si="22"/>
        <v>0</v>
      </c>
      <c r="AC183" s="6">
        <f t="shared" si="23"/>
        <v>0</v>
      </c>
      <c r="AD183" s="13">
        <f t="shared" si="27"/>
        <v>0</v>
      </c>
      <c r="AE183" s="2">
        <v>0.05</v>
      </c>
      <c r="AF183" s="5">
        <f t="shared" si="24"/>
        <v>0</v>
      </c>
      <c r="AG183" s="2">
        <v>0</v>
      </c>
      <c r="AH183" s="5">
        <f t="shared" si="28"/>
        <v>0</v>
      </c>
      <c r="AJ183" s="126" t="e">
        <v>#N/A</v>
      </c>
      <c r="AK183" s="80">
        <f t="shared" si="25"/>
        <v>0</v>
      </c>
      <c r="AM183" s="85"/>
    </row>
    <row r="184" spans="1:39" hidden="1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29"/>
        <v>991.68000000002212</v>
      </c>
      <c r="X184" s="13">
        <f t="shared" si="26"/>
        <v>0</v>
      </c>
      <c r="Y184" s="13">
        <f t="shared" si="21"/>
        <v>0</v>
      </c>
      <c r="Z184" s="2">
        <v>0</v>
      </c>
      <c r="AA184" s="4">
        <v>0</v>
      </c>
      <c r="AB184" s="4">
        <f t="shared" si="22"/>
        <v>0</v>
      </c>
      <c r="AC184" s="6">
        <f t="shared" si="23"/>
        <v>0</v>
      </c>
      <c r="AD184" s="13">
        <f t="shared" si="27"/>
        <v>0</v>
      </c>
      <c r="AE184" s="2">
        <v>0.05</v>
      </c>
      <c r="AF184" s="5">
        <f t="shared" si="24"/>
        <v>0</v>
      </c>
      <c r="AG184" s="2">
        <v>0</v>
      </c>
      <c r="AH184" s="5">
        <f t="shared" si="28"/>
        <v>0</v>
      </c>
      <c r="AJ184" s="126" t="e">
        <v>#N/A</v>
      </c>
      <c r="AK184" s="80">
        <f t="shared" si="25"/>
        <v>0</v>
      </c>
      <c r="AM184" s="85"/>
    </row>
    <row r="185" spans="1:39" hidden="1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29"/>
        <v>70859.939999999333</v>
      </c>
      <c r="X185" s="13">
        <f t="shared" si="26"/>
        <v>35758.788461538446</v>
      </c>
      <c r="Y185" s="13">
        <f t="shared" si="21"/>
        <v>0</v>
      </c>
      <c r="Z185" s="2">
        <v>0</v>
      </c>
      <c r="AA185" s="4">
        <v>0</v>
      </c>
      <c r="AB185" s="4">
        <f t="shared" si="22"/>
        <v>35758.788461538446</v>
      </c>
      <c r="AC185" s="6">
        <f t="shared" si="23"/>
        <v>1430.3515384615384</v>
      </c>
      <c r="AD185" s="13">
        <f t="shared" si="27"/>
        <v>37189.139999999985</v>
      </c>
      <c r="AE185" s="2">
        <v>0.05</v>
      </c>
      <c r="AF185" s="5">
        <f t="shared" si="24"/>
        <v>1859.4569999999994</v>
      </c>
      <c r="AG185" s="2">
        <v>0</v>
      </c>
      <c r="AH185" s="5">
        <f t="shared" si="28"/>
        <v>37189.139999999985</v>
      </c>
      <c r="AJ185" s="126" t="e">
        <v>#N/A</v>
      </c>
      <c r="AK185" s="80">
        <f t="shared" si="25"/>
        <v>0</v>
      </c>
      <c r="AM185" s="85"/>
    </row>
    <row r="186" spans="1:39" hidden="1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29"/>
        <v>0</v>
      </c>
      <c r="X186" s="13">
        <f t="shared" si="26"/>
        <v>247060.70192307702</v>
      </c>
      <c r="Y186" s="13">
        <f t="shared" si="21"/>
        <v>0</v>
      </c>
      <c r="Z186" s="2">
        <v>0</v>
      </c>
      <c r="AA186" s="4">
        <v>0</v>
      </c>
      <c r="AB186" s="4">
        <f t="shared" si="22"/>
        <v>247060.70192307702</v>
      </c>
      <c r="AC186" s="6">
        <f t="shared" si="23"/>
        <v>9882.4280769230973</v>
      </c>
      <c r="AD186" s="13">
        <f t="shared" si="27"/>
        <v>256943.13000000012</v>
      </c>
      <c r="AE186" s="2">
        <v>0.05</v>
      </c>
      <c r="AF186" s="5">
        <f t="shared" si="24"/>
        <v>12847.156500000006</v>
      </c>
      <c r="AG186" s="2">
        <v>0</v>
      </c>
      <c r="AH186" s="5">
        <f t="shared" si="28"/>
        <v>256943.13000000012</v>
      </c>
      <c r="AJ186" s="126" t="e">
        <v>#N/A</v>
      </c>
      <c r="AK186" s="80">
        <f t="shared" si="25"/>
        <v>0</v>
      </c>
      <c r="AM186" s="85"/>
    </row>
    <row r="187" spans="1:39" hidden="1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">
        <v>3712</v>
      </c>
      <c r="L187" s="1" t="s">
        <v>35</v>
      </c>
      <c r="M187" s="95"/>
      <c r="N187" s="3" t="s">
        <v>3729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26"/>
        <v>0</v>
      </c>
      <c r="Y187" s="13">
        <f t="shared" si="21"/>
        <v>0</v>
      </c>
      <c r="Z187" s="2">
        <v>0</v>
      </c>
      <c r="AA187" s="4">
        <v>0</v>
      </c>
      <c r="AB187" s="4">
        <f t="shared" si="22"/>
        <v>0</v>
      </c>
      <c r="AC187" s="6">
        <f t="shared" si="23"/>
        <v>0</v>
      </c>
      <c r="AD187" s="13">
        <f t="shared" si="27"/>
        <v>0</v>
      </c>
      <c r="AE187" s="2">
        <v>0.05</v>
      </c>
      <c r="AF187" s="5">
        <f t="shared" si="24"/>
        <v>0</v>
      </c>
      <c r="AG187" s="2">
        <v>0</v>
      </c>
      <c r="AH187" s="5">
        <f t="shared" si="28"/>
        <v>0</v>
      </c>
      <c r="AJ187" s="126" t="e">
        <v>#N/A</v>
      </c>
      <c r="AK187" s="80">
        <f t="shared" si="25"/>
        <v>0</v>
      </c>
      <c r="AM187" s="85"/>
    </row>
    <row r="188" spans="1:39" hidden="1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">
        <v>3712</v>
      </c>
      <c r="L188" s="1" t="s">
        <v>35</v>
      </c>
      <c r="M188" s="95"/>
      <c r="N188" s="3" t="s">
        <v>3729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29"/>
        <v>11077.229999999978</v>
      </c>
      <c r="X188" s="13">
        <f t="shared" si="26"/>
        <v>0</v>
      </c>
      <c r="Y188" s="13">
        <f t="shared" si="21"/>
        <v>0</v>
      </c>
      <c r="Z188" s="2">
        <v>0</v>
      </c>
      <c r="AA188" s="4">
        <v>0</v>
      </c>
      <c r="AB188" s="4">
        <f t="shared" si="22"/>
        <v>0</v>
      </c>
      <c r="AC188" s="6">
        <f t="shared" si="23"/>
        <v>0</v>
      </c>
      <c r="AD188" s="13">
        <f t="shared" si="27"/>
        <v>0</v>
      </c>
      <c r="AE188" s="2">
        <v>0.05</v>
      </c>
      <c r="AF188" s="5">
        <f t="shared" si="24"/>
        <v>0</v>
      </c>
      <c r="AG188" s="2">
        <v>0</v>
      </c>
      <c r="AH188" s="5">
        <f t="shared" si="28"/>
        <v>0</v>
      </c>
      <c r="AJ188" s="126" t="e">
        <v>#N/A</v>
      </c>
      <c r="AK188" s="80">
        <f t="shared" si="25"/>
        <v>0</v>
      </c>
      <c r="AM188" s="85"/>
    </row>
    <row r="189" spans="1:39" hidden="1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">
        <v>3712</v>
      </c>
      <c r="L189" s="1" t="s">
        <v>35</v>
      </c>
      <c r="M189" s="95"/>
      <c r="N189" s="3" t="s">
        <v>3729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29"/>
        <v>42453.569999999694</v>
      </c>
      <c r="X189" s="13">
        <f t="shared" si="26"/>
        <v>0</v>
      </c>
      <c r="Y189" s="13">
        <f t="shared" si="21"/>
        <v>0</v>
      </c>
      <c r="Z189" s="2">
        <v>0</v>
      </c>
      <c r="AA189" s="4">
        <v>0</v>
      </c>
      <c r="AB189" s="4">
        <f t="shared" si="22"/>
        <v>0</v>
      </c>
      <c r="AC189" s="6">
        <f t="shared" si="23"/>
        <v>0</v>
      </c>
      <c r="AD189" s="13">
        <f t="shared" si="27"/>
        <v>0</v>
      </c>
      <c r="AE189" s="2">
        <v>0.05</v>
      </c>
      <c r="AF189" s="5">
        <f t="shared" si="24"/>
        <v>0</v>
      </c>
      <c r="AG189" s="2">
        <v>0</v>
      </c>
      <c r="AH189" s="5">
        <f t="shared" si="28"/>
        <v>0</v>
      </c>
      <c r="AJ189" s="126" t="e">
        <v>#N/A</v>
      </c>
      <c r="AK189" s="80">
        <f t="shared" si="25"/>
        <v>0</v>
      </c>
      <c r="AM189" s="85"/>
    </row>
    <row r="190" spans="1:39" hidden="1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">
        <v>3707</v>
      </c>
      <c r="L190" s="1" t="s">
        <v>35</v>
      </c>
      <c r="M190" s="95"/>
      <c r="N190" s="3" t="s">
        <v>3709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29"/>
        <v>1093783.0199999996</v>
      </c>
      <c r="X190" s="13">
        <f t="shared" si="26"/>
        <v>56.920792079207921</v>
      </c>
      <c r="Y190" s="13">
        <f t="shared" si="21"/>
        <v>0</v>
      </c>
      <c r="Z190" s="2">
        <v>0</v>
      </c>
      <c r="AA190" s="4">
        <v>0</v>
      </c>
      <c r="AB190" s="4">
        <f t="shared" si="22"/>
        <v>56.920792079207921</v>
      </c>
      <c r="AC190" s="6">
        <f t="shared" si="23"/>
        <v>0.56920792079208127</v>
      </c>
      <c r="AD190" s="13">
        <f t="shared" si="27"/>
        <v>57.49</v>
      </c>
      <c r="AE190" s="2">
        <v>0.05</v>
      </c>
      <c r="AF190" s="5">
        <f t="shared" si="24"/>
        <v>2.8745000000000003</v>
      </c>
      <c r="AG190" s="2">
        <v>0</v>
      </c>
      <c r="AH190" s="5">
        <f t="shared" si="28"/>
        <v>57.49</v>
      </c>
      <c r="AJ190" s="126" t="e">
        <v>#N/A</v>
      </c>
      <c r="AK190" s="80">
        <f t="shared" si="25"/>
        <v>0</v>
      </c>
      <c r="AM190" s="85"/>
    </row>
    <row r="191" spans="1:39" hidden="1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">
        <v>3712</v>
      </c>
      <c r="L191" s="1" t="s">
        <v>35</v>
      </c>
      <c r="M191" s="95"/>
      <c r="N191" s="3" t="s">
        <v>3729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29"/>
        <v>36436.51</v>
      </c>
      <c r="X191" s="13">
        <f t="shared" si="26"/>
        <v>0</v>
      </c>
      <c r="Y191" s="13">
        <f t="shared" si="21"/>
        <v>0</v>
      </c>
      <c r="Z191" s="2">
        <v>0</v>
      </c>
      <c r="AA191" s="4">
        <v>0</v>
      </c>
      <c r="AB191" s="4">
        <f t="shared" si="22"/>
        <v>0</v>
      </c>
      <c r="AC191" s="6">
        <f t="shared" si="23"/>
        <v>0</v>
      </c>
      <c r="AD191" s="13">
        <f t="shared" si="27"/>
        <v>0</v>
      </c>
      <c r="AE191" s="2">
        <v>0.05</v>
      </c>
      <c r="AF191" s="5">
        <f t="shared" si="24"/>
        <v>0</v>
      </c>
      <c r="AG191" s="2">
        <v>0</v>
      </c>
      <c r="AH191" s="5">
        <f t="shared" si="28"/>
        <v>0</v>
      </c>
      <c r="AJ191" s="126" t="e">
        <v>#N/A</v>
      </c>
      <c r="AK191" s="80">
        <f t="shared" si="25"/>
        <v>0</v>
      </c>
      <c r="AM191" s="85"/>
    </row>
    <row r="192" spans="1:39" hidden="1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">
        <v>3712</v>
      </c>
      <c r="L192" s="1" t="s">
        <v>35</v>
      </c>
      <c r="M192" s="95"/>
      <c r="N192" s="3" t="s">
        <v>3729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29"/>
        <v>48801.06</v>
      </c>
      <c r="X192" s="13">
        <f t="shared" si="26"/>
        <v>0</v>
      </c>
      <c r="Y192" s="13">
        <f t="shared" si="21"/>
        <v>0</v>
      </c>
      <c r="Z192" s="2">
        <v>0</v>
      </c>
      <c r="AA192" s="4">
        <v>0</v>
      </c>
      <c r="AB192" s="4">
        <f t="shared" si="22"/>
        <v>0</v>
      </c>
      <c r="AC192" s="6">
        <f t="shared" si="23"/>
        <v>0</v>
      </c>
      <c r="AD192" s="13">
        <f t="shared" si="27"/>
        <v>0</v>
      </c>
      <c r="AE192" s="2">
        <v>0.05</v>
      </c>
      <c r="AF192" s="5">
        <f t="shared" si="24"/>
        <v>0</v>
      </c>
      <c r="AG192" s="2">
        <v>0</v>
      </c>
      <c r="AH192" s="5">
        <f t="shared" si="28"/>
        <v>0</v>
      </c>
      <c r="AJ192" s="126" t="e">
        <v>#N/A</v>
      </c>
      <c r="AK192" s="80">
        <f t="shared" si="25"/>
        <v>0</v>
      </c>
      <c r="AM192" s="85"/>
    </row>
    <row r="193" spans="1:39" hidden="1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">
        <v>3707</v>
      </c>
      <c r="L193" s="1" t="s">
        <v>35</v>
      </c>
      <c r="M193" s="95"/>
      <c r="N193" s="3" t="s">
        <v>3709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29"/>
        <v>190115.95</v>
      </c>
      <c r="X193" s="13">
        <f t="shared" si="26"/>
        <v>0</v>
      </c>
      <c r="Y193" s="13">
        <f t="shared" si="21"/>
        <v>0</v>
      </c>
      <c r="Z193" s="2">
        <v>0</v>
      </c>
      <c r="AA193" s="4">
        <v>0</v>
      </c>
      <c r="AB193" s="4">
        <f t="shared" si="22"/>
        <v>0</v>
      </c>
      <c r="AC193" s="6">
        <f t="shared" si="23"/>
        <v>0</v>
      </c>
      <c r="AD193" s="13">
        <f t="shared" si="27"/>
        <v>0</v>
      </c>
      <c r="AE193" s="2">
        <v>0.05</v>
      </c>
      <c r="AF193" s="5">
        <f t="shared" si="24"/>
        <v>0</v>
      </c>
      <c r="AG193" s="2">
        <v>0</v>
      </c>
      <c r="AH193" s="5">
        <f t="shared" si="28"/>
        <v>0</v>
      </c>
      <c r="AJ193" s="126" t="e">
        <v>#N/A</v>
      </c>
      <c r="AK193" s="80">
        <f t="shared" si="25"/>
        <v>0</v>
      </c>
      <c r="AM193" s="85"/>
    </row>
    <row r="194" spans="1:39" hidden="1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">
        <v>3712</v>
      </c>
      <c r="L194" s="1" t="s">
        <v>35</v>
      </c>
      <c r="M194" s="95"/>
      <c r="N194" s="3" t="s">
        <v>3729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29"/>
        <v>17494.22</v>
      </c>
      <c r="X194" s="13">
        <f t="shared" si="26"/>
        <v>0</v>
      </c>
      <c r="Y194" s="13">
        <f t="shared" si="21"/>
        <v>0</v>
      </c>
      <c r="Z194" s="2">
        <v>0</v>
      </c>
      <c r="AA194" s="4">
        <v>0</v>
      </c>
      <c r="AB194" s="4">
        <f t="shared" si="22"/>
        <v>0</v>
      </c>
      <c r="AC194" s="6">
        <f t="shared" si="23"/>
        <v>0</v>
      </c>
      <c r="AD194" s="13">
        <f t="shared" si="27"/>
        <v>0</v>
      </c>
      <c r="AE194" s="2">
        <v>0.05</v>
      </c>
      <c r="AF194" s="5">
        <f t="shared" si="24"/>
        <v>0</v>
      </c>
      <c r="AG194" s="2">
        <v>0</v>
      </c>
      <c r="AH194" s="5">
        <f t="shared" si="28"/>
        <v>0</v>
      </c>
      <c r="AJ194" s="126" t="e">
        <v>#N/A</v>
      </c>
      <c r="AK194" s="80">
        <f t="shared" si="25"/>
        <v>0</v>
      </c>
      <c r="AM194" s="85"/>
    </row>
    <row r="195" spans="1:39" hidden="1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29"/>
        <v>60.99999999976626</v>
      </c>
      <c r="X195" s="13">
        <f t="shared" si="26"/>
        <v>0</v>
      </c>
      <c r="Y195" s="13">
        <f t="shared" ref="Y195:Y258" si="30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31">X195+AA195</f>
        <v>0</v>
      </c>
      <c r="AC195" s="6">
        <f t="shared" ref="AC195:AC258" si="32">IF(P195="返现",X195*Q195,V195-X195)</f>
        <v>0</v>
      </c>
      <c r="AD195" s="13">
        <f t="shared" si="27"/>
        <v>0</v>
      </c>
      <c r="AE195" s="2">
        <v>0.05</v>
      </c>
      <c r="AF195" s="5">
        <f t="shared" ref="AF195:AF258" si="33">AD195*AE195</f>
        <v>0</v>
      </c>
      <c r="AG195" s="2">
        <v>0</v>
      </c>
      <c r="AH195" s="5">
        <f t="shared" si="28"/>
        <v>0</v>
      </c>
      <c r="AJ195" s="126" t="e">
        <v>#N/A</v>
      </c>
      <c r="AK195" s="80">
        <f t="shared" ref="AK195:AK258" si="34">X195+AA195-AB195</f>
        <v>0</v>
      </c>
      <c r="AM195" s="85"/>
    </row>
    <row r="196" spans="1:39" hidden="1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">
        <v>3710</v>
      </c>
      <c r="L196" s="1" t="s">
        <v>35</v>
      </c>
      <c r="M196" s="95"/>
      <c r="N196" s="3" t="s">
        <v>3710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29"/>
        <v>20874.530000000144</v>
      </c>
      <c r="X196" s="13">
        <f t="shared" si="26"/>
        <v>31096.715686274511</v>
      </c>
      <c r="Y196" s="13">
        <f t="shared" si="30"/>
        <v>0</v>
      </c>
      <c r="Z196" s="2">
        <v>0</v>
      </c>
      <c r="AA196" s="4">
        <v>0</v>
      </c>
      <c r="AB196" s="4">
        <f t="shared" si="31"/>
        <v>31096.715686274511</v>
      </c>
      <c r="AC196" s="6">
        <f t="shared" si="32"/>
        <v>621.93431372549094</v>
      </c>
      <c r="AD196" s="13">
        <f t="shared" si="27"/>
        <v>31718.65</v>
      </c>
      <c r="AE196" s="2">
        <v>0.05</v>
      </c>
      <c r="AF196" s="5">
        <f t="shared" si="33"/>
        <v>1585.9325000000001</v>
      </c>
      <c r="AG196" s="2">
        <v>0</v>
      </c>
      <c r="AH196" s="5">
        <f t="shared" si="28"/>
        <v>31718.65</v>
      </c>
      <c r="AJ196" s="126" t="e">
        <v>#N/A</v>
      </c>
      <c r="AK196" s="80">
        <f t="shared" si="34"/>
        <v>0</v>
      </c>
      <c r="AM196" s="85"/>
    </row>
    <row r="197" spans="1:39" hidden="1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29"/>
        <v>0</v>
      </c>
      <c r="X197" s="13">
        <f t="shared" si="26"/>
        <v>56667.156862745091</v>
      </c>
      <c r="Y197" s="13">
        <f t="shared" si="30"/>
        <v>0</v>
      </c>
      <c r="Z197" s="2">
        <v>0</v>
      </c>
      <c r="AA197" s="4">
        <v>0</v>
      </c>
      <c r="AB197" s="4">
        <f t="shared" si="31"/>
        <v>56667.156862745091</v>
      </c>
      <c r="AC197" s="6">
        <f t="shared" si="32"/>
        <v>1133.3431372549021</v>
      </c>
      <c r="AD197" s="13">
        <f t="shared" si="27"/>
        <v>57800.499999999993</v>
      </c>
      <c r="AE197" s="2">
        <v>0.05</v>
      </c>
      <c r="AF197" s="5">
        <f t="shared" si="33"/>
        <v>2890.0249999999996</v>
      </c>
      <c r="AG197" s="2">
        <v>0</v>
      </c>
      <c r="AH197" s="5">
        <f t="shared" si="28"/>
        <v>57800.499999999993</v>
      </c>
      <c r="AJ197" s="126" t="e">
        <v>#N/A</v>
      </c>
      <c r="AK197" s="80">
        <f t="shared" si="34"/>
        <v>0</v>
      </c>
      <c r="AM197" s="85"/>
    </row>
    <row r="198" spans="1:39" hidden="1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">
        <v>3712</v>
      </c>
      <c r="L198" s="1" t="s">
        <v>35</v>
      </c>
      <c r="M198" s="95"/>
      <c r="N198" s="3" t="s">
        <v>3729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29"/>
        <v>917.43000000001666</v>
      </c>
      <c r="X198" s="13">
        <f t="shared" si="26"/>
        <v>0</v>
      </c>
      <c r="Y198" s="13">
        <f t="shared" si="30"/>
        <v>0</v>
      </c>
      <c r="Z198" s="2">
        <v>0</v>
      </c>
      <c r="AA198" s="4">
        <v>0</v>
      </c>
      <c r="AB198" s="4">
        <f t="shared" si="31"/>
        <v>0</v>
      </c>
      <c r="AC198" s="6">
        <f t="shared" si="32"/>
        <v>0</v>
      </c>
      <c r="AD198" s="13">
        <f t="shared" si="27"/>
        <v>0</v>
      </c>
      <c r="AE198" s="2">
        <v>0.05</v>
      </c>
      <c r="AF198" s="5">
        <f t="shared" si="33"/>
        <v>0</v>
      </c>
      <c r="AG198" s="2">
        <v>0</v>
      </c>
      <c r="AH198" s="5">
        <f t="shared" si="28"/>
        <v>0</v>
      </c>
      <c r="AJ198" s="126" t="e">
        <v>#N/A</v>
      </c>
      <c r="AK198" s="80">
        <f t="shared" si="34"/>
        <v>0</v>
      </c>
      <c r="AM198" s="85"/>
    </row>
    <row r="199" spans="1:39" hidden="1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29"/>
        <v>39287.96999999979</v>
      </c>
      <c r="X199" s="13">
        <f t="shared" si="26"/>
        <v>0</v>
      </c>
      <c r="Y199" s="13">
        <f t="shared" si="30"/>
        <v>0</v>
      </c>
      <c r="Z199" s="2">
        <v>0</v>
      </c>
      <c r="AA199" s="4">
        <v>0</v>
      </c>
      <c r="AB199" s="4">
        <f t="shared" si="31"/>
        <v>0</v>
      </c>
      <c r="AC199" s="6">
        <f t="shared" si="32"/>
        <v>0</v>
      </c>
      <c r="AD199" s="13">
        <f t="shared" si="27"/>
        <v>0</v>
      </c>
      <c r="AE199" s="2">
        <v>0.05</v>
      </c>
      <c r="AF199" s="5">
        <f t="shared" si="33"/>
        <v>0</v>
      </c>
      <c r="AG199" s="2">
        <v>0</v>
      </c>
      <c r="AH199" s="5">
        <f t="shared" si="28"/>
        <v>0</v>
      </c>
      <c r="AJ199" s="126" t="e">
        <v>#N/A</v>
      </c>
      <c r="AK199" s="80">
        <f t="shared" si="34"/>
        <v>0</v>
      </c>
      <c r="AM199" s="85"/>
    </row>
    <row r="200" spans="1:39" hidden="1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29"/>
        <v>1864.210000000021</v>
      </c>
      <c r="X200" s="13">
        <f t="shared" si="26"/>
        <v>0</v>
      </c>
      <c r="Y200" s="13">
        <f t="shared" si="30"/>
        <v>0</v>
      </c>
      <c r="Z200" s="2">
        <v>0</v>
      </c>
      <c r="AA200" s="4">
        <v>0</v>
      </c>
      <c r="AB200" s="4">
        <f t="shared" si="31"/>
        <v>0</v>
      </c>
      <c r="AC200" s="6">
        <f t="shared" si="32"/>
        <v>0</v>
      </c>
      <c r="AD200" s="13">
        <f t="shared" si="27"/>
        <v>0</v>
      </c>
      <c r="AE200" s="2">
        <v>0.05</v>
      </c>
      <c r="AF200" s="5">
        <f t="shared" si="33"/>
        <v>0</v>
      </c>
      <c r="AG200" s="2">
        <v>0</v>
      </c>
      <c r="AH200" s="5">
        <f t="shared" si="28"/>
        <v>0</v>
      </c>
      <c r="AJ200" s="126" t="e">
        <v>#N/A</v>
      </c>
      <c r="AK200" s="80">
        <f t="shared" si="34"/>
        <v>0</v>
      </c>
      <c r="AM200" s="85"/>
    </row>
    <row r="201" spans="1:39" hidden="1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29"/>
        <v>11757.100000000022</v>
      </c>
      <c r="X201" s="13">
        <f t="shared" si="26"/>
        <v>0</v>
      </c>
      <c r="Y201" s="13">
        <f t="shared" si="30"/>
        <v>0</v>
      </c>
      <c r="Z201" s="2">
        <v>0</v>
      </c>
      <c r="AA201" s="4">
        <v>0</v>
      </c>
      <c r="AB201" s="4">
        <f t="shared" si="31"/>
        <v>0</v>
      </c>
      <c r="AC201" s="6">
        <f t="shared" si="32"/>
        <v>0</v>
      </c>
      <c r="AD201" s="13">
        <f t="shared" si="27"/>
        <v>0</v>
      </c>
      <c r="AE201" s="2">
        <v>0.05</v>
      </c>
      <c r="AF201" s="5">
        <f t="shared" si="33"/>
        <v>0</v>
      </c>
      <c r="AG201" s="2">
        <v>0</v>
      </c>
      <c r="AH201" s="5">
        <f t="shared" si="28"/>
        <v>0</v>
      </c>
      <c r="AJ201" s="126" t="e">
        <v>#N/A</v>
      </c>
      <c r="AK201" s="80">
        <f t="shared" si="34"/>
        <v>0</v>
      </c>
      <c r="AM201" s="85"/>
    </row>
    <row r="202" spans="1:39" hidden="1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29"/>
        <v>22848.750000000004</v>
      </c>
      <c r="X202" s="13">
        <f t="shared" si="26"/>
        <v>835.78095238095227</v>
      </c>
      <c r="Y202" s="13">
        <f t="shared" si="30"/>
        <v>0</v>
      </c>
      <c r="Z202" s="2">
        <v>0</v>
      </c>
      <c r="AA202" s="4">
        <v>0</v>
      </c>
      <c r="AB202" s="4">
        <f t="shared" si="31"/>
        <v>835.78095238095227</v>
      </c>
      <c r="AC202" s="6">
        <f t="shared" si="32"/>
        <v>41.789047619047665</v>
      </c>
      <c r="AD202" s="13">
        <f t="shared" si="27"/>
        <v>877.56999999999994</v>
      </c>
      <c r="AE202" s="2">
        <v>0.05</v>
      </c>
      <c r="AF202" s="5">
        <f t="shared" si="33"/>
        <v>43.878500000000003</v>
      </c>
      <c r="AG202" s="2">
        <v>0</v>
      </c>
      <c r="AH202" s="5">
        <f t="shared" si="28"/>
        <v>877.56999999999994</v>
      </c>
      <c r="AJ202" s="126" t="e">
        <v>#N/A</v>
      </c>
      <c r="AK202" s="80">
        <f t="shared" si="34"/>
        <v>0</v>
      </c>
      <c r="AM202" s="85"/>
    </row>
    <row r="203" spans="1:39" hidden="1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">
        <v>3707</v>
      </c>
      <c r="L203" s="1" t="s">
        <v>35</v>
      </c>
      <c r="M203" s="95"/>
      <c r="N203" s="3" t="s">
        <v>3708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26"/>
        <v>88833.224199999982</v>
      </c>
      <c r="Y203" s="13">
        <f t="shared" si="30"/>
        <v>0</v>
      </c>
      <c r="Z203" s="2">
        <v>0</v>
      </c>
      <c r="AA203" s="4">
        <v>0</v>
      </c>
      <c r="AB203" s="4">
        <f t="shared" si="31"/>
        <v>88833.224199999982</v>
      </c>
      <c r="AC203" s="6">
        <f t="shared" si="32"/>
        <v>5670.2058000000106</v>
      </c>
      <c r="AD203" s="13">
        <f t="shared" si="27"/>
        <v>94503.43</v>
      </c>
      <c r="AE203" s="2">
        <v>0.05</v>
      </c>
      <c r="AF203" s="5">
        <f t="shared" si="33"/>
        <v>4725.1714999999995</v>
      </c>
      <c r="AG203" s="2">
        <v>0</v>
      </c>
      <c r="AH203" s="5">
        <f t="shared" si="28"/>
        <v>94503.43</v>
      </c>
      <c r="AJ203" s="126" t="e">
        <v>#N/A</v>
      </c>
      <c r="AK203" s="80">
        <f t="shared" si="34"/>
        <v>0</v>
      </c>
      <c r="AM203" s="85"/>
    </row>
    <row r="204" spans="1:39" hidden="1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">
        <v>3712</v>
      </c>
      <c r="L204" s="1" t="s">
        <v>35</v>
      </c>
      <c r="M204" s="95"/>
      <c r="N204" s="3" t="s">
        <v>3729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29"/>
        <v>8919.66</v>
      </c>
      <c r="X204" s="13">
        <f t="shared" si="26"/>
        <v>0</v>
      </c>
      <c r="Y204" s="13">
        <f t="shared" si="30"/>
        <v>0</v>
      </c>
      <c r="Z204" s="2">
        <v>0</v>
      </c>
      <c r="AA204" s="4">
        <v>0</v>
      </c>
      <c r="AB204" s="4">
        <f t="shared" si="31"/>
        <v>0</v>
      </c>
      <c r="AC204" s="6">
        <f t="shared" si="32"/>
        <v>0</v>
      </c>
      <c r="AD204" s="13">
        <f t="shared" si="27"/>
        <v>0</v>
      </c>
      <c r="AE204" s="2">
        <v>0.05</v>
      </c>
      <c r="AF204" s="5">
        <f t="shared" si="33"/>
        <v>0</v>
      </c>
      <c r="AG204" s="2">
        <v>0</v>
      </c>
      <c r="AH204" s="5">
        <f t="shared" si="28"/>
        <v>0</v>
      </c>
      <c r="AJ204" s="126" t="e">
        <v>#N/A</v>
      </c>
      <c r="AK204" s="80">
        <f t="shared" si="34"/>
        <v>0</v>
      </c>
      <c r="AM204" s="85"/>
    </row>
    <row r="205" spans="1:39" hidden="1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29"/>
        <v>6840.6500000000015</v>
      </c>
      <c r="X205" s="13">
        <f t="shared" si="26"/>
        <v>0</v>
      </c>
      <c r="Y205" s="13">
        <f t="shared" si="30"/>
        <v>0</v>
      </c>
      <c r="Z205" s="2">
        <v>0</v>
      </c>
      <c r="AA205" s="4">
        <v>0</v>
      </c>
      <c r="AB205" s="4">
        <f t="shared" si="31"/>
        <v>0</v>
      </c>
      <c r="AC205" s="6">
        <f t="shared" si="32"/>
        <v>0</v>
      </c>
      <c r="AD205" s="13">
        <f t="shared" si="27"/>
        <v>0</v>
      </c>
      <c r="AE205" s="2">
        <v>0.05</v>
      </c>
      <c r="AF205" s="5">
        <f t="shared" si="33"/>
        <v>0</v>
      </c>
      <c r="AG205" s="2">
        <v>0</v>
      </c>
      <c r="AH205" s="5">
        <f t="shared" si="28"/>
        <v>0</v>
      </c>
      <c r="AJ205" s="126" t="e">
        <v>#N/A</v>
      </c>
      <c r="AK205" s="80">
        <f t="shared" si="34"/>
        <v>0</v>
      </c>
      <c r="AM205" s="85"/>
    </row>
    <row r="206" spans="1:39" hidden="1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">
        <v>3710</v>
      </c>
      <c r="L206" s="1" t="s">
        <v>35</v>
      </c>
      <c r="M206" s="95"/>
      <c r="N206" s="3" t="s">
        <v>3723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29"/>
        <v>52722.929999999978</v>
      </c>
      <c r="X206" s="13">
        <f t="shared" si="26"/>
        <v>0</v>
      </c>
      <c r="Y206" s="13">
        <f t="shared" si="30"/>
        <v>0</v>
      </c>
      <c r="Z206" s="2">
        <v>0</v>
      </c>
      <c r="AA206" s="4">
        <v>0</v>
      </c>
      <c r="AB206" s="4">
        <f t="shared" si="31"/>
        <v>0</v>
      </c>
      <c r="AC206" s="6">
        <f t="shared" si="32"/>
        <v>0</v>
      </c>
      <c r="AD206" s="13">
        <f t="shared" si="27"/>
        <v>0</v>
      </c>
      <c r="AE206" s="2">
        <v>0.05</v>
      </c>
      <c r="AF206" s="5">
        <f t="shared" si="33"/>
        <v>0</v>
      </c>
      <c r="AG206" s="2">
        <v>0</v>
      </c>
      <c r="AH206" s="5">
        <f t="shared" si="28"/>
        <v>0</v>
      </c>
      <c r="AJ206" s="126" t="e">
        <v>#N/A</v>
      </c>
      <c r="AK206" s="80">
        <f t="shared" si="34"/>
        <v>0</v>
      </c>
      <c r="AM206" s="85"/>
    </row>
    <row r="207" spans="1:39" hidden="1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29"/>
        <v>97275.820000000065</v>
      </c>
      <c r="X207" s="13">
        <f t="shared" si="26"/>
        <v>192476.7142857142</v>
      </c>
      <c r="Y207" s="13">
        <f t="shared" si="30"/>
        <v>0</v>
      </c>
      <c r="Z207" s="2">
        <v>0</v>
      </c>
      <c r="AA207" s="4">
        <v>0</v>
      </c>
      <c r="AB207" s="4">
        <f t="shared" si="31"/>
        <v>192476.7142857142</v>
      </c>
      <c r="AC207" s="6">
        <f t="shared" si="32"/>
        <v>9623.8357142857276</v>
      </c>
      <c r="AD207" s="13">
        <f t="shared" si="27"/>
        <v>202100.54999999993</v>
      </c>
      <c r="AE207" s="2">
        <v>0.05</v>
      </c>
      <c r="AF207" s="5">
        <f t="shared" si="33"/>
        <v>10105.027499999997</v>
      </c>
      <c r="AG207" s="2">
        <v>0</v>
      </c>
      <c r="AH207" s="5">
        <f t="shared" si="28"/>
        <v>202100.54999999993</v>
      </c>
      <c r="AJ207" s="126" t="e">
        <v>#N/A</v>
      </c>
      <c r="AK207" s="80">
        <f t="shared" si="34"/>
        <v>0</v>
      </c>
      <c r="AM207" s="85"/>
    </row>
    <row r="208" spans="1:39" hidden="1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29"/>
        <v>3138.33</v>
      </c>
      <c r="X208" s="13">
        <f t="shared" si="26"/>
        <v>0</v>
      </c>
      <c r="Y208" s="13">
        <f t="shared" si="30"/>
        <v>0</v>
      </c>
      <c r="Z208" s="2">
        <v>0</v>
      </c>
      <c r="AA208" s="4">
        <v>0</v>
      </c>
      <c r="AB208" s="4">
        <f t="shared" si="31"/>
        <v>0</v>
      </c>
      <c r="AC208" s="6">
        <f t="shared" si="32"/>
        <v>0</v>
      </c>
      <c r="AD208" s="13">
        <f t="shared" si="27"/>
        <v>0</v>
      </c>
      <c r="AE208" s="2">
        <v>0.05</v>
      </c>
      <c r="AF208" s="5">
        <f t="shared" si="33"/>
        <v>0</v>
      </c>
      <c r="AG208" s="2">
        <v>0</v>
      </c>
      <c r="AH208" s="5">
        <f t="shared" si="28"/>
        <v>0</v>
      </c>
      <c r="AJ208" s="126" t="e">
        <v>#N/A</v>
      </c>
      <c r="AK208" s="80">
        <f t="shared" si="34"/>
        <v>0</v>
      </c>
      <c r="AM208" s="85"/>
    </row>
    <row r="209" spans="1:39" hidden="1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">
        <v>3712</v>
      </c>
      <c r="L209" s="1" t="s">
        <v>35</v>
      </c>
      <c r="M209" s="95"/>
      <c r="N209" s="3" t="s">
        <v>3729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29"/>
        <v>0.1000000000349246</v>
      </c>
      <c r="X209" s="13">
        <f t="shared" si="26"/>
        <v>0</v>
      </c>
      <c r="Y209" s="13">
        <f t="shared" si="30"/>
        <v>0</v>
      </c>
      <c r="Z209" s="2">
        <v>0</v>
      </c>
      <c r="AA209" s="4">
        <v>0</v>
      </c>
      <c r="AB209" s="4">
        <f t="shared" si="31"/>
        <v>0</v>
      </c>
      <c r="AC209" s="6">
        <f t="shared" si="32"/>
        <v>0</v>
      </c>
      <c r="AD209" s="13">
        <f t="shared" si="27"/>
        <v>0</v>
      </c>
      <c r="AE209" s="2">
        <v>0.05</v>
      </c>
      <c r="AF209" s="5">
        <f t="shared" si="33"/>
        <v>0</v>
      </c>
      <c r="AG209" s="2">
        <v>0</v>
      </c>
      <c r="AH209" s="5">
        <f t="shared" si="28"/>
        <v>0</v>
      </c>
      <c r="AJ209" s="126" t="e">
        <v>#N/A</v>
      </c>
      <c r="AK209" s="80">
        <f t="shared" si="34"/>
        <v>0</v>
      </c>
      <c r="AM209" s="85"/>
    </row>
    <row r="210" spans="1:39" hidden="1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">
        <v>3712</v>
      </c>
      <c r="L210" s="1" t="s">
        <v>35</v>
      </c>
      <c r="M210" s="95"/>
      <c r="N210" s="3" t="s">
        <v>3729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29"/>
        <v>468.08000000000175</v>
      </c>
      <c r="X210" s="13">
        <f t="shared" si="26"/>
        <v>0</v>
      </c>
      <c r="Y210" s="13">
        <f t="shared" si="30"/>
        <v>0</v>
      </c>
      <c r="Z210" s="2">
        <v>0</v>
      </c>
      <c r="AA210" s="4">
        <v>0</v>
      </c>
      <c r="AB210" s="4"/>
      <c r="AC210" s="6">
        <f t="shared" si="32"/>
        <v>0</v>
      </c>
      <c r="AD210" s="13">
        <f t="shared" si="27"/>
        <v>0</v>
      </c>
      <c r="AE210" s="2">
        <v>0.05</v>
      </c>
      <c r="AF210" s="5">
        <f t="shared" si="33"/>
        <v>0</v>
      </c>
      <c r="AG210" s="2">
        <v>0</v>
      </c>
      <c r="AH210" s="5">
        <f t="shared" si="28"/>
        <v>0</v>
      </c>
      <c r="AJ210" s="126">
        <v>95</v>
      </c>
      <c r="AK210" s="80">
        <f t="shared" si="34"/>
        <v>0</v>
      </c>
      <c r="AM210" s="85"/>
    </row>
    <row r="211" spans="1:39" hidden="1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">
        <v>3712</v>
      </c>
      <c r="L211" s="1" t="s">
        <v>35</v>
      </c>
      <c r="M211" s="95"/>
      <c r="N211" s="3" t="s">
        <v>3729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29"/>
        <v>16146.760000000018</v>
      </c>
      <c r="X211" s="13">
        <f t="shared" ref="X211:X274" si="35">IF(P211="折扣",V211*Q211,IF(P211="返现",V211,V211/(1+Q211)))</f>
        <v>0</v>
      </c>
      <c r="Y211" s="13">
        <f t="shared" si="30"/>
        <v>0</v>
      </c>
      <c r="Z211" s="2">
        <v>0</v>
      </c>
      <c r="AA211" s="4">
        <v>0</v>
      </c>
      <c r="AB211" s="4">
        <f t="shared" si="31"/>
        <v>0</v>
      </c>
      <c r="AC211" s="6">
        <f t="shared" si="32"/>
        <v>0</v>
      </c>
      <c r="AD211" s="13">
        <f t="shared" ref="AD211:AD274" si="36">V211</f>
        <v>0</v>
      </c>
      <c r="AE211" s="2">
        <v>0.05</v>
      </c>
      <c r="AF211" s="5">
        <f t="shared" si="33"/>
        <v>0</v>
      </c>
      <c r="AG211" s="2">
        <v>0</v>
      </c>
      <c r="AH211" s="5">
        <f t="shared" ref="AH211:AH274" si="37">V211</f>
        <v>0</v>
      </c>
      <c r="AJ211" s="126" t="e">
        <v>#N/A</v>
      </c>
      <c r="AK211" s="80">
        <f t="shared" si="34"/>
        <v>0</v>
      </c>
      <c r="AM211" s="85"/>
    </row>
    <row r="212" spans="1:39" hidden="1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38">T212+U212-V212</f>
        <v>4.3182790676610239E-11</v>
      </c>
      <c r="X212" s="13">
        <f t="shared" si="35"/>
        <v>3.6601941747572813</v>
      </c>
      <c r="Y212" s="13">
        <f t="shared" si="30"/>
        <v>0</v>
      </c>
      <c r="Z212" s="2">
        <v>0</v>
      </c>
      <c r="AA212" s="4">
        <v>0</v>
      </c>
      <c r="AB212" s="4">
        <f t="shared" si="31"/>
        <v>3.6601941747572813</v>
      </c>
      <c r="AC212" s="6">
        <f t="shared" si="32"/>
        <v>0.10980582524271876</v>
      </c>
      <c r="AD212" s="13">
        <f t="shared" si="36"/>
        <v>3.77</v>
      </c>
      <c r="AE212" s="2">
        <v>0.05</v>
      </c>
      <c r="AF212" s="5">
        <f t="shared" si="33"/>
        <v>0.1885</v>
      </c>
      <c r="AG212" s="2">
        <v>0</v>
      </c>
      <c r="AH212" s="5">
        <f t="shared" si="37"/>
        <v>3.77</v>
      </c>
      <c r="AJ212" s="126" t="e">
        <v>#N/A</v>
      </c>
      <c r="AK212" s="80">
        <f t="shared" si="34"/>
        <v>0</v>
      </c>
      <c r="AM212" s="85"/>
    </row>
    <row r="213" spans="1:39" hidden="1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38"/>
        <v>25609.800000000287</v>
      </c>
      <c r="X213" s="13">
        <f t="shared" si="35"/>
        <v>0</v>
      </c>
      <c r="Y213" s="13">
        <f t="shared" si="30"/>
        <v>0</v>
      </c>
      <c r="Z213" s="2">
        <v>0</v>
      </c>
      <c r="AA213" s="4">
        <v>0</v>
      </c>
      <c r="AB213" s="4">
        <f t="shared" si="31"/>
        <v>0</v>
      </c>
      <c r="AC213" s="6">
        <f t="shared" si="32"/>
        <v>0</v>
      </c>
      <c r="AD213" s="13">
        <f t="shared" si="36"/>
        <v>0</v>
      </c>
      <c r="AE213" s="2">
        <v>0.05</v>
      </c>
      <c r="AF213" s="5">
        <f t="shared" si="33"/>
        <v>0</v>
      </c>
      <c r="AG213" s="2">
        <v>0</v>
      </c>
      <c r="AH213" s="5">
        <f t="shared" si="37"/>
        <v>0</v>
      </c>
      <c r="AJ213" s="126" t="e">
        <v>#N/A</v>
      </c>
      <c r="AK213" s="80">
        <f t="shared" si="34"/>
        <v>0</v>
      </c>
      <c r="AM213" s="85"/>
    </row>
    <row r="214" spans="1:39" hidden="1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">
        <v>3712</v>
      </c>
      <c r="L214" s="1" t="s">
        <v>35</v>
      </c>
      <c r="M214" s="95"/>
      <c r="N214" s="3" t="s">
        <v>3729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38"/>
        <v>6946.6599999999698</v>
      </c>
      <c r="X214" s="13">
        <f t="shared" si="35"/>
        <v>0</v>
      </c>
      <c r="Y214" s="13">
        <f t="shared" si="30"/>
        <v>0</v>
      </c>
      <c r="Z214" s="2">
        <v>0</v>
      </c>
      <c r="AA214" s="4">
        <v>0</v>
      </c>
      <c r="AB214" s="4">
        <f t="shared" si="31"/>
        <v>0</v>
      </c>
      <c r="AC214" s="6">
        <f t="shared" si="32"/>
        <v>0</v>
      </c>
      <c r="AD214" s="13">
        <f t="shared" si="36"/>
        <v>0</v>
      </c>
      <c r="AE214" s="2">
        <v>0.05</v>
      </c>
      <c r="AF214" s="5">
        <f t="shared" si="33"/>
        <v>0</v>
      </c>
      <c r="AG214" s="2">
        <v>0</v>
      </c>
      <c r="AH214" s="5">
        <f t="shared" si="37"/>
        <v>0</v>
      </c>
      <c r="AJ214" s="126" t="e">
        <v>#N/A</v>
      </c>
      <c r="AK214" s="80">
        <f t="shared" si="34"/>
        <v>0</v>
      </c>
      <c r="AM214" s="85"/>
    </row>
    <row r="215" spans="1:39" hidden="1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">
        <v>3712</v>
      </c>
      <c r="L215" s="1" t="s">
        <v>35</v>
      </c>
      <c r="M215" s="95"/>
      <c r="N215" s="3" t="s">
        <v>3729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38"/>
        <v>53361.72</v>
      </c>
      <c r="X215" s="13">
        <f t="shared" si="35"/>
        <v>0</v>
      </c>
      <c r="Y215" s="13">
        <f t="shared" si="30"/>
        <v>0</v>
      </c>
      <c r="Z215" s="2">
        <v>0</v>
      </c>
      <c r="AA215" s="4">
        <v>0</v>
      </c>
      <c r="AB215" s="4">
        <f t="shared" si="31"/>
        <v>0</v>
      </c>
      <c r="AC215" s="6">
        <f t="shared" si="32"/>
        <v>0</v>
      </c>
      <c r="AD215" s="13">
        <f t="shared" si="36"/>
        <v>0</v>
      </c>
      <c r="AE215" s="2">
        <v>0.05</v>
      </c>
      <c r="AF215" s="5">
        <f t="shared" si="33"/>
        <v>0</v>
      </c>
      <c r="AG215" s="2">
        <v>0</v>
      </c>
      <c r="AH215" s="5">
        <f t="shared" si="37"/>
        <v>0</v>
      </c>
      <c r="AJ215" s="126" t="e">
        <v>#N/A</v>
      </c>
      <c r="AK215" s="80">
        <f t="shared" si="34"/>
        <v>0</v>
      </c>
      <c r="AM215" s="85"/>
    </row>
    <row r="216" spans="1:39" hidden="1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">
        <v>3712</v>
      </c>
      <c r="L216" s="1" t="s">
        <v>35</v>
      </c>
      <c r="M216" s="95"/>
      <c r="N216" s="3" t="s">
        <v>3729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38"/>
        <v>1889.01999999999</v>
      </c>
      <c r="X216" s="13">
        <f t="shared" si="35"/>
        <v>0</v>
      </c>
      <c r="Y216" s="13">
        <f t="shared" si="30"/>
        <v>0</v>
      </c>
      <c r="Z216" s="2">
        <v>0</v>
      </c>
      <c r="AA216" s="4">
        <v>0</v>
      </c>
      <c r="AB216" s="4">
        <f t="shared" si="31"/>
        <v>0</v>
      </c>
      <c r="AC216" s="6">
        <f t="shared" si="32"/>
        <v>0</v>
      </c>
      <c r="AD216" s="13">
        <f t="shared" si="36"/>
        <v>0</v>
      </c>
      <c r="AE216" s="2">
        <v>0.05</v>
      </c>
      <c r="AF216" s="5">
        <f t="shared" si="33"/>
        <v>0</v>
      </c>
      <c r="AG216" s="2">
        <v>0</v>
      </c>
      <c r="AH216" s="5">
        <f t="shared" si="37"/>
        <v>0</v>
      </c>
      <c r="AJ216" s="126" t="e">
        <v>#N/A</v>
      </c>
      <c r="AK216" s="80">
        <f t="shared" si="34"/>
        <v>0</v>
      </c>
      <c r="AM216" s="85"/>
    </row>
    <row r="217" spans="1:39" hidden="1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">
        <v>3712</v>
      </c>
      <c r="L217" s="1" t="s">
        <v>35</v>
      </c>
      <c r="M217" s="95"/>
      <c r="N217" s="3" t="s">
        <v>3729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38"/>
        <v>11492.549999999996</v>
      </c>
      <c r="X217" s="13">
        <f t="shared" si="35"/>
        <v>0</v>
      </c>
      <c r="Y217" s="13">
        <f t="shared" si="30"/>
        <v>0</v>
      </c>
      <c r="Z217" s="2">
        <v>0</v>
      </c>
      <c r="AA217" s="4">
        <v>0</v>
      </c>
      <c r="AB217" s="4">
        <f t="shared" si="31"/>
        <v>0</v>
      </c>
      <c r="AC217" s="6">
        <f t="shared" si="32"/>
        <v>0</v>
      </c>
      <c r="AD217" s="13">
        <f t="shared" si="36"/>
        <v>0</v>
      </c>
      <c r="AE217" s="2">
        <v>0.05</v>
      </c>
      <c r="AF217" s="5">
        <f t="shared" si="33"/>
        <v>0</v>
      </c>
      <c r="AG217" s="2">
        <v>0</v>
      </c>
      <c r="AH217" s="5">
        <f t="shared" si="37"/>
        <v>0</v>
      </c>
      <c r="AJ217" s="126" t="e">
        <v>#N/A</v>
      </c>
      <c r="AK217" s="80">
        <f t="shared" si="34"/>
        <v>0</v>
      </c>
      <c r="AM217" s="85"/>
    </row>
    <row r="218" spans="1:39" hidden="1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">
        <v>3712</v>
      </c>
      <c r="L218" s="1" t="s">
        <v>35</v>
      </c>
      <c r="M218" s="95"/>
      <c r="N218" s="3" t="s">
        <v>3729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38"/>
        <v>0</v>
      </c>
      <c r="X218" s="13">
        <f t="shared" si="35"/>
        <v>0</v>
      </c>
      <c r="Y218" s="13">
        <f t="shared" si="30"/>
        <v>0</v>
      </c>
      <c r="Z218" s="2">
        <v>0</v>
      </c>
      <c r="AA218" s="4">
        <v>0</v>
      </c>
      <c r="AB218" s="4">
        <f t="shared" si="31"/>
        <v>0</v>
      </c>
      <c r="AC218" s="6">
        <f t="shared" si="32"/>
        <v>0</v>
      </c>
      <c r="AD218" s="13">
        <f t="shared" si="36"/>
        <v>0</v>
      </c>
      <c r="AE218" s="2">
        <v>0.05</v>
      </c>
      <c r="AF218" s="5">
        <f t="shared" si="33"/>
        <v>0</v>
      </c>
      <c r="AG218" s="2">
        <v>0</v>
      </c>
      <c r="AH218" s="5">
        <f t="shared" si="37"/>
        <v>0</v>
      </c>
      <c r="AJ218" s="126" t="e">
        <v>#N/A</v>
      </c>
      <c r="AK218" s="80">
        <f t="shared" si="34"/>
        <v>0</v>
      </c>
      <c r="AM218" s="85"/>
    </row>
    <row r="219" spans="1:39" hidden="1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">
        <v>3712</v>
      </c>
      <c r="L219" s="1" t="s">
        <v>35</v>
      </c>
      <c r="M219" s="95"/>
      <c r="N219" s="3" t="s">
        <v>3729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38"/>
        <v>0.60999999998603005</v>
      </c>
      <c r="X219" s="13">
        <f t="shared" si="35"/>
        <v>0</v>
      </c>
      <c r="Y219" s="13">
        <f t="shared" si="30"/>
        <v>0</v>
      </c>
      <c r="Z219" s="2">
        <v>0</v>
      </c>
      <c r="AA219" s="4">
        <v>0</v>
      </c>
      <c r="AB219" s="4">
        <f t="shared" si="31"/>
        <v>0</v>
      </c>
      <c r="AC219" s="6">
        <f t="shared" si="32"/>
        <v>0</v>
      </c>
      <c r="AD219" s="13">
        <f t="shared" si="36"/>
        <v>0</v>
      </c>
      <c r="AE219" s="2">
        <v>0.05</v>
      </c>
      <c r="AF219" s="5">
        <f t="shared" si="33"/>
        <v>0</v>
      </c>
      <c r="AG219" s="2">
        <v>0</v>
      </c>
      <c r="AH219" s="5">
        <f t="shared" si="37"/>
        <v>0</v>
      </c>
      <c r="AJ219" s="126" t="e">
        <v>#N/A</v>
      </c>
      <c r="AK219" s="80">
        <f t="shared" si="34"/>
        <v>0</v>
      </c>
      <c r="AM219" s="85"/>
    </row>
    <row r="220" spans="1:39" hidden="1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">
        <v>3712</v>
      </c>
      <c r="L220" s="1" t="s">
        <v>35</v>
      </c>
      <c r="M220" s="95"/>
      <c r="N220" s="3" t="s">
        <v>3729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38"/>
        <v>46636.04</v>
      </c>
      <c r="X220" s="13">
        <f t="shared" si="35"/>
        <v>0</v>
      </c>
      <c r="Y220" s="13">
        <f t="shared" si="30"/>
        <v>0</v>
      </c>
      <c r="Z220" s="2">
        <v>0</v>
      </c>
      <c r="AA220" s="4">
        <v>0</v>
      </c>
      <c r="AB220" s="4">
        <f t="shared" si="31"/>
        <v>0</v>
      </c>
      <c r="AC220" s="6">
        <f t="shared" si="32"/>
        <v>0</v>
      </c>
      <c r="AD220" s="13">
        <f t="shared" si="36"/>
        <v>0</v>
      </c>
      <c r="AE220" s="2">
        <v>0.05</v>
      </c>
      <c r="AF220" s="5">
        <f t="shared" si="33"/>
        <v>0</v>
      </c>
      <c r="AG220" s="2">
        <v>0</v>
      </c>
      <c r="AH220" s="5">
        <f t="shared" si="37"/>
        <v>0</v>
      </c>
      <c r="AJ220" s="126" t="e">
        <v>#N/A</v>
      </c>
      <c r="AK220" s="80">
        <f t="shared" si="34"/>
        <v>0</v>
      </c>
      <c r="AM220" s="85"/>
    </row>
    <row r="221" spans="1:39" hidden="1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">
        <v>3712</v>
      </c>
      <c r="L221" s="1" t="s">
        <v>35</v>
      </c>
      <c r="M221" s="95"/>
      <c r="N221" s="3" t="s">
        <v>3729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38"/>
        <v>21919.17</v>
      </c>
      <c r="X221" s="13">
        <f t="shared" si="35"/>
        <v>0</v>
      </c>
      <c r="Y221" s="13">
        <f t="shared" si="30"/>
        <v>0</v>
      </c>
      <c r="Z221" s="2">
        <v>0</v>
      </c>
      <c r="AA221" s="4">
        <v>0</v>
      </c>
      <c r="AB221" s="4">
        <f t="shared" si="31"/>
        <v>0</v>
      </c>
      <c r="AC221" s="6">
        <f t="shared" si="32"/>
        <v>0</v>
      </c>
      <c r="AD221" s="13">
        <f t="shared" si="36"/>
        <v>0</v>
      </c>
      <c r="AE221" s="2">
        <v>0.05</v>
      </c>
      <c r="AF221" s="5">
        <f t="shared" si="33"/>
        <v>0</v>
      </c>
      <c r="AG221" s="2">
        <v>0</v>
      </c>
      <c r="AH221" s="5">
        <f t="shared" si="37"/>
        <v>0</v>
      </c>
      <c r="AJ221" s="126" t="e">
        <v>#N/A</v>
      </c>
      <c r="AK221" s="80">
        <f t="shared" si="34"/>
        <v>0</v>
      </c>
      <c r="AM221" s="85"/>
    </row>
    <row r="222" spans="1:39" hidden="1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">
        <v>3712</v>
      </c>
      <c r="L222" s="1" t="s">
        <v>35</v>
      </c>
      <c r="M222" s="95"/>
      <c r="N222" s="3" t="s">
        <v>3729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38"/>
        <v>18345.28</v>
      </c>
      <c r="X222" s="13">
        <f t="shared" si="35"/>
        <v>0</v>
      </c>
      <c r="Y222" s="13">
        <f t="shared" si="30"/>
        <v>0</v>
      </c>
      <c r="Z222" s="2">
        <v>0</v>
      </c>
      <c r="AA222" s="4">
        <v>0</v>
      </c>
      <c r="AB222" s="4">
        <f t="shared" si="31"/>
        <v>0</v>
      </c>
      <c r="AC222" s="6">
        <f t="shared" si="32"/>
        <v>0</v>
      </c>
      <c r="AD222" s="13">
        <f t="shared" si="36"/>
        <v>0</v>
      </c>
      <c r="AE222" s="2">
        <v>0.05</v>
      </c>
      <c r="AF222" s="5">
        <f t="shared" si="33"/>
        <v>0</v>
      </c>
      <c r="AG222" s="2">
        <v>0</v>
      </c>
      <c r="AH222" s="5">
        <f t="shared" si="37"/>
        <v>0</v>
      </c>
      <c r="AJ222" s="126" t="e">
        <v>#N/A</v>
      </c>
      <c r="AK222" s="80">
        <f t="shared" si="34"/>
        <v>0</v>
      </c>
      <c r="AM222" s="85"/>
    </row>
    <row r="223" spans="1:39" hidden="1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">
        <v>3710</v>
      </c>
      <c r="L223" s="1" t="s">
        <v>35</v>
      </c>
      <c r="M223" s="95"/>
      <c r="N223" s="3" t="s">
        <v>3714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38"/>
        <v>0</v>
      </c>
      <c r="X223" s="13">
        <f t="shared" si="35"/>
        <v>952.38095238095229</v>
      </c>
      <c r="Y223" s="13">
        <f t="shared" si="30"/>
        <v>0</v>
      </c>
      <c r="Z223" s="2">
        <v>0</v>
      </c>
      <c r="AA223" s="4">
        <v>0</v>
      </c>
      <c r="AB223" s="4">
        <f t="shared" si="31"/>
        <v>952.38095238095229</v>
      </c>
      <c r="AC223" s="6">
        <f t="shared" si="32"/>
        <v>47.619047619047706</v>
      </c>
      <c r="AD223" s="13">
        <f t="shared" si="36"/>
        <v>1000</v>
      </c>
      <c r="AE223" s="2">
        <v>0.05</v>
      </c>
      <c r="AF223" s="5">
        <f t="shared" si="33"/>
        <v>50</v>
      </c>
      <c r="AG223" s="2">
        <v>0</v>
      </c>
      <c r="AH223" s="5">
        <f t="shared" si="37"/>
        <v>1000</v>
      </c>
      <c r="AJ223" s="126" t="e">
        <v>#N/A</v>
      </c>
      <c r="AK223" s="80">
        <f t="shared" si="34"/>
        <v>0</v>
      </c>
      <c r="AM223" s="85"/>
    </row>
    <row r="224" spans="1:39" hidden="1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">
        <v>3712</v>
      </c>
      <c r="L224" s="1" t="s">
        <v>35</v>
      </c>
      <c r="M224" s="95"/>
      <c r="N224" s="3" t="s">
        <v>3713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38"/>
        <v>68719.03</v>
      </c>
      <c r="X224" s="13">
        <f t="shared" si="35"/>
        <v>0</v>
      </c>
      <c r="Y224" s="13">
        <f t="shared" si="30"/>
        <v>0</v>
      </c>
      <c r="Z224" s="2">
        <v>0</v>
      </c>
      <c r="AA224" s="4">
        <v>0</v>
      </c>
      <c r="AB224" s="4">
        <f t="shared" si="31"/>
        <v>0</v>
      </c>
      <c r="AC224" s="6">
        <f t="shared" si="32"/>
        <v>0</v>
      </c>
      <c r="AD224" s="13">
        <f t="shared" si="36"/>
        <v>0</v>
      </c>
      <c r="AE224" s="2">
        <v>0.05</v>
      </c>
      <c r="AF224" s="5">
        <f t="shared" si="33"/>
        <v>0</v>
      </c>
      <c r="AG224" s="2">
        <v>0</v>
      </c>
      <c r="AH224" s="5">
        <f t="shared" si="37"/>
        <v>0</v>
      </c>
      <c r="AJ224" s="126" t="e">
        <v>#N/A</v>
      </c>
      <c r="AK224" s="80">
        <f t="shared" si="34"/>
        <v>0</v>
      </c>
      <c r="AM224" s="85"/>
    </row>
    <row r="225" spans="1:39" hidden="1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">
        <v>3710</v>
      </c>
      <c r="L225" s="1" t="s">
        <v>35</v>
      </c>
      <c r="M225" s="95"/>
      <c r="N225" s="3" t="s">
        <v>3714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38"/>
        <v>0</v>
      </c>
      <c r="X225" s="13">
        <f t="shared" si="35"/>
        <v>600000</v>
      </c>
      <c r="Y225" s="13">
        <f t="shared" si="30"/>
        <v>0</v>
      </c>
      <c r="Z225" s="2">
        <v>0</v>
      </c>
      <c r="AA225" s="4">
        <v>0</v>
      </c>
      <c r="AB225" s="4">
        <f t="shared" si="31"/>
        <v>600000</v>
      </c>
      <c r="AC225" s="6">
        <f t="shared" si="32"/>
        <v>0</v>
      </c>
      <c r="AD225" s="13">
        <f t="shared" si="36"/>
        <v>600000</v>
      </c>
      <c r="AE225" s="2">
        <v>0.05</v>
      </c>
      <c r="AF225" s="5">
        <f t="shared" si="33"/>
        <v>30000</v>
      </c>
      <c r="AG225" s="2">
        <v>0</v>
      </c>
      <c r="AH225" s="5">
        <f t="shared" si="37"/>
        <v>600000</v>
      </c>
      <c r="AJ225" s="126" t="e">
        <v>#N/A</v>
      </c>
      <c r="AK225" s="80">
        <f t="shared" si="34"/>
        <v>0</v>
      </c>
      <c r="AM225" s="85"/>
    </row>
    <row r="226" spans="1:39" hidden="1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">
        <v>3712</v>
      </c>
      <c r="L226" s="1" t="s">
        <v>35</v>
      </c>
      <c r="M226" s="95"/>
      <c r="N226" s="3" t="s">
        <v>3729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38"/>
        <v>593579.56000000006</v>
      </c>
      <c r="X226" s="13">
        <f t="shared" si="35"/>
        <v>0</v>
      </c>
      <c r="Y226" s="13">
        <f t="shared" si="30"/>
        <v>0</v>
      </c>
      <c r="Z226" s="2">
        <v>0</v>
      </c>
      <c r="AA226" s="4">
        <v>0</v>
      </c>
      <c r="AB226" s="4">
        <f t="shared" si="31"/>
        <v>0</v>
      </c>
      <c r="AC226" s="6">
        <f t="shared" si="32"/>
        <v>0</v>
      </c>
      <c r="AD226" s="13">
        <f t="shared" si="36"/>
        <v>0</v>
      </c>
      <c r="AE226" s="2">
        <v>0.05</v>
      </c>
      <c r="AF226" s="5">
        <f t="shared" si="33"/>
        <v>0</v>
      </c>
      <c r="AG226" s="2">
        <v>0</v>
      </c>
      <c r="AH226" s="5">
        <f t="shared" si="37"/>
        <v>0</v>
      </c>
      <c r="AJ226" s="126" t="e">
        <v>#N/A</v>
      </c>
      <c r="AK226" s="80">
        <f t="shared" si="34"/>
        <v>0</v>
      </c>
      <c r="AM226" s="85"/>
    </row>
    <row r="227" spans="1:39" hidden="1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">
        <v>3712</v>
      </c>
      <c r="L227" s="1" t="s">
        <v>35</v>
      </c>
      <c r="M227" s="95"/>
      <c r="N227" s="3" t="s">
        <v>3729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38"/>
        <v>1035.29</v>
      </c>
      <c r="X227" s="13">
        <f t="shared" si="35"/>
        <v>0</v>
      </c>
      <c r="Y227" s="13">
        <f t="shared" si="30"/>
        <v>0</v>
      </c>
      <c r="Z227" s="2">
        <v>0</v>
      </c>
      <c r="AA227" s="4">
        <v>0</v>
      </c>
      <c r="AB227" s="4"/>
      <c r="AC227" s="6">
        <f t="shared" si="32"/>
        <v>0</v>
      </c>
      <c r="AD227" s="13">
        <f t="shared" si="36"/>
        <v>0</v>
      </c>
      <c r="AE227" s="2">
        <v>0.05</v>
      </c>
      <c r="AF227" s="5">
        <f t="shared" si="33"/>
        <v>0</v>
      </c>
      <c r="AG227" s="2">
        <v>0</v>
      </c>
      <c r="AH227" s="5">
        <f t="shared" si="37"/>
        <v>0</v>
      </c>
      <c r="AJ227" s="126">
        <v>47</v>
      </c>
      <c r="AK227" s="80">
        <f t="shared" si="34"/>
        <v>0</v>
      </c>
      <c r="AM227" s="85"/>
    </row>
    <row r="228" spans="1:39" hidden="1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">
        <v>3712</v>
      </c>
      <c r="L228" s="1" t="s">
        <v>35</v>
      </c>
      <c r="M228" s="95"/>
      <c r="N228" s="3" t="s">
        <v>3729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38"/>
        <v>3723.67</v>
      </c>
      <c r="X228" s="13">
        <f t="shared" si="35"/>
        <v>0</v>
      </c>
      <c r="Y228" s="13">
        <f t="shared" si="30"/>
        <v>0</v>
      </c>
      <c r="Z228" s="2">
        <v>0</v>
      </c>
      <c r="AA228" s="4">
        <v>0</v>
      </c>
      <c r="AB228" s="4"/>
      <c r="AC228" s="6">
        <f t="shared" si="32"/>
        <v>0</v>
      </c>
      <c r="AD228" s="13">
        <f t="shared" si="36"/>
        <v>0</v>
      </c>
      <c r="AE228" s="2">
        <v>0.05</v>
      </c>
      <c r="AF228" s="5">
        <f t="shared" si="33"/>
        <v>0</v>
      </c>
      <c r="AG228" s="2">
        <v>0</v>
      </c>
      <c r="AH228" s="5">
        <f t="shared" si="37"/>
        <v>0</v>
      </c>
      <c r="AJ228" s="126">
        <v>48</v>
      </c>
      <c r="AK228" s="80">
        <f t="shared" si="34"/>
        <v>0</v>
      </c>
      <c r="AM228" s="85"/>
    </row>
    <row r="229" spans="1:39" hidden="1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">
        <v>3712</v>
      </c>
      <c r="L229" s="1" t="s">
        <v>35</v>
      </c>
      <c r="M229" s="95"/>
      <c r="N229" s="3" t="s">
        <v>3729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38"/>
        <v>9</v>
      </c>
      <c r="X229" s="13">
        <f t="shared" si="35"/>
        <v>0</v>
      </c>
      <c r="Y229" s="13">
        <f t="shared" si="30"/>
        <v>0</v>
      </c>
      <c r="Z229" s="2">
        <v>0</v>
      </c>
      <c r="AA229" s="4">
        <v>0</v>
      </c>
      <c r="AB229" s="4">
        <f t="shared" si="31"/>
        <v>0</v>
      </c>
      <c r="AC229" s="6">
        <f t="shared" si="32"/>
        <v>0</v>
      </c>
      <c r="AD229" s="13">
        <f t="shared" si="36"/>
        <v>0</v>
      </c>
      <c r="AE229" s="2">
        <v>0.05</v>
      </c>
      <c r="AF229" s="5">
        <f t="shared" si="33"/>
        <v>0</v>
      </c>
      <c r="AG229" s="2">
        <v>0</v>
      </c>
      <c r="AH229" s="5">
        <f t="shared" si="37"/>
        <v>0</v>
      </c>
      <c r="AJ229" s="126" t="e">
        <v>#N/A</v>
      </c>
      <c r="AK229" s="80">
        <f t="shared" si="34"/>
        <v>0</v>
      </c>
      <c r="AM229" s="85"/>
    </row>
    <row r="230" spans="1:39" hidden="1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38"/>
        <v>31038.160000000102</v>
      </c>
      <c r="X230" s="13">
        <f t="shared" si="35"/>
        <v>0</v>
      </c>
      <c r="Y230" s="13">
        <f t="shared" si="30"/>
        <v>0</v>
      </c>
      <c r="Z230" s="2">
        <v>0</v>
      </c>
      <c r="AA230" s="4">
        <v>0</v>
      </c>
      <c r="AB230" s="4">
        <f t="shared" si="31"/>
        <v>0</v>
      </c>
      <c r="AC230" s="6">
        <f t="shared" si="32"/>
        <v>0</v>
      </c>
      <c r="AD230" s="13">
        <f t="shared" si="36"/>
        <v>0</v>
      </c>
      <c r="AE230" s="2">
        <v>0.05</v>
      </c>
      <c r="AF230" s="5">
        <f t="shared" si="33"/>
        <v>0</v>
      </c>
      <c r="AG230" s="2">
        <v>0</v>
      </c>
      <c r="AH230" s="5">
        <f t="shared" si="37"/>
        <v>0</v>
      </c>
      <c r="AJ230" s="126" t="e">
        <v>#N/A</v>
      </c>
      <c r="AK230" s="80">
        <f t="shared" si="34"/>
        <v>0</v>
      </c>
      <c r="AM230" s="85"/>
    </row>
    <row r="231" spans="1:39" hidden="1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38"/>
        <v>1049.2</v>
      </c>
      <c r="X231" s="13">
        <f t="shared" si="35"/>
        <v>0</v>
      </c>
      <c r="Y231" s="13">
        <f t="shared" si="30"/>
        <v>0</v>
      </c>
      <c r="Z231" s="2">
        <v>0</v>
      </c>
      <c r="AA231" s="4">
        <v>0</v>
      </c>
      <c r="AB231" s="4">
        <f t="shared" si="31"/>
        <v>0</v>
      </c>
      <c r="AC231" s="6">
        <f t="shared" si="32"/>
        <v>0</v>
      </c>
      <c r="AD231" s="13">
        <f t="shared" si="36"/>
        <v>0</v>
      </c>
      <c r="AE231" s="2">
        <v>0.05</v>
      </c>
      <c r="AF231" s="5">
        <f t="shared" si="33"/>
        <v>0</v>
      </c>
      <c r="AG231" s="2">
        <v>0</v>
      </c>
      <c r="AH231" s="5">
        <f t="shared" si="37"/>
        <v>0</v>
      </c>
      <c r="AJ231" s="126" t="e">
        <v>#N/A</v>
      </c>
      <c r="AK231" s="80">
        <f t="shared" si="34"/>
        <v>0</v>
      </c>
      <c r="AM231" s="85"/>
    </row>
    <row r="232" spans="1:39" hidden="1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38"/>
        <v>1446.59</v>
      </c>
      <c r="X232" s="13">
        <f t="shared" si="35"/>
        <v>0</v>
      </c>
      <c r="Y232" s="13">
        <f t="shared" si="30"/>
        <v>0</v>
      </c>
      <c r="Z232" s="2">
        <v>0</v>
      </c>
      <c r="AA232" s="4">
        <v>0</v>
      </c>
      <c r="AB232" s="4">
        <f t="shared" si="31"/>
        <v>0</v>
      </c>
      <c r="AC232" s="6">
        <f t="shared" si="32"/>
        <v>0</v>
      </c>
      <c r="AD232" s="13">
        <f t="shared" si="36"/>
        <v>0</v>
      </c>
      <c r="AE232" s="2">
        <v>0.05</v>
      </c>
      <c r="AF232" s="5">
        <f t="shared" si="33"/>
        <v>0</v>
      </c>
      <c r="AG232" s="2">
        <v>0</v>
      </c>
      <c r="AH232" s="5">
        <f t="shared" si="37"/>
        <v>0</v>
      </c>
      <c r="AJ232" s="126" t="e">
        <v>#N/A</v>
      </c>
      <c r="AK232" s="80">
        <f t="shared" si="34"/>
        <v>0</v>
      </c>
      <c r="AM232" s="85"/>
    </row>
    <row r="233" spans="1:39" hidden="1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38"/>
        <v>7114.5599999999931</v>
      </c>
      <c r="X233" s="13">
        <f t="shared" si="35"/>
        <v>12.259615384615385</v>
      </c>
      <c r="Y233" s="13">
        <f t="shared" si="30"/>
        <v>0</v>
      </c>
      <c r="Z233" s="2">
        <v>0</v>
      </c>
      <c r="AA233" s="4">
        <v>0</v>
      </c>
      <c r="AB233" s="4">
        <f t="shared" si="31"/>
        <v>12.259615384615385</v>
      </c>
      <c r="AC233" s="6">
        <f t="shared" si="32"/>
        <v>0.49038461538461497</v>
      </c>
      <c r="AD233" s="13">
        <f t="shared" si="36"/>
        <v>12.75</v>
      </c>
      <c r="AE233" s="2">
        <v>0.05</v>
      </c>
      <c r="AF233" s="5">
        <f t="shared" si="33"/>
        <v>0.63750000000000007</v>
      </c>
      <c r="AG233" s="2">
        <v>0</v>
      </c>
      <c r="AH233" s="5">
        <f t="shared" si="37"/>
        <v>12.75</v>
      </c>
      <c r="AJ233" s="126" t="e">
        <v>#N/A</v>
      </c>
      <c r="AK233" s="80">
        <f t="shared" si="34"/>
        <v>0</v>
      </c>
      <c r="AM233" s="85"/>
    </row>
    <row r="234" spans="1:39" hidden="1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">
        <v>3712</v>
      </c>
      <c r="L234" s="1" t="s">
        <v>35</v>
      </c>
      <c r="M234" s="95"/>
      <c r="N234" s="3" t="s">
        <v>3729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38"/>
        <v>78.56</v>
      </c>
      <c r="X234" s="13">
        <f t="shared" si="35"/>
        <v>0</v>
      </c>
      <c r="Y234" s="13">
        <f t="shared" si="30"/>
        <v>0</v>
      </c>
      <c r="Z234" s="2">
        <v>0</v>
      </c>
      <c r="AA234" s="4">
        <v>0</v>
      </c>
      <c r="AB234" s="4">
        <f t="shared" si="31"/>
        <v>0</v>
      </c>
      <c r="AC234" s="6">
        <f t="shared" si="32"/>
        <v>0</v>
      </c>
      <c r="AD234" s="13">
        <f t="shared" si="36"/>
        <v>0</v>
      </c>
      <c r="AE234" s="2">
        <v>0.05</v>
      </c>
      <c r="AF234" s="5">
        <f t="shared" si="33"/>
        <v>0</v>
      </c>
      <c r="AG234" s="2">
        <v>0</v>
      </c>
      <c r="AH234" s="5">
        <f t="shared" si="37"/>
        <v>0</v>
      </c>
      <c r="AJ234" s="126" t="e">
        <v>#N/A</v>
      </c>
      <c r="AK234" s="80">
        <f t="shared" si="34"/>
        <v>0</v>
      </c>
      <c r="AM234" s="85"/>
    </row>
    <row r="235" spans="1:39" hidden="1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38"/>
        <v>214992.03999999995</v>
      </c>
      <c r="X235" s="13">
        <f t="shared" si="35"/>
        <v>0</v>
      </c>
      <c r="Y235" s="13">
        <f t="shared" si="30"/>
        <v>0</v>
      </c>
      <c r="Z235" s="2">
        <v>0</v>
      </c>
      <c r="AA235" s="4">
        <v>0</v>
      </c>
      <c r="AB235" s="4">
        <f t="shared" si="31"/>
        <v>0</v>
      </c>
      <c r="AC235" s="6">
        <f t="shared" si="32"/>
        <v>0</v>
      </c>
      <c r="AD235" s="13">
        <f t="shared" si="36"/>
        <v>0</v>
      </c>
      <c r="AE235" s="2">
        <v>0.05</v>
      </c>
      <c r="AF235" s="5">
        <f t="shared" si="33"/>
        <v>0</v>
      </c>
      <c r="AG235" s="2">
        <v>0</v>
      </c>
      <c r="AH235" s="5">
        <f t="shared" si="37"/>
        <v>0</v>
      </c>
      <c r="AJ235" s="126" t="e">
        <v>#N/A</v>
      </c>
      <c r="AK235" s="80">
        <f t="shared" si="34"/>
        <v>0</v>
      </c>
      <c r="AM235" s="85"/>
    </row>
    <row r="236" spans="1:39" hidden="1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38"/>
        <v>29636.910000000003</v>
      </c>
      <c r="X236" s="13">
        <f t="shared" si="35"/>
        <v>0</v>
      </c>
      <c r="Y236" s="13">
        <f t="shared" si="30"/>
        <v>0</v>
      </c>
      <c r="Z236" s="2">
        <v>0</v>
      </c>
      <c r="AA236" s="4">
        <v>0</v>
      </c>
      <c r="AB236" s="4">
        <f t="shared" si="31"/>
        <v>0</v>
      </c>
      <c r="AC236" s="6">
        <f t="shared" si="32"/>
        <v>0</v>
      </c>
      <c r="AD236" s="13">
        <f t="shared" si="36"/>
        <v>0</v>
      </c>
      <c r="AE236" s="2">
        <v>0.05</v>
      </c>
      <c r="AF236" s="5">
        <f t="shared" si="33"/>
        <v>0</v>
      </c>
      <c r="AG236" s="2">
        <v>0</v>
      </c>
      <c r="AH236" s="5">
        <f t="shared" si="37"/>
        <v>0</v>
      </c>
      <c r="AJ236" s="126" t="e">
        <v>#N/A</v>
      </c>
      <c r="AK236" s="80">
        <f t="shared" si="34"/>
        <v>0</v>
      </c>
      <c r="AM236" s="85"/>
    </row>
    <row r="237" spans="1:39" hidden="1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38"/>
        <v>37367.300000000003</v>
      </c>
      <c r="X237" s="13">
        <f t="shared" si="35"/>
        <v>0</v>
      </c>
      <c r="Y237" s="13">
        <f t="shared" si="30"/>
        <v>0</v>
      </c>
      <c r="Z237" s="2">
        <v>0</v>
      </c>
      <c r="AA237" s="4">
        <v>0</v>
      </c>
      <c r="AB237" s="4">
        <f t="shared" si="31"/>
        <v>0</v>
      </c>
      <c r="AC237" s="6">
        <f t="shared" si="32"/>
        <v>0</v>
      </c>
      <c r="AD237" s="13">
        <f t="shared" si="36"/>
        <v>0</v>
      </c>
      <c r="AE237" s="2">
        <v>0.05</v>
      </c>
      <c r="AF237" s="5">
        <f t="shared" si="33"/>
        <v>0</v>
      </c>
      <c r="AG237" s="2">
        <v>0</v>
      </c>
      <c r="AH237" s="5">
        <f t="shared" si="37"/>
        <v>0</v>
      </c>
      <c r="AJ237" s="126" t="e">
        <v>#N/A</v>
      </c>
      <c r="AK237" s="80">
        <f t="shared" si="34"/>
        <v>0</v>
      </c>
      <c r="AM237" s="85"/>
    </row>
    <row r="238" spans="1:39" hidden="1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38"/>
        <v>423446.02000000043</v>
      </c>
      <c r="X238" s="13">
        <f t="shared" si="35"/>
        <v>107859.56</v>
      </c>
      <c r="Y238" s="13">
        <f t="shared" si="30"/>
        <v>0</v>
      </c>
      <c r="Z238" s="2">
        <v>0</v>
      </c>
      <c r="AA238" s="4">
        <v>0</v>
      </c>
      <c r="AB238" s="4">
        <f t="shared" si="31"/>
        <v>107859.56</v>
      </c>
      <c r="AC238" s="6">
        <f t="shared" si="32"/>
        <v>6471.5735999999997</v>
      </c>
      <c r="AD238" s="13">
        <f t="shared" si="36"/>
        <v>107859.56</v>
      </c>
      <c r="AE238" s="2">
        <v>0.05</v>
      </c>
      <c r="AF238" s="5">
        <f t="shared" si="33"/>
        <v>5392.9780000000001</v>
      </c>
      <c r="AG238" s="2">
        <v>0</v>
      </c>
      <c r="AH238" s="5">
        <f t="shared" si="37"/>
        <v>107859.56</v>
      </c>
      <c r="AJ238" s="126" t="e">
        <v>#N/A</v>
      </c>
      <c r="AK238" s="80">
        <f t="shared" si="34"/>
        <v>0</v>
      </c>
      <c r="AM238" s="85"/>
    </row>
    <row r="239" spans="1:39" hidden="1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">
        <v>3710</v>
      </c>
      <c r="L239" s="1" t="s">
        <v>35</v>
      </c>
      <c r="M239" s="95"/>
      <c r="N239" s="3" t="s">
        <v>3710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38"/>
        <v>-1113409.5499999998</v>
      </c>
      <c r="X239" s="13">
        <f t="shared" si="35"/>
        <v>510782.7099999999</v>
      </c>
      <c r="Y239" s="13">
        <f t="shared" si="30"/>
        <v>0</v>
      </c>
      <c r="Z239" s="2">
        <v>0</v>
      </c>
      <c r="AA239" s="4">
        <v>0</v>
      </c>
      <c r="AB239" s="4">
        <f t="shared" si="31"/>
        <v>510782.7099999999</v>
      </c>
      <c r="AC239" s="6">
        <f t="shared" si="32"/>
        <v>0</v>
      </c>
      <c r="AD239" s="13">
        <f t="shared" si="36"/>
        <v>510782.7099999999</v>
      </c>
      <c r="AE239" s="2">
        <v>0.05</v>
      </c>
      <c r="AF239" s="5">
        <f t="shared" si="33"/>
        <v>25539.135499999997</v>
      </c>
      <c r="AG239" s="2">
        <v>0</v>
      </c>
      <c r="AH239" s="5">
        <f t="shared" si="37"/>
        <v>510782.7099999999</v>
      </c>
      <c r="AJ239" s="126" t="e">
        <v>#N/A</v>
      </c>
      <c r="AK239" s="80">
        <f t="shared" si="34"/>
        <v>0</v>
      </c>
      <c r="AM239" s="85"/>
    </row>
    <row r="240" spans="1:39" hidden="1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38"/>
        <v>-33.549999999999997</v>
      </c>
      <c r="X240" s="13">
        <f t="shared" si="35"/>
        <v>0</v>
      </c>
      <c r="Y240" s="13">
        <f t="shared" si="30"/>
        <v>0</v>
      </c>
      <c r="Z240" s="2">
        <v>0</v>
      </c>
      <c r="AA240" s="4">
        <v>0</v>
      </c>
      <c r="AB240" s="4">
        <f t="shared" si="31"/>
        <v>0</v>
      </c>
      <c r="AC240" s="6">
        <f t="shared" si="32"/>
        <v>0</v>
      </c>
      <c r="AD240" s="13">
        <f t="shared" si="36"/>
        <v>0</v>
      </c>
      <c r="AE240" s="2">
        <v>0.05</v>
      </c>
      <c r="AF240" s="5">
        <f t="shared" si="33"/>
        <v>0</v>
      </c>
      <c r="AG240" s="2">
        <v>0</v>
      </c>
      <c r="AH240" s="5">
        <f t="shared" si="37"/>
        <v>0</v>
      </c>
      <c r="AJ240" s="126" t="e">
        <v>#N/A</v>
      </c>
      <c r="AK240" s="80">
        <f t="shared" si="34"/>
        <v>0</v>
      </c>
      <c r="AM240" s="85"/>
    </row>
    <row r="241" spans="1:39" hidden="1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">
        <v>3710</v>
      </c>
      <c r="L241" s="1" t="s">
        <v>35</v>
      </c>
      <c r="M241" s="95"/>
      <c r="N241" s="3" t="s">
        <v>3714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35"/>
        <v>0</v>
      </c>
      <c r="Y241" s="13">
        <f t="shared" si="30"/>
        <v>0</v>
      </c>
      <c r="Z241" s="2">
        <v>0</v>
      </c>
      <c r="AA241" s="4">
        <v>0</v>
      </c>
      <c r="AB241" s="4">
        <f t="shared" si="31"/>
        <v>0</v>
      </c>
      <c r="AC241" s="6">
        <f t="shared" si="32"/>
        <v>0</v>
      </c>
      <c r="AD241" s="13">
        <f t="shared" si="36"/>
        <v>0</v>
      </c>
      <c r="AE241" s="2">
        <v>0.05</v>
      </c>
      <c r="AF241" s="5">
        <f t="shared" si="33"/>
        <v>0</v>
      </c>
      <c r="AG241" s="2">
        <v>0</v>
      </c>
      <c r="AH241" s="5">
        <f t="shared" si="37"/>
        <v>0</v>
      </c>
      <c r="AJ241" s="126" t="e">
        <v>#N/A</v>
      </c>
      <c r="AK241" s="80">
        <f t="shared" si="34"/>
        <v>0</v>
      </c>
      <c r="AM241" s="85"/>
    </row>
    <row r="242" spans="1:39" hidden="1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">
        <v>3710</v>
      </c>
      <c r="L242" s="1" t="s">
        <v>35</v>
      </c>
      <c r="M242" s="95"/>
      <c r="N242" s="3" t="s">
        <v>3714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35"/>
        <v>0</v>
      </c>
      <c r="Y242" s="13">
        <f t="shared" si="30"/>
        <v>0</v>
      </c>
      <c r="Z242" s="2">
        <v>0</v>
      </c>
      <c r="AA242" s="4">
        <v>0</v>
      </c>
      <c r="AB242" s="4">
        <f t="shared" si="31"/>
        <v>0</v>
      </c>
      <c r="AC242" s="6">
        <f t="shared" si="32"/>
        <v>0</v>
      </c>
      <c r="AD242" s="13">
        <f t="shared" si="36"/>
        <v>0</v>
      </c>
      <c r="AE242" s="2">
        <v>0.05</v>
      </c>
      <c r="AF242" s="5">
        <f t="shared" si="33"/>
        <v>0</v>
      </c>
      <c r="AG242" s="2">
        <v>0</v>
      </c>
      <c r="AH242" s="5">
        <f t="shared" si="37"/>
        <v>0</v>
      </c>
      <c r="AJ242" s="126" t="e">
        <v>#N/A</v>
      </c>
      <c r="AK242" s="80">
        <f t="shared" si="34"/>
        <v>0</v>
      </c>
      <c r="AM242" s="85"/>
    </row>
    <row r="243" spans="1:39" hidden="1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38"/>
        <v>14675.819999992149</v>
      </c>
      <c r="X243" s="13">
        <f t="shared" si="35"/>
        <v>803791.29807692301</v>
      </c>
      <c r="Y243" s="13">
        <f t="shared" si="30"/>
        <v>0</v>
      </c>
      <c r="Z243" s="2">
        <v>0</v>
      </c>
      <c r="AA243" s="4">
        <v>0</v>
      </c>
      <c r="AB243" s="4">
        <f t="shared" si="31"/>
        <v>803791.29807692301</v>
      </c>
      <c r="AC243" s="6">
        <f t="shared" si="32"/>
        <v>32151.651923076948</v>
      </c>
      <c r="AD243" s="13">
        <f t="shared" si="36"/>
        <v>835942.95</v>
      </c>
      <c r="AE243" s="2">
        <v>0.05</v>
      </c>
      <c r="AF243" s="5">
        <f t="shared" si="33"/>
        <v>41797.147499999999</v>
      </c>
      <c r="AG243" s="2">
        <v>0</v>
      </c>
      <c r="AH243" s="5">
        <f t="shared" si="37"/>
        <v>835942.95</v>
      </c>
      <c r="AJ243" s="126" t="e">
        <v>#N/A</v>
      </c>
      <c r="AK243" s="80">
        <f t="shared" si="34"/>
        <v>0</v>
      </c>
      <c r="AM243" s="85"/>
    </row>
    <row r="244" spans="1:39" hidden="1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38"/>
        <v>2.3759000013087643</v>
      </c>
      <c r="X244" s="13">
        <f t="shared" si="35"/>
        <v>82774.317307692312</v>
      </c>
      <c r="Y244" s="13">
        <f t="shared" si="30"/>
        <v>0</v>
      </c>
      <c r="Z244" s="2">
        <v>0</v>
      </c>
      <c r="AA244" s="4">
        <v>0</v>
      </c>
      <c r="AB244" s="4">
        <f t="shared" si="31"/>
        <v>82774.317307692312</v>
      </c>
      <c r="AC244" s="6">
        <f t="shared" si="32"/>
        <v>3310.972692307696</v>
      </c>
      <c r="AD244" s="13">
        <f t="shared" si="36"/>
        <v>86085.290000000008</v>
      </c>
      <c r="AE244" s="2">
        <v>0.05</v>
      </c>
      <c r="AF244" s="5">
        <f t="shared" si="33"/>
        <v>4304.2645000000002</v>
      </c>
      <c r="AG244" s="2">
        <v>0</v>
      </c>
      <c r="AH244" s="5">
        <f t="shared" si="37"/>
        <v>86085.290000000008</v>
      </c>
      <c r="AJ244" s="126" t="e">
        <v>#N/A</v>
      </c>
      <c r="AK244" s="80">
        <f t="shared" si="34"/>
        <v>0</v>
      </c>
      <c r="AM244" s="85"/>
    </row>
    <row r="245" spans="1:39" hidden="1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">
        <v>3712</v>
      </c>
      <c r="L245" s="1" t="s">
        <v>35</v>
      </c>
      <c r="M245" s="95"/>
      <c r="N245" s="3" t="s">
        <v>3713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35"/>
        <v>0</v>
      </c>
      <c r="Y245" s="13">
        <f t="shared" si="30"/>
        <v>0</v>
      </c>
      <c r="Z245" s="2">
        <v>0</v>
      </c>
      <c r="AA245" s="4">
        <v>0</v>
      </c>
      <c r="AB245" s="4">
        <f t="shared" si="31"/>
        <v>0</v>
      </c>
      <c r="AC245" s="6">
        <f t="shared" si="32"/>
        <v>0</v>
      </c>
      <c r="AD245" s="13">
        <f t="shared" si="36"/>
        <v>0</v>
      </c>
      <c r="AE245" s="2">
        <v>0.05</v>
      </c>
      <c r="AF245" s="5">
        <f t="shared" si="33"/>
        <v>0</v>
      </c>
      <c r="AG245" s="2">
        <v>0</v>
      </c>
      <c r="AH245" s="5">
        <f t="shared" si="37"/>
        <v>0</v>
      </c>
      <c r="AJ245" s="126" t="e">
        <v>#N/A</v>
      </c>
      <c r="AK245" s="80">
        <f t="shared" si="34"/>
        <v>0</v>
      </c>
      <c r="AM245" s="85"/>
    </row>
    <row r="246" spans="1:39" hidden="1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">
        <v>3707</v>
      </c>
      <c r="L246" s="1" t="s">
        <v>35</v>
      </c>
      <c r="M246" s="95"/>
      <c r="N246" s="3" t="s">
        <v>3716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35"/>
        <v>0</v>
      </c>
      <c r="Y246" s="13">
        <f t="shared" si="30"/>
        <v>0</v>
      </c>
      <c r="Z246" s="2">
        <v>0</v>
      </c>
      <c r="AA246" s="4">
        <v>0</v>
      </c>
      <c r="AB246" s="4">
        <f t="shared" si="31"/>
        <v>0</v>
      </c>
      <c r="AC246" s="6">
        <f t="shared" si="32"/>
        <v>0</v>
      </c>
      <c r="AD246" s="13">
        <f t="shared" si="36"/>
        <v>0</v>
      </c>
      <c r="AE246" s="2">
        <v>0.05</v>
      </c>
      <c r="AF246" s="5">
        <f t="shared" si="33"/>
        <v>0</v>
      </c>
      <c r="AG246" s="2">
        <v>0</v>
      </c>
      <c r="AH246" s="5">
        <f t="shared" si="37"/>
        <v>0</v>
      </c>
      <c r="AJ246" s="126" t="e">
        <v>#N/A</v>
      </c>
      <c r="AK246" s="80">
        <f t="shared" si="34"/>
        <v>0</v>
      </c>
      <c r="AM246" s="85"/>
    </row>
    <row r="247" spans="1:39" hidden="1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">
        <v>3712</v>
      </c>
      <c r="L247" s="1" t="s">
        <v>35</v>
      </c>
      <c r="M247" s="95"/>
      <c r="N247" s="3" t="s">
        <v>3713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38"/>
        <v>-8153.7500000000009</v>
      </c>
      <c r="X247" s="13">
        <f t="shared" si="35"/>
        <v>850.76</v>
      </c>
      <c r="Y247" s="13">
        <f t="shared" si="30"/>
        <v>0</v>
      </c>
      <c r="Z247" s="2">
        <v>0</v>
      </c>
      <c r="AA247" s="4">
        <v>0</v>
      </c>
      <c r="AB247" s="4">
        <f t="shared" si="31"/>
        <v>850.76</v>
      </c>
      <c r="AC247" s="6">
        <f t="shared" si="32"/>
        <v>0</v>
      </c>
      <c r="AD247" s="13">
        <f t="shared" si="36"/>
        <v>850.76</v>
      </c>
      <c r="AE247" s="2">
        <v>0.05</v>
      </c>
      <c r="AF247" s="5">
        <f t="shared" si="33"/>
        <v>42.538000000000004</v>
      </c>
      <c r="AG247" s="2">
        <v>0</v>
      </c>
      <c r="AH247" s="5">
        <f t="shared" si="37"/>
        <v>850.76</v>
      </c>
      <c r="AJ247" s="126" t="e">
        <v>#N/A</v>
      </c>
      <c r="AK247" s="80">
        <f t="shared" si="34"/>
        <v>0</v>
      </c>
      <c r="AM247" s="85"/>
    </row>
    <row r="248" spans="1:39" hidden="1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">
        <v>3712</v>
      </c>
      <c r="L248" s="1" t="s">
        <v>35</v>
      </c>
      <c r="M248" s="95"/>
      <c r="N248" s="3" t="s">
        <v>3712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35"/>
        <v>18336.900990099006</v>
      </c>
      <c r="Y248" s="13">
        <f t="shared" si="30"/>
        <v>0</v>
      </c>
      <c r="Z248" s="2">
        <v>0</v>
      </c>
      <c r="AA248" s="4">
        <v>0</v>
      </c>
      <c r="AB248" s="4">
        <f t="shared" si="31"/>
        <v>18336.900990099006</v>
      </c>
      <c r="AC248" s="6">
        <f t="shared" si="32"/>
        <v>183.36900990099093</v>
      </c>
      <c r="AD248" s="13">
        <f t="shared" si="36"/>
        <v>18520.269999999997</v>
      </c>
      <c r="AE248" s="2">
        <v>0.05</v>
      </c>
      <c r="AF248" s="5">
        <f t="shared" si="33"/>
        <v>926.01349999999991</v>
      </c>
      <c r="AG248" s="2">
        <v>0</v>
      </c>
      <c r="AH248" s="5">
        <f t="shared" si="37"/>
        <v>18520.269999999997</v>
      </c>
      <c r="AJ248" s="126" t="e">
        <v>#N/A</v>
      </c>
      <c r="AK248" s="80">
        <f t="shared" si="34"/>
        <v>0</v>
      </c>
      <c r="AM248" s="85"/>
    </row>
    <row r="249" spans="1:39" hidden="1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38"/>
        <v>-30330.33</v>
      </c>
      <c r="X249" s="13">
        <f t="shared" si="35"/>
        <v>0</v>
      </c>
      <c r="Y249" s="13">
        <f t="shared" si="30"/>
        <v>0</v>
      </c>
      <c r="Z249" s="2">
        <v>0</v>
      </c>
      <c r="AA249" s="4">
        <v>0</v>
      </c>
      <c r="AB249" s="4">
        <f t="shared" si="31"/>
        <v>0</v>
      </c>
      <c r="AC249" s="6">
        <f t="shared" si="32"/>
        <v>0</v>
      </c>
      <c r="AD249" s="13">
        <f t="shared" si="36"/>
        <v>0</v>
      </c>
      <c r="AE249" s="2">
        <v>0.05</v>
      </c>
      <c r="AF249" s="5">
        <f t="shared" si="33"/>
        <v>0</v>
      </c>
      <c r="AG249" s="2">
        <v>0</v>
      </c>
      <c r="AH249" s="5">
        <f t="shared" si="37"/>
        <v>0</v>
      </c>
      <c r="AJ249" s="126" t="s">
        <v>4218</v>
      </c>
      <c r="AK249" s="80">
        <f t="shared" si="34"/>
        <v>0</v>
      </c>
      <c r="AL249" s="150"/>
      <c r="AM249" s="85"/>
    </row>
    <row r="250" spans="1:39" hidden="1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38"/>
        <v>7666.7199999745935</v>
      </c>
      <c r="X250" s="13">
        <f t="shared" si="35"/>
        <v>525908.01923076902</v>
      </c>
      <c r="Y250" s="13">
        <f t="shared" si="30"/>
        <v>0</v>
      </c>
      <c r="Z250" s="2">
        <v>0</v>
      </c>
      <c r="AA250" s="4">
        <v>0</v>
      </c>
      <c r="AB250" s="4">
        <f t="shared" si="31"/>
        <v>525908.01923076902</v>
      </c>
      <c r="AC250" s="6">
        <f t="shared" si="32"/>
        <v>21036.320769230835</v>
      </c>
      <c r="AD250" s="13">
        <f t="shared" si="36"/>
        <v>546944.33999999985</v>
      </c>
      <c r="AE250" s="2">
        <v>0.05</v>
      </c>
      <c r="AF250" s="5">
        <f t="shared" si="33"/>
        <v>27347.216999999993</v>
      </c>
      <c r="AG250" s="2">
        <v>0</v>
      </c>
      <c r="AH250" s="5">
        <f t="shared" si="37"/>
        <v>546944.33999999985</v>
      </c>
      <c r="AJ250" s="126" t="e">
        <v>#N/A</v>
      </c>
      <c r="AK250" s="80">
        <f t="shared" si="34"/>
        <v>0</v>
      </c>
      <c r="AM250" s="85"/>
    </row>
    <row r="251" spans="1:39" hidden="1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35"/>
        <v>0</v>
      </c>
      <c r="Y251" s="13">
        <f t="shared" si="30"/>
        <v>0</v>
      </c>
      <c r="Z251" s="2">
        <v>0</v>
      </c>
      <c r="AA251" s="4">
        <v>0</v>
      </c>
      <c r="AB251" s="4">
        <f t="shared" si="31"/>
        <v>0</v>
      </c>
      <c r="AC251" s="6">
        <f t="shared" si="32"/>
        <v>0</v>
      </c>
      <c r="AD251" s="13">
        <f t="shared" si="36"/>
        <v>0</v>
      </c>
      <c r="AE251" s="2">
        <v>0.05</v>
      </c>
      <c r="AF251" s="5">
        <f t="shared" si="33"/>
        <v>0</v>
      </c>
      <c r="AG251" s="2">
        <v>0</v>
      </c>
      <c r="AH251" s="5">
        <f t="shared" si="37"/>
        <v>0</v>
      </c>
      <c r="AJ251" s="126" t="e">
        <v>#N/A</v>
      </c>
      <c r="AK251" s="80">
        <f t="shared" si="34"/>
        <v>0</v>
      </c>
      <c r="AM251" s="85"/>
    </row>
    <row r="252" spans="1:39" hidden="1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38"/>
        <v>0</v>
      </c>
      <c r="X252" s="13">
        <f t="shared" si="35"/>
        <v>-53013.500000000007</v>
      </c>
      <c r="Y252" s="13">
        <f t="shared" si="30"/>
        <v>1060.2700000000041</v>
      </c>
      <c r="Z252" s="2">
        <v>0</v>
      </c>
      <c r="AA252" s="4">
        <v>0</v>
      </c>
      <c r="AB252" s="4">
        <f t="shared" si="31"/>
        <v>-53013.500000000007</v>
      </c>
      <c r="AC252" s="6">
        <f t="shared" si="32"/>
        <v>-1060.2700000000041</v>
      </c>
      <c r="AD252" s="13">
        <f t="shared" si="36"/>
        <v>-54073.770000000011</v>
      </c>
      <c r="AE252" s="2">
        <v>0.05</v>
      </c>
      <c r="AF252" s="5">
        <f t="shared" si="33"/>
        <v>-2703.6885000000007</v>
      </c>
      <c r="AG252" s="2">
        <v>0</v>
      </c>
      <c r="AH252" s="5">
        <f t="shared" si="37"/>
        <v>-54073.770000000011</v>
      </c>
      <c r="AJ252" s="126" t="e">
        <v>#N/A</v>
      </c>
      <c r="AK252" s="80">
        <f t="shared" si="34"/>
        <v>0</v>
      </c>
      <c r="AM252" s="85"/>
    </row>
    <row r="253" spans="1:39" hidden="1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38"/>
        <v>0</v>
      </c>
      <c r="X253" s="13">
        <f t="shared" si="35"/>
        <v>1613729.2815533963</v>
      </c>
      <c r="Y253" s="13">
        <f t="shared" si="30"/>
        <v>0</v>
      </c>
      <c r="Z253" s="2">
        <v>0</v>
      </c>
      <c r="AA253" s="4">
        <v>0</v>
      </c>
      <c r="AB253" s="4">
        <f t="shared" si="31"/>
        <v>1613729.2815533963</v>
      </c>
      <c r="AC253" s="6">
        <f t="shared" si="32"/>
        <v>48411.87844660203</v>
      </c>
      <c r="AD253" s="13">
        <f t="shared" si="36"/>
        <v>1662141.1599999983</v>
      </c>
      <c r="AE253" s="2">
        <v>0.05</v>
      </c>
      <c r="AF253" s="5">
        <f t="shared" si="33"/>
        <v>83107.057999999917</v>
      </c>
      <c r="AG253" s="2">
        <v>0</v>
      </c>
      <c r="AH253" s="5">
        <f t="shared" si="37"/>
        <v>1662141.1599999983</v>
      </c>
      <c r="AJ253" s="126" t="e">
        <v>#N/A</v>
      </c>
      <c r="AK253" s="80">
        <f t="shared" si="34"/>
        <v>0</v>
      </c>
      <c r="AM253" s="85"/>
    </row>
    <row r="254" spans="1:39" hidden="1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38"/>
        <v>1113446.5999999989</v>
      </c>
      <c r="X254" s="13">
        <f t="shared" si="35"/>
        <v>68148.846153846156</v>
      </c>
      <c r="Y254" s="13">
        <f t="shared" si="30"/>
        <v>0</v>
      </c>
      <c r="Z254" s="2">
        <v>0</v>
      </c>
      <c r="AA254" s="4">
        <v>0</v>
      </c>
      <c r="AB254" s="4">
        <f t="shared" si="31"/>
        <v>68148.846153846156</v>
      </c>
      <c r="AC254" s="6">
        <f t="shared" si="32"/>
        <v>2725.9538461538468</v>
      </c>
      <c r="AD254" s="13">
        <f t="shared" si="36"/>
        <v>70874.8</v>
      </c>
      <c r="AE254" s="2">
        <v>0.05</v>
      </c>
      <c r="AF254" s="5">
        <f t="shared" si="33"/>
        <v>3543.7400000000002</v>
      </c>
      <c r="AG254" s="2">
        <v>0</v>
      </c>
      <c r="AH254" s="5">
        <f t="shared" si="37"/>
        <v>70874.8</v>
      </c>
      <c r="AJ254" s="126" t="e">
        <v>#N/A</v>
      </c>
      <c r="AK254" s="80">
        <f t="shared" si="34"/>
        <v>0</v>
      </c>
      <c r="AM254" s="85"/>
    </row>
    <row r="255" spans="1:39" hidden="1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38"/>
        <v>49828.080000001471</v>
      </c>
      <c r="X255" s="13">
        <f t="shared" si="35"/>
        <v>2057128.0865384615</v>
      </c>
      <c r="Y255" s="13">
        <f t="shared" si="30"/>
        <v>0</v>
      </c>
      <c r="Z255" s="2">
        <v>0</v>
      </c>
      <c r="AA255" s="4">
        <v>0</v>
      </c>
      <c r="AB255" s="4">
        <f t="shared" si="31"/>
        <v>2057128.0865384615</v>
      </c>
      <c r="AC255" s="6">
        <f t="shared" si="32"/>
        <v>82285.12346153846</v>
      </c>
      <c r="AD255" s="13">
        <f t="shared" si="36"/>
        <v>2139413.21</v>
      </c>
      <c r="AE255" s="2">
        <v>0.05</v>
      </c>
      <c r="AF255" s="5">
        <f t="shared" si="33"/>
        <v>106970.6605</v>
      </c>
      <c r="AG255" s="2">
        <v>0</v>
      </c>
      <c r="AH255" s="5">
        <f t="shared" si="37"/>
        <v>2139413.21</v>
      </c>
      <c r="AJ255" s="126" t="e">
        <v>#N/A</v>
      </c>
      <c r="AK255" s="80">
        <f t="shared" si="34"/>
        <v>0</v>
      </c>
      <c r="AM255" s="85"/>
    </row>
    <row r="256" spans="1:39" hidden="1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38"/>
        <v>4131.2300000003597</v>
      </c>
      <c r="X256" s="13">
        <f t="shared" si="35"/>
        <v>44813.855769230773</v>
      </c>
      <c r="Y256" s="13">
        <f t="shared" si="30"/>
        <v>0</v>
      </c>
      <c r="Z256" s="2">
        <v>0</v>
      </c>
      <c r="AA256" s="4">
        <v>0</v>
      </c>
      <c r="AB256" s="4">
        <f t="shared" si="31"/>
        <v>44813.855769230773</v>
      </c>
      <c r="AC256" s="6">
        <f t="shared" si="32"/>
        <v>1792.5542307692303</v>
      </c>
      <c r="AD256" s="13">
        <f t="shared" si="36"/>
        <v>46606.41</v>
      </c>
      <c r="AE256" s="2">
        <v>0.05</v>
      </c>
      <c r="AF256" s="5">
        <f t="shared" si="33"/>
        <v>2330.3205000000003</v>
      </c>
      <c r="AG256" s="2">
        <v>0</v>
      </c>
      <c r="AH256" s="5">
        <f t="shared" si="37"/>
        <v>46606.41</v>
      </c>
      <c r="AJ256" s="126" t="e">
        <v>#N/A</v>
      </c>
      <c r="AK256" s="80">
        <f t="shared" si="34"/>
        <v>0</v>
      </c>
      <c r="AM256" s="85"/>
    </row>
    <row r="257" spans="1:39" hidden="1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38"/>
        <v>-1.8500000000494765</v>
      </c>
      <c r="X257" s="13">
        <f t="shared" si="35"/>
        <v>0</v>
      </c>
      <c r="Y257" s="13">
        <f t="shared" si="30"/>
        <v>0</v>
      </c>
      <c r="Z257" s="2">
        <v>0</v>
      </c>
      <c r="AA257" s="4">
        <v>0</v>
      </c>
      <c r="AB257" s="4">
        <f t="shared" si="31"/>
        <v>0</v>
      </c>
      <c r="AC257" s="6">
        <f t="shared" si="32"/>
        <v>0</v>
      </c>
      <c r="AD257" s="13">
        <f t="shared" si="36"/>
        <v>0</v>
      </c>
      <c r="AE257" s="2">
        <v>0.05</v>
      </c>
      <c r="AF257" s="5">
        <f t="shared" si="33"/>
        <v>0</v>
      </c>
      <c r="AG257" s="2">
        <v>0</v>
      </c>
      <c r="AH257" s="5">
        <f t="shared" si="37"/>
        <v>0</v>
      </c>
      <c r="AJ257" s="126" t="e">
        <v>#N/A</v>
      </c>
      <c r="AK257" s="80">
        <f t="shared" si="34"/>
        <v>0</v>
      </c>
      <c r="AM257" s="85"/>
    </row>
    <row r="258" spans="1:39" hidden="1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38"/>
        <v>1349015.7999998829</v>
      </c>
      <c r="X258" s="13">
        <f t="shared" si="35"/>
        <v>2836072.7745098039</v>
      </c>
      <c r="Y258" s="13">
        <f t="shared" si="30"/>
        <v>0</v>
      </c>
      <c r="Z258" s="2">
        <v>0</v>
      </c>
      <c r="AA258" s="4">
        <v>0</v>
      </c>
      <c r="AB258" s="4">
        <f t="shared" si="31"/>
        <v>2836072.7745098039</v>
      </c>
      <c r="AC258" s="6">
        <f t="shared" si="32"/>
        <v>56721.455490196124</v>
      </c>
      <c r="AD258" s="13">
        <f t="shared" si="36"/>
        <v>2892794.23</v>
      </c>
      <c r="AE258" s="2">
        <v>0.05</v>
      </c>
      <c r="AF258" s="5">
        <f t="shared" si="33"/>
        <v>144639.7115</v>
      </c>
      <c r="AG258" s="2">
        <v>0</v>
      </c>
      <c r="AH258" s="5">
        <f t="shared" si="37"/>
        <v>2892794.23</v>
      </c>
      <c r="AJ258" s="126" t="e">
        <v>#N/A</v>
      </c>
      <c r="AK258" s="80">
        <f t="shared" si="34"/>
        <v>0</v>
      </c>
      <c r="AM258" s="85"/>
    </row>
    <row r="259" spans="1:39" hidden="1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">
        <v>3707</v>
      </c>
      <c r="L259" s="1" t="s">
        <v>35</v>
      </c>
      <c r="M259" s="95"/>
      <c r="N259" s="3" t="s">
        <v>3716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38"/>
        <v>172252.86999999997</v>
      </c>
      <c r="X259" s="13">
        <f t="shared" si="35"/>
        <v>104490.82524271846</v>
      </c>
      <c r="Y259" s="13">
        <f t="shared" ref="Y259:Y322" si="3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40">X259+AA259</f>
        <v>104490.82524271846</v>
      </c>
      <c r="AC259" s="6">
        <f t="shared" ref="AC259:AC322" si="41">IF(P259="返现",X259*Q259,V259-X259)</f>
        <v>3134.724757281554</v>
      </c>
      <c r="AD259" s="13">
        <f t="shared" si="36"/>
        <v>107625.55000000002</v>
      </c>
      <c r="AE259" s="2">
        <v>0.05</v>
      </c>
      <c r="AF259" s="5">
        <f t="shared" ref="AF259:AF322" si="42">AD259*AE259</f>
        <v>5381.2775000000011</v>
      </c>
      <c r="AG259" s="2">
        <v>0</v>
      </c>
      <c r="AH259" s="5">
        <f t="shared" si="37"/>
        <v>107625.55000000002</v>
      </c>
      <c r="AJ259" s="126" t="e">
        <v>#N/A</v>
      </c>
      <c r="AK259" s="80">
        <f t="shared" ref="AK259:AK322" si="43">X259+AA259-AB259</f>
        <v>0</v>
      </c>
      <c r="AM259" s="85"/>
    </row>
    <row r="260" spans="1:39" hidden="1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">
        <v>3712</v>
      </c>
      <c r="L260" s="1" t="s">
        <v>35</v>
      </c>
      <c r="M260" s="95"/>
      <c r="N260" s="3" t="s">
        <v>3712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38"/>
        <v>-27052.059999999998</v>
      </c>
      <c r="X260" s="13">
        <f t="shared" si="35"/>
        <v>25676.35</v>
      </c>
      <c r="Y260" s="13">
        <f t="shared" si="39"/>
        <v>0</v>
      </c>
      <c r="Z260" s="2">
        <v>0</v>
      </c>
      <c r="AA260" s="4">
        <v>0</v>
      </c>
      <c r="AB260" s="4">
        <f t="shared" si="40"/>
        <v>25676.35</v>
      </c>
      <c r="AC260" s="6">
        <f t="shared" si="41"/>
        <v>0</v>
      </c>
      <c r="AD260" s="13">
        <f t="shared" si="36"/>
        <v>25676.35</v>
      </c>
      <c r="AE260" s="2">
        <v>0.05</v>
      </c>
      <c r="AF260" s="5">
        <f t="shared" si="42"/>
        <v>1283.8175000000001</v>
      </c>
      <c r="AG260" s="2">
        <v>0</v>
      </c>
      <c r="AH260" s="5">
        <f t="shared" si="37"/>
        <v>25676.35</v>
      </c>
      <c r="AJ260" s="126" t="e">
        <v>#N/A</v>
      </c>
      <c r="AK260" s="80">
        <f t="shared" si="43"/>
        <v>0</v>
      </c>
      <c r="AM260" s="85"/>
    </row>
    <row r="261" spans="1:39" hidden="1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38"/>
        <v>-23679.42</v>
      </c>
      <c r="X261" s="13">
        <f t="shared" si="35"/>
        <v>0</v>
      </c>
      <c r="Y261" s="13">
        <f t="shared" si="39"/>
        <v>0</v>
      </c>
      <c r="Z261" s="2">
        <v>0</v>
      </c>
      <c r="AA261" s="4">
        <v>0</v>
      </c>
      <c r="AB261" s="4">
        <f t="shared" si="40"/>
        <v>0</v>
      </c>
      <c r="AC261" s="6">
        <f t="shared" si="41"/>
        <v>0</v>
      </c>
      <c r="AD261" s="13">
        <f t="shared" si="36"/>
        <v>0</v>
      </c>
      <c r="AE261" s="2">
        <v>0.05</v>
      </c>
      <c r="AF261" s="5">
        <f t="shared" si="42"/>
        <v>0</v>
      </c>
      <c r="AG261" s="2">
        <v>0</v>
      </c>
      <c r="AH261" s="5">
        <f t="shared" si="37"/>
        <v>0</v>
      </c>
      <c r="AJ261" s="126" t="e">
        <v>#N/A</v>
      </c>
      <c r="AK261" s="80">
        <f t="shared" si="43"/>
        <v>0</v>
      </c>
      <c r="AM261" s="85"/>
    </row>
    <row r="262" spans="1:39" hidden="1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">
        <v>3712</v>
      </c>
      <c r="L262" s="1" t="s">
        <v>35</v>
      </c>
      <c r="M262" s="95"/>
      <c r="N262" s="3" t="s">
        <v>3712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38"/>
        <v>-96.37</v>
      </c>
      <c r="X262" s="13">
        <f t="shared" si="35"/>
        <v>55.92</v>
      </c>
      <c r="Y262" s="13">
        <f t="shared" si="39"/>
        <v>0</v>
      </c>
      <c r="Z262" s="2">
        <v>0</v>
      </c>
      <c r="AA262" s="4">
        <v>0</v>
      </c>
      <c r="AB262" s="4">
        <f t="shared" si="40"/>
        <v>55.92</v>
      </c>
      <c r="AC262" s="6">
        <f t="shared" si="41"/>
        <v>0</v>
      </c>
      <c r="AD262" s="13">
        <f t="shared" si="36"/>
        <v>55.92</v>
      </c>
      <c r="AE262" s="2">
        <v>0.05</v>
      </c>
      <c r="AF262" s="5">
        <f t="shared" si="42"/>
        <v>2.7960000000000003</v>
      </c>
      <c r="AG262" s="2">
        <v>0</v>
      </c>
      <c r="AH262" s="5">
        <f t="shared" si="37"/>
        <v>55.92</v>
      </c>
      <c r="AJ262" s="126" t="e">
        <v>#N/A</v>
      </c>
      <c r="AK262" s="80">
        <f t="shared" si="43"/>
        <v>0</v>
      </c>
      <c r="AM262" s="85"/>
    </row>
    <row r="263" spans="1:39" hidden="1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1" t="s">
        <v>3718</v>
      </c>
      <c r="L263" s="1" t="s">
        <v>35</v>
      </c>
      <c r="M263" s="95"/>
      <c r="N263" s="3" t="s">
        <v>3718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38"/>
        <v>-19828.379999999997</v>
      </c>
      <c r="X263" s="13">
        <f t="shared" si="35"/>
        <v>4.96</v>
      </c>
      <c r="Y263" s="13">
        <f t="shared" si="39"/>
        <v>0</v>
      </c>
      <c r="Z263" s="2">
        <v>0</v>
      </c>
      <c r="AA263" s="4">
        <v>0</v>
      </c>
      <c r="AB263" s="4">
        <f t="shared" si="40"/>
        <v>4.96</v>
      </c>
      <c r="AC263" s="6">
        <f t="shared" si="41"/>
        <v>0</v>
      </c>
      <c r="AD263" s="13">
        <f t="shared" si="36"/>
        <v>4.96</v>
      </c>
      <c r="AE263" s="2">
        <v>0.05</v>
      </c>
      <c r="AF263" s="5">
        <f t="shared" si="42"/>
        <v>0.248</v>
      </c>
      <c r="AG263" s="2">
        <v>0</v>
      </c>
      <c r="AH263" s="5">
        <f t="shared" si="37"/>
        <v>4.96</v>
      </c>
      <c r="AJ263" s="126" t="e">
        <v>#N/A</v>
      </c>
      <c r="AK263" s="80">
        <f t="shared" si="43"/>
        <v>0</v>
      </c>
      <c r="AM263" s="85"/>
    </row>
    <row r="264" spans="1:39" hidden="1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35"/>
        <v>572850.67961165053</v>
      </c>
      <c r="Y264" s="13">
        <f t="shared" si="39"/>
        <v>0</v>
      </c>
      <c r="Z264" s="2">
        <v>0</v>
      </c>
      <c r="AA264" s="4">
        <v>0</v>
      </c>
      <c r="AB264" s="4">
        <f t="shared" si="40"/>
        <v>572850.67961165053</v>
      </c>
      <c r="AC264" s="6">
        <f t="shared" si="41"/>
        <v>17185.520388349541</v>
      </c>
      <c r="AD264" s="13">
        <f t="shared" si="36"/>
        <v>590036.20000000007</v>
      </c>
      <c r="AE264" s="2">
        <v>0.05</v>
      </c>
      <c r="AF264" s="5">
        <f t="shared" si="42"/>
        <v>29501.810000000005</v>
      </c>
      <c r="AG264" s="2">
        <v>0</v>
      </c>
      <c r="AH264" s="5">
        <f t="shared" si="37"/>
        <v>590036.20000000007</v>
      </c>
      <c r="AJ264" s="126" t="e">
        <v>#N/A</v>
      </c>
      <c r="AK264" s="80">
        <f t="shared" si="43"/>
        <v>0</v>
      </c>
      <c r="AM264" s="85"/>
    </row>
    <row r="265" spans="1:39" hidden="1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38"/>
        <v>1058131.8900000001</v>
      </c>
      <c r="X265" s="13">
        <f t="shared" si="35"/>
        <v>280102.04716981127</v>
      </c>
      <c r="Y265" s="13">
        <f t="shared" si="39"/>
        <v>0</v>
      </c>
      <c r="Z265" s="2">
        <v>0</v>
      </c>
      <c r="AA265" s="4">
        <v>0</v>
      </c>
      <c r="AB265" s="4">
        <f t="shared" si="40"/>
        <v>280102.04716981127</v>
      </c>
      <c r="AC265" s="6">
        <f t="shared" si="41"/>
        <v>16806.122830188717</v>
      </c>
      <c r="AD265" s="13">
        <f t="shared" si="36"/>
        <v>296908.17</v>
      </c>
      <c r="AE265" s="2">
        <v>0.05</v>
      </c>
      <c r="AF265" s="5">
        <f t="shared" si="42"/>
        <v>14845.4085</v>
      </c>
      <c r="AG265" s="2">
        <v>0</v>
      </c>
      <c r="AH265" s="5">
        <f t="shared" si="37"/>
        <v>296908.17</v>
      </c>
      <c r="AJ265" s="126" t="e">
        <v>#N/A</v>
      </c>
      <c r="AK265" s="80">
        <f t="shared" si="43"/>
        <v>0</v>
      </c>
      <c r="AM265" s="85"/>
    </row>
    <row r="266" spans="1:39" hidden="1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38"/>
        <v>4235.6000000001077</v>
      </c>
      <c r="X266" s="13">
        <f t="shared" si="35"/>
        <v>74346.518867924518</v>
      </c>
      <c r="Y266" s="13">
        <f t="shared" si="39"/>
        <v>0</v>
      </c>
      <c r="Z266" s="2">
        <v>0</v>
      </c>
      <c r="AA266" s="4">
        <v>0</v>
      </c>
      <c r="AB266" s="4">
        <f t="shared" si="40"/>
        <v>74346.518867924518</v>
      </c>
      <c r="AC266" s="6">
        <f t="shared" si="41"/>
        <v>4460.7911320754793</v>
      </c>
      <c r="AD266" s="13">
        <f t="shared" si="36"/>
        <v>78807.31</v>
      </c>
      <c r="AE266" s="2">
        <v>0.05</v>
      </c>
      <c r="AF266" s="5">
        <f t="shared" si="42"/>
        <v>3940.3654999999999</v>
      </c>
      <c r="AG266" s="2">
        <v>0</v>
      </c>
      <c r="AH266" s="5">
        <f t="shared" si="37"/>
        <v>78807.31</v>
      </c>
      <c r="AJ266" s="126" t="e">
        <v>#N/A</v>
      </c>
      <c r="AK266" s="80">
        <f t="shared" si="43"/>
        <v>0</v>
      </c>
      <c r="AM266" s="85"/>
    </row>
    <row r="267" spans="1:39" hidden="1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38"/>
        <v>-81.19</v>
      </c>
      <c r="X267" s="13">
        <f t="shared" si="35"/>
        <v>81.19</v>
      </c>
      <c r="Y267" s="13">
        <f t="shared" si="39"/>
        <v>0</v>
      </c>
      <c r="Z267" s="2">
        <v>0</v>
      </c>
      <c r="AA267" s="4">
        <v>0</v>
      </c>
      <c r="AB267" s="4">
        <f t="shared" si="40"/>
        <v>81.19</v>
      </c>
      <c r="AC267" s="6">
        <f t="shared" si="41"/>
        <v>4.8713999999999995</v>
      </c>
      <c r="AD267" s="13">
        <f t="shared" si="36"/>
        <v>81.19</v>
      </c>
      <c r="AE267" s="2">
        <v>0.05</v>
      </c>
      <c r="AF267" s="5">
        <f t="shared" si="42"/>
        <v>4.0594999999999999</v>
      </c>
      <c r="AG267" s="2">
        <v>0</v>
      </c>
      <c r="AH267" s="5">
        <f t="shared" si="37"/>
        <v>81.19</v>
      </c>
      <c r="AJ267" s="126" t="e">
        <v>#N/A</v>
      </c>
      <c r="AK267" s="80">
        <f t="shared" si="43"/>
        <v>0</v>
      </c>
      <c r="AM267" s="85"/>
    </row>
    <row r="268" spans="1:39" hidden="1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">
        <v>3707</v>
      </c>
      <c r="L268" s="1" t="s">
        <v>35</v>
      </c>
      <c r="M268" s="95"/>
      <c r="N268" s="3" t="s">
        <v>3708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35"/>
        <v>0</v>
      </c>
      <c r="Y268" s="13">
        <f t="shared" si="39"/>
        <v>0</v>
      </c>
      <c r="Z268" s="2">
        <v>0</v>
      </c>
      <c r="AA268" s="4">
        <v>0</v>
      </c>
      <c r="AB268" s="4">
        <f t="shared" si="40"/>
        <v>0</v>
      </c>
      <c r="AC268" s="6">
        <f t="shared" si="41"/>
        <v>0</v>
      </c>
      <c r="AD268" s="13">
        <f t="shared" si="36"/>
        <v>0</v>
      </c>
      <c r="AE268" s="2">
        <v>0.05</v>
      </c>
      <c r="AF268" s="5">
        <f t="shared" si="42"/>
        <v>0</v>
      </c>
      <c r="AG268" s="2">
        <v>0</v>
      </c>
      <c r="AH268" s="5">
        <f t="shared" si="37"/>
        <v>0</v>
      </c>
      <c r="AJ268" s="126" t="e">
        <v>#N/A</v>
      </c>
      <c r="AK268" s="80">
        <f t="shared" si="43"/>
        <v>0</v>
      </c>
      <c r="AM268" s="85"/>
    </row>
    <row r="269" spans="1:39" hidden="1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">
        <v>3710</v>
      </c>
      <c r="L269" s="1" t="s">
        <v>35</v>
      </c>
      <c r="M269" s="95"/>
      <c r="N269" s="3" t="s">
        <v>3710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38"/>
        <v>-0.13</v>
      </c>
      <c r="X269" s="13">
        <f t="shared" si="35"/>
        <v>0</v>
      </c>
      <c r="Y269" s="13">
        <f t="shared" si="39"/>
        <v>0</v>
      </c>
      <c r="Z269" s="2">
        <v>0</v>
      </c>
      <c r="AA269" s="4">
        <v>0</v>
      </c>
      <c r="AB269" s="4">
        <f t="shared" si="40"/>
        <v>0</v>
      </c>
      <c r="AC269" s="6">
        <f t="shared" si="41"/>
        <v>0</v>
      </c>
      <c r="AD269" s="13">
        <f t="shared" si="36"/>
        <v>0</v>
      </c>
      <c r="AE269" s="2">
        <v>0.05</v>
      </c>
      <c r="AF269" s="5">
        <f t="shared" si="42"/>
        <v>0</v>
      </c>
      <c r="AG269" s="2">
        <v>0</v>
      </c>
      <c r="AH269" s="5">
        <f t="shared" si="37"/>
        <v>0</v>
      </c>
      <c r="AJ269" s="126" t="e">
        <v>#N/A</v>
      </c>
      <c r="AK269" s="80">
        <f t="shared" si="43"/>
        <v>0</v>
      </c>
      <c r="AM269" s="85"/>
    </row>
    <row r="270" spans="1:39" hidden="1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">
        <v>3710</v>
      </c>
      <c r="L270" s="1" t="s">
        <v>35</v>
      </c>
      <c r="M270" s="95"/>
      <c r="N270" s="3" t="s">
        <v>3710</v>
      </c>
      <c r="O270" s="1" t="s">
        <v>3733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38"/>
        <v>-45527.760000000009</v>
      </c>
      <c r="X270" s="13">
        <f t="shared" si="35"/>
        <v>44635.05882352942</v>
      </c>
      <c r="Y270" s="13">
        <f t="shared" si="39"/>
        <v>0</v>
      </c>
      <c r="Z270" s="2">
        <v>0</v>
      </c>
      <c r="AA270" s="4">
        <v>0</v>
      </c>
      <c r="AB270" s="4">
        <f t="shared" si="40"/>
        <v>44635.05882352942</v>
      </c>
      <c r="AC270" s="6">
        <f t="shared" si="41"/>
        <v>892.70117647058942</v>
      </c>
      <c r="AD270" s="13">
        <f t="shared" si="36"/>
        <v>45527.760000000009</v>
      </c>
      <c r="AE270" s="2">
        <v>0.05</v>
      </c>
      <c r="AF270" s="5">
        <f t="shared" si="42"/>
        <v>2276.3880000000004</v>
      </c>
      <c r="AG270" s="2">
        <v>0</v>
      </c>
      <c r="AH270" s="5">
        <f t="shared" si="37"/>
        <v>45527.760000000009</v>
      </c>
      <c r="AJ270" s="126" t="e">
        <v>#N/A</v>
      </c>
      <c r="AK270" s="80">
        <f t="shared" si="43"/>
        <v>0</v>
      </c>
      <c r="AM270" s="85"/>
    </row>
    <row r="271" spans="1:39" hidden="1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">
        <v>3710</v>
      </c>
      <c r="L271" s="1" t="s">
        <v>35</v>
      </c>
      <c r="M271" s="95"/>
      <c r="N271" s="3" t="s">
        <v>3710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38"/>
        <v>-465114.81</v>
      </c>
      <c r="X271" s="13">
        <f t="shared" si="35"/>
        <v>457678.65</v>
      </c>
      <c r="Y271" s="13">
        <f t="shared" si="39"/>
        <v>0</v>
      </c>
      <c r="Z271" s="2">
        <v>0</v>
      </c>
      <c r="AA271" s="4">
        <v>0</v>
      </c>
      <c r="AB271" s="4">
        <f t="shared" si="40"/>
        <v>457678.65</v>
      </c>
      <c r="AC271" s="6">
        <f t="shared" si="41"/>
        <v>27460.719000000001</v>
      </c>
      <c r="AD271" s="13">
        <f t="shared" si="36"/>
        <v>457678.65</v>
      </c>
      <c r="AE271" s="2">
        <v>0.05</v>
      </c>
      <c r="AF271" s="5">
        <f t="shared" si="42"/>
        <v>22883.932500000003</v>
      </c>
      <c r="AG271" s="2">
        <v>0</v>
      </c>
      <c r="AH271" s="5">
        <f t="shared" si="37"/>
        <v>457678.65</v>
      </c>
      <c r="AJ271" s="126" t="e">
        <v>#N/A</v>
      </c>
      <c r="AK271" s="80">
        <f t="shared" si="43"/>
        <v>0</v>
      </c>
      <c r="AM271" s="85"/>
    </row>
    <row r="272" spans="1:39" hidden="1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">
        <v>3710</v>
      </c>
      <c r="L272" s="1" t="s">
        <v>35</v>
      </c>
      <c r="M272" s="95"/>
      <c r="N272" s="3" t="s">
        <v>3710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38"/>
        <v>-71489.990000000005</v>
      </c>
      <c r="X272" s="13">
        <f t="shared" si="35"/>
        <v>69819.39</v>
      </c>
      <c r="Y272" s="13">
        <f t="shared" si="39"/>
        <v>0</v>
      </c>
      <c r="Z272" s="2">
        <v>0</v>
      </c>
      <c r="AA272" s="4">
        <v>0</v>
      </c>
      <c r="AB272" s="4">
        <f t="shared" si="40"/>
        <v>69819.39</v>
      </c>
      <c r="AC272" s="6">
        <f t="shared" si="41"/>
        <v>4189.1633999999995</v>
      </c>
      <c r="AD272" s="13">
        <f t="shared" si="36"/>
        <v>69819.39</v>
      </c>
      <c r="AE272" s="2">
        <v>0.05</v>
      </c>
      <c r="AF272" s="5">
        <f t="shared" si="42"/>
        <v>3490.9695000000002</v>
      </c>
      <c r="AG272" s="2">
        <v>0</v>
      </c>
      <c r="AH272" s="5">
        <f t="shared" si="37"/>
        <v>69819.39</v>
      </c>
      <c r="AJ272" s="126" t="e">
        <v>#N/A</v>
      </c>
      <c r="AK272" s="80">
        <f t="shared" si="43"/>
        <v>0</v>
      </c>
      <c r="AM272" s="85"/>
    </row>
    <row r="273" spans="1:39" hidden="1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">
        <v>3712</v>
      </c>
      <c r="L273" s="1" t="s">
        <v>35</v>
      </c>
      <c r="M273" s="95"/>
      <c r="N273" s="3" t="s">
        <v>3729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38"/>
        <v>-979.81999999999994</v>
      </c>
      <c r="X273" s="13">
        <f t="shared" si="35"/>
        <v>0</v>
      </c>
      <c r="Y273" s="13">
        <f t="shared" si="39"/>
        <v>0</v>
      </c>
      <c r="Z273" s="2">
        <v>0</v>
      </c>
      <c r="AA273" s="4">
        <v>0</v>
      </c>
      <c r="AB273" s="4">
        <f t="shared" si="40"/>
        <v>0</v>
      </c>
      <c r="AC273" s="6">
        <f t="shared" si="41"/>
        <v>0</v>
      </c>
      <c r="AD273" s="13">
        <f t="shared" si="36"/>
        <v>0</v>
      </c>
      <c r="AE273" s="2">
        <v>0.05</v>
      </c>
      <c r="AF273" s="5">
        <f t="shared" si="42"/>
        <v>0</v>
      </c>
      <c r="AG273" s="2">
        <v>0</v>
      </c>
      <c r="AH273" s="5">
        <f t="shared" si="37"/>
        <v>0</v>
      </c>
      <c r="AJ273" s="126" t="e">
        <v>#N/A</v>
      </c>
      <c r="AK273" s="80">
        <f t="shared" si="43"/>
        <v>0</v>
      </c>
      <c r="AM273" s="85"/>
    </row>
    <row r="274" spans="1:39" hidden="1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38"/>
        <v>-9.0300000000000011</v>
      </c>
      <c r="X274" s="13">
        <f t="shared" si="35"/>
        <v>8.766990291262136</v>
      </c>
      <c r="Y274" s="13">
        <f t="shared" si="39"/>
        <v>0</v>
      </c>
      <c r="Z274" s="2">
        <v>0</v>
      </c>
      <c r="AA274" s="4">
        <v>0</v>
      </c>
      <c r="AB274" s="4">
        <f t="shared" si="40"/>
        <v>8.766990291262136</v>
      </c>
      <c r="AC274" s="6">
        <f t="shared" si="41"/>
        <v>0.26300970873786511</v>
      </c>
      <c r="AD274" s="13">
        <f t="shared" si="36"/>
        <v>9.0300000000000011</v>
      </c>
      <c r="AE274" s="2">
        <v>0.05</v>
      </c>
      <c r="AF274" s="5">
        <f t="shared" si="42"/>
        <v>0.45150000000000007</v>
      </c>
      <c r="AG274" s="2">
        <v>0</v>
      </c>
      <c r="AH274" s="5">
        <f t="shared" si="37"/>
        <v>9.0300000000000011</v>
      </c>
      <c r="AJ274" s="126" t="e">
        <v>#N/A</v>
      </c>
      <c r="AK274" s="80">
        <f t="shared" si="43"/>
        <v>0</v>
      </c>
      <c r="AM274" s="85"/>
    </row>
    <row r="275" spans="1:39" hidden="1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38"/>
        <v>-32944.83</v>
      </c>
      <c r="X275" s="13">
        <f t="shared" ref="X275:X338" si="44">IF(P275="折扣",V275*Q275,IF(P275="返现",V275,V275/(1+Q275)))</f>
        <v>31031.754716981133</v>
      </c>
      <c r="Y275" s="13">
        <f t="shared" si="39"/>
        <v>0</v>
      </c>
      <c r="Z275" s="2">
        <v>0</v>
      </c>
      <c r="AA275" s="4">
        <v>0</v>
      </c>
      <c r="AB275" s="4">
        <f t="shared" si="40"/>
        <v>31031.754716981133</v>
      </c>
      <c r="AC275" s="6">
        <f t="shared" si="41"/>
        <v>1861.9052830188703</v>
      </c>
      <c r="AD275" s="13">
        <f t="shared" ref="AD275:AD338" si="45">V275</f>
        <v>32893.660000000003</v>
      </c>
      <c r="AE275" s="2">
        <v>0.05</v>
      </c>
      <c r="AF275" s="5">
        <f t="shared" si="42"/>
        <v>1644.6830000000002</v>
      </c>
      <c r="AG275" s="2">
        <v>0</v>
      </c>
      <c r="AH275" s="5">
        <f t="shared" ref="AH275:AH338" si="46">V275</f>
        <v>32893.660000000003</v>
      </c>
      <c r="AJ275" s="126" t="e">
        <v>#N/A</v>
      </c>
      <c r="AK275" s="80">
        <f t="shared" si="43"/>
        <v>0</v>
      </c>
      <c r="AM275" s="85"/>
    </row>
    <row r="276" spans="1:39" hidden="1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47">T276+U276-V276</f>
        <v>-23.1</v>
      </c>
      <c r="X276" s="13">
        <f t="shared" si="44"/>
        <v>18.300970873786408</v>
      </c>
      <c r="Y276" s="13">
        <f t="shared" si="39"/>
        <v>0</v>
      </c>
      <c r="Z276" s="2">
        <v>0</v>
      </c>
      <c r="AA276" s="4">
        <v>0</v>
      </c>
      <c r="AB276" s="4">
        <f t="shared" si="40"/>
        <v>18.300970873786408</v>
      </c>
      <c r="AC276" s="6">
        <f t="shared" si="41"/>
        <v>0.54902912621359334</v>
      </c>
      <c r="AD276" s="13">
        <f t="shared" si="45"/>
        <v>18.850000000000001</v>
      </c>
      <c r="AE276" s="2">
        <v>0.05</v>
      </c>
      <c r="AF276" s="5">
        <f t="shared" si="42"/>
        <v>0.94250000000000012</v>
      </c>
      <c r="AG276" s="2">
        <v>0</v>
      </c>
      <c r="AH276" s="5">
        <f t="shared" si="46"/>
        <v>18.850000000000001</v>
      </c>
      <c r="AJ276" s="126" t="e">
        <v>#N/A</v>
      </c>
      <c r="AK276" s="80">
        <f t="shared" si="43"/>
        <v>0</v>
      </c>
      <c r="AM276" s="85"/>
    </row>
    <row r="277" spans="1:39" hidden="1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47"/>
        <v>-14041.13</v>
      </c>
      <c r="X277" s="13">
        <f t="shared" si="44"/>
        <v>10542.058252427183</v>
      </c>
      <c r="Y277" s="13">
        <f t="shared" si="39"/>
        <v>0</v>
      </c>
      <c r="Z277" s="2">
        <v>0</v>
      </c>
      <c r="AA277" s="4">
        <v>0</v>
      </c>
      <c r="AB277" s="4">
        <f t="shared" si="40"/>
        <v>10542.058252427183</v>
      </c>
      <c r="AC277" s="6">
        <f t="shared" si="41"/>
        <v>316.2617475728166</v>
      </c>
      <c r="AD277" s="13">
        <f t="shared" si="45"/>
        <v>10858.32</v>
      </c>
      <c r="AE277" s="2">
        <v>0.05</v>
      </c>
      <c r="AF277" s="5">
        <f t="shared" si="42"/>
        <v>542.91600000000005</v>
      </c>
      <c r="AG277" s="2">
        <v>0</v>
      </c>
      <c r="AH277" s="5">
        <f t="shared" si="46"/>
        <v>10858.32</v>
      </c>
      <c r="AJ277" s="126" t="e">
        <v>#N/A</v>
      </c>
      <c r="AK277" s="80">
        <f t="shared" si="43"/>
        <v>0</v>
      </c>
      <c r="AM277" s="85"/>
    </row>
    <row r="278" spans="1:39" hidden="1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47"/>
        <v>-1536.11</v>
      </c>
      <c r="X278" s="13">
        <f t="shared" si="44"/>
        <v>1446.9999999999998</v>
      </c>
      <c r="Y278" s="13">
        <f t="shared" si="39"/>
        <v>0</v>
      </c>
      <c r="Z278" s="2">
        <v>0</v>
      </c>
      <c r="AA278" s="4">
        <v>0</v>
      </c>
      <c r="AB278" s="4">
        <f t="shared" si="40"/>
        <v>1446.9999999999998</v>
      </c>
      <c r="AC278" s="6">
        <f t="shared" si="41"/>
        <v>86.820000000000164</v>
      </c>
      <c r="AD278" s="13">
        <f t="shared" si="45"/>
        <v>1533.82</v>
      </c>
      <c r="AE278" s="2">
        <v>0.05</v>
      </c>
      <c r="AF278" s="5">
        <f t="shared" si="42"/>
        <v>76.691000000000003</v>
      </c>
      <c r="AG278" s="2">
        <v>0</v>
      </c>
      <c r="AH278" s="5">
        <f t="shared" si="46"/>
        <v>1533.82</v>
      </c>
      <c r="AJ278" s="126" t="e">
        <v>#N/A</v>
      </c>
      <c r="AK278" s="80">
        <f t="shared" si="43"/>
        <v>0</v>
      </c>
      <c r="AM278" s="85"/>
    </row>
    <row r="279" spans="1:39" hidden="1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44"/>
        <v>0</v>
      </c>
      <c r="Y279" s="13">
        <f t="shared" si="39"/>
        <v>0</v>
      </c>
      <c r="Z279" s="2">
        <v>0</v>
      </c>
      <c r="AA279" s="4">
        <v>0</v>
      </c>
      <c r="AB279" s="4">
        <f t="shared" si="40"/>
        <v>0</v>
      </c>
      <c r="AC279" s="6">
        <f t="shared" si="41"/>
        <v>0</v>
      </c>
      <c r="AD279" s="13">
        <f t="shared" si="45"/>
        <v>0</v>
      </c>
      <c r="AE279" s="2">
        <v>0.05</v>
      </c>
      <c r="AF279" s="5">
        <f t="shared" si="42"/>
        <v>0</v>
      </c>
      <c r="AG279" s="2">
        <v>0</v>
      </c>
      <c r="AH279" s="5">
        <f t="shared" si="46"/>
        <v>0</v>
      </c>
      <c r="AJ279" s="126" t="e">
        <v>#N/A</v>
      </c>
      <c r="AK279" s="80">
        <f t="shared" si="43"/>
        <v>0</v>
      </c>
      <c r="AM279" s="85"/>
    </row>
    <row r="280" spans="1:39" hidden="1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47"/>
        <v>-11001.990000000002</v>
      </c>
      <c r="X280" s="13">
        <f t="shared" si="44"/>
        <v>8579.8557692307695</v>
      </c>
      <c r="Y280" s="13">
        <f t="shared" si="39"/>
        <v>0</v>
      </c>
      <c r="Z280" s="2">
        <v>0</v>
      </c>
      <c r="AA280" s="4">
        <v>0</v>
      </c>
      <c r="AB280" s="4">
        <f t="shared" si="40"/>
        <v>8579.8557692307695</v>
      </c>
      <c r="AC280" s="6">
        <f t="shared" si="41"/>
        <v>343.19423076923158</v>
      </c>
      <c r="AD280" s="13">
        <f t="shared" si="45"/>
        <v>8923.0500000000011</v>
      </c>
      <c r="AE280" s="2">
        <v>0.05</v>
      </c>
      <c r="AF280" s="5">
        <f t="shared" si="42"/>
        <v>446.15250000000009</v>
      </c>
      <c r="AG280" s="2">
        <v>0</v>
      </c>
      <c r="AH280" s="5">
        <f t="shared" si="46"/>
        <v>8923.0500000000011</v>
      </c>
      <c r="AJ280" s="126" t="e">
        <v>#N/A</v>
      </c>
      <c r="AK280" s="80">
        <f t="shared" si="43"/>
        <v>0</v>
      </c>
      <c r="AM280" s="85"/>
    </row>
    <row r="281" spans="1:39" hidden="1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">
        <v>3712</v>
      </c>
      <c r="L281" s="1" t="s">
        <v>35</v>
      </c>
      <c r="M281" s="95"/>
      <c r="N281" s="3" t="s">
        <v>3729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47"/>
        <v>0</v>
      </c>
      <c r="X281" s="13">
        <f t="shared" si="44"/>
        <v>0</v>
      </c>
      <c r="Y281" s="13">
        <f t="shared" si="39"/>
        <v>0</v>
      </c>
      <c r="Z281" s="2">
        <v>0</v>
      </c>
      <c r="AA281" s="4">
        <v>0</v>
      </c>
      <c r="AB281" s="4">
        <f t="shared" si="40"/>
        <v>0</v>
      </c>
      <c r="AC281" s="6">
        <f t="shared" si="41"/>
        <v>0</v>
      </c>
      <c r="AD281" s="13">
        <f t="shared" si="45"/>
        <v>0</v>
      </c>
      <c r="AE281" s="2">
        <v>0.05</v>
      </c>
      <c r="AF281" s="5">
        <f t="shared" si="42"/>
        <v>0</v>
      </c>
      <c r="AG281" s="2">
        <v>0</v>
      </c>
      <c r="AH281" s="5">
        <f t="shared" si="46"/>
        <v>0</v>
      </c>
      <c r="AJ281" s="126" t="e">
        <v>#N/A</v>
      </c>
      <c r="AK281" s="80">
        <f t="shared" si="43"/>
        <v>0</v>
      </c>
      <c r="AM281" s="85"/>
    </row>
    <row r="282" spans="1:39" hidden="1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">
        <v>3712</v>
      </c>
      <c r="L282" s="1" t="s">
        <v>35</v>
      </c>
      <c r="M282" s="95"/>
      <c r="N282" s="3" t="s">
        <v>3729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47"/>
        <v>0</v>
      </c>
      <c r="X282" s="13">
        <f t="shared" si="44"/>
        <v>0</v>
      </c>
      <c r="Y282" s="13">
        <f t="shared" si="39"/>
        <v>0</v>
      </c>
      <c r="Z282" s="2">
        <v>0</v>
      </c>
      <c r="AA282" s="4">
        <v>0</v>
      </c>
      <c r="AB282" s="4">
        <f t="shared" si="40"/>
        <v>0</v>
      </c>
      <c r="AC282" s="6">
        <f t="shared" si="41"/>
        <v>0</v>
      </c>
      <c r="AD282" s="13">
        <f t="shared" si="45"/>
        <v>0</v>
      </c>
      <c r="AE282" s="2">
        <v>0.05</v>
      </c>
      <c r="AF282" s="5">
        <f t="shared" si="42"/>
        <v>0</v>
      </c>
      <c r="AG282" s="2">
        <v>0</v>
      </c>
      <c r="AH282" s="5">
        <f t="shared" si="46"/>
        <v>0</v>
      </c>
      <c r="AJ282" s="126" t="e">
        <v>#N/A</v>
      </c>
      <c r="AK282" s="80">
        <f t="shared" si="43"/>
        <v>0</v>
      </c>
      <c r="AM282" s="85"/>
    </row>
    <row r="283" spans="1:39" hidden="1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">
        <v>3712</v>
      </c>
      <c r="L283" s="1" t="s">
        <v>35</v>
      </c>
      <c r="M283" s="95"/>
      <c r="N283" s="3" t="s">
        <v>3729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47"/>
        <v>-225.07</v>
      </c>
      <c r="X283" s="13">
        <f t="shared" si="44"/>
        <v>0</v>
      </c>
      <c r="Y283" s="13">
        <f t="shared" si="39"/>
        <v>0</v>
      </c>
      <c r="Z283" s="2">
        <v>0</v>
      </c>
      <c r="AA283" s="4">
        <v>0</v>
      </c>
      <c r="AB283" s="4">
        <f t="shared" si="40"/>
        <v>0</v>
      </c>
      <c r="AC283" s="6">
        <f t="shared" si="41"/>
        <v>0</v>
      </c>
      <c r="AD283" s="13">
        <f t="shared" si="45"/>
        <v>0</v>
      </c>
      <c r="AE283" s="2">
        <v>0.05</v>
      </c>
      <c r="AF283" s="5">
        <f t="shared" si="42"/>
        <v>0</v>
      </c>
      <c r="AG283" s="2">
        <v>0</v>
      </c>
      <c r="AH283" s="5">
        <f t="shared" si="46"/>
        <v>0</v>
      </c>
      <c r="AJ283" s="126" t="e">
        <v>#N/A</v>
      </c>
      <c r="AK283" s="80">
        <f t="shared" si="43"/>
        <v>0</v>
      </c>
      <c r="AM283" s="85"/>
    </row>
    <row r="284" spans="1:39" hidden="1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47"/>
        <v>-10329.550000000001</v>
      </c>
      <c r="X284" s="13">
        <f t="shared" si="44"/>
        <v>9578.1886792452842</v>
      </c>
      <c r="Y284" s="13">
        <f t="shared" si="39"/>
        <v>0</v>
      </c>
      <c r="Z284" s="2">
        <v>0</v>
      </c>
      <c r="AA284" s="4">
        <v>0</v>
      </c>
      <c r="AB284" s="4">
        <f t="shared" si="40"/>
        <v>9578.1886792452842</v>
      </c>
      <c r="AC284" s="6">
        <f t="shared" si="41"/>
        <v>574.6913207547168</v>
      </c>
      <c r="AD284" s="13">
        <f t="shared" si="45"/>
        <v>10152.880000000001</v>
      </c>
      <c r="AE284" s="2">
        <v>0.05</v>
      </c>
      <c r="AF284" s="5">
        <f t="shared" si="42"/>
        <v>507.64400000000006</v>
      </c>
      <c r="AG284" s="2">
        <v>0</v>
      </c>
      <c r="AH284" s="5">
        <f t="shared" si="46"/>
        <v>10152.880000000001</v>
      </c>
      <c r="AJ284" s="126" t="e">
        <v>#N/A</v>
      </c>
      <c r="AK284" s="80">
        <f t="shared" si="43"/>
        <v>0</v>
      </c>
      <c r="AM284" s="85"/>
    </row>
    <row r="285" spans="1:39" hidden="1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">
        <v>3712</v>
      </c>
      <c r="L285" s="1" t="s">
        <v>35</v>
      </c>
      <c r="M285" s="95"/>
      <c r="N285" s="3" t="s">
        <v>3712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47"/>
        <v>-1319.27</v>
      </c>
      <c r="X285" s="13">
        <f t="shared" si="44"/>
        <v>1317.57</v>
      </c>
      <c r="Y285" s="13">
        <f t="shared" si="39"/>
        <v>0</v>
      </c>
      <c r="Z285" s="2">
        <v>0</v>
      </c>
      <c r="AA285" s="4">
        <v>0</v>
      </c>
      <c r="AB285" s="4">
        <f t="shared" si="40"/>
        <v>1317.57</v>
      </c>
      <c r="AC285" s="6">
        <f t="shared" si="41"/>
        <v>0</v>
      </c>
      <c r="AD285" s="13">
        <f t="shared" si="45"/>
        <v>1317.57</v>
      </c>
      <c r="AE285" s="2">
        <v>0.05</v>
      </c>
      <c r="AF285" s="5">
        <f t="shared" si="42"/>
        <v>65.878500000000003</v>
      </c>
      <c r="AG285" s="2">
        <v>0</v>
      </c>
      <c r="AH285" s="5">
        <f t="shared" si="46"/>
        <v>1317.57</v>
      </c>
      <c r="AJ285" s="126" t="e">
        <v>#N/A</v>
      </c>
      <c r="AK285" s="80">
        <f t="shared" si="43"/>
        <v>0</v>
      </c>
      <c r="AM285" s="85"/>
    </row>
    <row r="286" spans="1:39" hidden="1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">
        <v>3710</v>
      </c>
      <c r="L286" s="1" t="s">
        <v>35</v>
      </c>
      <c r="M286" s="95"/>
      <c r="N286" s="3" t="s">
        <v>3710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47"/>
        <v>-1887.74</v>
      </c>
      <c r="X286" s="13">
        <f t="shared" si="44"/>
        <v>1840.02</v>
      </c>
      <c r="Y286" s="13">
        <f t="shared" si="39"/>
        <v>0</v>
      </c>
      <c r="Z286" s="2">
        <v>0</v>
      </c>
      <c r="AA286" s="4">
        <v>0</v>
      </c>
      <c r="AB286" s="4">
        <f t="shared" si="40"/>
        <v>1840.02</v>
      </c>
      <c r="AC286" s="6">
        <f t="shared" si="41"/>
        <v>0</v>
      </c>
      <c r="AD286" s="13">
        <f t="shared" si="45"/>
        <v>1840.02</v>
      </c>
      <c r="AE286" s="2">
        <v>0.05</v>
      </c>
      <c r="AF286" s="5">
        <f t="shared" si="42"/>
        <v>92.001000000000005</v>
      </c>
      <c r="AG286" s="2">
        <v>0</v>
      </c>
      <c r="AH286" s="5">
        <f t="shared" si="46"/>
        <v>1840.02</v>
      </c>
      <c r="AJ286" s="126" t="e">
        <v>#N/A</v>
      </c>
      <c r="AK286" s="80">
        <f t="shared" si="43"/>
        <v>0</v>
      </c>
      <c r="AM286" s="85"/>
    </row>
    <row r="287" spans="1:39" hidden="1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">
        <v>3710</v>
      </c>
      <c r="L287" s="1" t="s">
        <v>35</v>
      </c>
      <c r="M287" s="95"/>
      <c r="N287" s="3" t="s">
        <v>3723</v>
      </c>
      <c r="O287" s="8" t="s">
        <v>105</v>
      </c>
      <c r="P287" s="1" t="s">
        <v>3753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47"/>
        <v>-4030.0099999999993</v>
      </c>
      <c r="X287" s="13">
        <f t="shared" si="44"/>
        <v>3163.7623762376229</v>
      </c>
      <c r="Y287" s="13">
        <f t="shared" si="39"/>
        <v>0</v>
      </c>
      <c r="Z287" s="2">
        <v>0</v>
      </c>
      <c r="AA287" s="4">
        <v>0</v>
      </c>
      <c r="AB287" s="4">
        <f t="shared" si="40"/>
        <v>3163.7623762376229</v>
      </c>
      <c r="AC287" s="6">
        <f t="shared" si="41"/>
        <v>31.637623762376279</v>
      </c>
      <c r="AD287" s="13">
        <f t="shared" si="45"/>
        <v>3195.3999999999992</v>
      </c>
      <c r="AE287" s="2">
        <v>0.05</v>
      </c>
      <c r="AF287" s="5">
        <f t="shared" si="42"/>
        <v>159.76999999999998</v>
      </c>
      <c r="AG287" s="2">
        <v>0</v>
      </c>
      <c r="AH287" s="5">
        <f t="shared" si="46"/>
        <v>3195.3999999999992</v>
      </c>
      <c r="AJ287" s="126" t="e">
        <v>#N/A</v>
      </c>
      <c r="AK287" s="80">
        <f t="shared" si="43"/>
        <v>0</v>
      </c>
      <c r="AM287" s="85"/>
    </row>
    <row r="288" spans="1:39" hidden="1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">
        <v>3707</v>
      </c>
      <c r="L288" s="1" t="s">
        <v>35</v>
      </c>
      <c r="M288" s="95"/>
      <c r="N288" s="3" t="s">
        <v>3707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47"/>
        <v>-22.220000000000002</v>
      </c>
      <c r="X288" s="13">
        <f t="shared" si="44"/>
        <v>0.39</v>
      </c>
      <c r="Y288" s="13">
        <f t="shared" si="39"/>
        <v>0</v>
      </c>
      <c r="Z288" s="2">
        <v>0</v>
      </c>
      <c r="AA288" s="4">
        <v>0</v>
      </c>
      <c r="AB288" s="4">
        <f t="shared" si="40"/>
        <v>0.39</v>
      </c>
      <c r="AC288" s="6">
        <f t="shared" si="41"/>
        <v>0</v>
      </c>
      <c r="AD288" s="13">
        <f t="shared" si="45"/>
        <v>0.39</v>
      </c>
      <c r="AE288" s="2">
        <v>0.05</v>
      </c>
      <c r="AF288" s="5">
        <f t="shared" si="42"/>
        <v>1.9500000000000003E-2</v>
      </c>
      <c r="AG288" s="2">
        <v>0</v>
      </c>
      <c r="AH288" s="5">
        <f t="shared" si="46"/>
        <v>0.39</v>
      </c>
      <c r="AJ288" s="126" t="e">
        <v>#N/A</v>
      </c>
      <c r="AK288" s="80">
        <f t="shared" si="43"/>
        <v>0</v>
      </c>
      <c r="AM288" s="85"/>
    </row>
    <row r="289" spans="1:39" hidden="1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47"/>
        <v>10000</v>
      </c>
      <c r="X289" s="13">
        <f t="shared" si="44"/>
        <v>0</v>
      </c>
      <c r="Y289" s="13">
        <f t="shared" si="39"/>
        <v>0</v>
      </c>
      <c r="Z289" s="2">
        <v>0</v>
      </c>
      <c r="AA289" s="4">
        <v>0</v>
      </c>
      <c r="AB289" s="4">
        <f t="shared" si="40"/>
        <v>0</v>
      </c>
      <c r="AC289" s="6">
        <f t="shared" si="41"/>
        <v>0</v>
      </c>
      <c r="AD289" s="13">
        <f t="shared" si="45"/>
        <v>0</v>
      </c>
      <c r="AE289" s="2">
        <v>0.05</v>
      </c>
      <c r="AF289" s="5">
        <f t="shared" si="42"/>
        <v>0</v>
      </c>
      <c r="AG289" s="2">
        <v>0</v>
      </c>
      <c r="AH289" s="5">
        <f t="shared" si="46"/>
        <v>0</v>
      </c>
      <c r="AJ289" s="126" t="e">
        <v>#N/A</v>
      </c>
      <c r="AK289" s="80">
        <f t="shared" si="43"/>
        <v>0</v>
      </c>
      <c r="AM289" s="85"/>
    </row>
    <row r="290" spans="1:39" hidden="1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47"/>
        <v>0</v>
      </c>
      <c r="X290" s="13">
        <f t="shared" si="44"/>
        <v>0</v>
      </c>
      <c r="Y290" s="13">
        <f t="shared" si="39"/>
        <v>0</v>
      </c>
      <c r="Z290" s="2">
        <v>0</v>
      </c>
      <c r="AA290" s="4">
        <v>0</v>
      </c>
      <c r="AB290" s="4">
        <f t="shared" si="40"/>
        <v>0</v>
      </c>
      <c r="AC290" s="6">
        <f t="shared" si="41"/>
        <v>0</v>
      </c>
      <c r="AD290" s="13">
        <f t="shared" si="45"/>
        <v>0</v>
      </c>
      <c r="AE290" s="2">
        <v>0.05</v>
      </c>
      <c r="AF290" s="5">
        <f t="shared" si="42"/>
        <v>0</v>
      </c>
      <c r="AG290" s="2">
        <v>0</v>
      </c>
      <c r="AH290" s="5">
        <f t="shared" si="46"/>
        <v>0</v>
      </c>
      <c r="AJ290" s="126" t="e">
        <v>#N/A</v>
      </c>
      <c r="AK290" s="80">
        <f t="shared" si="43"/>
        <v>0</v>
      </c>
      <c r="AM290" s="85"/>
    </row>
    <row r="291" spans="1:39" hidden="1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">
        <v>3712</v>
      </c>
      <c r="L291" s="1" t="s">
        <v>35</v>
      </c>
      <c r="M291" s="95"/>
      <c r="N291" s="3" t="s">
        <v>3712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47"/>
        <v>-15828.030000000004</v>
      </c>
      <c r="X291" s="13">
        <f t="shared" si="44"/>
        <v>15828.030000000004</v>
      </c>
      <c r="Y291" s="13">
        <f t="shared" si="39"/>
        <v>0</v>
      </c>
      <c r="Z291" s="2">
        <v>0</v>
      </c>
      <c r="AA291" s="4">
        <v>0</v>
      </c>
      <c r="AB291" s="4">
        <f t="shared" si="40"/>
        <v>15828.030000000004</v>
      </c>
      <c r="AC291" s="6">
        <f t="shared" si="41"/>
        <v>949.68180000000018</v>
      </c>
      <c r="AD291" s="13">
        <f t="shared" si="45"/>
        <v>15828.030000000004</v>
      </c>
      <c r="AE291" s="2">
        <v>0.05</v>
      </c>
      <c r="AF291" s="5">
        <f t="shared" si="42"/>
        <v>791.40150000000028</v>
      </c>
      <c r="AG291" s="2">
        <v>0</v>
      </c>
      <c r="AH291" s="5">
        <f t="shared" si="46"/>
        <v>15828.030000000004</v>
      </c>
      <c r="AJ291" s="126" t="e">
        <v>#N/A</v>
      </c>
      <c r="AK291" s="80">
        <f t="shared" si="43"/>
        <v>0</v>
      </c>
      <c r="AM291" s="85"/>
    </row>
    <row r="292" spans="1:39" hidden="1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">
        <v>3710</v>
      </c>
      <c r="L292" s="1" t="s">
        <v>35</v>
      </c>
      <c r="M292" s="95"/>
      <c r="N292" s="3" t="s">
        <v>3711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47"/>
        <v>-663050.96999999927</v>
      </c>
      <c r="X292" s="13">
        <f t="shared" si="44"/>
        <v>663050.96999999927</v>
      </c>
      <c r="Y292" s="13">
        <f t="shared" si="39"/>
        <v>0</v>
      </c>
      <c r="Z292" s="2">
        <v>0</v>
      </c>
      <c r="AA292" s="4">
        <v>0</v>
      </c>
      <c r="AB292" s="4">
        <f t="shared" si="40"/>
        <v>663050.96999999927</v>
      </c>
      <c r="AC292" s="6">
        <f t="shared" si="41"/>
        <v>39783.058199999956</v>
      </c>
      <c r="AD292" s="13">
        <f t="shared" si="45"/>
        <v>663050.96999999927</v>
      </c>
      <c r="AE292" s="2">
        <v>0.05</v>
      </c>
      <c r="AF292" s="5">
        <f t="shared" si="42"/>
        <v>33152.548499999968</v>
      </c>
      <c r="AG292" s="2">
        <v>0</v>
      </c>
      <c r="AH292" s="5">
        <f t="shared" si="46"/>
        <v>663050.96999999927</v>
      </c>
      <c r="AJ292" s="126" t="e">
        <v>#N/A</v>
      </c>
      <c r="AK292" s="80">
        <f t="shared" si="43"/>
        <v>0</v>
      </c>
      <c r="AM292" s="85"/>
    </row>
    <row r="293" spans="1:39" hidden="1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">
        <v>3710</v>
      </c>
      <c r="L293" s="1" t="s">
        <v>35</v>
      </c>
      <c r="M293" s="95"/>
      <c r="N293" s="3" t="s">
        <v>3714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47"/>
        <v>-109503.73999999999</v>
      </c>
      <c r="X293" s="13">
        <f t="shared" si="44"/>
        <v>109503.73999999999</v>
      </c>
      <c r="Y293" s="13">
        <f t="shared" si="39"/>
        <v>0</v>
      </c>
      <c r="Z293" s="2">
        <v>0</v>
      </c>
      <c r="AA293" s="4">
        <v>0</v>
      </c>
      <c r="AB293" s="4">
        <f t="shared" si="40"/>
        <v>109503.73999999999</v>
      </c>
      <c r="AC293" s="6">
        <f t="shared" si="41"/>
        <v>6570.2243999999992</v>
      </c>
      <c r="AD293" s="13">
        <f t="shared" si="45"/>
        <v>109503.73999999999</v>
      </c>
      <c r="AE293" s="2">
        <v>0.05</v>
      </c>
      <c r="AF293" s="5">
        <f t="shared" si="42"/>
        <v>5475.1869999999999</v>
      </c>
      <c r="AG293" s="2">
        <v>0</v>
      </c>
      <c r="AH293" s="5">
        <f t="shared" si="46"/>
        <v>109503.73999999999</v>
      </c>
      <c r="AJ293" s="126" t="e">
        <v>#N/A</v>
      </c>
      <c r="AK293" s="80">
        <f t="shared" si="43"/>
        <v>0</v>
      </c>
      <c r="AM293" s="85"/>
    </row>
    <row r="294" spans="1:39" hidden="1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">
        <v>3712</v>
      </c>
      <c r="L294" s="1" t="s">
        <v>35</v>
      </c>
      <c r="M294" s="95"/>
      <c r="N294" s="3" t="s">
        <v>3713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47"/>
        <v>-98646.849999999977</v>
      </c>
      <c r="X294" s="13">
        <f t="shared" si="44"/>
        <v>98646.849999999977</v>
      </c>
      <c r="Y294" s="13">
        <f t="shared" si="39"/>
        <v>0</v>
      </c>
      <c r="Z294" s="2">
        <v>0</v>
      </c>
      <c r="AA294" s="4">
        <v>0</v>
      </c>
      <c r="AB294" s="4">
        <f t="shared" si="40"/>
        <v>98646.849999999977</v>
      </c>
      <c r="AC294" s="6">
        <f t="shared" si="41"/>
        <v>5918.8109999999988</v>
      </c>
      <c r="AD294" s="13">
        <f t="shared" si="45"/>
        <v>98646.849999999977</v>
      </c>
      <c r="AE294" s="2">
        <v>0.05</v>
      </c>
      <c r="AF294" s="5">
        <f t="shared" si="42"/>
        <v>4932.3424999999988</v>
      </c>
      <c r="AG294" s="2">
        <v>0</v>
      </c>
      <c r="AH294" s="5">
        <f t="shared" si="46"/>
        <v>98646.849999999977</v>
      </c>
      <c r="AJ294" s="126" t="e">
        <v>#N/A</v>
      </c>
      <c r="AK294" s="80">
        <f t="shared" si="43"/>
        <v>0</v>
      </c>
      <c r="AM294" s="85"/>
    </row>
    <row r="295" spans="1:39" hidden="1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47"/>
        <v>0</v>
      </c>
      <c r="X295" s="13">
        <f t="shared" si="44"/>
        <v>0</v>
      </c>
      <c r="Y295" s="13">
        <f t="shared" si="39"/>
        <v>0</v>
      </c>
      <c r="Z295" s="2">
        <v>0</v>
      </c>
      <c r="AA295" s="4">
        <v>0</v>
      </c>
      <c r="AB295" s="4">
        <f t="shared" si="40"/>
        <v>0</v>
      </c>
      <c r="AC295" s="6">
        <f t="shared" si="41"/>
        <v>0</v>
      </c>
      <c r="AD295" s="13">
        <f t="shared" si="45"/>
        <v>0</v>
      </c>
      <c r="AE295" s="2">
        <v>0.05</v>
      </c>
      <c r="AF295" s="5">
        <f t="shared" si="42"/>
        <v>0</v>
      </c>
      <c r="AG295" s="2">
        <v>0</v>
      </c>
      <c r="AH295" s="5">
        <f t="shared" si="46"/>
        <v>0</v>
      </c>
      <c r="AJ295" s="126" t="e">
        <v>#N/A</v>
      </c>
      <c r="AK295" s="80">
        <f t="shared" si="43"/>
        <v>0</v>
      </c>
      <c r="AM295" s="85"/>
    </row>
    <row r="296" spans="1:39" hidden="1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47"/>
        <v>-67.059999999999988</v>
      </c>
      <c r="X296" s="13">
        <f t="shared" si="44"/>
        <v>67.059999999999988</v>
      </c>
      <c r="Y296" s="13">
        <f t="shared" si="39"/>
        <v>0</v>
      </c>
      <c r="Z296" s="2">
        <v>0</v>
      </c>
      <c r="AA296" s="4">
        <v>0</v>
      </c>
      <c r="AB296" s="4">
        <f t="shared" si="40"/>
        <v>67.059999999999988</v>
      </c>
      <c r="AC296" s="6">
        <f t="shared" si="41"/>
        <v>4.0235999999999992</v>
      </c>
      <c r="AD296" s="13">
        <f t="shared" si="45"/>
        <v>67.059999999999988</v>
      </c>
      <c r="AE296" s="2">
        <v>0.05</v>
      </c>
      <c r="AF296" s="5">
        <f t="shared" si="42"/>
        <v>3.3529999999999998</v>
      </c>
      <c r="AG296" s="2">
        <v>0</v>
      </c>
      <c r="AH296" s="5">
        <f t="shared" si="46"/>
        <v>67.059999999999988</v>
      </c>
      <c r="AJ296" s="126" t="e">
        <v>#N/A</v>
      </c>
      <c r="AK296" s="80">
        <f t="shared" si="43"/>
        <v>0</v>
      </c>
      <c r="AM296" s="85"/>
    </row>
    <row r="297" spans="1:39" hidden="1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47"/>
        <v>-2132.9499999999998</v>
      </c>
      <c r="X297" s="13">
        <f t="shared" si="44"/>
        <v>2132.9499999999998</v>
      </c>
      <c r="Y297" s="13">
        <f t="shared" si="39"/>
        <v>0</v>
      </c>
      <c r="Z297" s="2">
        <v>0</v>
      </c>
      <c r="AA297" s="4">
        <v>0</v>
      </c>
      <c r="AB297" s="4">
        <f t="shared" si="40"/>
        <v>2132.9499999999998</v>
      </c>
      <c r="AC297" s="6">
        <f t="shared" si="41"/>
        <v>127.97699999999999</v>
      </c>
      <c r="AD297" s="13">
        <f t="shared" si="45"/>
        <v>2132.9499999999998</v>
      </c>
      <c r="AE297" s="2">
        <v>0.05</v>
      </c>
      <c r="AF297" s="5">
        <f t="shared" si="42"/>
        <v>106.64749999999999</v>
      </c>
      <c r="AG297" s="2">
        <v>0</v>
      </c>
      <c r="AH297" s="5">
        <f t="shared" si="46"/>
        <v>2132.9499999999998</v>
      </c>
      <c r="AJ297" s="126" t="e">
        <v>#N/A</v>
      </c>
      <c r="AK297" s="80">
        <f t="shared" si="43"/>
        <v>0</v>
      </c>
      <c r="AM297" s="85"/>
    </row>
    <row r="298" spans="1:39" hidden="1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47"/>
        <v>-1833.5099999999998</v>
      </c>
      <c r="X298" s="13">
        <f t="shared" si="44"/>
        <v>1797.5588235294115</v>
      </c>
      <c r="Y298" s="13">
        <f t="shared" si="39"/>
        <v>0</v>
      </c>
      <c r="Z298" s="2">
        <v>0</v>
      </c>
      <c r="AA298" s="4">
        <v>0</v>
      </c>
      <c r="AB298" s="4">
        <f t="shared" si="40"/>
        <v>1797.5588235294115</v>
      </c>
      <c r="AC298" s="6">
        <f t="shared" si="41"/>
        <v>35.95117647058828</v>
      </c>
      <c r="AD298" s="13">
        <f t="shared" si="45"/>
        <v>1833.5099999999998</v>
      </c>
      <c r="AE298" s="2">
        <v>0.05</v>
      </c>
      <c r="AF298" s="5">
        <f t="shared" si="42"/>
        <v>91.6755</v>
      </c>
      <c r="AG298" s="2">
        <v>0</v>
      </c>
      <c r="AH298" s="5">
        <f t="shared" si="46"/>
        <v>1833.5099999999998</v>
      </c>
      <c r="AJ298" s="126" t="e">
        <v>#N/A</v>
      </c>
      <c r="AK298" s="80">
        <f t="shared" si="43"/>
        <v>0</v>
      </c>
      <c r="AM298" s="85"/>
    </row>
    <row r="299" spans="1:39" hidden="1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47"/>
        <v>-236.93999999999997</v>
      </c>
      <c r="X299" s="13">
        <f t="shared" si="44"/>
        <v>236.93999999999997</v>
      </c>
      <c r="Y299" s="13">
        <f t="shared" si="39"/>
        <v>0</v>
      </c>
      <c r="Z299" s="2">
        <v>0</v>
      </c>
      <c r="AA299" s="4">
        <v>0</v>
      </c>
      <c r="AB299" s="4">
        <f t="shared" si="40"/>
        <v>236.93999999999997</v>
      </c>
      <c r="AC299" s="6">
        <f t="shared" si="41"/>
        <v>14.216399999999998</v>
      </c>
      <c r="AD299" s="13">
        <f t="shared" si="45"/>
        <v>236.93999999999997</v>
      </c>
      <c r="AE299" s="2">
        <v>0.05</v>
      </c>
      <c r="AF299" s="5">
        <f t="shared" si="42"/>
        <v>11.847</v>
      </c>
      <c r="AG299" s="2">
        <v>0</v>
      </c>
      <c r="AH299" s="5">
        <f t="shared" si="46"/>
        <v>236.93999999999997</v>
      </c>
      <c r="AJ299" s="126" t="e">
        <v>#N/A</v>
      </c>
      <c r="AK299" s="80">
        <f t="shared" si="43"/>
        <v>0</v>
      </c>
      <c r="AM299" s="85"/>
    </row>
    <row r="300" spans="1:39" hidden="1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47"/>
        <v>10283121.829999983</v>
      </c>
      <c r="X300" s="13">
        <f t="shared" si="44"/>
        <v>47694807.461538479</v>
      </c>
      <c r="Y300" s="13">
        <f t="shared" si="39"/>
        <v>0</v>
      </c>
      <c r="Z300" s="2">
        <v>0</v>
      </c>
      <c r="AA300" s="4">
        <v>0</v>
      </c>
      <c r="AB300" s="4">
        <f t="shared" si="40"/>
        <v>47694807.461538479</v>
      </c>
      <c r="AC300" s="6">
        <f t="shared" si="41"/>
        <v>1907792.2984615415</v>
      </c>
      <c r="AD300" s="13">
        <f t="shared" si="45"/>
        <v>49602599.76000002</v>
      </c>
      <c r="AE300" s="2">
        <v>0.05</v>
      </c>
      <c r="AF300" s="5">
        <f t="shared" si="42"/>
        <v>2480129.9880000013</v>
      </c>
      <c r="AG300" s="2">
        <v>0</v>
      </c>
      <c r="AH300" s="5">
        <f t="shared" si="46"/>
        <v>49602599.76000002</v>
      </c>
      <c r="AJ300" s="126" t="e">
        <v>#N/A</v>
      </c>
      <c r="AK300" s="80">
        <f t="shared" si="43"/>
        <v>0</v>
      </c>
      <c r="AM300" s="85"/>
    </row>
    <row r="301" spans="1:39" hidden="1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47"/>
        <v>-49729.930000000008</v>
      </c>
      <c r="X301" s="13">
        <f t="shared" si="44"/>
        <v>47817.24038461539</v>
      </c>
      <c r="Y301" s="13">
        <f t="shared" si="39"/>
        <v>0</v>
      </c>
      <c r="Z301" s="2">
        <v>0</v>
      </c>
      <c r="AA301" s="4">
        <v>0</v>
      </c>
      <c r="AB301" s="4">
        <f t="shared" si="40"/>
        <v>47817.24038461539</v>
      </c>
      <c r="AC301" s="6">
        <f t="shared" si="41"/>
        <v>1912.6896153846174</v>
      </c>
      <c r="AD301" s="13">
        <f t="shared" si="45"/>
        <v>49729.930000000008</v>
      </c>
      <c r="AE301" s="2">
        <v>0.05</v>
      </c>
      <c r="AF301" s="5">
        <f t="shared" si="42"/>
        <v>2486.4965000000007</v>
      </c>
      <c r="AG301" s="2">
        <v>0</v>
      </c>
      <c r="AH301" s="5">
        <f t="shared" si="46"/>
        <v>49729.930000000008</v>
      </c>
      <c r="AJ301" s="126" t="e">
        <v>#N/A</v>
      </c>
      <c r="AK301" s="80">
        <f t="shared" si="43"/>
        <v>0</v>
      </c>
      <c r="AM301" s="85"/>
    </row>
    <row r="302" spans="1:39" hidden="1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44"/>
        <v>12251909.580000002</v>
      </c>
      <c r="Y302" s="13">
        <f t="shared" si="39"/>
        <v>0</v>
      </c>
      <c r="Z302" s="2">
        <v>0</v>
      </c>
      <c r="AA302" s="4">
        <v>0</v>
      </c>
      <c r="AB302" s="4">
        <f t="shared" si="40"/>
        <v>12251909.580000002</v>
      </c>
      <c r="AC302" s="6">
        <f t="shared" si="41"/>
        <v>735114.57480000006</v>
      </c>
      <c r="AD302" s="13">
        <f t="shared" si="45"/>
        <v>12251909.580000002</v>
      </c>
      <c r="AE302" s="2">
        <v>0.05</v>
      </c>
      <c r="AF302" s="5">
        <f t="shared" si="42"/>
        <v>612595.47900000017</v>
      </c>
      <c r="AG302" s="2">
        <v>0</v>
      </c>
      <c r="AH302" s="5">
        <f t="shared" si="46"/>
        <v>12251909.580000002</v>
      </c>
      <c r="AJ302" s="126" t="e">
        <v>#N/A</v>
      </c>
      <c r="AK302" s="80">
        <f t="shared" si="43"/>
        <v>0</v>
      </c>
      <c r="AM302" s="85"/>
    </row>
    <row r="303" spans="1:39" hidden="1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47"/>
        <v>-687.09</v>
      </c>
      <c r="X303" s="13">
        <f t="shared" si="44"/>
        <v>687.09</v>
      </c>
      <c r="Y303" s="13">
        <f t="shared" si="39"/>
        <v>0</v>
      </c>
      <c r="Z303" s="2">
        <v>0</v>
      </c>
      <c r="AA303" s="4">
        <v>0</v>
      </c>
      <c r="AB303" s="4">
        <f t="shared" si="40"/>
        <v>687.09</v>
      </c>
      <c r="AC303" s="6">
        <f t="shared" si="41"/>
        <v>41.2254</v>
      </c>
      <c r="AD303" s="13">
        <f t="shared" si="45"/>
        <v>687.09</v>
      </c>
      <c r="AE303" s="2">
        <v>0.05</v>
      </c>
      <c r="AF303" s="5">
        <f t="shared" si="42"/>
        <v>34.354500000000002</v>
      </c>
      <c r="AG303" s="2">
        <v>0</v>
      </c>
      <c r="AH303" s="5">
        <f t="shared" si="46"/>
        <v>687.09</v>
      </c>
      <c r="AJ303" s="126" t="e">
        <v>#N/A</v>
      </c>
      <c r="AK303" s="80">
        <f t="shared" si="43"/>
        <v>0</v>
      </c>
      <c r="AM303" s="85"/>
    </row>
    <row r="304" spans="1:39" hidden="1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47"/>
        <v>-9441.3799999999992</v>
      </c>
      <c r="X304" s="13">
        <f t="shared" si="44"/>
        <v>8906.9622641509413</v>
      </c>
      <c r="Y304" s="13">
        <f t="shared" si="39"/>
        <v>0</v>
      </c>
      <c r="Z304" s="2">
        <v>0</v>
      </c>
      <c r="AA304" s="4">
        <v>0</v>
      </c>
      <c r="AB304" s="4">
        <f t="shared" si="40"/>
        <v>8906.9622641509413</v>
      </c>
      <c r="AC304" s="6">
        <f t="shared" si="41"/>
        <v>534.41773584905786</v>
      </c>
      <c r="AD304" s="13">
        <f t="shared" si="45"/>
        <v>9441.3799999999992</v>
      </c>
      <c r="AE304" s="2">
        <v>0.05</v>
      </c>
      <c r="AF304" s="5">
        <f t="shared" si="42"/>
        <v>472.06899999999996</v>
      </c>
      <c r="AG304" s="2">
        <v>0</v>
      </c>
      <c r="AH304" s="5">
        <f t="shared" si="46"/>
        <v>9441.3799999999992</v>
      </c>
      <c r="AJ304" s="126" t="e">
        <v>#N/A</v>
      </c>
      <c r="AK304" s="80">
        <f t="shared" si="43"/>
        <v>0</v>
      </c>
      <c r="AM304" s="85"/>
    </row>
    <row r="305" spans="1:39" hidden="1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47"/>
        <v>560000</v>
      </c>
      <c r="X305" s="13">
        <f t="shared" si="44"/>
        <v>0</v>
      </c>
      <c r="Y305" s="13">
        <f t="shared" si="39"/>
        <v>0</v>
      </c>
      <c r="Z305" s="2">
        <v>0</v>
      </c>
      <c r="AA305" s="4">
        <v>0</v>
      </c>
      <c r="AB305" s="4">
        <f t="shared" si="40"/>
        <v>0</v>
      </c>
      <c r="AC305" s="6">
        <f t="shared" si="41"/>
        <v>0</v>
      </c>
      <c r="AD305" s="13">
        <f t="shared" si="45"/>
        <v>0</v>
      </c>
      <c r="AE305" s="2">
        <v>0.05</v>
      </c>
      <c r="AF305" s="5">
        <f t="shared" si="42"/>
        <v>0</v>
      </c>
      <c r="AG305" s="2">
        <v>0</v>
      </c>
      <c r="AH305" s="5">
        <f t="shared" si="46"/>
        <v>0</v>
      </c>
      <c r="AJ305" s="126" t="e">
        <v>#N/A</v>
      </c>
      <c r="AK305" s="80">
        <f t="shared" si="43"/>
        <v>0</v>
      </c>
      <c r="AM305" s="85"/>
    </row>
    <row r="306" spans="1:39" hidden="1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47"/>
        <v>0</v>
      </c>
      <c r="X306" s="13">
        <f t="shared" si="44"/>
        <v>0</v>
      </c>
      <c r="Y306" s="13">
        <f t="shared" si="39"/>
        <v>0</v>
      </c>
      <c r="Z306" s="2">
        <v>0</v>
      </c>
      <c r="AA306" s="4">
        <v>0</v>
      </c>
      <c r="AB306" s="4">
        <f t="shared" si="40"/>
        <v>0</v>
      </c>
      <c r="AC306" s="6">
        <f t="shared" si="41"/>
        <v>0</v>
      </c>
      <c r="AD306" s="13">
        <f t="shared" si="45"/>
        <v>0</v>
      </c>
      <c r="AE306" s="2">
        <v>0.05</v>
      </c>
      <c r="AF306" s="5">
        <f t="shared" si="42"/>
        <v>0</v>
      </c>
      <c r="AG306" s="2">
        <v>0</v>
      </c>
      <c r="AH306" s="5">
        <f t="shared" si="46"/>
        <v>0</v>
      </c>
      <c r="AJ306" s="126" t="e">
        <v>#N/A</v>
      </c>
      <c r="AK306" s="80">
        <f t="shared" si="43"/>
        <v>0</v>
      </c>
      <c r="AM306" s="85"/>
    </row>
    <row r="307" spans="1:39" hidden="1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47"/>
        <v>1887784.4</v>
      </c>
      <c r="X307" s="13">
        <f t="shared" si="44"/>
        <v>1369071.3207547171</v>
      </c>
      <c r="Y307" s="13">
        <f t="shared" si="39"/>
        <v>0</v>
      </c>
      <c r="Z307" s="2">
        <v>0</v>
      </c>
      <c r="AA307" s="4">
        <v>0</v>
      </c>
      <c r="AB307" s="4">
        <f t="shared" si="40"/>
        <v>1369071.3207547171</v>
      </c>
      <c r="AC307" s="6">
        <f t="shared" si="41"/>
        <v>82144.279245282989</v>
      </c>
      <c r="AD307" s="13">
        <f t="shared" si="45"/>
        <v>1451215.6</v>
      </c>
      <c r="AE307" s="2">
        <v>0.05</v>
      </c>
      <c r="AF307" s="5">
        <f t="shared" si="42"/>
        <v>72560.780000000013</v>
      </c>
      <c r="AG307" s="2">
        <v>0</v>
      </c>
      <c r="AH307" s="5">
        <f t="shared" si="46"/>
        <v>1451215.6</v>
      </c>
      <c r="AJ307" s="126" t="e">
        <v>#N/A</v>
      </c>
      <c r="AK307" s="80">
        <f t="shared" si="43"/>
        <v>0</v>
      </c>
      <c r="AM307" s="85"/>
    </row>
    <row r="308" spans="1:39" hidden="1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47"/>
        <v>-19002.559999999998</v>
      </c>
      <c r="X308" s="13">
        <f t="shared" si="44"/>
        <v>17926.943396226412</v>
      </c>
      <c r="Y308" s="13">
        <f t="shared" si="39"/>
        <v>0</v>
      </c>
      <c r="Z308" s="2">
        <v>0</v>
      </c>
      <c r="AA308" s="4">
        <v>0</v>
      </c>
      <c r="AB308" s="4">
        <f t="shared" si="40"/>
        <v>17926.943396226412</v>
      </c>
      <c r="AC308" s="6">
        <f t="shared" si="41"/>
        <v>1075.6166037735857</v>
      </c>
      <c r="AD308" s="13">
        <f t="shared" si="45"/>
        <v>19002.559999999998</v>
      </c>
      <c r="AE308" s="2">
        <v>0.05</v>
      </c>
      <c r="AF308" s="5">
        <f t="shared" si="42"/>
        <v>950.12799999999993</v>
      </c>
      <c r="AG308" s="2">
        <v>0</v>
      </c>
      <c r="AH308" s="5">
        <f t="shared" si="46"/>
        <v>19002.559999999998</v>
      </c>
      <c r="AJ308" s="126" t="e">
        <v>#N/A</v>
      </c>
      <c r="AK308" s="80">
        <f t="shared" si="43"/>
        <v>0</v>
      </c>
      <c r="AM308" s="85"/>
    </row>
    <row r="309" spans="1:39" hidden="1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">
        <v>3707</v>
      </c>
      <c r="L309" s="1" t="s">
        <v>35</v>
      </c>
      <c r="M309" s="95"/>
      <c r="N309" s="3" t="s">
        <v>3707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47"/>
        <v>-58759.740000000005</v>
      </c>
      <c r="X309" s="13">
        <f t="shared" si="44"/>
        <v>58759.740000000005</v>
      </c>
      <c r="Y309" s="13">
        <f t="shared" si="39"/>
        <v>0</v>
      </c>
      <c r="Z309" s="2">
        <v>0</v>
      </c>
      <c r="AA309" s="4">
        <v>0</v>
      </c>
      <c r="AB309" s="4">
        <f t="shared" si="40"/>
        <v>58759.740000000005</v>
      </c>
      <c r="AC309" s="6">
        <f t="shared" si="41"/>
        <v>3525.5844000000002</v>
      </c>
      <c r="AD309" s="13">
        <f t="shared" si="45"/>
        <v>58759.740000000005</v>
      </c>
      <c r="AE309" s="2">
        <v>0.05</v>
      </c>
      <c r="AF309" s="5">
        <f t="shared" si="42"/>
        <v>2937.9870000000005</v>
      </c>
      <c r="AG309" s="2">
        <v>0</v>
      </c>
      <c r="AH309" s="5">
        <f t="shared" si="46"/>
        <v>58759.740000000005</v>
      </c>
      <c r="AJ309" s="126" t="e">
        <v>#N/A</v>
      </c>
      <c r="AK309" s="80">
        <f t="shared" si="43"/>
        <v>0</v>
      </c>
      <c r="AM309" s="85"/>
    </row>
    <row r="310" spans="1:39" hidden="1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">
        <v>3707</v>
      </c>
      <c r="L310" s="1" t="s">
        <v>35</v>
      </c>
      <c r="M310" s="95"/>
      <c r="N310" s="3" t="s">
        <v>3708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47"/>
        <v>-1507041.33</v>
      </c>
      <c r="X310" s="13">
        <f t="shared" si="44"/>
        <v>1507041.33</v>
      </c>
      <c r="Y310" s="13">
        <f t="shared" si="39"/>
        <v>0</v>
      </c>
      <c r="Z310" s="2">
        <v>0</v>
      </c>
      <c r="AA310" s="4">
        <v>0</v>
      </c>
      <c r="AB310" s="4">
        <f t="shared" si="40"/>
        <v>1507041.33</v>
      </c>
      <c r="AC310" s="6">
        <f t="shared" si="41"/>
        <v>90422.479800000001</v>
      </c>
      <c r="AD310" s="13">
        <f t="shared" si="45"/>
        <v>1507041.33</v>
      </c>
      <c r="AE310" s="2">
        <v>0.05</v>
      </c>
      <c r="AF310" s="5">
        <f t="shared" si="42"/>
        <v>75352.066500000001</v>
      </c>
      <c r="AG310" s="2">
        <v>0</v>
      </c>
      <c r="AH310" s="5">
        <f t="shared" si="46"/>
        <v>1507041.33</v>
      </c>
      <c r="AJ310" s="126" t="e">
        <v>#N/A</v>
      </c>
      <c r="AK310" s="80">
        <f t="shared" si="43"/>
        <v>0</v>
      </c>
      <c r="AM310" s="85"/>
    </row>
    <row r="311" spans="1:39" hidden="1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">
        <v>3707</v>
      </c>
      <c r="L311" s="1" t="s">
        <v>35</v>
      </c>
      <c r="M311" s="95"/>
      <c r="N311" s="3" t="s">
        <v>3708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47"/>
        <v>-0.33</v>
      </c>
      <c r="X311" s="13">
        <f t="shared" si="44"/>
        <v>0.33</v>
      </c>
      <c r="Y311" s="13">
        <f t="shared" si="39"/>
        <v>0</v>
      </c>
      <c r="Z311" s="2">
        <v>0</v>
      </c>
      <c r="AA311" s="4">
        <v>0</v>
      </c>
      <c r="AB311" s="4">
        <f t="shared" si="40"/>
        <v>0.33</v>
      </c>
      <c r="AC311" s="6">
        <f t="shared" si="41"/>
        <v>1.9800000000000002E-2</v>
      </c>
      <c r="AD311" s="13">
        <f t="shared" si="45"/>
        <v>0.33</v>
      </c>
      <c r="AE311" s="2">
        <v>0.05</v>
      </c>
      <c r="AF311" s="5">
        <f t="shared" si="42"/>
        <v>1.6500000000000001E-2</v>
      </c>
      <c r="AG311" s="2">
        <v>0</v>
      </c>
      <c r="AH311" s="5">
        <f t="shared" si="46"/>
        <v>0.33</v>
      </c>
      <c r="AJ311" s="126" t="e">
        <v>#N/A</v>
      </c>
      <c r="AK311" s="80">
        <f t="shared" si="43"/>
        <v>0</v>
      </c>
      <c r="AM311" s="85"/>
    </row>
    <row r="312" spans="1:39" hidden="1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">
        <v>3707</v>
      </c>
      <c r="L312" s="1" t="s">
        <v>35</v>
      </c>
      <c r="M312" s="95"/>
      <c r="N312" s="3" t="s">
        <v>3708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47"/>
        <v>-115474.40999999999</v>
      </c>
      <c r="X312" s="13">
        <f t="shared" si="44"/>
        <v>115474.40999999999</v>
      </c>
      <c r="Y312" s="13">
        <f t="shared" si="39"/>
        <v>0</v>
      </c>
      <c r="Z312" s="2">
        <v>0</v>
      </c>
      <c r="AA312" s="4">
        <v>0</v>
      </c>
      <c r="AB312" s="4">
        <f t="shared" si="40"/>
        <v>115474.40999999999</v>
      </c>
      <c r="AC312" s="6">
        <f t="shared" si="41"/>
        <v>6928.4645999999993</v>
      </c>
      <c r="AD312" s="13">
        <f t="shared" si="45"/>
        <v>115474.40999999999</v>
      </c>
      <c r="AE312" s="2">
        <v>0.05</v>
      </c>
      <c r="AF312" s="5">
        <f t="shared" si="42"/>
        <v>5773.7204999999994</v>
      </c>
      <c r="AG312" s="2">
        <v>0</v>
      </c>
      <c r="AH312" s="5">
        <f t="shared" si="46"/>
        <v>115474.40999999999</v>
      </c>
      <c r="AJ312" s="126" t="e">
        <v>#N/A</v>
      </c>
      <c r="AK312" s="80">
        <f t="shared" si="43"/>
        <v>0</v>
      </c>
      <c r="AM312" s="85"/>
    </row>
    <row r="313" spans="1:39" hidden="1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">
        <v>3707</v>
      </c>
      <c r="L313" s="1" t="s">
        <v>35</v>
      </c>
      <c r="M313" s="95"/>
      <c r="N313" s="3" t="s">
        <v>3708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47"/>
        <v>-235.65999999999997</v>
      </c>
      <c r="X313" s="13">
        <f t="shared" si="44"/>
        <v>235.65999999999997</v>
      </c>
      <c r="Y313" s="13">
        <f t="shared" si="39"/>
        <v>0</v>
      </c>
      <c r="Z313" s="2">
        <v>0</v>
      </c>
      <c r="AA313" s="4">
        <v>0</v>
      </c>
      <c r="AB313" s="4">
        <f t="shared" si="40"/>
        <v>235.65999999999997</v>
      </c>
      <c r="AC313" s="6">
        <f t="shared" si="41"/>
        <v>14.139599999999998</v>
      </c>
      <c r="AD313" s="13">
        <f t="shared" si="45"/>
        <v>235.65999999999997</v>
      </c>
      <c r="AE313" s="2">
        <v>0.05</v>
      </c>
      <c r="AF313" s="5">
        <f t="shared" si="42"/>
        <v>11.782999999999999</v>
      </c>
      <c r="AG313" s="2">
        <v>0</v>
      </c>
      <c r="AH313" s="5">
        <f t="shared" si="46"/>
        <v>235.65999999999997</v>
      </c>
      <c r="AJ313" s="126" t="e">
        <v>#N/A</v>
      </c>
      <c r="AK313" s="80">
        <f t="shared" si="43"/>
        <v>0</v>
      </c>
      <c r="AM313" s="85"/>
    </row>
    <row r="314" spans="1:39" hidden="1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">
        <v>3707</v>
      </c>
      <c r="L314" s="1" t="s">
        <v>35</v>
      </c>
      <c r="M314" s="95"/>
      <c r="N314" s="3" t="s">
        <v>3708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47"/>
        <v>-639.47000000000014</v>
      </c>
      <c r="X314" s="13">
        <f t="shared" si="44"/>
        <v>639.47000000000014</v>
      </c>
      <c r="Y314" s="13">
        <f t="shared" si="39"/>
        <v>0</v>
      </c>
      <c r="Z314" s="2">
        <v>0</v>
      </c>
      <c r="AA314" s="4">
        <v>0</v>
      </c>
      <c r="AB314" s="4">
        <f t="shared" si="40"/>
        <v>639.47000000000014</v>
      </c>
      <c r="AC314" s="6">
        <f t="shared" si="41"/>
        <v>38.368200000000009</v>
      </c>
      <c r="AD314" s="13">
        <f t="shared" si="45"/>
        <v>639.47000000000014</v>
      </c>
      <c r="AE314" s="2">
        <v>0.05</v>
      </c>
      <c r="AF314" s="5">
        <f t="shared" si="42"/>
        <v>31.973500000000008</v>
      </c>
      <c r="AG314" s="2">
        <v>0</v>
      </c>
      <c r="AH314" s="5">
        <f t="shared" si="46"/>
        <v>639.47000000000014</v>
      </c>
      <c r="AJ314" s="126" t="e">
        <v>#N/A</v>
      </c>
      <c r="AK314" s="80">
        <f t="shared" si="43"/>
        <v>0</v>
      </c>
      <c r="AM314" s="85"/>
    </row>
    <row r="315" spans="1:39" hidden="1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">
        <v>3710</v>
      </c>
      <c r="L315" s="1" t="s">
        <v>35</v>
      </c>
      <c r="M315" s="95"/>
      <c r="N315" s="3" t="s">
        <v>3725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47"/>
        <v>-366684.35</v>
      </c>
      <c r="X315" s="13">
        <f t="shared" si="44"/>
        <v>349223.19047619042</v>
      </c>
      <c r="Y315" s="13">
        <f t="shared" si="39"/>
        <v>0</v>
      </c>
      <c r="Z315" s="2">
        <v>0</v>
      </c>
      <c r="AA315" s="4">
        <v>0</v>
      </c>
      <c r="AB315" s="4">
        <f t="shared" si="40"/>
        <v>349223.19047619042</v>
      </c>
      <c r="AC315" s="6">
        <f t="shared" si="41"/>
        <v>17461.159523809562</v>
      </c>
      <c r="AD315" s="13">
        <f t="shared" si="45"/>
        <v>366684.35</v>
      </c>
      <c r="AE315" s="2">
        <v>0.05</v>
      </c>
      <c r="AF315" s="5">
        <f t="shared" si="42"/>
        <v>18334.217499999999</v>
      </c>
      <c r="AG315" s="2">
        <v>0</v>
      </c>
      <c r="AH315" s="5">
        <f t="shared" si="46"/>
        <v>366684.35</v>
      </c>
      <c r="AJ315" s="126" t="e">
        <v>#N/A</v>
      </c>
      <c r="AK315" s="80">
        <f t="shared" si="43"/>
        <v>0</v>
      </c>
      <c r="AM315" s="85"/>
    </row>
    <row r="316" spans="1:39" hidden="1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">
        <v>3710</v>
      </c>
      <c r="L316" s="1" t="s">
        <v>35</v>
      </c>
      <c r="M316" s="95"/>
      <c r="N316" s="3" t="s">
        <v>3710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47"/>
        <v>-708.51</v>
      </c>
      <c r="X316" s="13">
        <f t="shared" si="44"/>
        <v>674.77142857142849</v>
      </c>
      <c r="Y316" s="13">
        <f t="shared" si="39"/>
        <v>0</v>
      </c>
      <c r="Z316" s="2">
        <v>0</v>
      </c>
      <c r="AA316" s="4">
        <v>0</v>
      </c>
      <c r="AB316" s="4">
        <f t="shared" si="40"/>
        <v>674.77142857142849</v>
      </c>
      <c r="AC316" s="6">
        <f t="shared" si="41"/>
        <v>33.738571428571504</v>
      </c>
      <c r="AD316" s="13">
        <f t="shared" si="45"/>
        <v>708.51</v>
      </c>
      <c r="AE316" s="2">
        <v>0.05</v>
      </c>
      <c r="AF316" s="5">
        <f t="shared" si="42"/>
        <v>35.4255</v>
      </c>
      <c r="AG316" s="2">
        <v>0</v>
      </c>
      <c r="AH316" s="5">
        <f t="shared" si="46"/>
        <v>708.51</v>
      </c>
      <c r="AJ316" s="126" t="e">
        <v>#N/A</v>
      </c>
      <c r="AK316" s="80">
        <f t="shared" si="43"/>
        <v>0</v>
      </c>
      <c r="AM316" s="85"/>
    </row>
    <row r="317" spans="1:39" hidden="1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">
        <v>3712</v>
      </c>
      <c r="L317" s="1" t="s">
        <v>35</v>
      </c>
      <c r="M317" s="95"/>
      <c r="N317" s="3" t="s">
        <v>3713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47"/>
        <v>-1036.8800000000001</v>
      </c>
      <c r="X317" s="13">
        <f t="shared" si="44"/>
        <v>987.50476190476195</v>
      </c>
      <c r="Y317" s="13">
        <f t="shared" si="39"/>
        <v>0</v>
      </c>
      <c r="Z317" s="2">
        <v>0</v>
      </c>
      <c r="AA317" s="4">
        <v>0</v>
      </c>
      <c r="AB317" s="4">
        <f t="shared" si="40"/>
        <v>987.50476190476195</v>
      </c>
      <c r="AC317" s="6">
        <f t="shared" si="41"/>
        <v>49.37523809523816</v>
      </c>
      <c r="AD317" s="13">
        <f t="shared" si="45"/>
        <v>1036.8800000000001</v>
      </c>
      <c r="AE317" s="2">
        <v>0.05</v>
      </c>
      <c r="AF317" s="5">
        <f t="shared" si="42"/>
        <v>51.844000000000008</v>
      </c>
      <c r="AG317" s="2">
        <v>0</v>
      </c>
      <c r="AH317" s="5">
        <f t="shared" si="46"/>
        <v>1036.8800000000001</v>
      </c>
      <c r="AJ317" s="126" t="e">
        <v>#N/A</v>
      </c>
      <c r="AK317" s="80">
        <f t="shared" si="43"/>
        <v>0</v>
      </c>
      <c r="AM317" s="85"/>
    </row>
    <row r="318" spans="1:39" hidden="1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47"/>
        <v>-5282.0900000000011</v>
      </c>
      <c r="X318" s="13">
        <f t="shared" si="44"/>
        <v>5030.5619047619057</v>
      </c>
      <c r="Y318" s="13">
        <f t="shared" si="39"/>
        <v>0</v>
      </c>
      <c r="Z318" s="2">
        <v>0</v>
      </c>
      <c r="AA318" s="4">
        <v>0</v>
      </c>
      <c r="AB318" s="4">
        <f t="shared" si="40"/>
        <v>5030.5619047619057</v>
      </c>
      <c r="AC318" s="6">
        <f t="shared" si="41"/>
        <v>251.52809523809537</v>
      </c>
      <c r="AD318" s="13">
        <f t="shared" si="45"/>
        <v>5282.0900000000011</v>
      </c>
      <c r="AE318" s="2">
        <v>0.05</v>
      </c>
      <c r="AF318" s="5">
        <f t="shared" si="42"/>
        <v>264.10450000000009</v>
      </c>
      <c r="AG318" s="2">
        <v>0</v>
      </c>
      <c r="AH318" s="5">
        <f t="shared" si="46"/>
        <v>5282.0900000000011</v>
      </c>
      <c r="AJ318" s="126" t="e">
        <v>#N/A</v>
      </c>
      <c r="AK318" s="80">
        <f t="shared" si="43"/>
        <v>0</v>
      </c>
      <c r="AM318" s="85"/>
    </row>
    <row r="319" spans="1:39" hidden="1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">
        <v>3707</v>
      </c>
      <c r="L319" s="1" t="s">
        <v>35</v>
      </c>
      <c r="M319" s="95"/>
      <c r="N319" s="3" t="s">
        <v>3709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47"/>
        <v>-37.769999999999996</v>
      </c>
      <c r="X319" s="13">
        <f t="shared" si="44"/>
        <v>37.396039603960389</v>
      </c>
      <c r="Y319" s="13">
        <f t="shared" si="39"/>
        <v>0</v>
      </c>
      <c r="Z319" s="2">
        <v>0</v>
      </c>
      <c r="AA319" s="4">
        <v>0</v>
      </c>
      <c r="AB319" s="4">
        <f t="shared" si="40"/>
        <v>37.396039603960389</v>
      </c>
      <c r="AC319" s="6">
        <f t="shared" si="41"/>
        <v>0.37396039603960674</v>
      </c>
      <c r="AD319" s="13">
        <f t="shared" si="45"/>
        <v>37.769999999999996</v>
      </c>
      <c r="AE319" s="2">
        <v>0.05</v>
      </c>
      <c r="AF319" s="5">
        <f t="shared" si="42"/>
        <v>1.8884999999999998</v>
      </c>
      <c r="AG319" s="2">
        <v>0</v>
      </c>
      <c r="AH319" s="5">
        <f t="shared" si="46"/>
        <v>37.769999999999996</v>
      </c>
      <c r="AJ319" s="126" t="e">
        <v>#N/A</v>
      </c>
      <c r="AK319" s="80">
        <f t="shared" si="43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">
        <v>3707</v>
      </c>
      <c r="L320" s="1" t="s">
        <v>35</v>
      </c>
      <c r="M320" s="95"/>
      <c r="N320" s="3" t="s">
        <v>3715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47"/>
        <v>-6189.54</v>
      </c>
      <c r="X320" s="13">
        <f t="shared" si="44"/>
        <v>6189.54</v>
      </c>
      <c r="Y320" s="13">
        <f t="shared" si="39"/>
        <v>0</v>
      </c>
      <c r="Z320" s="2">
        <v>0</v>
      </c>
      <c r="AA320" s="4">
        <v>0</v>
      </c>
      <c r="AB320" s="4">
        <f t="shared" si="40"/>
        <v>6189.54</v>
      </c>
      <c r="AC320" s="6">
        <f t="shared" si="41"/>
        <v>0</v>
      </c>
      <c r="AD320" s="13">
        <f t="shared" si="45"/>
        <v>6189.54</v>
      </c>
      <c r="AE320" s="2">
        <v>0.05</v>
      </c>
      <c r="AF320" s="5">
        <f t="shared" si="42"/>
        <v>309.47700000000003</v>
      </c>
      <c r="AG320" s="2">
        <v>0</v>
      </c>
      <c r="AH320" s="5">
        <f t="shared" si="46"/>
        <v>6189.54</v>
      </c>
      <c r="AJ320" s="126" t="e">
        <v>#N/A</v>
      </c>
      <c r="AK320" s="80">
        <f t="shared" si="43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">
        <v>3712</v>
      </c>
      <c r="L321" s="1" t="s">
        <v>35</v>
      </c>
      <c r="M321" s="95"/>
      <c r="N321" s="3" t="s">
        <v>3713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47"/>
        <v>-5855.73</v>
      </c>
      <c r="X321" s="13">
        <f t="shared" si="44"/>
        <v>5855.73</v>
      </c>
      <c r="Y321" s="13">
        <f t="shared" si="39"/>
        <v>0</v>
      </c>
      <c r="Z321" s="2">
        <v>0</v>
      </c>
      <c r="AA321" s="4">
        <v>0</v>
      </c>
      <c r="AB321" s="4">
        <f t="shared" si="40"/>
        <v>5855.73</v>
      </c>
      <c r="AC321" s="6">
        <f t="shared" si="41"/>
        <v>0</v>
      </c>
      <c r="AD321" s="13">
        <f t="shared" si="45"/>
        <v>5855.73</v>
      </c>
      <c r="AE321" s="2">
        <v>0.05</v>
      </c>
      <c r="AF321" s="5">
        <f t="shared" si="42"/>
        <v>292.78649999999999</v>
      </c>
      <c r="AG321" s="2">
        <v>0</v>
      </c>
      <c r="AH321" s="5">
        <f t="shared" si="46"/>
        <v>5855.73</v>
      </c>
      <c r="AJ321" s="126" t="e">
        <v>#N/A</v>
      </c>
      <c r="AK321" s="80">
        <f t="shared" si="43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">
        <v>3712</v>
      </c>
      <c r="L322" s="1" t="s">
        <v>35</v>
      </c>
      <c r="M322" s="95"/>
      <c r="N322" s="3" t="s">
        <v>3712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47"/>
        <v>-686.11000000000013</v>
      </c>
      <c r="X322" s="13">
        <f t="shared" si="44"/>
        <v>686.11000000000013</v>
      </c>
      <c r="Y322" s="13">
        <f t="shared" si="39"/>
        <v>0</v>
      </c>
      <c r="Z322" s="2">
        <v>0</v>
      </c>
      <c r="AA322" s="4">
        <v>0</v>
      </c>
      <c r="AB322" s="4">
        <f t="shared" si="40"/>
        <v>686.11000000000013</v>
      </c>
      <c r="AC322" s="6">
        <f t="shared" si="41"/>
        <v>0</v>
      </c>
      <c r="AD322" s="13">
        <f t="shared" si="45"/>
        <v>686.11000000000013</v>
      </c>
      <c r="AE322" s="2">
        <v>0.05</v>
      </c>
      <c r="AF322" s="5">
        <f t="shared" si="42"/>
        <v>34.305500000000009</v>
      </c>
      <c r="AG322" s="2">
        <v>0</v>
      </c>
      <c r="AH322" s="5">
        <f t="shared" si="46"/>
        <v>686.11000000000013</v>
      </c>
      <c r="AJ322" s="126" t="e">
        <v>#N/A</v>
      </c>
      <c r="AK322" s="80">
        <f t="shared" si="43"/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">
        <v>3712</v>
      </c>
      <c r="L323" s="1" t="s">
        <v>35</v>
      </c>
      <c r="M323" s="95"/>
      <c r="N323" s="3" t="s">
        <v>3712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47"/>
        <v>-95.180000000000021</v>
      </c>
      <c r="X323" s="13">
        <f t="shared" si="44"/>
        <v>95.180000000000021</v>
      </c>
      <c r="Y323" s="13">
        <f t="shared" ref="Y323:Y386" si="48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49">X323+AA323</f>
        <v>95.180000000000021</v>
      </c>
      <c r="AC323" s="6">
        <f t="shared" ref="AC323:AC386" si="50">IF(P323="返现",X323*Q323,V323-X323)</f>
        <v>0</v>
      </c>
      <c r="AD323" s="13">
        <f t="shared" si="45"/>
        <v>95.180000000000021</v>
      </c>
      <c r="AE323" s="2">
        <v>0.05</v>
      </c>
      <c r="AF323" s="5">
        <f t="shared" ref="AF323:AF386" si="51">AD323*AE323</f>
        <v>4.7590000000000012</v>
      </c>
      <c r="AG323" s="2">
        <v>0</v>
      </c>
      <c r="AH323" s="5">
        <f t="shared" si="46"/>
        <v>95.180000000000021</v>
      </c>
      <c r="AJ323" s="126" t="e">
        <v>#N/A</v>
      </c>
      <c r="AK323" s="80">
        <f t="shared" ref="AK323:AK386" si="52">X323+AA323-AB323</f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47"/>
        <v>-122.30999999999999</v>
      </c>
      <c r="X324" s="13">
        <f t="shared" si="44"/>
        <v>115.38679245283018</v>
      </c>
      <c r="Y324" s="13">
        <f t="shared" si="48"/>
        <v>0</v>
      </c>
      <c r="Z324" s="2">
        <v>0</v>
      </c>
      <c r="AA324" s="4">
        <v>0</v>
      </c>
      <c r="AB324" s="4">
        <f t="shared" si="49"/>
        <v>115.38679245283018</v>
      </c>
      <c r="AC324" s="6">
        <f t="shared" si="50"/>
        <v>6.9232075471698096</v>
      </c>
      <c r="AD324" s="13">
        <f t="shared" si="45"/>
        <v>122.30999999999999</v>
      </c>
      <c r="AE324" s="2">
        <v>0.05</v>
      </c>
      <c r="AF324" s="5">
        <f t="shared" si="51"/>
        <v>6.1154999999999999</v>
      </c>
      <c r="AG324" s="2">
        <v>0</v>
      </c>
      <c r="AH324" s="5">
        <f t="shared" si="46"/>
        <v>122.30999999999999</v>
      </c>
      <c r="AJ324" s="126" t="e">
        <v>#N/A</v>
      </c>
      <c r="AK324" s="80">
        <f t="shared" si="52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">
        <v>3707</v>
      </c>
      <c r="L325" s="1" t="s">
        <v>35</v>
      </c>
      <c r="M325" s="95"/>
      <c r="N325" s="3" t="s">
        <v>3716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47"/>
        <v>-1307.04</v>
      </c>
      <c r="X325" s="13">
        <f t="shared" si="44"/>
        <v>1268.9708737864078</v>
      </c>
      <c r="Y325" s="13">
        <f t="shared" si="48"/>
        <v>0</v>
      </c>
      <c r="Z325" s="2">
        <v>0</v>
      </c>
      <c r="AA325" s="4">
        <v>0</v>
      </c>
      <c r="AB325" s="4">
        <f t="shared" si="49"/>
        <v>1268.9708737864078</v>
      </c>
      <c r="AC325" s="6">
        <f t="shared" si="50"/>
        <v>38.069126213592199</v>
      </c>
      <c r="AD325" s="13">
        <f t="shared" si="45"/>
        <v>1307.04</v>
      </c>
      <c r="AE325" s="2">
        <v>0.05</v>
      </c>
      <c r="AF325" s="5">
        <f t="shared" si="51"/>
        <v>65.352000000000004</v>
      </c>
      <c r="AG325" s="2">
        <v>0</v>
      </c>
      <c r="AH325" s="5">
        <f t="shared" si="46"/>
        <v>1307.04</v>
      </c>
      <c r="AJ325" s="126" t="e">
        <v>#N/A</v>
      </c>
      <c r="AK325" s="80">
        <f t="shared" si="52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">
        <v>3707</v>
      </c>
      <c r="L326" s="1" t="s">
        <v>35</v>
      </c>
      <c r="M326" s="95"/>
      <c r="N326" s="3" t="s">
        <v>3707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47"/>
        <v>0</v>
      </c>
      <c r="X326" s="13">
        <f t="shared" si="44"/>
        <v>0</v>
      </c>
      <c r="Y326" s="13">
        <f t="shared" si="48"/>
        <v>0</v>
      </c>
      <c r="Z326" s="2">
        <v>0</v>
      </c>
      <c r="AA326" s="4">
        <v>0</v>
      </c>
      <c r="AB326" s="4">
        <f t="shared" si="49"/>
        <v>0</v>
      </c>
      <c r="AC326" s="6">
        <f t="shared" si="50"/>
        <v>0</v>
      </c>
      <c r="AD326" s="13">
        <f t="shared" si="45"/>
        <v>0</v>
      </c>
      <c r="AE326" s="2">
        <v>0.05</v>
      </c>
      <c r="AF326" s="5">
        <f t="shared" si="51"/>
        <v>0</v>
      </c>
      <c r="AG326" s="2">
        <v>0</v>
      </c>
      <c r="AH326" s="5">
        <f t="shared" si="46"/>
        <v>0</v>
      </c>
      <c r="AJ326" s="126" t="e">
        <v>#N/A</v>
      </c>
      <c r="AK326" s="80">
        <f t="shared" si="52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">
        <v>3712</v>
      </c>
      <c r="L327" s="1" t="s">
        <v>35</v>
      </c>
      <c r="M327" s="95"/>
      <c r="N327" s="3" t="s">
        <v>3712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47"/>
        <v>-300.26000000000005</v>
      </c>
      <c r="X327" s="13">
        <f t="shared" si="44"/>
        <v>300.26000000000005</v>
      </c>
      <c r="Y327" s="13">
        <f t="shared" si="48"/>
        <v>0</v>
      </c>
      <c r="Z327" s="2">
        <v>0</v>
      </c>
      <c r="AA327" s="4">
        <v>0</v>
      </c>
      <c r="AB327" s="4">
        <f t="shared" si="49"/>
        <v>300.26000000000005</v>
      </c>
      <c r="AC327" s="6">
        <f t="shared" si="50"/>
        <v>0</v>
      </c>
      <c r="AD327" s="13">
        <f t="shared" si="45"/>
        <v>300.26000000000005</v>
      </c>
      <c r="AE327" s="2">
        <v>0.05</v>
      </c>
      <c r="AF327" s="5">
        <f t="shared" si="51"/>
        <v>15.013000000000003</v>
      </c>
      <c r="AG327" s="2">
        <v>0</v>
      </c>
      <c r="AH327" s="5">
        <f t="shared" si="46"/>
        <v>300.26000000000005</v>
      </c>
      <c r="AJ327" s="126" t="e">
        <v>#N/A</v>
      </c>
      <c r="AK327" s="80">
        <f t="shared" si="52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">
        <v>3710</v>
      </c>
      <c r="L328" s="1" t="s">
        <v>35</v>
      </c>
      <c r="M328" s="95"/>
      <c r="N328" s="3" t="s">
        <v>3710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47"/>
        <v>-468.19</v>
      </c>
      <c r="X328" s="13">
        <f t="shared" si="44"/>
        <v>468.19</v>
      </c>
      <c r="Y328" s="13">
        <f t="shared" si="48"/>
        <v>0</v>
      </c>
      <c r="Z328" s="2">
        <v>0</v>
      </c>
      <c r="AA328" s="4">
        <v>0</v>
      </c>
      <c r="AB328" s="4">
        <f t="shared" si="49"/>
        <v>468.19</v>
      </c>
      <c r="AC328" s="6">
        <f t="shared" si="50"/>
        <v>0</v>
      </c>
      <c r="AD328" s="13">
        <f t="shared" si="45"/>
        <v>468.19</v>
      </c>
      <c r="AE328" s="2">
        <v>0.05</v>
      </c>
      <c r="AF328" s="5">
        <f t="shared" si="51"/>
        <v>23.409500000000001</v>
      </c>
      <c r="AG328" s="2">
        <v>0</v>
      </c>
      <c r="AH328" s="5">
        <f t="shared" si="46"/>
        <v>468.19</v>
      </c>
      <c r="AJ328" s="126" t="e">
        <v>#N/A</v>
      </c>
      <c r="AK328" s="80">
        <f t="shared" si="52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">
        <v>3710</v>
      </c>
      <c r="L329" s="1" t="s">
        <v>35</v>
      </c>
      <c r="M329" s="95"/>
      <c r="N329" s="3" t="s">
        <v>3710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47"/>
        <v>-18.57</v>
      </c>
      <c r="X329" s="13">
        <f t="shared" si="44"/>
        <v>18.205882352941178</v>
      </c>
      <c r="Y329" s="13">
        <f t="shared" si="48"/>
        <v>0</v>
      </c>
      <c r="Z329" s="2">
        <v>0</v>
      </c>
      <c r="AA329" s="4">
        <v>0</v>
      </c>
      <c r="AB329" s="4">
        <f t="shared" si="49"/>
        <v>18.205882352941178</v>
      </c>
      <c r="AC329" s="6">
        <f t="shared" si="50"/>
        <v>0.36411764705882277</v>
      </c>
      <c r="AD329" s="13">
        <f t="shared" si="45"/>
        <v>18.57</v>
      </c>
      <c r="AE329" s="2">
        <v>0.05</v>
      </c>
      <c r="AF329" s="5">
        <f t="shared" si="51"/>
        <v>0.9285000000000001</v>
      </c>
      <c r="AG329" s="2">
        <v>0</v>
      </c>
      <c r="AH329" s="5">
        <f t="shared" si="46"/>
        <v>18.57</v>
      </c>
      <c r="AJ329" s="126" t="e">
        <v>#N/A</v>
      </c>
      <c r="AK329" s="80">
        <f t="shared" si="52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">
        <v>3710</v>
      </c>
      <c r="L330" s="1" t="s">
        <v>35</v>
      </c>
      <c r="M330" s="95"/>
      <c r="N330" s="3" t="s">
        <v>3711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47"/>
        <v>-7354.72</v>
      </c>
      <c r="X330" s="13">
        <f t="shared" si="44"/>
        <v>7281.1728000000003</v>
      </c>
      <c r="Y330" s="13">
        <f t="shared" si="48"/>
        <v>0</v>
      </c>
      <c r="Z330" s="2">
        <v>0</v>
      </c>
      <c r="AA330" s="4">
        <v>0</v>
      </c>
      <c r="AB330" s="4">
        <f t="shared" si="49"/>
        <v>7281.1728000000003</v>
      </c>
      <c r="AC330" s="6">
        <f t="shared" si="50"/>
        <v>73.547199999999975</v>
      </c>
      <c r="AD330" s="13">
        <f t="shared" si="45"/>
        <v>7354.72</v>
      </c>
      <c r="AE330" s="2">
        <v>0.05</v>
      </c>
      <c r="AF330" s="5">
        <f t="shared" si="51"/>
        <v>367.73600000000005</v>
      </c>
      <c r="AG330" s="2">
        <v>0</v>
      </c>
      <c r="AH330" s="5">
        <f t="shared" si="46"/>
        <v>7354.72</v>
      </c>
      <c r="AJ330" s="126" t="e">
        <v>#N/A</v>
      </c>
      <c r="AK330" s="80">
        <f t="shared" si="52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">
        <v>3707</v>
      </c>
      <c r="L331" s="1" t="s">
        <v>35</v>
      </c>
      <c r="M331" s="95"/>
      <c r="N331" s="3" t="s">
        <v>3707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47"/>
        <v>-2367.83</v>
      </c>
      <c r="X331" s="13">
        <f t="shared" si="44"/>
        <v>2332.8374384236454</v>
      </c>
      <c r="Y331" s="13">
        <f t="shared" si="48"/>
        <v>0</v>
      </c>
      <c r="Z331" s="2">
        <v>0</v>
      </c>
      <c r="AA331" s="4">
        <v>0</v>
      </c>
      <c r="AB331" s="4">
        <f t="shared" si="49"/>
        <v>2332.8374384236454</v>
      </c>
      <c r="AC331" s="6">
        <f t="shared" si="50"/>
        <v>34.992561576354547</v>
      </c>
      <c r="AD331" s="13">
        <f t="shared" si="45"/>
        <v>2367.83</v>
      </c>
      <c r="AE331" s="2">
        <v>0.05</v>
      </c>
      <c r="AF331" s="5">
        <f t="shared" si="51"/>
        <v>118.39150000000001</v>
      </c>
      <c r="AG331" s="2">
        <v>0</v>
      </c>
      <c r="AH331" s="5">
        <f t="shared" si="46"/>
        <v>2367.83</v>
      </c>
      <c r="AJ331" s="126" t="e">
        <v>#N/A</v>
      </c>
      <c r="AK331" s="80">
        <f t="shared" si="52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">
        <v>3712</v>
      </c>
      <c r="L332" s="1" t="s">
        <v>35</v>
      </c>
      <c r="M332" s="95"/>
      <c r="N332" s="3" t="s">
        <v>3712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47"/>
        <v>-22.61</v>
      </c>
      <c r="X332" s="13">
        <f t="shared" si="44"/>
        <v>22.61</v>
      </c>
      <c r="Y332" s="13">
        <f t="shared" si="48"/>
        <v>0</v>
      </c>
      <c r="Z332" s="2">
        <v>0</v>
      </c>
      <c r="AA332" s="4">
        <v>0</v>
      </c>
      <c r="AB332" s="4">
        <f t="shared" si="49"/>
        <v>22.61</v>
      </c>
      <c r="AC332" s="6">
        <f t="shared" si="50"/>
        <v>0</v>
      </c>
      <c r="AD332" s="13">
        <f t="shared" si="45"/>
        <v>22.61</v>
      </c>
      <c r="AE332" s="2">
        <v>0.05</v>
      </c>
      <c r="AF332" s="5">
        <f t="shared" si="51"/>
        <v>1.1305000000000001</v>
      </c>
      <c r="AG332" s="2">
        <v>0</v>
      </c>
      <c r="AH332" s="5">
        <f t="shared" si="46"/>
        <v>22.61</v>
      </c>
      <c r="AJ332" s="126" t="e">
        <v>#N/A</v>
      </c>
      <c r="AK332" s="80">
        <f t="shared" si="52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">
        <v>3707</v>
      </c>
      <c r="L333" s="1" t="s">
        <v>35</v>
      </c>
      <c r="M333" s="95"/>
      <c r="N333" s="3" t="s">
        <v>3707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47"/>
        <v>-40619.18</v>
      </c>
      <c r="X333" s="13">
        <f t="shared" si="44"/>
        <v>40619.18</v>
      </c>
      <c r="Y333" s="13">
        <f t="shared" si="48"/>
        <v>0</v>
      </c>
      <c r="Z333" s="2">
        <v>0</v>
      </c>
      <c r="AA333" s="4">
        <v>0</v>
      </c>
      <c r="AB333" s="4">
        <f t="shared" si="49"/>
        <v>40619.18</v>
      </c>
      <c r="AC333" s="6">
        <f t="shared" si="50"/>
        <v>0</v>
      </c>
      <c r="AD333" s="13">
        <f t="shared" si="45"/>
        <v>40619.18</v>
      </c>
      <c r="AE333" s="2">
        <v>0.05</v>
      </c>
      <c r="AF333" s="5">
        <f t="shared" si="51"/>
        <v>2030.9590000000001</v>
      </c>
      <c r="AG333" s="2">
        <v>0</v>
      </c>
      <c r="AH333" s="5">
        <f t="shared" si="46"/>
        <v>40619.18</v>
      </c>
      <c r="AJ333" s="126" t="e">
        <v>#N/A</v>
      </c>
      <c r="AK333" s="80">
        <f t="shared" si="52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">
        <v>3710</v>
      </c>
      <c r="L334" s="1" t="s">
        <v>35</v>
      </c>
      <c r="M334" s="95"/>
      <c r="N334" s="3" t="s">
        <v>3710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47"/>
        <v>-1.98</v>
      </c>
      <c r="X334" s="13">
        <f t="shared" si="44"/>
        <v>1.9603960396039604</v>
      </c>
      <c r="Y334" s="13">
        <f t="shared" si="48"/>
        <v>0</v>
      </c>
      <c r="Z334" s="2">
        <v>0</v>
      </c>
      <c r="AA334" s="4">
        <v>0</v>
      </c>
      <c r="AB334" s="4">
        <f t="shared" si="49"/>
        <v>1.9603960396039604</v>
      </c>
      <c r="AC334" s="6">
        <f t="shared" si="50"/>
        <v>1.9603960396039621E-2</v>
      </c>
      <c r="AD334" s="13">
        <f t="shared" si="45"/>
        <v>1.98</v>
      </c>
      <c r="AE334" s="2">
        <v>0.05</v>
      </c>
      <c r="AF334" s="5">
        <f t="shared" si="51"/>
        <v>9.9000000000000005E-2</v>
      </c>
      <c r="AG334" s="2">
        <v>0</v>
      </c>
      <c r="AH334" s="5">
        <f t="shared" si="46"/>
        <v>1.98</v>
      </c>
      <c r="AJ334" s="126" t="e">
        <v>#N/A</v>
      </c>
      <c r="AK334" s="80">
        <f t="shared" si="52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">
        <v>3707</v>
      </c>
      <c r="L335" s="1" t="s">
        <v>35</v>
      </c>
      <c r="M335" s="95"/>
      <c r="N335" s="3" t="s">
        <v>3708</v>
      </c>
      <c r="O335" s="8" t="s">
        <v>45</v>
      </c>
      <c r="P335" s="1" t="s">
        <v>3753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47"/>
        <v>8017461.6799999997</v>
      </c>
      <c r="X335" s="13">
        <f t="shared" si="44"/>
        <v>4735186.4554455448</v>
      </c>
      <c r="Y335" s="13">
        <f t="shared" si="48"/>
        <v>0</v>
      </c>
      <c r="Z335" s="2">
        <v>0</v>
      </c>
      <c r="AA335" s="4">
        <v>0</v>
      </c>
      <c r="AB335" s="4">
        <f t="shared" si="49"/>
        <v>4735186.4554455448</v>
      </c>
      <c r="AC335" s="6">
        <f t="shared" si="50"/>
        <v>47351.864554455504</v>
      </c>
      <c r="AD335" s="13">
        <f t="shared" si="45"/>
        <v>4782538.32</v>
      </c>
      <c r="AE335" s="2">
        <v>0.05</v>
      </c>
      <c r="AF335" s="5">
        <f t="shared" si="51"/>
        <v>239126.91600000003</v>
      </c>
      <c r="AG335" s="2">
        <v>0</v>
      </c>
      <c r="AH335" s="5">
        <f t="shared" si="46"/>
        <v>4782538.32</v>
      </c>
      <c r="AJ335" s="126" t="e">
        <v>#N/A</v>
      </c>
      <c r="AK335" s="80">
        <f t="shared" si="52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">
        <v>3707</v>
      </c>
      <c r="L336" s="1" t="s">
        <v>35</v>
      </c>
      <c r="M336" s="95"/>
      <c r="N336" s="3" t="s">
        <v>3708</v>
      </c>
      <c r="O336" s="8" t="s">
        <v>105</v>
      </c>
      <c r="P336" s="1" t="s">
        <v>3753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47"/>
        <v>-116.53</v>
      </c>
      <c r="X336" s="13">
        <f t="shared" si="44"/>
        <v>115.37623762376238</v>
      </c>
      <c r="Y336" s="13">
        <f t="shared" si="48"/>
        <v>0</v>
      </c>
      <c r="Z336" s="2">
        <v>0</v>
      </c>
      <c r="AA336" s="4">
        <v>0</v>
      </c>
      <c r="AB336" s="4">
        <f t="shared" si="49"/>
        <v>115.37623762376238</v>
      </c>
      <c r="AC336" s="6">
        <f t="shared" si="50"/>
        <v>1.1537623762376228</v>
      </c>
      <c r="AD336" s="13">
        <f t="shared" si="45"/>
        <v>116.53</v>
      </c>
      <c r="AE336" s="2">
        <v>0.05</v>
      </c>
      <c r="AF336" s="5">
        <f t="shared" si="51"/>
        <v>5.8265000000000002</v>
      </c>
      <c r="AG336" s="2">
        <v>0</v>
      </c>
      <c r="AH336" s="5">
        <f t="shared" si="46"/>
        <v>116.53</v>
      </c>
      <c r="AJ336" s="126" t="e">
        <v>#N/A</v>
      </c>
      <c r="AK336" s="80">
        <f t="shared" si="52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">
        <v>3712</v>
      </c>
      <c r="L337" s="1" t="s">
        <v>35</v>
      </c>
      <c r="M337" s="95"/>
      <c r="N337" s="3" t="s">
        <v>3713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47"/>
        <v>-45.23</v>
      </c>
      <c r="X337" s="13">
        <f t="shared" si="44"/>
        <v>45.23</v>
      </c>
      <c r="Y337" s="13">
        <f t="shared" si="48"/>
        <v>0</v>
      </c>
      <c r="Z337" s="2">
        <v>0</v>
      </c>
      <c r="AA337" s="4">
        <v>0</v>
      </c>
      <c r="AB337" s="4">
        <f t="shared" si="49"/>
        <v>45.23</v>
      </c>
      <c r="AC337" s="6">
        <f t="shared" si="50"/>
        <v>0</v>
      </c>
      <c r="AD337" s="13">
        <f t="shared" si="45"/>
        <v>45.23</v>
      </c>
      <c r="AE337" s="2">
        <v>0.05</v>
      </c>
      <c r="AF337" s="5">
        <f t="shared" si="51"/>
        <v>2.2614999999999998</v>
      </c>
      <c r="AG337" s="2">
        <v>0</v>
      </c>
      <c r="AH337" s="5">
        <f t="shared" si="46"/>
        <v>45.23</v>
      </c>
      <c r="AJ337" s="126" t="e">
        <v>#N/A</v>
      </c>
      <c r="AK337" s="80">
        <f t="shared" si="52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">
        <v>3712</v>
      </c>
      <c r="L338" s="1" t="s">
        <v>35</v>
      </c>
      <c r="M338" s="95"/>
      <c r="N338" s="3" t="s">
        <v>3713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44"/>
        <v>0.06</v>
      </c>
      <c r="Y338" s="13">
        <f t="shared" si="48"/>
        <v>0</v>
      </c>
      <c r="Z338" s="2">
        <v>0</v>
      </c>
      <c r="AA338" s="4">
        <v>0</v>
      </c>
      <c r="AB338" s="4">
        <f t="shared" si="49"/>
        <v>0.06</v>
      </c>
      <c r="AC338" s="6">
        <f t="shared" si="50"/>
        <v>0</v>
      </c>
      <c r="AD338" s="13">
        <f t="shared" si="45"/>
        <v>0.06</v>
      </c>
      <c r="AE338" s="2">
        <v>0.05</v>
      </c>
      <c r="AF338" s="5">
        <f t="shared" si="51"/>
        <v>3.0000000000000001E-3</v>
      </c>
      <c r="AG338" s="2">
        <v>0</v>
      </c>
      <c r="AH338" s="5">
        <f t="shared" si="46"/>
        <v>0.06</v>
      </c>
      <c r="AJ338" s="126" t="e">
        <v>#N/A</v>
      </c>
      <c r="AK338" s="80">
        <f t="shared" si="52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">
        <v>3707</v>
      </c>
      <c r="L339" s="1" t="s">
        <v>35</v>
      </c>
      <c r="M339" s="95"/>
      <c r="N339" s="3" t="s">
        <v>3707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53">IF(P339="折扣",V339*Q339,IF(P339="返现",V339,V339/(1+Q339)))</f>
        <v>133148.47572815532</v>
      </c>
      <c r="Y339" s="13">
        <f t="shared" si="48"/>
        <v>0</v>
      </c>
      <c r="Z339" s="2">
        <v>0</v>
      </c>
      <c r="AA339" s="4">
        <v>0</v>
      </c>
      <c r="AB339" s="4">
        <f t="shared" si="49"/>
        <v>133148.47572815532</v>
      </c>
      <c r="AC339" s="6">
        <f t="shared" si="50"/>
        <v>3994.4542718446755</v>
      </c>
      <c r="AD339" s="13">
        <f t="shared" ref="AD339:AD371" si="54">V339</f>
        <v>137142.93</v>
      </c>
      <c r="AE339" s="2">
        <v>0.05</v>
      </c>
      <c r="AF339" s="5">
        <f t="shared" si="51"/>
        <v>6857.1464999999998</v>
      </c>
      <c r="AG339" s="2">
        <v>0</v>
      </c>
      <c r="AH339" s="5">
        <f t="shared" ref="AH339:AH371" si="55">V339</f>
        <v>137142.93</v>
      </c>
      <c r="AJ339" s="126" t="e">
        <v>#N/A</v>
      </c>
      <c r="AK339" s="80">
        <f t="shared" si="52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">
        <v>3710</v>
      </c>
      <c r="L340" s="1" t="s">
        <v>35</v>
      </c>
      <c r="M340" s="95"/>
      <c r="N340" s="3" t="s">
        <v>3710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56">T340+U340-V340</f>
        <v>-238.92999999999998</v>
      </c>
      <c r="X340" s="13">
        <f t="shared" si="53"/>
        <v>238.92999999999998</v>
      </c>
      <c r="Y340" s="13">
        <f t="shared" si="48"/>
        <v>0</v>
      </c>
      <c r="Z340" s="2">
        <v>0</v>
      </c>
      <c r="AA340" s="4">
        <v>0</v>
      </c>
      <c r="AB340" s="4">
        <f t="shared" si="49"/>
        <v>238.92999999999998</v>
      </c>
      <c r="AC340" s="6">
        <f t="shared" si="50"/>
        <v>0</v>
      </c>
      <c r="AD340" s="13">
        <f t="shared" si="54"/>
        <v>238.92999999999998</v>
      </c>
      <c r="AE340" s="2">
        <v>0.05</v>
      </c>
      <c r="AF340" s="5">
        <f t="shared" si="51"/>
        <v>11.9465</v>
      </c>
      <c r="AG340" s="2">
        <v>0</v>
      </c>
      <c r="AH340" s="5">
        <f t="shared" si="55"/>
        <v>238.92999999999998</v>
      </c>
      <c r="AJ340" s="126" t="e">
        <v>#N/A</v>
      </c>
      <c r="AK340" s="80">
        <f t="shared" si="52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">
        <v>3712</v>
      </c>
      <c r="L341" s="1" t="s">
        <v>35</v>
      </c>
      <c r="M341" s="95"/>
      <c r="N341" s="3" t="s">
        <v>3712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56"/>
        <v>-283.64999999999998</v>
      </c>
      <c r="X341" s="13">
        <f>IF(P341="折扣",V341*Q341,IF(P341="返现",V341,(V341+0.54)/(1+Q341)))</f>
        <v>284.19</v>
      </c>
      <c r="Y341" s="13">
        <f t="shared" si="48"/>
        <v>0.54000000000002046</v>
      </c>
      <c r="Z341" s="2">
        <v>0</v>
      </c>
      <c r="AA341" s="4">
        <v>0</v>
      </c>
      <c r="AB341" s="4">
        <f t="shared" si="49"/>
        <v>284.19</v>
      </c>
      <c r="AC341" s="6">
        <f t="shared" si="50"/>
        <v>-0.54000000000002046</v>
      </c>
      <c r="AD341" s="13">
        <f t="shared" si="54"/>
        <v>283.64999999999998</v>
      </c>
      <c r="AE341" s="2">
        <v>0.05</v>
      </c>
      <c r="AF341" s="5">
        <f t="shared" si="51"/>
        <v>14.182499999999999</v>
      </c>
      <c r="AG341" s="2">
        <v>0</v>
      </c>
      <c r="AH341" s="5">
        <f t="shared" si="55"/>
        <v>283.64999999999998</v>
      </c>
      <c r="AJ341" s="126" t="e">
        <v>#N/A</v>
      </c>
      <c r="AK341" s="80">
        <f t="shared" si="52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">
        <v>3710</v>
      </c>
      <c r="L342" s="1" t="s">
        <v>35</v>
      </c>
      <c r="M342" s="95"/>
      <c r="N342" s="3" t="s">
        <v>3714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56"/>
        <v>0</v>
      </c>
      <c r="X342" s="13">
        <f t="shared" si="53"/>
        <v>0</v>
      </c>
      <c r="Y342" s="13">
        <f t="shared" si="48"/>
        <v>0</v>
      </c>
      <c r="Z342" s="2">
        <v>0</v>
      </c>
      <c r="AA342" s="4">
        <v>0</v>
      </c>
      <c r="AB342" s="4">
        <f t="shared" si="49"/>
        <v>0</v>
      </c>
      <c r="AC342" s="6">
        <f t="shared" si="50"/>
        <v>0</v>
      </c>
      <c r="AD342" s="13">
        <f t="shared" si="54"/>
        <v>0</v>
      </c>
      <c r="AE342" s="2">
        <v>0.05</v>
      </c>
      <c r="AF342" s="5">
        <f t="shared" si="51"/>
        <v>0</v>
      </c>
      <c r="AG342" s="2">
        <v>0</v>
      </c>
      <c r="AH342" s="5">
        <f t="shared" si="55"/>
        <v>0</v>
      </c>
      <c r="AJ342" s="126" t="e">
        <v>#N/A</v>
      </c>
      <c r="AK342" s="80">
        <f t="shared" si="52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">
        <v>3710</v>
      </c>
      <c r="L343" s="1" t="s">
        <v>35</v>
      </c>
      <c r="M343" s="95"/>
      <c r="N343" s="3" t="s">
        <v>3714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56"/>
        <v>-8743.7000000000007</v>
      </c>
      <c r="X343" s="13">
        <f t="shared" si="53"/>
        <v>8407.4038461538457</v>
      </c>
      <c r="Y343" s="13">
        <f t="shared" si="48"/>
        <v>0</v>
      </c>
      <c r="Z343" s="2">
        <v>0</v>
      </c>
      <c r="AA343" s="4">
        <v>0</v>
      </c>
      <c r="AB343" s="4">
        <f t="shared" si="49"/>
        <v>8407.4038461538457</v>
      </c>
      <c r="AC343" s="6">
        <f t="shared" si="50"/>
        <v>336.29615384615499</v>
      </c>
      <c r="AD343" s="13">
        <f t="shared" si="54"/>
        <v>8743.7000000000007</v>
      </c>
      <c r="AE343" s="2">
        <v>0.05</v>
      </c>
      <c r="AF343" s="5">
        <f t="shared" si="51"/>
        <v>437.18500000000006</v>
      </c>
      <c r="AG343" s="2">
        <v>0</v>
      </c>
      <c r="AH343" s="5">
        <f t="shared" si="55"/>
        <v>8743.7000000000007</v>
      </c>
      <c r="AJ343" s="126" t="e">
        <v>#N/A</v>
      </c>
      <c r="AK343" s="80">
        <f t="shared" si="52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">
        <v>3712</v>
      </c>
      <c r="L344" s="1" t="s">
        <v>35</v>
      </c>
      <c r="M344" s="95"/>
      <c r="N344" s="3" t="s">
        <v>3712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56"/>
        <v>-0.29000000000000004</v>
      </c>
      <c r="X344" s="13">
        <f t="shared" si="53"/>
        <v>0.28712871287128716</v>
      </c>
      <c r="Y344" s="13">
        <f t="shared" si="48"/>
        <v>0</v>
      </c>
      <c r="Z344" s="2">
        <v>0</v>
      </c>
      <c r="AA344" s="4">
        <v>0</v>
      </c>
      <c r="AB344" s="4">
        <f t="shared" si="49"/>
        <v>0.28712871287128716</v>
      </c>
      <c r="AC344" s="6">
        <f t="shared" si="50"/>
        <v>2.8712871287128738E-3</v>
      </c>
      <c r="AD344" s="13">
        <f t="shared" si="54"/>
        <v>0.29000000000000004</v>
      </c>
      <c r="AE344" s="2">
        <v>0.05</v>
      </c>
      <c r="AF344" s="5">
        <f t="shared" si="51"/>
        <v>1.4500000000000002E-2</v>
      </c>
      <c r="AG344" s="2">
        <v>0</v>
      </c>
      <c r="AH344" s="5">
        <f t="shared" si="55"/>
        <v>0.29000000000000004</v>
      </c>
      <c r="AJ344" s="126" t="e">
        <v>#N/A</v>
      </c>
      <c r="AK344" s="80">
        <f t="shared" si="52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">
        <v>3712</v>
      </c>
      <c r="L345" s="1" t="s">
        <v>35</v>
      </c>
      <c r="M345" s="95"/>
      <c r="N345" s="3" t="s">
        <v>3712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56"/>
        <v>-380929.37999999995</v>
      </c>
      <c r="X345" s="13">
        <f t="shared" si="53"/>
        <v>380929.37999999995</v>
      </c>
      <c r="Y345" s="13">
        <f t="shared" si="48"/>
        <v>0</v>
      </c>
      <c r="Z345" s="2">
        <v>0</v>
      </c>
      <c r="AA345" s="4">
        <v>0</v>
      </c>
      <c r="AB345" s="4">
        <f t="shared" si="49"/>
        <v>380929.37999999995</v>
      </c>
      <c r="AC345" s="6">
        <f t="shared" si="50"/>
        <v>0</v>
      </c>
      <c r="AD345" s="13">
        <f t="shared" si="54"/>
        <v>380929.37999999995</v>
      </c>
      <c r="AE345" s="2">
        <v>0.05</v>
      </c>
      <c r="AF345" s="5">
        <f t="shared" si="51"/>
        <v>19046.468999999997</v>
      </c>
      <c r="AG345" s="2">
        <v>0</v>
      </c>
      <c r="AH345" s="5">
        <f t="shared" si="55"/>
        <v>380929.37999999995</v>
      </c>
      <c r="AJ345" s="126" t="e">
        <v>#N/A</v>
      </c>
      <c r="AK345" s="80">
        <f t="shared" si="52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">
        <v>3712</v>
      </c>
      <c r="L346" s="1" t="s">
        <v>35</v>
      </c>
      <c r="M346" s="95"/>
      <c r="N346" s="3" t="s">
        <v>3712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56"/>
        <v>-6774.1900000000005</v>
      </c>
      <c r="X346" s="13">
        <f t="shared" si="53"/>
        <v>6774.1900000000005</v>
      </c>
      <c r="Y346" s="13">
        <f t="shared" si="48"/>
        <v>0</v>
      </c>
      <c r="Z346" s="2">
        <v>0</v>
      </c>
      <c r="AA346" s="4">
        <v>0</v>
      </c>
      <c r="AB346" s="4">
        <f t="shared" si="49"/>
        <v>6774.1900000000005</v>
      </c>
      <c r="AC346" s="6">
        <f t="shared" si="50"/>
        <v>0</v>
      </c>
      <c r="AD346" s="13">
        <f t="shared" si="54"/>
        <v>6774.1900000000005</v>
      </c>
      <c r="AE346" s="2">
        <v>0.05</v>
      </c>
      <c r="AF346" s="5">
        <f t="shared" si="51"/>
        <v>338.70950000000005</v>
      </c>
      <c r="AG346" s="2">
        <v>0</v>
      </c>
      <c r="AH346" s="5">
        <f t="shared" si="55"/>
        <v>6774.1900000000005</v>
      </c>
      <c r="AJ346" s="126" t="e">
        <v>#N/A</v>
      </c>
      <c r="AK346" s="80">
        <f t="shared" si="52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">
        <v>3712</v>
      </c>
      <c r="L347" s="1" t="s">
        <v>35</v>
      </c>
      <c r="M347" s="95"/>
      <c r="N347" s="3" t="s">
        <v>3712</v>
      </c>
      <c r="O347" s="8" t="s">
        <v>105</v>
      </c>
      <c r="P347" s="1" t="s">
        <v>3753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56"/>
        <v>-2558.84</v>
      </c>
      <c r="X347" s="13">
        <f t="shared" si="53"/>
        <v>2533.5049504950498</v>
      </c>
      <c r="Y347" s="13">
        <f t="shared" si="48"/>
        <v>0</v>
      </c>
      <c r="Z347" s="2">
        <v>0</v>
      </c>
      <c r="AA347" s="4">
        <v>0</v>
      </c>
      <c r="AB347" s="4">
        <f t="shared" si="49"/>
        <v>2533.5049504950498</v>
      </c>
      <c r="AC347" s="6">
        <f t="shared" si="50"/>
        <v>25.335049504950348</v>
      </c>
      <c r="AD347" s="13">
        <f t="shared" si="54"/>
        <v>2558.84</v>
      </c>
      <c r="AE347" s="2">
        <v>0.05</v>
      </c>
      <c r="AF347" s="5">
        <f t="shared" si="51"/>
        <v>127.94200000000001</v>
      </c>
      <c r="AG347" s="2">
        <v>0</v>
      </c>
      <c r="AH347" s="5">
        <f t="shared" si="55"/>
        <v>2558.84</v>
      </c>
      <c r="AJ347" s="126" t="e">
        <v>#N/A</v>
      </c>
      <c r="AK347" s="80">
        <f t="shared" si="52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56"/>
        <v>-375.84000000000003</v>
      </c>
      <c r="X348" s="13">
        <f t="shared" si="53"/>
        <v>364.89320388349518</v>
      </c>
      <c r="Y348" s="13">
        <f t="shared" si="48"/>
        <v>0</v>
      </c>
      <c r="Z348" s="2">
        <v>0</v>
      </c>
      <c r="AA348" s="4">
        <v>0</v>
      </c>
      <c r="AB348" s="4">
        <f t="shared" si="49"/>
        <v>364.89320388349518</v>
      </c>
      <c r="AC348" s="6">
        <f t="shared" si="50"/>
        <v>10.946796116504856</v>
      </c>
      <c r="AD348" s="13">
        <f t="shared" si="54"/>
        <v>375.84000000000003</v>
      </c>
      <c r="AE348" s="2">
        <v>0.05</v>
      </c>
      <c r="AF348" s="5">
        <f t="shared" si="51"/>
        <v>18.792000000000002</v>
      </c>
      <c r="AG348" s="2">
        <v>0</v>
      </c>
      <c r="AH348" s="5">
        <f t="shared" si="55"/>
        <v>375.84000000000003</v>
      </c>
      <c r="AJ348" s="126" t="e">
        <v>#N/A</v>
      </c>
      <c r="AK348" s="80">
        <f t="shared" si="52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56"/>
        <v>0</v>
      </c>
      <c r="X349" s="13">
        <f t="shared" si="53"/>
        <v>0</v>
      </c>
      <c r="Y349" s="13">
        <f t="shared" si="48"/>
        <v>0</v>
      </c>
      <c r="Z349" s="2">
        <v>0</v>
      </c>
      <c r="AA349" s="4">
        <v>0</v>
      </c>
      <c r="AB349" s="4">
        <f t="shared" si="49"/>
        <v>0</v>
      </c>
      <c r="AC349" s="6">
        <f t="shared" si="50"/>
        <v>0</v>
      </c>
      <c r="AD349" s="13">
        <f t="shared" si="54"/>
        <v>0</v>
      </c>
      <c r="AE349" s="2">
        <v>0.05</v>
      </c>
      <c r="AF349" s="5">
        <f t="shared" si="51"/>
        <v>0</v>
      </c>
      <c r="AG349" s="2">
        <v>0</v>
      </c>
      <c r="AH349" s="5">
        <f t="shared" si="55"/>
        <v>0</v>
      </c>
      <c r="AJ349" s="126" t="e">
        <v>#N/A</v>
      </c>
      <c r="AK349" s="80">
        <f t="shared" si="52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56"/>
        <v>-158.97999999999999</v>
      </c>
      <c r="X350" s="13">
        <f t="shared" si="53"/>
        <v>154.34951456310679</v>
      </c>
      <c r="Y350" s="13">
        <f t="shared" si="48"/>
        <v>0</v>
      </c>
      <c r="Z350" s="2">
        <v>0</v>
      </c>
      <c r="AA350" s="4">
        <v>0</v>
      </c>
      <c r="AB350" s="4">
        <f t="shared" si="49"/>
        <v>154.34951456310679</v>
      </c>
      <c r="AC350" s="6">
        <f t="shared" si="50"/>
        <v>4.6304854368931956</v>
      </c>
      <c r="AD350" s="13">
        <f t="shared" si="54"/>
        <v>158.97999999999999</v>
      </c>
      <c r="AE350" s="2">
        <v>0.05</v>
      </c>
      <c r="AF350" s="5">
        <f t="shared" si="51"/>
        <v>7.9489999999999998</v>
      </c>
      <c r="AG350" s="2">
        <v>0</v>
      </c>
      <c r="AH350" s="5">
        <f t="shared" si="55"/>
        <v>158.97999999999999</v>
      </c>
      <c r="AJ350" s="126" t="e">
        <v>#N/A</v>
      </c>
      <c r="AK350" s="80">
        <f t="shared" si="52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56"/>
        <v>0</v>
      </c>
      <c r="X351" s="13">
        <f t="shared" si="53"/>
        <v>0</v>
      </c>
      <c r="Y351" s="13">
        <f t="shared" si="48"/>
        <v>0</v>
      </c>
      <c r="Z351" s="2">
        <v>0</v>
      </c>
      <c r="AA351" s="4">
        <v>0</v>
      </c>
      <c r="AB351" s="4">
        <f t="shared" si="49"/>
        <v>0</v>
      </c>
      <c r="AC351" s="6">
        <f t="shared" si="50"/>
        <v>0</v>
      </c>
      <c r="AD351" s="13">
        <f t="shared" si="54"/>
        <v>0</v>
      </c>
      <c r="AE351" s="2">
        <v>0.05</v>
      </c>
      <c r="AF351" s="5">
        <f t="shared" si="51"/>
        <v>0</v>
      </c>
      <c r="AG351" s="2">
        <v>0</v>
      </c>
      <c r="AH351" s="5">
        <f t="shared" si="55"/>
        <v>0</v>
      </c>
      <c r="AJ351" s="126" t="e">
        <v>#N/A</v>
      </c>
      <c r="AK351" s="80">
        <f t="shared" si="52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56"/>
        <v>0</v>
      </c>
      <c r="X352" s="13">
        <f t="shared" si="53"/>
        <v>0</v>
      </c>
      <c r="Y352" s="13">
        <f t="shared" si="48"/>
        <v>0</v>
      </c>
      <c r="Z352" s="2">
        <v>0</v>
      </c>
      <c r="AA352" s="4">
        <v>0</v>
      </c>
      <c r="AB352" s="4">
        <f t="shared" si="49"/>
        <v>0</v>
      </c>
      <c r="AC352" s="6">
        <f t="shared" si="50"/>
        <v>0</v>
      </c>
      <c r="AD352" s="13">
        <f t="shared" si="54"/>
        <v>0</v>
      </c>
      <c r="AE352" s="2">
        <v>0.05</v>
      </c>
      <c r="AF352" s="5">
        <f t="shared" si="51"/>
        <v>0</v>
      </c>
      <c r="AG352" s="2">
        <v>0</v>
      </c>
      <c r="AH352" s="5">
        <f t="shared" si="55"/>
        <v>0</v>
      </c>
      <c r="AJ352" s="126" t="e">
        <v>#N/A</v>
      </c>
      <c r="AK352" s="80">
        <f t="shared" si="52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56"/>
        <v>-881.52</v>
      </c>
      <c r="X353" s="13">
        <f t="shared" si="53"/>
        <v>847.61538461538453</v>
      </c>
      <c r="Y353" s="13">
        <f t="shared" si="48"/>
        <v>0</v>
      </c>
      <c r="Z353" s="2">
        <v>0</v>
      </c>
      <c r="AA353" s="4">
        <v>0</v>
      </c>
      <c r="AB353" s="4">
        <f t="shared" si="49"/>
        <v>847.61538461538453</v>
      </c>
      <c r="AC353" s="6">
        <f t="shared" si="50"/>
        <v>33.904615384615454</v>
      </c>
      <c r="AD353" s="13">
        <f t="shared" si="54"/>
        <v>881.52</v>
      </c>
      <c r="AE353" s="2">
        <v>0.05</v>
      </c>
      <c r="AF353" s="5">
        <f t="shared" si="51"/>
        <v>44.076000000000001</v>
      </c>
      <c r="AG353" s="2">
        <v>0</v>
      </c>
      <c r="AH353" s="5">
        <f t="shared" si="55"/>
        <v>881.52</v>
      </c>
      <c r="AJ353" s="126" t="e">
        <v>#N/A</v>
      </c>
      <c r="AK353" s="80">
        <f t="shared" si="52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56"/>
        <v>-43.87</v>
      </c>
      <c r="X354" s="13">
        <f t="shared" si="53"/>
        <v>42.592233009708735</v>
      </c>
      <c r="Y354" s="13">
        <f t="shared" si="48"/>
        <v>0</v>
      </c>
      <c r="Z354" s="2">
        <v>0</v>
      </c>
      <c r="AA354" s="4">
        <v>0</v>
      </c>
      <c r="AB354" s="4">
        <f t="shared" si="49"/>
        <v>42.592233009708735</v>
      </c>
      <c r="AC354" s="6">
        <f t="shared" si="50"/>
        <v>1.2777669902912621</v>
      </c>
      <c r="AD354" s="13">
        <f t="shared" si="54"/>
        <v>43.87</v>
      </c>
      <c r="AE354" s="2">
        <v>0.05</v>
      </c>
      <c r="AF354" s="5">
        <f t="shared" si="51"/>
        <v>2.1934999999999998</v>
      </c>
      <c r="AG354" s="2">
        <v>0</v>
      </c>
      <c r="AH354" s="5">
        <f t="shared" si="55"/>
        <v>43.87</v>
      </c>
      <c r="AJ354" s="126" t="e">
        <v>#N/A</v>
      </c>
      <c r="AK354" s="80">
        <f t="shared" si="52"/>
        <v>0</v>
      </c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56"/>
        <v>-494.21000000000004</v>
      </c>
      <c r="X355" s="13">
        <f t="shared" si="53"/>
        <v>470.67619047619047</v>
      </c>
      <c r="Y355" s="13">
        <f t="shared" si="48"/>
        <v>0</v>
      </c>
      <c r="Z355" s="2">
        <v>0</v>
      </c>
      <c r="AA355" s="4">
        <v>0</v>
      </c>
      <c r="AB355" s="4">
        <f t="shared" si="49"/>
        <v>470.67619047619047</v>
      </c>
      <c r="AC355" s="6">
        <f t="shared" si="50"/>
        <v>23.533809523809566</v>
      </c>
      <c r="AD355" s="13">
        <f t="shared" si="54"/>
        <v>494.21000000000004</v>
      </c>
      <c r="AE355" s="2">
        <v>0.05</v>
      </c>
      <c r="AF355" s="5">
        <f t="shared" si="51"/>
        <v>24.710500000000003</v>
      </c>
      <c r="AG355" s="2">
        <v>0</v>
      </c>
      <c r="AH355" s="5">
        <f t="shared" si="55"/>
        <v>494.21000000000004</v>
      </c>
      <c r="AJ355" s="126" t="e">
        <v>#N/A</v>
      </c>
      <c r="AK355" s="80">
        <f t="shared" si="52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56"/>
        <v>-651.94999999999993</v>
      </c>
      <c r="X356" s="13">
        <f t="shared" si="53"/>
        <v>651.94999999999993</v>
      </c>
      <c r="Y356" s="13">
        <f t="shared" si="48"/>
        <v>0</v>
      </c>
      <c r="Z356" s="2">
        <v>0</v>
      </c>
      <c r="AA356" s="4">
        <v>0</v>
      </c>
      <c r="AB356" s="4">
        <f t="shared" si="49"/>
        <v>651.94999999999993</v>
      </c>
      <c r="AC356" s="6">
        <f t="shared" si="50"/>
        <v>0</v>
      </c>
      <c r="AD356" s="13">
        <f t="shared" si="54"/>
        <v>651.94999999999993</v>
      </c>
      <c r="AE356" s="2">
        <v>0.05</v>
      </c>
      <c r="AF356" s="5">
        <f t="shared" si="51"/>
        <v>32.597499999999997</v>
      </c>
      <c r="AG356" s="2">
        <v>0</v>
      </c>
      <c r="AH356" s="5">
        <f t="shared" si="55"/>
        <v>651.94999999999993</v>
      </c>
      <c r="AJ356" s="126" t="e">
        <v>#N/A</v>
      </c>
      <c r="AK356" s="80">
        <f t="shared" si="52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56"/>
        <v>-327.36999999999989</v>
      </c>
      <c r="X357" s="13">
        <f t="shared" si="53"/>
        <v>314.77884615384602</v>
      </c>
      <c r="Y357" s="13">
        <f t="shared" si="48"/>
        <v>0</v>
      </c>
      <c r="Z357" s="2">
        <v>0</v>
      </c>
      <c r="AA357" s="4">
        <v>0</v>
      </c>
      <c r="AB357" s="4">
        <f t="shared" si="49"/>
        <v>314.77884615384602</v>
      </c>
      <c r="AC357" s="6">
        <f t="shared" si="50"/>
        <v>12.591153846153873</v>
      </c>
      <c r="AD357" s="13">
        <f t="shared" si="54"/>
        <v>327.36999999999989</v>
      </c>
      <c r="AE357" s="2">
        <v>0.05</v>
      </c>
      <c r="AF357" s="5">
        <f t="shared" si="51"/>
        <v>16.368499999999994</v>
      </c>
      <c r="AG357" s="2">
        <v>0</v>
      </c>
      <c r="AH357" s="5">
        <f t="shared" si="55"/>
        <v>327.36999999999989</v>
      </c>
      <c r="AJ357" s="126" t="e">
        <v>#N/A</v>
      </c>
      <c r="AK357" s="80">
        <f t="shared" si="52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56"/>
        <v>-111.32000000000001</v>
      </c>
      <c r="X358" s="13">
        <f t="shared" si="53"/>
        <v>107.03846153846155</v>
      </c>
      <c r="Y358" s="13">
        <f t="shared" si="48"/>
        <v>0</v>
      </c>
      <c r="Z358" s="2">
        <v>0</v>
      </c>
      <c r="AA358" s="4">
        <v>0</v>
      </c>
      <c r="AB358" s="4">
        <f t="shared" si="49"/>
        <v>107.03846153846155</v>
      </c>
      <c r="AC358" s="6">
        <f t="shared" si="50"/>
        <v>4.2815384615384602</v>
      </c>
      <c r="AD358" s="13">
        <f t="shared" si="54"/>
        <v>111.32000000000001</v>
      </c>
      <c r="AE358" s="2">
        <v>0.05</v>
      </c>
      <c r="AF358" s="5">
        <f t="shared" si="51"/>
        <v>5.5660000000000007</v>
      </c>
      <c r="AG358" s="2">
        <v>0</v>
      </c>
      <c r="AH358" s="5">
        <f t="shared" si="55"/>
        <v>111.32000000000001</v>
      </c>
      <c r="AJ358" s="126" t="e">
        <v>#N/A</v>
      </c>
      <c r="AK358" s="80">
        <f t="shared" si="52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56"/>
        <v>-7683.9699999999993</v>
      </c>
      <c r="X359" s="13">
        <f t="shared" si="53"/>
        <v>7460.1650485436885</v>
      </c>
      <c r="Y359" s="13">
        <f t="shared" si="48"/>
        <v>0</v>
      </c>
      <c r="Z359" s="2">
        <v>0</v>
      </c>
      <c r="AA359" s="4">
        <v>0</v>
      </c>
      <c r="AB359" s="4">
        <f t="shared" si="49"/>
        <v>7460.1650485436885</v>
      </c>
      <c r="AC359" s="6">
        <f t="shared" si="50"/>
        <v>223.80495145631085</v>
      </c>
      <c r="AD359" s="13">
        <f t="shared" si="54"/>
        <v>7683.9699999999993</v>
      </c>
      <c r="AE359" s="2">
        <v>0.05</v>
      </c>
      <c r="AF359" s="5">
        <f t="shared" si="51"/>
        <v>384.19849999999997</v>
      </c>
      <c r="AG359" s="2">
        <v>0</v>
      </c>
      <c r="AH359" s="5">
        <f t="shared" si="55"/>
        <v>7683.9699999999993</v>
      </c>
      <c r="AJ359" s="126" t="e">
        <v>#N/A</v>
      </c>
      <c r="AK359" s="80">
        <f t="shared" si="52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56"/>
        <v>-4470.3500000000004</v>
      </c>
      <c r="X360" s="13">
        <f t="shared" si="53"/>
        <v>4470.3500000000004</v>
      </c>
      <c r="Y360" s="13">
        <f t="shared" si="48"/>
        <v>0</v>
      </c>
      <c r="Z360" s="2">
        <v>0</v>
      </c>
      <c r="AA360" s="4">
        <v>0</v>
      </c>
      <c r="AB360" s="4">
        <f t="shared" si="49"/>
        <v>4470.3500000000004</v>
      </c>
      <c r="AC360" s="6">
        <f t="shared" si="50"/>
        <v>0</v>
      </c>
      <c r="AD360" s="13">
        <f t="shared" si="54"/>
        <v>4470.3500000000004</v>
      </c>
      <c r="AE360" s="2">
        <v>0.05</v>
      </c>
      <c r="AF360" s="5">
        <f t="shared" si="51"/>
        <v>223.51750000000004</v>
      </c>
      <c r="AG360" s="2">
        <v>0</v>
      </c>
      <c r="AH360" s="5">
        <f t="shared" si="55"/>
        <v>4470.3500000000004</v>
      </c>
      <c r="AJ360" s="126" t="e">
        <v>#N/A</v>
      </c>
      <c r="AK360" s="80">
        <f t="shared" si="52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56"/>
        <v>0</v>
      </c>
      <c r="X361" s="13">
        <f t="shared" si="53"/>
        <v>0</v>
      </c>
      <c r="Y361" s="13">
        <f t="shared" si="48"/>
        <v>0</v>
      </c>
      <c r="Z361" s="2">
        <v>0</v>
      </c>
      <c r="AA361" s="4">
        <v>0</v>
      </c>
      <c r="AB361" s="4">
        <f t="shared" si="49"/>
        <v>0</v>
      </c>
      <c r="AC361" s="6">
        <f t="shared" si="50"/>
        <v>0</v>
      </c>
      <c r="AD361" s="13">
        <f t="shared" si="54"/>
        <v>0</v>
      </c>
      <c r="AE361" s="2">
        <v>0.05</v>
      </c>
      <c r="AF361" s="5">
        <f t="shared" si="51"/>
        <v>0</v>
      </c>
      <c r="AG361" s="2">
        <v>0</v>
      </c>
      <c r="AH361" s="5">
        <f t="shared" si="55"/>
        <v>0</v>
      </c>
      <c r="AJ361" s="126" t="e">
        <v>#N/A</v>
      </c>
      <c r="AK361" s="80">
        <f t="shared" si="52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56"/>
        <v>-6.19</v>
      </c>
      <c r="X362" s="13">
        <f t="shared" si="53"/>
        <v>5.9519230769230775</v>
      </c>
      <c r="Y362" s="13">
        <f t="shared" si="48"/>
        <v>0</v>
      </c>
      <c r="Z362" s="2">
        <v>0</v>
      </c>
      <c r="AA362" s="4">
        <v>0</v>
      </c>
      <c r="AB362" s="4">
        <f t="shared" si="49"/>
        <v>5.9519230769230775</v>
      </c>
      <c r="AC362" s="6">
        <f t="shared" si="50"/>
        <v>0.23807692307692285</v>
      </c>
      <c r="AD362" s="13">
        <f t="shared" si="54"/>
        <v>6.19</v>
      </c>
      <c r="AE362" s="2">
        <v>0.05</v>
      </c>
      <c r="AF362" s="5">
        <f t="shared" si="51"/>
        <v>0.30950000000000005</v>
      </c>
      <c r="AG362" s="2">
        <v>0</v>
      </c>
      <c r="AH362" s="5">
        <f t="shared" si="55"/>
        <v>6.19</v>
      </c>
      <c r="AJ362" s="126" t="e">
        <v>#N/A</v>
      </c>
      <c r="AK362" s="80">
        <f t="shared" si="52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56"/>
        <v>-41.5</v>
      </c>
      <c r="X363" s="13">
        <f t="shared" si="53"/>
        <v>39.903846153846153</v>
      </c>
      <c r="Y363" s="13">
        <f t="shared" si="48"/>
        <v>0</v>
      </c>
      <c r="Z363" s="2">
        <v>0</v>
      </c>
      <c r="AA363" s="4">
        <v>0</v>
      </c>
      <c r="AB363" s="4">
        <f t="shared" si="49"/>
        <v>39.903846153846153</v>
      </c>
      <c r="AC363" s="6">
        <f t="shared" si="50"/>
        <v>1.5961538461538467</v>
      </c>
      <c r="AD363" s="13">
        <f t="shared" si="54"/>
        <v>41.5</v>
      </c>
      <c r="AE363" s="2">
        <v>0.05</v>
      </c>
      <c r="AF363" s="5">
        <f t="shared" si="51"/>
        <v>2.0750000000000002</v>
      </c>
      <c r="AG363" s="2">
        <v>0</v>
      </c>
      <c r="AH363" s="5">
        <f t="shared" si="55"/>
        <v>41.5</v>
      </c>
      <c r="AJ363" s="126" t="e">
        <v>#N/A</v>
      </c>
      <c r="AK363" s="80">
        <f t="shared" si="52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56"/>
        <v>-581.86</v>
      </c>
      <c r="X364" s="13">
        <f t="shared" si="53"/>
        <v>581.86</v>
      </c>
      <c r="Y364" s="13">
        <f t="shared" si="48"/>
        <v>0</v>
      </c>
      <c r="Z364" s="2">
        <v>0</v>
      </c>
      <c r="AA364" s="4">
        <v>0</v>
      </c>
      <c r="AB364" s="4">
        <f t="shared" si="49"/>
        <v>581.86</v>
      </c>
      <c r="AC364" s="6">
        <f t="shared" si="50"/>
        <v>0</v>
      </c>
      <c r="AD364" s="13">
        <f t="shared" si="54"/>
        <v>581.86</v>
      </c>
      <c r="AE364" s="2">
        <v>0.05</v>
      </c>
      <c r="AF364" s="5">
        <f t="shared" si="51"/>
        <v>29.093000000000004</v>
      </c>
      <c r="AG364" s="2">
        <v>0</v>
      </c>
      <c r="AH364" s="5">
        <f t="shared" si="55"/>
        <v>581.86</v>
      </c>
      <c r="AJ364" s="126" t="e">
        <v>#N/A</v>
      </c>
      <c r="AK364" s="80">
        <f t="shared" si="52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56"/>
        <v>9414.339999999851</v>
      </c>
      <c r="X365" s="13">
        <f t="shared" si="53"/>
        <v>21500585.66</v>
      </c>
      <c r="Y365" s="13">
        <f t="shared" si="48"/>
        <v>0</v>
      </c>
      <c r="Z365" s="2">
        <v>0</v>
      </c>
      <c r="AA365" s="4">
        <v>0</v>
      </c>
      <c r="AB365" s="4">
        <f t="shared" si="49"/>
        <v>21500585.66</v>
      </c>
      <c r="AC365" s="6">
        <f t="shared" si="50"/>
        <v>1290035.1395999999</v>
      </c>
      <c r="AD365" s="13">
        <f t="shared" si="54"/>
        <v>21500585.66</v>
      </c>
      <c r="AE365" s="2">
        <v>0.05</v>
      </c>
      <c r="AF365" s="5">
        <f t="shared" si="51"/>
        <v>1075029.2830000001</v>
      </c>
      <c r="AG365" s="2">
        <v>0</v>
      </c>
      <c r="AH365" s="5">
        <f t="shared" si="55"/>
        <v>21500585.66</v>
      </c>
      <c r="AJ365" s="126" t="e">
        <v>#N/A</v>
      </c>
      <c r="AK365" s="80">
        <f t="shared" si="52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56"/>
        <v>856721.18999999948</v>
      </c>
      <c r="X366" s="13">
        <f t="shared" si="53"/>
        <v>10271278.810000001</v>
      </c>
      <c r="Y366" s="13">
        <f t="shared" si="48"/>
        <v>0</v>
      </c>
      <c r="Z366" s="2">
        <v>0</v>
      </c>
      <c r="AA366" s="4">
        <v>0</v>
      </c>
      <c r="AB366" s="4">
        <f t="shared" si="49"/>
        <v>10271278.810000001</v>
      </c>
      <c r="AC366" s="6">
        <f t="shared" si="50"/>
        <v>616276.72860000003</v>
      </c>
      <c r="AD366" s="13">
        <f t="shared" si="54"/>
        <v>10271278.810000001</v>
      </c>
      <c r="AE366" s="2">
        <v>0.05</v>
      </c>
      <c r="AF366" s="5">
        <f t="shared" si="51"/>
        <v>513563.94050000003</v>
      </c>
      <c r="AG366" s="2">
        <v>0</v>
      </c>
      <c r="AH366" s="5">
        <f t="shared" si="55"/>
        <v>10271278.810000001</v>
      </c>
      <c r="AJ366" s="126" t="e">
        <v>#N/A</v>
      </c>
      <c r="AK366" s="80">
        <f t="shared" si="52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56"/>
        <v>1007033.43</v>
      </c>
      <c r="X367" s="13">
        <f t="shared" si="53"/>
        <v>742966.57</v>
      </c>
      <c r="Y367" s="13">
        <f t="shared" si="48"/>
        <v>0</v>
      </c>
      <c r="Z367" s="2">
        <v>0</v>
      </c>
      <c r="AA367" s="4">
        <v>0</v>
      </c>
      <c r="AB367" s="4">
        <f t="shared" si="49"/>
        <v>742966.57</v>
      </c>
      <c r="AC367" s="6">
        <f t="shared" si="50"/>
        <v>44577.994199999994</v>
      </c>
      <c r="AD367" s="13">
        <f t="shared" si="54"/>
        <v>742966.57</v>
      </c>
      <c r="AE367" s="2">
        <v>0.05</v>
      </c>
      <c r="AF367" s="5">
        <f t="shared" si="51"/>
        <v>37148.328499999996</v>
      </c>
      <c r="AG367" s="2">
        <v>0</v>
      </c>
      <c r="AH367" s="5">
        <f t="shared" si="55"/>
        <v>742966.57</v>
      </c>
      <c r="AJ367" s="126" t="e">
        <v>#N/A</v>
      </c>
      <c r="AK367" s="80">
        <f t="shared" si="52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56"/>
        <v>958653.30999999959</v>
      </c>
      <c r="X368" s="13">
        <f t="shared" si="53"/>
        <v>5041346.6900000004</v>
      </c>
      <c r="Y368" s="13">
        <f t="shared" si="48"/>
        <v>0</v>
      </c>
      <c r="Z368" s="2">
        <v>0</v>
      </c>
      <c r="AA368" s="4">
        <v>0</v>
      </c>
      <c r="AB368" s="4">
        <f t="shared" si="49"/>
        <v>5041346.6900000004</v>
      </c>
      <c r="AC368" s="6">
        <f t="shared" si="50"/>
        <v>302480.8014</v>
      </c>
      <c r="AD368" s="13">
        <f t="shared" si="54"/>
        <v>5041346.6900000004</v>
      </c>
      <c r="AE368" s="2">
        <v>0.05</v>
      </c>
      <c r="AF368" s="5">
        <f t="shared" si="51"/>
        <v>252067.33450000003</v>
      </c>
      <c r="AG368" s="2">
        <v>0</v>
      </c>
      <c r="AH368" s="5">
        <f t="shared" si="55"/>
        <v>5041346.6900000004</v>
      </c>
      <c r="AJ368" s="126" t="e">
        <v>#N/A</v>
      </c>
      <c r="AK368" s="80">
        <f t="shared" si="52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56"/>
        <v>1574716.1800000002</v>
      </c>
      <c r="X369" s="13">
        <f t="shared" si="53"/>
        <v>78883.819999999832</v>
      </c>
      <c r="Y369" s="13">
        <f t="shared" si="48"/>
        <v>0</v>
      </c>
      <c r="Z369" s="2">
        <v>0</v>
      </c>
      <c r="AA369" s="4">
        <v>0</v>
      </c>
      <c r="AB369" s="4">
        <f t="shared" si="49"/>
        <v>78883.819999999832</v>
      </c>
      <c r="AC369" s="6">
        <f t="shared" si="50"/>
        <v>4733.0291999999899</v>
      </c>
      <c r="AD369" s="13">
        <f t="shared" si="54"/>
        <v>78883.819999999832</v>
      </c>
      <c r="AE369" s="2">
        <v>0.05</v>
      </c>
      <c r="AF369" s="5">
        <f t="shared" si="51"/>
        <v>3944.1909999999916</v>
      </c>
      <c r="AG369" s="2">
        <v>0</v>
      </c>
      <c r="AH369" s="5">
        <f t="shared" si="55"/>
        <v>78883.819999999832</v>
      </c>
      <c r="AJ369" s="126" t="e">
        <v>#N/A</v>
      </c>
      <c r="AK369" s="80">
        <f t="shared" si="52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56"/>
        <v>218732.24</v>
      </c>
      <c r="X370" s="13">
        <f t="shared" si="53"/>
        <v>181267.76</v>
      </c>
      <c r="Y370" s="13">
        <f t="shared" si="48"/>
        <v>0</v>
      </c>
      <c r="Z370" s="2">
        <v>0</v>
      </c>
      <c r="AA370" s="4">
        <v>0</v>
      </c>
      <c r="AB370" s="4">
        <f t="shared" si="49"/>
        <v>181267.76</v>
      </c>
      <c r="AC370" s="6">
        <f t="shared" si="50"/>
        <v>10876.0656</v>
      </c>
      <c r="AD370" s="13">
        <f t="shared" si="54"/>
        <v>181267.76</v>
      </c>
      <c r="AE370" s="2">
        <v>0.05</v>
      </c>
      <c r="AF370" s="5">
        <f t="shared" si="51"/>
        <v>9063.3880000000008</v>
      </c>
      <c r="AG370" s="2">
        <v>0</v>
      </c>
      <c r="AH370" s="5">
        <f t="shared" si="55"/>
        <v>181267.76</v>
      </c>
      <c r="AJ370" s="126" t="e">
        <v>#N/A</v>
      </c>
      <c r="AK370" s="80">
        <f t="shared" si="52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56"/>
        <v>1283048.7399999984</v>
      </c>
      <c r="X371" s="13">
        <f t="shared" si="53"/>
        <v>3573991.5961538474</v>
      </c>
      <c r="Y371" s="13">
        <f t="shared" si="48"/>
        <v>0</v>
      </c>
      <c r="Z371" s="2">
        <v>0</v>
      </c>
      <c r="AA371" s="4">
        <v>0</v>
      </c>
      <c r="AB371" s="4">
        <f t="shared" si="49"/>
        <v>3573991.5961538474</v>
      </c>
      <c r="AC371" s="6">
        <f t="shared" si="50"/>
        <v>142959.66384615423</v>
      </c>
      <c r="AD371" s="13">
        <f t="shared" si="54"/>
        <v>3716951.2600000016</v>
      </c>
      <c r="AE371" s="2">
        <v>0.05</v>
      </c>
      <c r="AF371" s="5">
        <f t="shared" si="51"/>
        <v>185847.56300000008</v>
      </c>
      <c r="AG371" s="2">
        <v>0</v>
      </c>
      <c r="AH371" s="5">
        <f t="shared" si="55"/>
        <v>3716951.2600000016</v>
      </c>
      <c r="AJ371" s="126" t="e">
        <v>#N/A</v>
      </c>
      <c r="AK371" s="80">
        <f t="shared" si="52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56"/>
        <v>34400.009999999995</v>
      </c>
      <c r="X372" s="18">
        <f t="shared" si="53"/>
        <v>15599.990000000005</v>
      </c>
      <c r="Y372" s="13">
        <f t="shared" si="48"/>
        <v>6129.0806775493165</v>
      </c>
      <c r="Z372" s="14">
        <v>0</v>
      </c>
      <c r="AA372" s="4">
        <v>0</v>
      </c>
      <c r="AB372" s="4">
        <f t="shared" si="49"/>
        <v>15599.990000000005</v>
      </c>
      <c r="AC372" s="6">
        <f t="shared" si="50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51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52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56"/>
        <v>33079.01</v>
      </c>
      <c r="X373" s="18">
        <f t="shared" si="53"/>
        <v>16920.989999999998</v>
      </c>
      <c r="Y373" s="13">
        <f t="shared" si="48"/>
        <v>6648.0884189031658</v>
      </c>
      <c r="Z373" s="14">
        <v>0</v>
      </c>
      <c r="AA373" s="4">
        <v>0</v>
      </c>
      <c r="AB373" s="4">
        <f t="shared" si="49"/>
        <v>16920.989999999998</v>
      </c>
      <c r="AC373" s="6">
        <f t="shared" si="50"/>
        <v>1015.2593999999998</v>
      </c>
      <c r="AD373" s="18">
        <f t="shared" ref="AD373:AD436" si="57">V373*0.547109961125019</f>
        <v>9257.6421810968332</v>
      </c>
      <c r="AE373" s="2">
        <v>7.0000000000000007E-2</v>
      </c>
      <c r="AF373" s="5">
        <f t="shared" si="51"/>
        <v>648.0349526767784</v>
      </c>
      <c r="AG373" s="14">
        <v>0</v>
      </c>
      <c r="AH373" s="10">
        <f t="shared" ref="AH373:AH436" si="58">V373</f>
        <v>16920.989999999998</v>
      </c>
      <c r="AI373" s="16"/>
      <c r="AJ373" s="126" t="e">
        <v>#N/A</v>
      </c>
      <c r="AK373" s="80">
        <f t="shared" si="52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56"/>
        <v>9280.5000000000073</v>
      </c>
      <c r="X374" s="18">
        <f t="shared" si="53"/>
        <v>30117.156862745091</v>
      </c>
      <c r="Y374" s="13">
        <f t="shared" si="48"/>
        <v>13310.212411965073</v>
      </c>
      <c r="Z374" s="14">
        <v>0</v>
      </c>
      <c r="AA374" s="4">
        <v>0</v>
      </c>
      <c r="AB374" s="4">
        <f t="shared" si="49"/>
        <v>30117.156862745091</v>
      </c>
      <c r="AC374" s="6">
        <f t="shared" si="50"/>
        <v>602.3431372549021</v>
      </c>
      <c r="AD374" s="18">
        <f t="shared" si="57"/>
        <v>16806.944450780018</v>
      </c>
      <c r="AE374" s="2">
        <v>7.0000000000000007E-2</v>
      </c>
      <c r="AF374" s="5">
        <f t="shared" si="51"/>
        <v>1176.4861115546014</v>
      </c>
      <c r="AG374" s="14">
        <v>0</v>
      </c>
      <c r="AH374" s="10">
        <f t="shared" si="58"/>
        <v>30719.499999999993</v>
      </c>
      <c r="AI374" s="16"/>
      <c r="AJ374" s="126" t="e">
        <v>#N/A</v>
      </c>
      <c r="AK374" s="80">
        <f t="shared" si="52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56"/>
        <v>4397</v>
      </c>
      <c r="X375" s="18">
        <f t="shared" si="53"/>
        <v>590.93999999999994</v>
      </c>
      <c r="Y375" s="13">
        <f t="shared" si="48"/>
        <v>261.0326934416135</v>
      </c>
      <c r="Z375" s="14">
        <v>0</v>
      </c>
      <c r="AA375" s="4">
        <v>0</v>
      </c>
      <c r="AB375" s="4">
        <f t="shared" si="49"/>
        <v>590.93999999999994</v>
      </c>
      <c r="AC375" s="6">
        <f t="shared" si="50"/>
        <v>12.060000000000059</v>
      </c>
      <c r="AD375" s="18">
        <f t="shared" si="57"/>
        <v>329.90730655838644</v>
      </c>
      <c r="AE375" s="2">
        <v>7.0000000000000007E-2</v>
      </c>
      <c r="AF375" s="5">
        <f t="shared" si="51"/>
        <v>23.093511459087054</v>
      </c>
      <c r="AG375" s="14">
        <v>0</v>
      </c>
      <c r="AH375" s="10">
        <f t="shared" si="58"/>
        <v>603</v>
      </c>
      <c r="AI375" s="16"/>
      <c r="AJ375" s="126" t="e">
        <v>#N/A</v>
      </c>
      <c r="AK375" s="80">
        <f t="shared" si="52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56"/>
        <v>6699.3000000000029</v>
      </c>
      <c r="X376" s="18">
        <f t="shared" si="53"/>
        <v>53930.085999999996</v>
      </c>
      <c r="Y376" s="13">
        <f t="shared" si="48"/>
        <v>23822.241862317416</v>
      </c>
      <c r="Z376" s="14">
        <v>0</v>
      </c>
      <c r="AA376" s="4">
        <v>0</v>
      </c>
      <c r="AB376" s="4">
        <f t="shared" si="49"/>
        <v>53930.085999999996</v>
      </c>
      <c r="AC376" s="6">
        <f t="shared" si="50"/>
        <v>1100.6140000000014</v>
      </c>
      <c r="AD376" s="18">
        <f t="shared" si="57"/>
        <v>30107.844137682579</v>
      </c>
      <c r="AE376" s="2">
        <v>7.0000000000000007E-2</v>
      </c>
      <c r="AF376" s="5">
        <f t="shared" si="51"/>
        <v>2107.549089637781</v>
      </c>
      <c r="AG376" s="14">
        <v>0</v>
      </c>
      <c r="AH376" s="10">
        <f t="shared" si="58"/>
        <v>55030.7</v>
      </c>
      <c r="AI376" s="16"/>
      <c r="AJ376" s="126" t="e">
        <v>#N/A</v>
      </c>
      <c r="AK376" s="80">
        <f t="shared" si="52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56"/>
        <v>19970.879999999976</v>
      </c>
      <c r="X377" s="18">
        <f t="shared" si="53"/>
        <v>100029.12000000002</v>
      </c>
      <c r="Y377" s="13">
        <f t="shared" si="48"/>
        <v>45302.192045430151</v>
      </c>
      <c r="Z377" s="14">
        <v>0</v>
      </c>
      <c r="AA377" s="4">
        <v>0</v>
      </c>
      <c r="AB377" s="4">
        <f t="shared" si="49"/>
        <v>100029.12000000002</v>
      </c>
      <c r="AC377" s="6">
        <f t="shared" si="50"/>
        <v>0</v>
      </c>
      <c r="AD377" s="18">
        <f t="shared" si="57"/>
        <v>54726.927954569874</v>
      </c>
      <c r="AE377" s="2">
        <v>7.0000000000000007E-2</v>
      </c>
      <c r="AF377" s="5">
        <f t="shared" si="51"/>
        <v>3830.8849568198916</v>
      </c>
      <c r="AG377" s="14">
        <v>0</v>
      </c>
      <c r="AH377" s="10">
        <f t="shared" si="58"/>
        <v>100029.12000000002</v>
      </c>
      <c r="AI377" s="16"/>
      <c r="AJ377" s="126" t="e">
        <v>#N/A</v>
      </c>
      <c r="AK377" s="80">
        <f t="shared" si="52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56"/>
        <v>20000</v>
      </c>
      <c r="X378" s="18">
        <f t="shared" si="53"/>
        <v>0</v>
      </c>
      <c r="Y378" s="13">
        <f t="shared" si="48"/>
        <v>0</v>
      </c>
      <c r="Z378" s="14">
        <v>0</v>
      </c>
      <c r="AA378" s="4">
        <v>0</v>
      </c>
      <c r="AB378" s="4">
        <f t="shared" si="49"/>
        <v>0</v>
      </c>
      <c r="AC378" s="6">
        <f t="shared" si="50"/>
        <v>0</v>
      </c>
      <c r="AD378" s="18">
        <f t="shared" si="57"/>
        <v>0</v>
      </c>
      <c r="AE378" s="2">
        <v>7.0000000000000007E-2</v>
      </c>
      <c r="AF378" s="5">
        <f t="shared" si="51"/>
        <v>0</v>
      </c>
      <c r="AG378" s="14">
        <v>0</v>
      </c>
      <c r="AH378" s="10">
        <f t="shared" si="58"/>
        <v>0</v>
      </c>
      <c r="AI378" s="16"/>
      <c r="AJ378" s="126" t="e">
        <v>#N/A</v>
      </c>
      <c r="AK378" s="80">
        <f t="shared" si="52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56"/>
        <v>0</v>
      </c>
      <c r="X379" s="18">
        <f t="shared" si="53"/>
        <v>84055.450980392168</v>
      </c>
      <c r="Y379" s="13">
        <f t="shared" si="48"/>
        <v>37148.124971799305</v>
      </c>
      <c r="Z379" s="14">
        <v>0</v>
      </c>
      <c r="AA379" s="4">
        <v>0</v>
      </c>
      <c r="AB379" s="4">
        <f t="shared" si="49"/>
        <v>84055.450980392168</v>
      </c>
      <c r="AC379" s="6">
        <f t="shared" si="50"/>
        <v>1681.1090196078439</v>
      </c>
      <c r="AD379" s="18">
        <f t="shared" si="57"/>
        <v>46907.326008592863</v>
      </c>
      <c r="AE379" s="2">
        <v>7.0000000000000007E-2</v>
      </c>
      <c r="AF379" s="5">
        <f t="shared" si="51"/>
        <v>3283.5128206015006</v>
      </c>
      <c r="AG379" s="14">
        <v>0</v>
      </c>
      <c r="AH379" s="10">
        <f t="shared" si="58"/>
        <v>85736.560000000012</v>
      </c>
      <c r="AI379" s="16"/>
      <c r="AJ379" s="126" t="e">
        <v>#N/A</v>
      </c>
      <c r="AK379" s="80">
        <f t="shared" si="52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56"/>
        <v>0</v>
      </c>
      <c r="X380" s="18">
        <f t="shared" si="53"/>
        <v>4304.411764705882</v>
      </c>
      <c r="Y380" s="13">
        <f t="shared" si="48"/>
        <v>1902.3254803864861</v>
      </c>
      <c r="Z380" s="14">
        <v>0</v>
      </c>
      <c r="AA380" s="4">
        <v>0</v>
      </c>
      <c r="AB380" s="4">
        <f t="shared" si="49"/>
        <v>4304.411764705882</v>
      </c>
      <c r="AC380" s="6">
        <f t="shared" si="50"/>
        <v>86.088235294118022</v>
      </c>
      <c r="AD380" s="18">
        <f t="shared" si="57"/>
        <v>2402.0862843193959</v>
      </c>
      <c r="AE380" s="2">
        <v>7.0000000000000007E-2</v>
      </c>
      <c r="AF380" s="5">
        <f t="shared" si="51"/>
        <v>168.14603990235773</v>
      </c>
      <c r="AG380" s="14">
        <v>0</v>
      </c>
      <c r="AH380" s="10">
        <f t="shared" si="58"/>
        <v>4390.5</v>
      </c>
      <c r="AI380" s="16"/>
      <c r="AJ380" s="126" t="e">
        <v>#N/A</v>
      </c>
      <c r="AK380" s="80">
        <f t="shared" si="52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56"/>
        <v>52046.79</v>
      </c>
      <c r="X381" s="18">
        <f t="shared" si="53"/>
        <v>27405.107843137255</v>
      </c>
      <c r="Y381" s="13">
        <f t="shared" si="48"/>
        <v>12111.628206717764</v>
      </c>
      <c r="Z381" s="14">
        <v>0</v>
      </c>
      <c r="AA381" s="4">
        <v>0</v>
      </c>
      <c r="AB381" s="4">
        <f t="shared" si="49"/>
        <v>27405.107843137255</v>
      </c>
      <c r="AC381" s="6">
        <f t="shared" si="50"/>
        <v>548.10215686274387</v>
      </c>
      <c r="AD381" s="18">
        <f t="shared" si="57"/>
        <v>15293.479636419492</v>
      </c>
      <c r="AE381" s="2">
        <v>7.0000000000000007E-2</v>
      </c>
      <c r="AF381" s="5">
        <f t="shared" si="51"/>
        <v>1070.5435745493646</v>
      </c>
      <c r="AG381" s="14">
        <v>0</v>
      </c>
      <c r="AH381" s="10">
        <f t="shared" si="58"/>
        <v>27953.21</v>
      </c>
      <c r="AI381" s="16"/>
      <c r="AJ381" s="126" t="e">
        <v>#N/A</v>
      </c>
      <c r="AK381" s="80">
        <f t="shared" si="52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56"/>
        <v>19809.75</v>
      </c>
      <c r="X382" s="18">
        <f t="shared" si="53"/>
        <v>164.93269230769229</v>
      </c>
      <c r="Y382" s="13">
        <f t="shared" si="48"/>
        <v>71.086920675917781</v>
      </c>
      <c r="Z382" s="14">
        <v>0</v>
      </c>
      <c r="AA382" s="4">
        <v>0</v>
      </c>
      <c r="AB382" s="4">
        <f t="shared" si="49"/>
        <v>164.93269230769229</v>
      </c>
      <c r="AC382" s="6">
        <f t="shared" si="50"/>
        <v>6.5973076923077087</v>
      </c>
      <c r="AD382" s="18">
        <f t="shared" si="57"/>
        <v>93.845771631774511</v>
      </c>
      <c r="AE382" s="2">
        <v>0.12</v>
      </c>
      <c r="AF382" s="5">
        <f t="shared" si="51"/>
        <v>11.261492595812941</v>
      </c>
      <c r="AG382" s="14">
        <v>0</v>
      </c>
      <c r="AH382" s="10">
        <f t="shared" si="58"/>
        <v>171.53</v>
      </c>
      <c r="AI382" s="16"/>
      <c r="AJ382" s="126" t="e">
        <v>#N/A</v>
      </c>
      <c r="AK382" s="80">
        <f t="shared" si="52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56"/>
        <v>6218.239999999998</v>
      </c>
      <c r="X383" s="18">
        <f t="shared" si="53"/>
        <v>33781.760000000002</v>
      </c>
      <c r="Y383" s="13">
        <f t="shared" si="48"/>
        <v>15299.422599665279</v>
      </c>
      <c r="Z383" s="14">
        <v>0</v>
      </c>
      <c r="AA383" s="4">
        <v>0</v>
      </c>
      <c r="AB383" s="4">
        <f t="shared" si="49"/>
        <v>33781.760000000002</v>
      </c>
      <c r="AC383" s="6">
        <f t="shared" si="50"/>
        <v>0</v>
      </c>
      <c r="AD383" s="18">
        <f t="shared" si="57"/>
        <v>18482.337400334723</v>
      </c>
      <c r="AE383" s="2">
        <v>7.0000000000000007E-2</v>
      </c>
      <c r="AF383" s="5">
        <f t="shared" si="51"/>
        <v>1293.7636180234308</v>
      </c>
      <c r="AG383" s="14">
        <v>0</v>
      </c>
      <c r="AH383" s="10">
        <f t="shared" si="58"/>
        <v>33781.760000000002</v>
      </c>
      <c r="AI383" s="16"/>
      <c r="AJ383" s="126" t="e">
        <v>#N/A</v>
      </c>
      <c r="AK383" s="80">
        <f t="shared" si="52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56"/>
        <v>0</v>
      </c>
      <c r="X384" s="18">
        <f t="shared" si="53"/>
        <v>843.86538461538146</v>
      </c>
      <c r="Y384" s="13">
        <f t="shared" si="48"/>
        <v>363.71074053284411</v>
      </c>
      <c r="Z384" s="14">
        <v>0</v>
      </c>
      <c r="AA384" s="4">
        <v>0</v>
      </c>
      <c r="AB384" s="4">
        <f t="shared" si="49"/>
        <v>843.86538461538146</v>
      </c>
      <c r="AC384" s="6">
        <f t="shared" si="50"/>
        <v>33.754615384615249</v>
      </c>
      <c r="AD384" s="18">
        <f t="shared" si="57"/>
        <v>480.15464408253735</v>
      </c>
      <c r="AE384" s="2">
        <v>7.0000000000000007E-2</v>
      </c>
      <c r="AF384" s="5">
        <f t="shared" si="51"/>
        <v>33.61082508577762</v>
      </c>
      <c r="AG384" s="14">
        <v>0</v>
      </c>
      <c r="AH384" s="10">
        <f t="shared" si="58"/>
        <v>877.61999999999671</v>
      </c>
      <c r="AI384" s="16"/>
      <c r="AJ384" s="126" t="e">
        <v>#N/A</v>
      </c>
      <c r="AK384" s="80">
        <f t="shared" si="52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56"/>
        <v>19738.319999999992</v>
      </c>
      <c r="X385" s="18">
        <f t="shared" si="53"/>
        <v>38321.290000000008</v>
      </c>
      <c r="Y385" s="13">
        <f t="shared" si="48"/>
        <v>17355.330517839426</v>
      </c>
      <c r="Z385" s="14">
        <v>0</v>
      </c>
      <c r="AA385" s="4">
        <v>0</v>
      </c>
      <c r="AB385" s="4">
        <f t="shared" si="49"/>
        <v>38321.290000000008</v>
      </c>
      <c r="AC385" s="6">
        <f t="shared" si="50"/>
        <v>0</v>
      </c>
      <c r="AD385" s="18">
        <f t="shared" si="57"/>
        <v>20965.959482160582</v>
      </c>
      <c r="AE385" s="2">
        <v>7.0000000000000007E-2</v>
      </c>
      <c r="AF385" s="5">
        <f t="shared" si="51"/>
        <v>1467.6171637512409</v>
      </c>
      <c r="AG385" s="14">
        <v>0</v>
      </c>
      <c r="AH385" s="10">
        <f t="shared" si="58"/>
        <v>38321.290000000008</v>
      </c>
      <c r="AI385" s="16"/>
      <c r="AJ385" s="126" t="e">
        <v>#N/A</v>
      </c>
      <c r="AK385" s="80">
        <f t="shared" si="52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56"/>
        <v>31281.33</v>
      </c>
      <c r="X386" s="18">
        <f t="shared" si="53"/>
        <v>77511</v>
      </c>
      <c r="Y386" s="13">
        <f t="shared" si="48"/>
        <v>35103.959803238657</v>
      </c>
      <c r="Z386" s="14">
        <v>0</v>
      </c>
      <c r="AA386" s="4">
        <v>0</v>
      </c>
      <c r="AB386" s="4">
        <f t="shared" si="49"/>
        <v>77511</v>
      </c>
      <c r="AC386" s="6">
        <f t="shared" si="50"/>
        <v>0</v>
      </c>
      <c r="AD386" s="18">
        <f t="shared" si="57"/>
        <v>42407.040196761343</v>
      </c>
      <c r="AE386" s="2">
        <v>7.0000000000000007E-2</v>
      </c>
      <c r="AF386" s="5">
        <f t="shared" si="51"/>
        <v>2968.4928137732945</v>
      </c>
      <c r="AG386" s="14">
        <v>0</v>
      </c>
      <c r="AH386" s="10">
        <f t="shared" si="58"/>
        <v>77511</v>
      </c>
      <c r="AI386" s="16"/>
      <c r="AJ386" s="126" t="e">
        <v>#N/A</v>
      </c>
      <c r="AK386" s="80">
        <f t="shared" si="52"/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56"/>
        <v>347761.35000000009</v>
      </c>
      <c r="X387" s="18">
        <f t="shared" si="53"/>
        <v>2152238.65</v>
      </c>
      <c r="Y387" s="13">
        <f t="shared" ref="Y387:Y450" si="5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60">X387+AA387</f>
        <v>2152238.65</v>
      </c>
      <c r="AC387" s="6">
        <f t="shared" ref="AC387:AC450" si="61">IF(P387="返现",X387*Q387,V387-X387)</f>
        <v>0</v>
      </c>
      <c r="AD387" s="18">
        <f t="shared" si="57"/>
        <v>1177511.2041332633</v>
      </c>
      <c r="AE387" s="2">
        <v>7.0000000000000007E-2</v>
      </c>
      <c r="AF387" s="5">
        <f t="shared" ref="AF387:AF450" si="62">AD387*AE387</f>
        <v>82425.78428932844</v>
      </c>
      <c r="AG387" s="14">
        <v>0</v>
      </c>
      <c r="AH387" s="10">
        <f t="shared" si="58"/>
        <v>2152238.65</v>
      </c>
      <c r="AI387" s="16"/>
      <c r="AJ387" s="126" t="e">
        <v>#N/A</v>
      </c>
      <c r="AK387" s="80">
        <f t="shared" ref="AK387:AK450" si="63">X387+AA387-AB387</f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56"/>
        <v>4995.5</v>
      </c>
      <c r="X388" s="18">
        <f t="shared" si="53"/>
        <v>5004.5</v>
      </c>
      <c r="Y388" s="13">
        <f t="shared" si="59"/>
        <v>2266.4881995498426</v>
      </c>
      <c r="Z388" s="14">
        <v>0</v>
      </c>
      <c r="AA388" s="4">
        <v>0</v>
      </c>
      <c r="AB388" s="4">
        <f t="shared" si="60"/>
        <v>5004.5</v>
      </c>
      <c r="AC388" s="6">
        <f t="shared" si="61"/>
        <v>0</v>
      </c>
      <c r="AD388" s="18">
        <f t="shared" si="57"/>
        <v>2738.0118004501574</v>
      </c>
      <c r="AE388" s="2">
        <v>7.0000000000000007E-2</v>
      </c>
      <c r="AF388" s="5">
        <f t="shared" si="62"/>
        <v>191.66082603151102</v>
      </c>
      <c r="AG388" s="14">
        <v>0</v>
      </c>
      <c r="AH388" s="10">
        <f t="shared" si="58"/>
        <v>5004.5</v>
      </c>
      <c r="AI388" s="16"/>
      <c r="AJ388" s="126" t="e">
        <v>#N/A</v>
      </c>
      <c r="AK388" s="80">
        <f t="shared" si="63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56"/>
        <v>23384.61</v>
      </c>
      <c r="X389" s="18">
        <f t="shared" si="53"/>
        <v>0</v>
      </c>
      <c r="Y389" s="13">
        <f t="shared" si="59"/>
        <v>0</v>
      </c>
      <c r="Z389" s="14">
        <v>0</v>
      </c>
      <c r="AA389" s="4">
        <v>0</v>
      </c>
      <c r="AB389" s="4">
        <f t="shared" si="60"/>
        <v>0</v>
      </c>
      <c r="AC389" s="6">
        <f t="shared" si="61"/>
        <v>0</v>
      </c>
      <c r="AD389" s="18">
        <f t="shared" si="57"/>
        <v>0</v>
      </c>
      <c r="AE389" s="2">
        <v>7.0000000000000007E-2</v>
      </c>
      <c r="AF389" s="5">
        <f t="shared" si="62"/>
        <v>0</v>
      </c>
      <c r="AG389" s="14">
        <v>0</v>
      </c>
      <c r="AH389" s="10">
        <f t="shared" si="58"/>
        <v>0</v>
      </c>
      <c r="AI389" s="16"/>
      <c r="AJ389" s="126" t="e">
        <v>#N/A</v>
      </c>
      <c r="AK389" s="80">
        <f t="shared" si="63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56"/>
        <v>331.08000000000357</v>
      </c>
      <c r="X390" s="18">
        <f t="shared" si="53"/>
        <v>9668.9199999999964</v>
      </c>
      <c r="Y390" s="13">
        <f t="shared" si="59"/>
        <v>4378.9575546790802</v>
      </c>
      <c r="Z390" s="14">
        <v>0</v>
      </c>
      <c r="AA390" s="4">
        <v>0</v>
      </c>
      <c r="AB390" s="4">
        <f t="shared" si="60"/>
        <v>9668.9199999999964</v>
      </c>
      <c r="AC390" s="6">
        <f t="shared" si="61"/>
        <v>0</v>
      </c>
      <c r="AD390" s="18">
        <f t="shared" si="57"/>
        <v>5289.9624453209162</v>
      </c>
      <c r="AE390" s="2">
        <v>7.0000000000000007E-2</v>
      </c>
      <c r="AF390" s="5">
        <f t="shared" si="62"/>
        <v>370.29737117246418</v>
      </c>
      <c r="AG390" s="14">
        <v>0</v>
      </c>
      <c r="AH390" s="10">
        <f t="shared" si="58"/>
        <v>9668.9199999999964</v>
      </c>
      <c r="AI390" s="16"/>
      <c r="AJ390" s="126" t="e">
        <v>#N/A</v>
      </c>
      <c r="AK390" s="80">
        <f t="shared" si="63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56"/>
        <v>47461.84</v>
      </c>
      <c r="X391" s="18">
        <f t="shared" si="53"/>
        <v>112538.16</v>
      </c>
      <c r="Y391" s="13">
        <f t="shared" si="59"/>
        <v>50967.411657318837</v>
      </c>
      <c r="Z391" s="14">
        <v>0</v>
      </c>
      <c r="AA391" s="4">
        <v>0</v>
      </c>
      <c r="AB391" s="4">
        <f t="shared" si="60"/>
        <v>112538.16</v>
      </c>
      <c r="AC391" s="6">
        <f t="shared" si="61"/>
        <v>0</v>
      </c>
      <c r="AD391" s="18">
        <f t="shared" si="57"/>
        <v>61570.748342681167</v>
      </c>
      <c r="AE391" s="2">
        <v>7.0000000000000007E-2</v>
      </c>
      <c r="AF391" s="5">
        <f t="shared" si="62"/>
        <v>4309.952383987682</v>
      </c>
      <c r="AG391" s="14">
        <v>0</v>
      </c>
      <c r="AH391" s="10">
        <f t="shared" si="58"/>
        <v>112538.16</v>
      </c>
      <c r="AI391" s="16"/>
      <c r="AJ391" s="126" t="e">
        <v>#N/A</v>
      </c>
      <c r="AK391" s="80">
        <f t="shared" si="63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56"/>
        <v>-3.637978807091713E-12</v>
      </c>
      <c r="X392" s="18">
        <f t="shared" si="53"/>
        <v>0</v>
      </c>
      <c r="Y392" s="13">
        <f t="shared" si="59"/>
        <v>0</v>
      </c>
      <c r="Z392" s="14">
        <v>0</v>
      </c>
      <c r="AA392" s="4">
        <v>0</v>
      </c>
      <c r="AB392" s="4"/>
      <c r="AC392" s="6">
        <f t="shared" si="61"/>
        <v>0</v>
      </c>
      <c r="AD392" s="18">
        <f t="shared" si="57"/>
        <v>0</v>
      </c>
      <c r="AE392" s="2">
        <v>7.0000000000000007E-2</v>
      </c>
      <c r="AF392" s="5">
        <f t="shared" si="62"/>
        <v>0</v>
      </c>
      <c r="AG392" s="14">
        <v>0</v>
      </c>
      <c r="AH392" s="10">
        <f t="shared" si="58"/>
        <v>0</v>
      </c>
      <c r="AI392" s="16"/>
      <c r="AJ392" s="126" t="s">
        <v>4215</v>
      </c>
      <c r="AK392" s="80">
        <f t="shared" si="63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56"/>
        <v>0</v>
      </c>
      <c r="X393" s="18">
        <f t="shared" si="53"/>
        <v>0</v>
      </c>
      <c r="Y393" s="13">
        <f t="shared" si="59"/>
        <v>0</v>
      </c>
      <c r="Z393" s="14">
        <v>0</v>
      </c>
      <c r="AA393" s="4">
        <v>0</v>
      </c>
      <c r="AB393" s="4"/>
      <c r="AC393" s="6">
        <f t="shared" si="61"/>
        <v>0</v>
      </c>
      <c r="AD393" s="18">
        <f t="shared" si="57"/>
        <v>0</v>
      </c>
      <c r="AE393" s="2">
        <v>7.0000000000000007E-2</v>
      </c>
      <c r="AF393" s="5">
        <f t="shared" si="62"/>
        <v>0</v>
      </c>
      <c r="AG393" s="14">
        <v>0</v>
      </c>
      <c r="AH393" s="10">
        <f t="shared" si="58"/>
        <v>0</v>
      </c>
      <c r="AI393" s="16"/>
      <c r="AJ393" s="126" t="s">
        <v>4215</v>
      </c>
      <c r="AK393" s="80">
        <f t="shared" si="63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56"/>
        <v>9435.1700000000219</v>
      </c>
      <c r="X394" s="18">
        <f t="shared" si="53"/>
        <v>10113.31</v>
      </c>
      <c r="Y394" s="13">
        <f t="shared" si="59"/>
        <v>4580.2173590547345</v>
      </c>
      <c r="Z394" s="14">
        <v>0</v>
      </c>
      <c r="AA394" s="4">
        <v>0</v>
      </c>
      <c r="AB394" s="4"/>
      <c r="AC394" s="6">
        <f t="shared" si="61"/>
        <v>0</v>
      </c>
      <c r="AD394" s="18">
        <f t="shared" si="57"/>
        <v>5533.092640945265</v>
      </c>
      <c r="AE394" s="2">
        <v>0.12</v>
      </c>
      <c r="AF394" s="5">
        <f t="shared" si="62"/>
        <v>663.97111691343173</v>
      </c>
      <c r="AG394" s="14">
        <v>0</v>
      </c>
      <c r="AH394" s="10">
        <f t="shared" si="58"/>
        <v>10113.31</v>
      </c>
      <c r="AI394" s="16"/>
      <c r="AJ394" s="126">
        <v>21</v>
      </c>
      <c r="AK394" s="80">
        <f t="shared" si="63"/>
        <v>10113.31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56"/>
        <v>686.47999999999956</v>
      </c>
      <c r="X395" s="18">
        <f t="shared" si="53"/>
        <v>10068.089999999998</v>
      </c>
      <c r="Y395" s="13">
        <f t="shared" si="59"/>
        <v>4559.7376714968068</v>
      </c>
      <c r="Z395" s="14">
        <v>0</v>
      </c>
      <c r="AA395" s="4">
        <v>0</v>
      </c>
      <c r="AB395" s="4"/>
      <c r="AC395" s="6">
        <f t="shared" si="61"/>
        <v>0</v>
      </c>
      <c r="AD395" s="18">
        <f t="shared" si="57"/>
        <v>5508.3523285031915</v>
      </c>
      <c r="AE395" s="2">
        <v>7.0000000000000007E-2</v>
      </c>
      <c r="AF395" s="5">
        <f t="shared" si="62"/>
        <v>385.58466299522343</v>
      </c>
      <c r="AG395" s="14">
        <v>0</v>
      </c>
      <c r="AH395" s="10">
        <f t="shared" si="58"/>
        <v>10068.089999999998</v>
      </c>
      <c r="AI395" s="16"/>
      <c r="AJ395" s="126">
        <v>21</v>
      </c>
      <c r="AK395" s="80">
        <f t="shared" si="63"/>
        <v>10068.089999999998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56"/>
        <v>0</v>
      </c>
      <c r="X396" s="18">
        <f t="shared" si="53"/>
        <v>0</v>
      </c>
      <c r="Y396" s="13">
        <f t="shared" si="59"/>
        <v>0</v>
      </c>
      <c r="Z396" s="14">
        <v>0</v>
      </c>
      <c r="AA396" s="4">
        <v>0</v>
      </c>
      <c r="AB396" s="4">
        <f t="shared" si="60"/>
        <v>0</v>
      </c>
      <c r="AC396" s="6">
        <f t="shared" si="61"/>
        <v>0</v>
      </c>
      <c r="AD396" s="18">
        <f t="shared" si="57"/>
        <v>0</v>
      </c>
      <c r="AE396" s="2">
        <v>7.0000000000000007E-2</v>
      </c>
      <c r="AF396" s="5">
        <f t="shared" si="62"/>
        <v>0</v>
      </c>
      <c r="AG396" s="14">
        <v>0</v>
      </c>
      <c r="AH396" s="10">
        <f t="shared" si="58"/>
        <v>0</v>
      </c>
      <c r="AI396" s="16"/>
      <c r="AJ396" s="126" t="e">
        <v>#N/A</v>
      </c>
      <c r="AK396" s="80">
        <f t="shared" si="63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56"/>
        <v>18685.5</v>
      </c>
      <c r="X397" s="18">
        <f t="shared" si="53"/>
        <v>41314.5</v>
      </c>
      <c r="Y397" s="13">
        <f t="shared" si="59"/>
        <v>18710.925511100402</v>
      </c>
      <c r="Z397" s="14">
        <v>0</v>
      </c>
      <c r="AA397" s="4">
        <v>0</v>
      </c>
      <c r="AB397" s="4">
        <f t="shared" si="60"/>
        <v>41314.5</v>
      </c>
      <c r="AC397" s="6">
        <f t="shared" si="61"/>
        <v>0</v>
      </c>
      <c r="AD397" s="18">
        <f t="shared" si="57"/>
        <v>22603.574488899598</v>
      </c>
      <c r="AE397" s="2">
        <v>7.0000000000000007E-2</v>
      </c>
      <c r="AF397" s="5">
        <f t="shared" si="62"/>
        <v>1582.2502142229721</v>
      </c>
      <c r="AG397" s="14">
        <v>0</v>
      </c>
      <c r="AH397" s="10">
        <f t="shared" si="58"/>
        <v>41314.5</v>
      </c>
      <c r="AI397" s="16"/>
      <c r="AJ397" s="126" t="e">
        <v>#N/A</v>
      </c>
      <c r="AK397" s="80">
        <f t="shared" si="63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56"/>
        <v>19084.5</v>
      </c>
      <c r="X398" s="18">
        <f t="shared" si="53"/>
        <v>40915.5</v>
      </c>
      <c r="Y398" s="13">
        <f t="shared" si="59"/>
        <v>18530.222385589288</v>
      </c>
      <c r="Z398" s="14">
        <v>0</v>
      </c>
      <c r="AA398" s="4">
        <v>0</v>
      </c>
      <c r="AB398" s="4">
        <f t="shared" si="60"/>
        <v>40915.5</v>
      </c>
      <c r="AC398" s="6">
        <f t="shared" si="61"/>
        <v>0</v>
      </c>
      <c r="AD398" s="18">
        <f t="shared" si="57"/>
        <v>22385.277614410712</v>
      </c>
      <c r="AE398" s="2">
        <v>7.0000000000000007E-2</v>
      </c>
      <c r="AF398" s="5">
        <f t="shared" si="62"/>
        <v>1566.96943300875</v>
      </c>
      <c r="AG398" s="14">
        <v>0</v>
      </c>
      <c r="AH398" s="10">
        <f t="shared" si="58"/>
        <v>40915.5</v>
      </c>
      <c r="AI398" s="16"/>
      <c r="AJ398" s="126" t="e">
        <v>#N/A</v>
      </c>
      <c r="AK398" s="80">
        <f t="shared" si="63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56"/>
        <v>0</v>
      </c>
      <c r="X399" s="18">
        <f t="shared" si="53"/>
        <v>0</v>
      </c>
      <c r="Y399" s="13">
        <f t="shared" si="59"/>
        <v>0</v>
      </c>
      <c r="Z399" s="14">
        <v>0</v>
      </c>
      <c r="AA399" s="4">
        <v>0</v>
      </c>
      <c r="AB399" s="4">
        <f t="shared" si="60"/>
        <v>0</v>
      </c>
      <c r="AC399" s="6">
        <f t="shared" si="61"/>
        <v>0</v>
      </c>
      <c r="AD399" s="18">
        <f t="shared" si="57"/>
        <v>0</v>
      </c>
      <c r="AE399" s="2">
        <v>0.12</v>
      </c>
      <c r="AF399" s="5">
        <f t="shared" si="62"/>
        <v>0</v>
      </c>
      <c r="AG399" s="14">
        <v>0</v>
      </c>
      <c r="AH399" s="10">
        <f t="shared" si="58"/>
        <v>0</v>
      </c>
      <c r="AI399" s="16"/>
      <c r="AJ399" s="126" t="e">
        <v>#N/A</v>
      </c>
      <c r="AK399" s="80">
        <f t="shared" si="63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56"/>
        <v>124058.81999999989</v>
      </c>
      <c r="X400" s="18">
        <f t="shared" si="53"/>
        <v>375941.18000000011</v>
      </c>
      <c r="Y400" s="13">
        <f t="shared" si="59"/>
        <v>170260.01562490629</v>
      </c>
      <c r="Z400" s="14">
        <v>0</v>
      </c>
      <c r="AA400" s="4">
        <v>0</v>
      </c>
      <c r="AB400" s="4">
        <f t="shared" si="60"/>
        <v>375941.18000000011</v>
      </c>
      <c r="AC400" s="6">
        <f t="shared" si="61"/>
        <v>0</v>
      </c>
      <c r="AD400" s="18">
        <f t="shared" si="57"/>
        <v>205681.16437509382</v>
      </c>
      <c r="AE400" s="2">
        <v>7.0000000000000007E-2</v>
      </c>
      <c r="AF400" s="5">
        <f t="shared" si="62"/>
        <v>14397.681506256569</v>
      </c>
      <c r="AG400" s="14">
        <v>0</v>
      </c>
      <c r="AH400" s="10">
        <f t="shared" si="58"/>
        <v>375941.18000000011</v>
      </c>
      <c r="AI400" s="16"/>
      <c r="AJ400" s="126" t="e">
        <v>#N/A</v>
      </c>
      <c r="AK400" s="80">
        <f t="shared" si="63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56"/>
        <v>6880.18</v>
      </c>
      <c r="X401" s="18">
        <f t="shared" si="53"/>
        <v>18119.82</v>
      </c>
      <c r="Y401" s="13">
        <f t="shared" si="59"/>
        <v>8206.2859842076577</v>
      </c>
      <c r="Z401" s="14">
        <v>0</v>
      </c>
      <c r="AA401" s="4">
        <v>0</v>
      </c>
      <c r="AB401" s="4">
        <f t="shared" si="60"/>
        <v>18119.82</v>
      </c>
      <c r="AC401" s="6">
        <f t="shared" si="61"/>
        <v>0</v>
      </c>
      <c r="AD401" s="18">
        <f t="shared" si="57"/>
        <v>9913.534015792342</v>
      </c>
      <c r="AE401" s="2">
        <v>7.0000000000000007E-2</v>
      </c>
      <c r="AF401" s="5">
        <f t="shared" si="62"/>
        <v>693.94738110546405</v>
      </c>
      <c r="AG401" s="14">
        <v>0</v>
      </c>
      <c r="AH401" s="10">
        <f t="shared" si="58"/>
        <v>18119.82</v>
      </c>
      <c r="AI401" s="16"/>
      <c r="AJ401" s="126" t="e">
        <v>#N/A</v>
      </c>
      <c r="AK401" s="80">
        <f t="shared" si="63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56"/>
        <v>12632.699999999968</v>
      </c>
      <c r="X402" s="18">
        <f t="shared" si="53"/>
        <v>94973.700000000026</v>
      </c>
      <c r="Y402" s="13">
        <f t="shared" si="59"/>
        <v>43012.6426851008</v>
      </c>
      <c r="Z402" s="14">
        <v>0</v>
      </c>
      <c r="AA402" s="4">
        <v>0</v>
      </c>
      <c r="AB402" s="4">
        <f t="shared" si="60"/>
        <v>94973.700000000026</v>
      </c>
      <c r="AC402" s="6">
        <f t="shared" si="61"/>
        <v>0</v>
      </c>
      <c r="AD402" s="18">
        <f t="shared" si="57"/>
        <v>51961.057314899226</v>
      </c>
      <c r="AE402" s="2">
        <v>7.0000000000000007E-2</v>
      </c>
      <c r="AF402" s="5">
        <f t="shared" si="62"/>
        <v>3637.2740120429462</v>
      </c>
      <c r="AG402" s="14">
        <v>0</v>
      </c>
      <c r="AH402" s="10">
        <f t="shared" si="58"/>
        <v>94973.700000000026</v>
      </c>
      <c r="AI402" s="16"/>
      <c r="AJ402" s="126" t="e">
        <v>#N/A</v>
      </c>
      <c r="AK402" s="80">
        <f t="shared" si="63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56"/>
        <v>10199.11</v>
      </c>
      <c r="X403" s="18">
        <f t="shared" ref="X403:X466" si="64">IF(P403="折扣",V403*Q403,IF(P403="返现",V403,V403/(1+Q403)))</f>
        <v>102745.97058823529</v>
      </c>
      <c r="Y403" s="13">
        <f t="shared" si="59"/>
        <v>45408.3597344679</v>
      </c>
      <c r="Z403" s="14">
        <v>0</v>
      </c>
      <c r="AA403" s="4">
        <v>0</v>
      </c>
      <c r="AB403" s="4">
        <f t="shared" si="60"/>
        <v>102745.97058823529</v>
      </c>
      <c r="AC403" s="6">
        <f t="shared" si="61"/>
        <v>2054.919411764713</v>
      </c>
      <c r="AD403" s="18">
        <f t="shared" si="57"/>
        <v>57337.610853767386</v>
      </c>
      <c r="AE403" s="2">
        <v>7.0000000000000007E-2</v>
      </c>
      <c r="AF403" s="5">
        <f t="shared" si="62"/>
        <v>4013.6327597637173</v>
      </c>
      <c r="AG403" s="14">
        <v>0</v>
      </c>
      <c r="AH403" s="10">
        <f t="shared" si="58"/>
        <v>104800.89</v>
      </c>
      <c r="AI403" s="16"/>
      <c r="AJ403" s="126" t="e">
        <v>#N/A</v>
      </c>
      <c r="AK403" s="80">
        <f t="shared" si="63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65">T404+U404-V404</f>
        <v>0</v>
      </c>
      <c r="X404" s="18">
        <f t="shared" si="64"/>
        <v>20000</v>
      </c>
      <c r="Y404" s="13">
        <f t="shared" si="59"/>
        <v>9057.8007774996204</v>
      </c>
      <c r="Z404" s="14">
        <v>0</v>
      </c>
      <c r="AA404" s="4">
        <v>0</v>
      </c>
      <c r="AB404" s="4">
        <f t="shared" si="60"/>
        <v>20000</v>
      </c>
      <c r="AC404" s="6">
        <f t="shared" si="61"/>
        <v>0</v>
      </c>
      <c r="AD404" s="18">
        <f t="shared" si="57"/>
        <v>10942.19922250038</v>
      </c>
      <c r="AE404" s="2">
        <v>7.0000000000000007E-2</v>
      </c>
      <c r="AF404" s="5">
        <f t="shared" si="62"/>
        <v>765.95394557502664</v>
      </c>
      <c r="AG404" s="14">
        <v>0</v>
      </c>
      <c r="AH404" s="10">
        <f t="shared" si="58"/>
        <v>20000</v>
      </c>
      <c r="AI404" s="16"/>
      <c r="AJ404" s="126" t="e">
        <v>#N/A</v>
      </c>
      <c r="AK404" s="80">
        <f t="shared" si="63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65"/>
        <v>6125.0600000000013</v>
      </c>
      <c r="X405" s="18">
        <f t="shared" si="64"/>
        <v>13874.939999999999</v>
      </c>
      <c r="Y405" s="13">
        <f t="shared" si="59"/>
        <v>6283.8221159880286</v>
      </c>
      <c r="Z405" s="14">
        <v>0</v>
      </c>
      <c r="AA405" s="4">
        <v>0</v>
      </c>
      <c r="AB405" s="4">
        <f t="shared" si="60"/>
        <v>13874.939999999999</v>
      </c>
      <c r="AC405" s="6">
        <f t="shared" si="61"/>
        <v>0</v>
      </c>
      <c r="AD405" s="18">
        <f t="shared" si="57"/>
        <v>7591.1178840119701</v>
      </c>
      <c r="AE405" s="2">
        <v>7.0000000000000007E-2</v>
      </c>
      <c r="AF405" s="5">
        <f t="shared" si="62"/>
        <v>531.37825188083798</v>
      </c>
      <c r="AG405" s="14">
        <v>0</v>
      </c>
      <c r="AH405" s="10">
        <f t="shared" si="58"/>
        <v>13874.939999999999</v>
      </c>
      <c r="AI405" s="16"/>
      <c r="AJ405" s="126" t="e">
        <v>#N/A</v>
      </c>
      <c r="AK405" s="80">
        <f t="shared" si="63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65"/>
        <v>0</v>
      </c>
      <c r="X406" s="18">
        <f t="shared" si="64"/>
        <v>0</v>
      </c>
      <c r="Y406" s="13">
        <f t="shared" si="59"/>
        <v>0</v>
      </c>
      <c r="Z406" s="14">
        <v>0</v>
      </c>
      <c r="AA406" s="4">
        <v>0</v>
      </c>
      <c r="AB406" s="4"/>
      <c r="AC406" s="6">
        <f t="shared" si="61"/>
        <v>0</v>
      </c>
      <c r="AD406" s="18">
        <f t="shared" si="57"/>
        <v>0</v>
      </c>
      <c r="AE406" s="2">
        <v>0.12</v>
      </c>
      <c r="AF406" s="5">
        <f t="shared" si="62"/>
        <v>0</v>
      </c>
      <c r="AG406" s="14">
        <v>0</v>
      </c>
      <c r="AH406" s="10">
        <f t="shared" si="58"/>
        <v>0</v>
      </c>
      <c r="AI406" s="16"/>
      <c r="AJ406" s="126">
        <v>96</v>
      </c>
      <c r="AK406" s="80">
        <f t="shared" si="63"/>
        <v>0</v>
      </c>
      <c r="AM406" s="85"/>
    </row>
    <row r="407" spans="1:39" hidden="1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65"/>
        <v>0</v>
      </c>
      <c r="X407" s="18">
        <f t="shared" si="64"/>
        <v>0</v>
      </c>
      <c r="Y407" s="13">
        <f t="shared" si="59"/>
        <v>0</v>
      </c>
      <c r="Z407" s="14">
        <v>0</v>
      </c>
      <c r="AA407" s="4">
        <v>0</v>
      </c>
      <c r="AB407" s="4"/>
      <c r="AC407" s="6">
        <f t="shared" si="61"/>
        <v>0</v>
      </c>
      <c r="AD407" s="18">
        <f t="shared" si="57"/>
        <v>0</v>
      </c>
      <c r="AE407" s="2">
        <v>7.0000000000000007E-2</v>
      </c>
      <c r="AF407" s="5">
        <f t="shared" si="62"/>
        <v>0</v>
      </c>
      <c r="AG407" s="14">
        <v>0</v>
      </c>
      <c r="AH407" s="10">
        <f t="shared" si="58"/>
        <v>0</v>
      </c>
      <c r="AI407" s="16"/>
      <c r="AJ407" s="126">
        <v>96</v>
      </c>
      <c r="AK407" s="80">
        <f t="shared" si="63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65"/>
        <v>20000</v>
      </c>
      <c r="X408" s="18">
        <f t="shared" si="64"/>
        <v>0</v>
      </c>
      <c r="Y408" s="13">
        <f t="shared" si="59"/>
        <v>0</v>
      </c>
      <c r="Z408" s="14">
        <v>0</v>
      </c>
      <c r="AA408" s="4">
        <v>0</v>
      </c>
      <c r="AB408" s="4"/>
      <c r="AC408" s="6">
        <f t="shared" si="61"/>
        <v>0</v>
      </c>
      <c r="AD408" s="18">
        <f t="shared" si="57"/>
        <v>0</v>
      </c>
      <c r="AE408" s="2">
        <v>7.0000000000000007E-2</v>
      </c>
      <c r="AF408" s="5">
        <f t="shared" si="62"/>
        <v>0</v>
      </c>
      <c r="AG408" s="14">
        <v>0</v>
      </c>
      <c r="AH408" s="10">
        <f t="shared" si="58"/>
        <v>0</v>
      </c>
      <c r="AI408" s="16"/>
      <c r="AJ408" s="126">
        <v>96</v>
      </c>
      <c r="AK408" s="80">
        <f t="shared" si="63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65"/>
        <v>93541.04999999993</v>
      </c>
      <c r="X409" s="18">
        <f t="shared" si="64"/>
        <v>306458.95000000007</v>
      </c>
      <c r="Y409" s="13">
        <f t="shared" si="59"/>
        <v>138792.2057790859</v>
      </c>
      <c r="Z409" s="14">
        <v>0</v>
      </c>
      <c r="AA409" s="4">
        <v>0</v>
      </c>
      <c r="AB409" s="4">
        <f t="shared" si="60"/>
        <v>306458.95000000007</v>
      </c>
      <c r="AC409" s="6">
        <f t="shared" si="61"/>
        <v>0</v>
      </c>
      <c r="AD409" s="18">
        <f t="shared" si="57"/>
        <v>167666.74422091417</v>
      </c>
      <c r="AE409" s="2">
        <v>7.0000000000000007E-2</v>
      </c>
      <c r="AF409" s="5">
        <f t="shared" si="62"/>
        <v>11736.672095463993</v>
      </c>
      <c r="AG409" s="14">
        <v>0</v>
      </c>
      <c r="AH409" s="10">
        <f t="shared" si="58"/>
        <v>306458.95000000007</v>
      </c>
      <c r="AI409" s="16"/>
      <c r="AJ409" s="126" t="e">
        <v>#N/A</v>
      </c>
      <c r="AK409" s="80">
        <f t="shared" si="63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65"/>
        <v>13783.66</v>
      </c>
      <c r="X410" s="18">
        <f t="shared" si="64"/>
        <v>5847.7115384615372</v>
      </c>
      <c r="Y410" s="13">
        <f t="shared" si="59"/>
        <v>2520.3966566843997</v>
      </c>
      <c r="Z410" s="14">
        <v>0</v>
      </c>
      <c r="AA410" s="4">
        <v>0</v>
      </c>
      <c r="AB410" s="4">
        <f t="shared" si="60"/>
        <v>5847.7115384615372</v>
      </c>
      <c r="AC410" s="6">
        <f t="shared" si="61"/>
        <v>233.90846153846178</v>
      </c>
      <c r="AD410" s="18">
        <f t="shared" si="57"/>
        <v>3327.3148817771375</v>
      </c>
      <c r="AE410" s="2">
        <v>0.12</v>
      </c>
      <c r="AF410" s="5">
        <f t="shared" si="62"/>
        <v>399.27778581325651</v>
      </c>
      <c r="AG410" s="14">
        <v>0</v>
      </c>
      <c r="AH410" s="10">
        <f t="shared" si="58"/>
        <v>6081.619999999999</v>
      </c>
      <c r="AI410" s="16"/>
      <c r="AJ410" s="126" t="e">
        <v>#N/A</v>
      </c>
      <c r="AK410" s="80">
        <f t="shared" si="63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65"/>
        <v>56224.580000000075</v>
      </c>
      <c r="X411" s="18">
        <f t="shared" si="64"/>
        <v>150540.99999999994</v>
      </c>
      <c r="Y411" s="13">
        <f t="shared" si="59"/>
        <v>66531.269729124062</v>
      </c>
      <c r="Z411" s="14">
        <v>0</v>
      </c>
      <c r="AA411" s="4">
        <v>0</v>
      </c>
      <c r="AB411" s="4">
        <f t="shared" si="60"/>
        <v>150540.99999999994</v>
      </c>
      <c r="AC411" s="6">
        <f t="shared" si="61"/>
        <v>3010.820000000007</v>
      </c>
      <c r="AD411" s="18">
        <f t="shared" si="57"/>
        <v>84009.73027087588</v>
      </c>
      <c r="AE411" s="2">
        <v>7.0000000000000007E-2</v>
      </c>
      <c r="AF411" s="5">
        <f t="shared" si="62"/>
        <v>5880.6811189613118</v>
      </c>
      <c r="AG411" s="14">
        <v>0</v>
      </c>
      <c r="AH411" s="10">
        <f t="shared" si="58"/>
        <v>153551.81999999995</v>
      </c>
      <c r="AI411" s="16"/>
      <c r="AJ411" s="126" t="e">
        <v>#N/A</v>
      </c>
      <c r="AK411" s="80">
        <f t="shared" si="63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65"/>
        <v>95402.890000000072</v>
      </c>
      <c r="X412" s="18">
        <f t="shared" si="64"/>
        <v>304597.10999999993</v>
      </c>
      <c r="Y412" s="13">
        <f t="shared" si="59"/>
        <v>137948.99698910685</v>
      </c>
      <c r="Z412" s="14">
        <v>0</v>
      </c>
      <c r="AA412" s="4">
        <v>0</v>
      </c>
      <c r="AB412" s="4">
        <f t="shared" si="60"/>
        <v>304597.10999999993</v>
      </c>
      <c r="AC412" s="6">
        <f t="shared" si="61"/>
        <v>0</v>
      </c>
      <c r="AD412" s="18">
        <f t="shared" si="57"/>
        <v>166648.11301089308</v>
      </c>
      <c r="AE412" s="2">
        <v>7.0000000000000007E-2</v>
      </c>
      <c r="AF412" s="5">
        <f t="shared" si="62"/>
        <v>11665.367910762518</v>
      </c>
      <c r="AG412" s="14">
        <v>0</v>
      </c>
      <c r="AH412" s="10">
        <f t="shared" si="58"/>
        <v>304597.10999999993</v>
      </c>
      <c r="AI412" s="16"/>
      <c r="AJ412" s="126" t="e">
        <v>#N/A</v>
      </c>
      <c r="AK412" s="80">
        <f t="shared" si="63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65"/>
        <v>26990.729999999981</v>
      </c>
      <c r="X413" s="18">
        <f t="shared" si="64"/>
        <v>473009.27</v>
      </c>
      <c r="Y413" s="13">
        <f t="shared" si="59"/>
        <v>214221.1866785264</v>
      </c>
      <c r="Z413" s="14">
        <v>0</v>
      </c>
      <c r="AA413" s="4">
        <v>0</v>
      </c>
      <c r="AB413" s="4">
        <f t="shared" si="60"/>
        <v>473009.27</v>
      </c>
      <c r="AC413" s="6">
        <f t="shared" si="61"/>
        <v>0</v>
      </c>
      <c r="AD413" s="18">
        <f t="shared" si="57"/>
        <v>258788.08332147362</v>
      </c>
      <c r="AE413" s="2">
        <v>7.0000000000000007E-2</v>
      </c>
      <c r="AF413" s="5">
        <f t="shared" si="62"/>
        <v>18115.165832503157</v>
      </c>
      <c r="AG413" s="14">
        <v>0</v>
      </c>
      <c r="AH413" s="10">
        <f t="shared" si="58"/>
        <v>473009.27</v>
      </c>
      <c r="AI413" s="16"/>
      <c r="AJ413" s="126" t="e">
        <v>#N/A</v>
      </c>
      <c r="AK413" s="80">
        <f t="shared" si="63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65"/>
        <v>50000</v>
      </c>
      <c r="X414" s="18">
        <f t="shared" si="64"/>
        <v>0</v>
      </c>
      <c r="Y414" s="13">
        <f t="shared" si="59"/>
        <v>0</v>
      </c>
      <c r="Z414" s="14">
        <v>0</v>
      </c>
      <c r="AA414" s="4">
        <v>0</v>
      </c>
      <c r="AB414" s="4">
        <f t="shared" si="60"/>
        <v>0</v>
      </c>
      <c r="AC414" s="6">
        <f t="shared" si="61"/>
        <v>0</v>
      </c>
      <c r="AD414" s="18">
        <f t="shared" si="57"/>
        <v>0</v>
      </c>
      <c r="AE414" s="2">
        <v>7.0000000000000007E-2</v>
      </c>
      <c r="AF414" s="5">
        <f t="shared" si="62"/>
        <v>0</v>
      </c>
      <c r="AG414" s="14">
        <v>0</v>
      </c>
      <c r="AH414" s="10">
        <f t="shared" si="58"/>
        <v>0</v>
      </c>
      <c r="AI414" s="16"/>
      <c r="AJ414" s="126" t="e">
        <v>#N/A</v>
      </c>
      <c r="AK414" s="80">
        <f t="shared" si="63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65"/>
        <v>19113.11</v>
      </c>
      <c r="X415" s="18">
        <f t="shared" si="64"/>
        <v>886.89</v>
      </c>
      <c r="Y415" s="13">
        <f t="shared" si="59"/>
        <v>401.66364657783191</v>
      </c>
      <c r="Z415" s="14">
        <v>0</v>
      </c>
      <c r="AA415" s="4">
        <v>0</v>
      </c>
      <c r="AB415" s="4">
        <f t="shared" si="60"/>
        <v>886.89</v>
      </c>
      <c r="AC415" s="6">
        <f t="shared" si="61"/>
        <v>0</v>
      </c>
      <c r="AD415" s="18">
        <f t="shared" si="57"/>
        <v>485.22635342216807</v>
      </c>
      <c r="AE415" s="2">
        <v>0.12</v>
      </c>
      <c r="AF415" s="5">
        <f t="shared" si="62"/>
        <v>58.227162410660164</v>
      </c>
      <c r="AG415" s="14">
        <v>0</v>
      </c>
      <c r="AH415" s="10">
        <f t="shared" si="58"/>
        <v>886.89</v>
      </c>
      <c r="AI415" s="16"/>
      <c r="AJ415" s="126" t="e">
        <v>#N/A</v>
      </c>
      <c r="AK415" s="80">
        <f t="shared" si="63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65"/>
        <v>0</v>
      </c>
      <c r="X416" s="18">
        <f t="shared" si="64"/>
        <v>0</v>
      </c>
      <c r="Y416" s="13">
        <f t="shared" si="59"/>
        <v>0</v>
      </c>
      <c r="Z416" s="14">
        <v>0</v>
      </c>
      <c r="AA416" s="4">
        <v>0</v>
      </c>
      <c r="AB416" s="4">
        <f t="shared" si="60"/>
        <v>0</v>
      </c>
      <c r="AC416" s="6">
        <f t="shared" si="61"/>
        <v>0</v>
      </c>
      <c r="AD416" s="18">
        <f t="shared" si="57"/>
        <v>0</v>
      </c>
      <c r="AE416" s="2">
        <v>0.12</v>
      </c>
      <c r="AF416" s="5">
        <f t="shared" si="62"/>
        <v>0</v>
      </c>
      <c r="AG416" s="14">
        <v>0</v>
      </c>
      <c r="AH416" s="10">
        <f t="shared" si="58"/>
        <v>0</v>
      </c>
      <c r="AI416" s="16"/>
      <c r="AJ416" s="126" t="e">
        <v>#N/A</v>
      </c>
      <c r="AK416" s="80">
        <f t="shared" si="63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65"/>
        <v>10000</v>
      </c>
      <c r="X417" s="18">
        <f t="shared" si="64"/>
        <v>0</v>
      </c>
      <c r="Y417" s="13">
        <f t="shared" si="59"/>
        <v>0</v>
      </c>
      <c r="Z417" s="14">
        <v>0</v>
      </c>
      <c r="AA417" s="4">
        <v>0</v>
      </c>
      <c r="AB417" s="4">
        <f t="shared" si="60"/>
        <v>0</v>
      </c>
      <c r="AC417" s="6">
        <f t="shared" si="61"/>
        <v>0</v>
      </c>
      <c r="AD417" s="18">
        <f t="shared" si="57"/>
        <v>0</v>
      </c>
      <c r="AE417" s="2">
        <v>0.12</v>
      </c>
      <c r="AF417" s="5">
        <f t="shared" si="62"/>
        <v>0</v>
      </c>
      <c r="AG417" s="14">
        <v>0</v>
      </c>
      <c r="AH417" s="10">
        <f t="shared" si="58"/>
        <v>0</v>
      </c>
      <c r="AI417" s="16"/>
      <c r="AJ417" s="126" t="e">
        <v>#N/A</v>
      </c>
      <c r="AK417" s="80">
        <f t="shared" si="63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65"/>
        <v>10000</v>
      </c>
      <c r="X418" s="18">
        <f t="shared" si="64"/>
        <v>0</v>
      </c>
      <c r="Y418" s="13">
        <f t="shared" si="59"/>
        <v>0</v>
      </c>
      <c r="Z418" s="14">
        <v>0</v>
      </c>
      <c r="AA418" s="4">
        <v>0</v>
      </c>
      <c r="AB418" s="4">
        <f t="shared" si="60"/>
        <v>0</v>
      </c>
      <c r="AC418" s="6">
        <f t="shared" si="61"/>
        <v>0</v>
      </c>
      <c r="AD418" s="18">
        <f t="shared" si="57"/>
        <v>0</v>
      </c>
      <c r="AE418" s="2">
        <v>0.12</v>
      </c>
      <c r="AF418" s="5">
        <f t="shared" si="62"/>
        <v>0</v>
      </c>
      <c r="AG418" s="14">
        <v>0</v>
      </c>
      <c r="AH418" s="10">
        <f t="shared" si="58"/>
        <v>0</v>
      </c>
      <c r="AI418" s="16"/>
      <c r="AJ418" s="126" t="e">
        <v>#N/A</v>
      </c>
      <c r="AK418" s="80">
        <f t="shared" si="63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65"/>
        <v>20000</v>
      </c>
      <c r="X419" s="18">
        <f t="shared" si="64"/>
        <v>0</v>
      </c>
      <c r="Y419" s="13">
        <f t="shared" si="59"/>
        <v>0</v>
      </c>
      <c r="Z419" s="14">
        <v>0</v>
      </c>
      <c r="AA419" s="4">
        <v>0</v>
      </c>
      <c r="AB419" s="4">
        <f t="shared" si="60"/>
        <v>0</v>
      </c>
      <c r="AC419" s="6">
        <f t="shared" si="61"/>
        <v>0</v>
      </c>
      <c r="AD419" s="18">
        <f t="shared" si="57"/>
        <v>0</v>
      </c>
      <c r="AE419" s="2">
        <v>0.12</v>
      </c>
      <c r="AF419" s="5">
        <f t="shared" si="62"/>
        <v>0</v>
      </c>
      <c r="AG419" s="14">
        <v>0</v>
      </c>
      <c r="AH419" s="10">
        <f t="shared" si="58"/>
        <v>0</v>
      </c>
      <c r="AI419" s="16"/>
      <c r="AJ419" s="126" t="e">
        <v>#N/A</v>
      </c>
      <c r="AK419" s="80">
        <f t="shared" si="63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65"/>
        <v>199033.60000000009</v>
      </c>
      <c r="X420" s="18">
        <f t="shared" si="64"/>
        <v>1500966.4</v>
      </c>
      <c r="Y420" s="13">
        <f t="shared" si="59"/>
        <v>679772.73124604032</v>
      </c>
      <c r="Z420" s="14">
        <v>0</v>
      </c>
      <c r="AA420" s="4">
        <v>0</v>
      </c>
      <c r="AB420" s="4">
        <f t="shared" si="60"/>
        <v>1500966.4</v>
      </c>
      <c r="AC420" s="6">
        <f t="shared" si="61"/>
        <v>0</v>
      </c>
      <c r="AD420" s="18">
        <f t="shared" si="57"/>
        <v>821193.66875395959</v>
      </c>
      <c r="AE420" s="2">
        <v>7.0000000000000007E-2</v>
      </c>
      <c r="AF420" s="5">
        <f t="shared" si="62"/>
        <v>57483.556812777177</v>
      </c>
      <c r="AG420" s="14">
        <v>0</v>
      </c>
      <c r="AH420" s="10">
        <f t="shared" si="58"/>
        <v>1500966.4</v>
      </c>
      <c r="AI420" s="16"/>
      <c r="AJ420" s="126" t="e">
        <v>#N/A</v>
      </c>
      <c r="AK420" s="80">
        <f t="shared" si="63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65"/>
        <v>0</v>
      </c>
      <c r="X421" s="18">
        <f t="shared" si="64"/>
        <v>0</v>
      </c>
      <c r="Y421" s="13">
        <f t="shared" si="59"/>
        <v>0</v>
      </c>
      <c r="Z421" s="14">
        <v>0</v>
      </c>
      <c r="AA421" s="4">
        <v>0</v>
      </c>
      <c r="AB421" s="4">
        <f t="shared" si="60"/>
        <v>0</v>
      </c>
      <c r="AC421" s="6">
        <f t="shared" si="61"/>
        <v>0</v>
      </c>
      <c r="AD421" s="18">
        <f t="shared" si="57"/>
        <v>0</v>
      </c>
      <c r="AE421" s="2">
        <v>7.0000000000000007E-2</v>
      </c>
      <c r="AF421" s="5">
        <f t="shared" si="62"/>
        <v>0</v>
      </c>
      <c r="AG421" s="14">
        <v>0</v>
      </c>
      <c r="AH421" s="10">
        <f t="shared" si="58"/>
        <v>0</v>
      </c>
      <c r="AI421" s="16"/>
      <c r="AJ421" s="126" t="e">
        <v>#N/A</v>
      </c>
      <c r="AK421" s="80">
        <f t="shared" si="63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65"/>
        <v>30032.900000000023</v>
      </c>
      <c r="X422" s="18">
        <f t="shared" si="64"/>
        <v>369967.1</v>
      </c>
      <c r="Y422" s="13">
        <f t="shared" si="59"/>
        <v>167554.41430146398</v>
      </c>
      <c r="Z422" s="14">
        <v>0</v>
      </c>
      <c r="AA422" s="4">
        <v>0</v>
      </c>
      <c r="AB422" s="4">
        <f t="shared" si="60"/>
        <v>369967.1</v>
      </c>
      <c r="AC422" s="6">
        <f t="shared" si="61"/>
        <v>0</v>
      </c>
      <c r="AD422" s="18">
        <f t="shared" si="57"/>
        <v>202412.68569853599</v>
      </c>
      <c r="AE422" s="2">
        <v>7.0000000000000007E-2</v>
      </c>
      <c r="AF422" s="5">
        <f t="shared" si="62"/>
        <v>14168.88799889752</v>
      </c>
      <c r="AG422" s="14">
        <v>0</v>
      </c>
      <c r="AH422" s="10">
        <f t="shared" si="58"/>
        <v>369967.1</v>
      </c>
      <c r="AI422" s="16"/>
      <c r="AJ422" s="126" t="e">
        <v>#N/A</v>
      </c>
      <c r="AK422" s="80">
        <f t="shared" si="63"/>
        <v>0</v>
      </c>
      <c r="AM422" s="85"/>
    </row>
    <row r="423" spans="1:39" hidden="1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65"/>
        <v>0</v>
      </c>
      <c r="X423" s="18">
        <f t="shared" si="64"/>
        <v>0</v>
      </c>
      <c r="Y423" s="13">
        <f t="shared" si="59"/>
        <v>0</v>
      </c>
      <c r="Z423" s="14">
        <v>0</v>
      </c>
      <c r="AA423" s="4">
        <v>0</v>
      </c>
      <c r="AB423" s="4">
        <f t="shared" si="60"/>
        <v>0</v>
      </c>
      <c r="AC423" s="6">
        <f t="shared" si="61"/>
        <v>0</v>
      </c>
      <c r="AD423" s="18">
        <f t="shared" si="57"/>
        <v>0</v>
      </c>
      <c r="AE423" s="2">
        <v>7.0000000000000007E-2</v>
      </c>
      <c r="AF423" s="5">
        <f t="shared" si="62"/>
        <v>0</v>
      </c>
      <c r="AG423" s="14">
        <v>0</v>
      </c>
      <c r="AH423" s="10">
        <f t="shared" si="58"/>
        <v>0</v>
      </c>
      <c r="AI423" s="16"/>
      <c r="AJ423" s="126" t="e">
        <v>#N/A</v>
      </c>
      <c r="AK423" s="80">
        <f t="shared" si="63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65"/>
        <v>11685.989999999998</v>
      </c>
      <c r="X424" s="18">
        <f t="shared" si="64"/>
        <v>28314.010000000002</v>
      </c>
      <c r="Y424" s="13">
        <f t="shared" si="59"/>
        <v>12823.133089606603</v>
      </c>
      <c r="Z424" s="14">
        <v>0</v>
      </c>
      <c r="AA424" s="4">
        <v>0</v>
      </c>
      <c r="AB424" s="4">
        <f t="shared" si="60"/>
        <v>28314.010000000002</v>
      </c>
      <c r="AC424" s="6">
        <f t="shared" si="61"/>
        <v>0</v>
      </c>
      <c r="AD424" s="18">
        <f t="shared" si="57"/>
        <v>15490.876910393399</v>
      </c>
      <c r="AE424" s="2">
        <v>0.12</v>
      </c>
      <c r="AF424" s="5">
        <f t="shared" si="62"/>
        <v>1858.9052292472079</v>
      </c>
      <c r="AG424" s="14">
        <v>0</v>
      </c>
      <c r="AH424" s="10">
        <f t="shared" si="58"/>
        <v>28314.010000000002</v>
      </c>
      <c r="AI424" s="16"/>
      <c r="AJ424" s="126" t="e">
        <v>#N/A</v>
      </c>
      <c r="AK424" s="80">
        <f t="shared" si="63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65"/>
        <v>0</v>
      </c>
      <c r="X425" s="18">
        <f t="shared" si="64"/>
        <v>0</v>
      </c>
      <c r="Y425" s="13">
        <f t="shared" si="59"/>
        <v>0</v>
      </c>
      <c r="Z425" s="14">
        <v>0</v>
      </c>
      <c r="AA425" s="4">
        <v>0</v>
      </c>
      <c r="AB425" s="4">
        <f t="shared" si="60"/>
        <v>0</v>
      </c>
      <c r="AC425" s="6">
        <f t="shared" si="61"/>
        <v>0</v>
      </c>
      <c r="AD425" s="18">
        <f t="shared" si="57"/>
        <v>0</v>
      </c>
      <c r="AE425" s="2">
        <v>7.0000000000000007E-2</v>
      </c>
      <c r="AF425" s="5">
        <f t="shared" si="62"/>
        <v>0</v>
      </c>
      <c r="AG425" s="14">
        <v>0</v>
      </c>
      <c r="AH425" s="10">
        <f t="shared" si="58"/>
        <v>0</v>
      </c>
      <c r="AI425" s="16"/>
      <c r="AJ425" s="126" t="e">
        <v>#N/A</v>
      </c>
      <c r="AK425" s="80">
        <f t="shared" si="63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65"/>
        <v>14491.400000000009</v>
      </c>
      <c r="X426" s="18">
        <f t="shared" si="64"/>
        <v>35508.599999999991</v>
      </c>
      <c r="Y426" s="13">
        <f t="shared" si="59"/>
        <v>16081.491234396148</v>
      </c>
      <c r="Z426" s="14">
        <v>0</v>
      </c>
      <c r="AA426" s="4">
        <v>0</v>
      </c>
      <c r="AB426" s="4">
        <f t="shared" si="60"/>
        <v>35508.599999999991</v>
      </c>
      <c r="AC426" s="6">
        <f t="shared" si="61"/>
        <v>0</v>
      </c>
      <c r="AD426" s="18">
        <f t="shared" si="57"/>
        <v>19427.108765603843</v>
      </c>
      <c r="AE426" s="2">
        <v>7.0000000000000007E-2</v>
      </c>
      <c r="AF426" s="5">
        <f t="shared" si="62"/>
        <v>1359.8976135922692</v>
      </c>
      <c r="AG426" s="14">
        <v>0</v>
      </c>
      <c r="AH426" s="10">
        <f t="shared" si="58"/>
        <v>35508.599999999991</v>
      </c>
      <c r="AI426" s="16"/>
      <c r="AJ426" s="126" t="e">
        <v>#N/A</v>
      </c>
      <c r="AK426" s="80">
        <f t="shared" si="63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65"/>
        <v>-8.7311491370201111E-11</v>
      </c>
      <c r="X427" s="18">
        <f t="shared" si="64"/>
        <v>0</v>
      </c>
      <c r="Y427" s="13">
        <f t="shared" si="59"/>
        <v>0</v>
      </c>
      <c r="Z427" s="14">
        <v>0</v>
      </c>
      <c r="AA427" s="4">
        <v>0</v>
      </c>
      <c r="AB427" s="4">
        <f t="shared" si="60"/>
        <v>0</v>
      </c>
      <c r="AC427" s="6">
        <f t="shared" si="61"/>
        <v>0</v>
      </c>
      <c r="AD427" s="18">
        <f t="shared" si="57"/>
        <v>0</v>
      </c>
      <c r="AE427" s="2">
        <v>7.0000000000000007E-2</v>
      </c>
      <c r="AF427" s="5">
        <f t="shared" si="62"/>
        <v>0</v>
      </c>
      <c r="AG427" s="14">
        <v>0</v>
      </c>
      <c r="AH427" s="10">
        <f t="shared" si="58"/>
        <v>0</v>
      </c>
      <c r="AI427" s="16"/>
      <c r="AJ427" s="126" t="e">
        <v>#N/A</v>
      </c>
      <c r="AK427" s="80">
        <f t="shared" si="63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65"/>
        <v>85702.78</v>
      </c>
      <c r="X428" s="18">
        <f t="shared" si="64"/>
        <v>14016.882352941175</v>
      </c>
      <c r="Y428" s="13">
        <f t="shared" si="59"/>
        <v>6194.7308745453311</v>
      </c>
      <c r="Z428" s="14">
        <v>0</v>
      </c>
      <c r="AA428" s="4">
        <v>0</v>
      </c>
      <c r="AB428" s="4">
        <f t="shared" si="60"/>
        <v>14016.882352941175</v>
      </c>
      <c r="AC428" s="6">
        <f t="shared" si="61"/>
        <v>280.33764705882459</v>
      </c>
      <c r="AD428" s="18">
        <f t="shared" si="57"/>
        <v>7822.1514783958437</v>
      </c>
      <c r="AE428" s="2">
        <v>7.0000000000000007E-2</v>
      </c>
      <c r="AF428" s="5">
        <f t="shared" si="62"/>
        <v>547.55060348770905</v>
      </c>
      <c r="AG428" s="14">
        <v>0</v>
      </c>
      <c r="AH428" s="10">
        <f t="shared" si="58"/>
        <v>14297.22</v>
      </c>
      <c r="AI428" s="16"/>
      <c r="AJ428" s="126" t="e">
        <v>#N/A</v>
      </c>
      <c r="AK428" s="80">
        <f t="shared" si="63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65"/>
        <v>37572.06</v>
      </c>
      <c r="X429" s="18">
        <f t="shared" si="64"/>
        <v>348938.55445544556</v>
      </c>
      <c r="Y429" s="13">
        <f t="shared" si="59"/>
        <v>156121.71790267504</v>
      </c>
      <c r="Z429" s="14">
        <v>0</v>
      </c>
      <c r="AA429" s="4">
        <v>0</v>
      </c>
      <c r="AB429" s="4">
        <f t="shared" si="60"/>
        <v>348938.55445544556</v>
      </c>
      <c r="AC429" s="6">
        <f t="shared" si="61"/>
        <v>3489.3855445544468</v>
      </c>
      <c r="AD429" s="18">
        <f t="shared" si="57"/>
        <v>192816.83655277052</v>
      </c>
      <c r="AE429" s="2">
        <v>7.0000000000000007E-2</v>
      </c>
      <c r="AF429" s="5">
        <f t="shared" si="62"/>
        <v>13497.178558693937</v>
      </c>
      <c r="AG429" s="14">
        <v>0</v>
      </c>
      <c r="AH429" s="10">
        <f t="shared" si="58"/>
        <v>352427.94</v>
      </c>
      <c r="AI429" s="16"/>
      <c r="AJ429" s="126" t="e">
        <v>#N/A</v>
      </c>
      <c r="AK429" s="80">
        <f t="shared" si="63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65"/>
        <v>225167.10999999964</v>
      </c>
      <c r="X430" s="18">
        <f t="shared" si="64"/>
        <v>1374832.8900000004</v>
      </c>
      <c r="Y430" s="13">
        <f t="shared" si="59"/>
        <v>622648.12099870271</v>
      </c>
      <c r="Z430" s="14">
        <v>0</v>
      </c>
      <c r="AA430" s="4">
        <v>0</v>
      </c>
      <c r="AB430" s="4">
        <f t="shared" si="60"/>
        <v>1374832.8900000004</v>
      </c>
      <c r="AC430" s="6">
        <f t="shared" si="61"/>
        <v>0</v>
      </c>
      <c r="AD430" s="18">
        <f t="shared" si="57"/>
        <v>752184.76900129765</v>
      </c>
      <c r="AE430" s="2">
        <v>7.0000000000000007E-2</v>
      </c>
      <c r="AF430" s="5">
        <f t="shared" si="62"/>
        <v>52652.933830090842</v>
      </c>
      <c r="AG430" s="14">
        <v>0</v>
      </c>
      <c r="AH430" s="10">
        <f t="shared" si="58"/>
        <v>1374832.8900000004</v>
      </c>
      <c r="AI430" s="16"/>
      <c r="AJ430" s="126" t="e">
        <v>#N/A</v>
      </c>
      <c r="AK430" s="80">
        <f t="shared" si="63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65"/>
        <v>208483.42000000004</v>
      </c>
      <c r="X431" s="18">
        <f t="shared" si="64"/>
        <v>328808.54455445544</v>
      </c>
      <c r="Y431" s="13">
        <f t="shared" si="59"/>
        <v>147115.17022540563</v>
      </c>
      <c r="Z431" s="14">
        <v>0</v>
      </c>
      <c r="AA431" s="4">
        <v>0</v>
      </c>
      <c r="AB431" s="4">
        <f t="shared" si="60"/>
        <v>328808.54455445544</v>
      </c>
      <c r="AC431" s="6">
        <f t="shared" si="61"/>
        <v>3288.085445544566</v>
      </c>
      <c r="AD431" s="18">
        <f t="shared" si="57"/>
        <v>181693.37432904981</v>
      </c>
      <c r="AE431" s="2">
        <v>7.0000000000000007E-2</v>
      </c>
      <c r="AF431" s="5">
        <f t="shared" si="62"/>
        <v>12718.536203033487</v>
      </c>
      <c r="AG431" s="14">
        <v>0</v>
      </c>
      <c r="AH431" s="10">
        <f t="shared" si="58"/>
        <v>332096.63</v>
      </c>
      <c r="AI431" s="16"/>
      <c r="AJ431" s="126" t="e">
        <v>#N/A</v>
      </c>
      <c r="AK431" s="80">
        <f t="shared" si="63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65"/>
        <v>0</v>
      </c>
      <c r="X432" s="18">
        <f t="shared" si="64"/>
        <v>0</v>
      </c>
      <c r="Y432" s="13">
        <f t="shared" si="59"/>
        <v>0</v>
      </c>
      <c r="Z432" s="14">
        <v>0</v>
      </c>
      <c r="AA432" s="4">
        <v>0</v>
      </c>
      <c r="AB432" s="4">
        <f t="shared" si="60"/>
        <v>0</v>
      </c>
      <c r="AC432" s="6">
        <f t="shared" si="61"/>
        <v>0</v>
      </c>
      <c r="AD432" s="18">
        <f t="shared" si="57"/>
        <v>0</v>
      </c>
      <c r="AE432" s="2">
        <v>7.0000000000000007E-2</v>
      </c>
      <c r="AF432" s="5">
        <f t="shared" si="62"/>
        <v>0</v>
      </c>
      <c r="AG432" s="14">
        <v>0</v>
      </c>
      <c r="AH432" s="10">
        <f t="shared" si="58"/>
        <v>0</v>
      </c>
      <c r="AI432" s="16"/>
      <c r="AJ432" s="126" t="e">
        <v>#N/A</v>
      </c>
      <c r="AK432" s="80">
        <f t="shared" si="63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65"/>
        <v>3412.760000000002</v>
      </c>
      <c r="X433" s="18">
        <f t="shared" si="64"/>
        <v>36587.24</v>
      </c>
      <c r="Y433" s="13">
        <f t="shared" si="59"/>
        <v>16569.996545928261</v>
      </c>
      <c r="Z433" s="14">
        <v>0</v>
      </c>
      <c r="AA433" s="4">
        <v>0</v>
      </c>
      <c r="AB433" s="4">
        <f t="shared" si="60"/>
        <v>36587.24</v>
      </c>
      <c r="AC433" s="6">
        <f t="shared" si="61"/>
        <v>0</v>
      </c>
      <c r="AD433" s="18">
        <f t="shared" si="57"/>
        <v>20017.243454071737</v>
      </c>
      <c r="AE433" s="2">
        <v>7.0000000000000007E-2</v>
      </c>
      <c r="AF433" s="5">
        <f t="shared" si="62"/>
        <v>1401.2070417850216</v>
      </c>
      <c r="AG433" s="14">
        <v>0</v>
      </c>
      <c r="AH433" s="10">
        <f t="shared" si="58"/>
        <v>36587.24</v>
      </c>
      <c r="AI433" s="16"/>
      <c r="AJ433" s="126" t="e">
        <v>#N/A</v>
      </c>
      <c r="AK433" s="80">
        <f t="shared" si="63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65"/>
        <v>65198.549999999988</v>
      </c>
      <c r="X434" s="18">
        <f t="shared" si="64"/>
        <v>234801.45</v>
      </c>
      <c r="Y434" s="13">
        <f t="shared" si="59"/>
        <v>106339.23781840192</v>
      </c>
      <c r="Z434" s="14">
        <v>0</v>
      </c>
      <c r="AA434" s="4">
        <v>0</v>
      </c>
      <c r="AB434" s="4">
        <f t="shared" si="60"/>
        <v>234801.45</v>
      </c>
      <c r="AC434" s="6">
        <f t="shared" si="61"/>
        <v>0</v>
      </c>
      <c r="AD434" s="18">
        <f t="shared" si="57"/>
        <v>128462.21218159809</v>
      </c>
      <c r="AE434" s="2">
        <v>7.0000000000000007E-2</v>
      </c>
      <c r="AF434" s="5">
        <f t="shared" si="62"/>
        <v>8992.3548527118674</v>
      </c>
      <c r="AG434" s="14">
        <v>0</v>
      </c>
      <c r="AH434" s="10">
        <f t="shared" si="58"/>
        <v>234801.45</v>
      </c>
      <c r="AI434" s="16"/>
      <c r="AJ434" s="126" t="e">
        <v>#N/A</v>
      </c>
      <c r="AK434" s="80">
        <f t="shared" si="63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65"/>
        <v>12845.650000000052</v>
      </c>
      <c r="X435" s="18">
        <f t="shared" si="64"/>
        <v>197154.34999999995</v>
      </c>
      <c r="Y435" s="13">
        <f t="shared" si="59"/>
        <v>89289.241235871596</v>
      </c>
      <c r="Z435" s="14">
        <v>0</v>
      </c>
      <c r="AA435" s="4">
        <v>0</v>
      </c>
      <c r="AB435" s="4">
        <f t="shared" si="60"/>
        <v>197154.34999999995</v>
      </c>
      <c r="AC435" s="6">
        <f t="shared" si="61"/>
        <v>0</v>
      </c>
      <c r="AD435" s="18">
        <f t="shared" si="57"/>
        <v>107865.10876412835</v>
      </c>
      <c r="AE435" s="2">
        <v>7.0000000000000007E-2</v>
      </c>
      <c r="AF435" s="5">
        <f t="shared" si="62"/>
        <v>7550.5576134889852</v>
      </c>
      <c r="AG435" s="14">
        <v>0</v>
      </c>
      <c r="AH435" s="10">
        <f t="shared" si="58"/>
        <v>197154.34999999995</v>
      </c>
      <c r="AI435" s="16"/>
      <c r="AJ435" s="126" t="e">
        <v>#N/A</v>
      </c>
      <c r="AK435" s="80">
        <f t="shared" si="63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65"/>
        <v>10000</v>
      </c>
      <c r="X436" s="18">
        <f t="shared" si="64"/>
        <v>0</v>
      </c>
      <c r="Y436" s="13">
        <f t="shared" si="59"/>
        <v>0</v>
      </c>
      <c r="Z436" s="14">
        <v>0</v>
      </c>
      <c r="AA436" s="4">
        <v>0</v>
      </c>
      <c r="AB436" s="4">
        <f t="shared" si="60"/>
        <v>0</v>
      </c>
      <c r="AC436" s="6">
        <f t="shared" si="61"/>
        <v>0</v>
      </c>
      <c r="AD436" s="18">
        <f t="shared" si="57"/>
        <v>0</v>
      </c>
      <c r="AE436" s="2">
        <v>0.12</v>
      </c>
      <c r="AF436" s="5">
        <f t="shared" si="62"/>
        <v>0</v>
      </c>
      <c r="AG436" s="14">
        <v>0</v>
      </c>
      <c r="AH436" s="10">
        <f t="shared" si="58"/>
        <v>0</v>
      </c>
      <c r="AI436" s="16"/>
      <c r="AJ436" s="126" t="e">
        <v>#N/A</v>
      </c>
      <c r="AK436" s="80">
        <f t="shared" si="63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65"/>
        <v>20000</v>
      </c>
      <c r="X437" s="18">
        <f t="shared" si="64"/>
        <v>0</v>
      </c>
      <c r="Y437" s="13">
        <f t="shared" si="59"/>
        <v>0</v>
      </c>
      <c r="Z437" s="14">
        <v>0</v>
      </c>
      <c r="AA437" s="4">
        <v>0</v>
      </c>
      <c r="AB437" s="4">
        <f t="shared" si="60"/>
        <v>0</v>
      </c>
      <c r="AC437" s="6">
        <f t="shared" si="61"/>
        <v>0</v>
      </c>
      <c r="AD437" s="18">
        <f t="shared" ref="AD437:AD500" si="66">V437*0.547109961125019</f>
        <v>0</v>
      </c>
      <c r="AE437" s="2">
        <v>7.0000000000000007E-2</v>
      </c>
      <c r="AF437" s="5">
        <f t="shared" si="62"/>
        <v>0</v>
      </c>
      <c r="AG437" s="14">
        <v>0</v>
      </c>
      <c r="AH437" s="10">
        <f t="shared" ref="AH437:AH500" si="67">V437</f>
        <v>0</v>
      </c>
      <c r="AI437" s="16"/>
      <c r="AJ437" s="126" t="e">
        <v>#N/A</v>
      </c>
      <c r="AK437" s="80">
        <f t="shared" si="63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65"/>
        <v>5000</v>
      </c>
      <c r="X438" s="18">
        <f t="shared" si="64"/>
        <v>0</v>
      </c>
      <c r="Y438" s="13">
        <f t="shared" si="59"/>
        <v>0</v>
      </c>
      <c r="Z438" s="14">
        <v>0</v>
      </c>
      <c r="AA438" s="4">
        <v>0</v>
      </c>
      <c r="AB438" s="4">
        <f t="shared" si="60"/>
        <v>0</v>
      </c>
      <c r="AC438" s="6">
        <f t="shared" si="61"/>
        <v>0</v>
      </c>
      <c r="AD438" s="18">
        <f t="shared" si="66"/>
        <v>0</v>
      </c>
      <c r="AE438" s="2">
        <v>7.0000000000000007E-2</v>
      </c>
      <c r="AF438" s="5">
        <f t="shared" si="62"/>
        <v>0</v>
      </c>
      <c r="AG438" s="14">
        <v>0</v>
      </c>
      <c r="AH438" s="10">
        <f t="shared" si="67"/>
        <v>0</v>
      </c>
      <c r="AI438" s="16"/>
      <c r="AJ438" s="126" t="e">
        <v>#N/A</v>
      </c>
      <c r="AK438" s="80">
        <f t="shared" si="63"/>
        <v>0</v>
      </c>
      <c r="AM438" s="85"/>
    </row>
    <row r="439" spans="1:39" hidden="1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65"/>
        <v>5000</v>
      </c>
      <c r="X439" s="18">
        <f t="shared" si="64"/>
        <v>0</v>
      </c>
      <c r="Y439" s="13">
        <f t="shared" si="59"/>
        <v>0</v>
      </c>
      <c r="Z439" s="14">
        <v>0</v>
      </c>
      <c r="AA439" s="4">
        <v>0</v>
      </c>
      <c r="AB439" s="4">
        <f t="shared" si="60"/>
        <v>0</v>
      </c>
      <c r="AC439" s="6">
        <f t="shared" si="61"/>
        <v>0</v>
      </c>
      <c r="AD439" s="18">
        <f t="shared" si="66"/>
        <v>0</v>
      </c>
      <c r="AE439" s="2">
        <v>7.0000000000000007E-2</v>
      </c>
      <c r="AF439" s="5">
        <f t="shared" si="62"/>
        <v>0</v>
      </c>
      <c r="AG439" s="14">
        <v>0</v>
      </c>
      <c r="AH439" s="10">
        <f t="shared" si="67"/>
        <v>0</v>
      </c>
      <c r="AI439" s="16"/>
      <c r="AJ439" s="126" t="e">
        <v>#N/A</v>
      </c>
      <c r="AK439" s="80">
        <f t="shared" si="63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65"/>
        <v>13764.429999999993</v>
      </c>
      <c r="X440" s="18">
        <f t="shared" si="64"/>
        <v>136235.57</v>
      </c>
      <c r="Y440" s="13">
        <f t="shared" si="59"/>
        <v>61699.732593455206</v>
      </c>
      <c r="Z440" s="14">
        <v>0</v>
      </c>
      <c r="AA440" s="4">
        <v>0</v>
      </c>
      <c r="AB440" s="4">
        <f t="shared" si="60"/>
        <v>136235.57</v>
      </c>
      <c r="AC440" s="6">
        <f t="shared" si="61"/>
        <v>0</v>
      </c>
      <c r="AD440" s="18">
        <f t="shared" si="66"/>
        <v>74535.837406544801</v>
      </c>
      <c r="AE440" s="2">
        <v>7.0000000000000007E-2</v>
      </c>
      <c r="AF440" s="5">
        <f t="shared" si="62"/>
        <v>5217.5086184581369</v>
      </c>
      <c r="AG440" s="14">
        <v>0</v>
      </c>
      <c r="AH440" s="10">
        <f t="shared" si="67"/>
        <v>136235.57</v>
      </c>
      <c r="AI440" s="16"/>
      <c r="AJ440" s="126" t="e">
        <v>#N/A</v>
      </c>
      <c r="AK440" s="80">
        <f t="shared" si="63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65"/>
        <v>-5.0022208597511053E-12</v>
      </c>
      <c r="X441" s="18">
        <f t="shared" si="64"/>
        <v>0</v>
      </c>
      <c r="Y441" s="13">
        <f t="shared" si="59"/>
        <v>0</v>
      </c>
      <c r="Z441" s="14">
        <v>0</v>
      </c>
      <c r="AA441" s="4">
        <v>0</v>
      </c>
      <c r="AB441" s="4">
        <f t="shared" si="60"/>
        <v>0</v>
      </c>
      <c r="AC441" s="6">
        <f t="shared" si="61"/>
        <v>0</v>
      </c>
      <c r="AD441" s="18">
        <f t="shared" si="66"/>
        <v>0</v>
      </c>
      <c r="AE441" s="2">
        <v>7.0000000000000007E-2</v>
      </c>
      <c r="AF441" s="5">
        <f t="shared" si="62"/>
        <v>0</v>
      </c>
      <c r="AG441" s="14">
        <v>0</v>
      </c>
      <c r="AH441" s="10">
        <f t="shared" si="67"/>
        <v>0</v>
      </c>
      <c r="AI441" s="16"/>
      <c r="AJ441" s="126" t="e">
        <v>#N/A</v>
      </c>
      <c r="AK441" s="80">
        <f t="shared" si="63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65"/>
        <v>0</v>
      </c>
      <c r="X442" s="18">
        <f t="shared" si="64"/>
        <v>0</v>
      </c>
      <c r="Y442" s="13">
        <f t="shared" si="59"/>
        <v>0</v>
      </c>
      <c r="Z442" s="14">
        <v>0</v>
      </c>
      <c r="AA442" s="4">
        <v>0</v>
      </c>
      <c r="AB442" s="4">
        <f t="shared" si="60"/>
        <v>0</v>
      </c>
      <c r="AC442" s="6">
        <f t="shared" si="61"/>
        <v>0</v>
      </c>
      <c r="AD442" s="18">
        <f t="shared" si="66"/>
        <v>0</v>
      </c>
      <c r="AE442" s="2">
        <v>7.0000000000000007E-2</v>
      </c>
      <c r="AF442" s="5">
        <f t="shared" si="62"/>
        <v>0</v>
      </c>
      <c r="AG442" s="14">
        <v>0</v>
      </c>
      <c r="AH442" s="10">
        <f t="shared" si="67"/>
        <v>0</v>
      </c>
      <c r="AI442" s="16"/>
      <c r="AJ442" s="126" t="e">
        <v>#N/A</v>
      </c>
      <c r="AK442" s="80">
        <f t="shared" si="63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65"/>
        <v>7322.510000000002</v>
      </c>
      <c r="X443" s="18">
        <f t="shared" si="64"/>
        <v>42452.960396039598</v>
      </c>
      <c r="Y443" s="13">
        <f t="shared" si="5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61"/>
        <v>424.52960396039998</v>
      </c>
      <c r="AD443" s="18">
        <f t="shared" si="66"/>
        <v>23458.701887038387</v>
      </c>
      <c r="AE443" s="2">
        <v>7.0000000000000007E-2</v>
      </c>
      <c r="AF443" s="5">
        <f t="shared" si="62"/>
        <v>1642.1091320926873</v>
      </c>
      <c r="AG443" s="14">
        <v>0</v>
      </c>
      <c r="AH443" s="10">
        <f t="shared" si="67"/>
        <v>42877.49</v>
      </c>
      <c r="AI443" s="16"/>
      <c r="AJ443" s="126" t="s">
        <v>4216</v>
      </c>
      <c r="AK443" s="80">
        <f t="shared" si="63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65"/>
        <v>28058.5</v>
      </c>
      <c r="X444" s="18">
        <f t="shared" si="64"/>
        <v>21941.5</v>
      </c>
      <c r="Y444" s="13">
        <f t="shared" si="59"/>
        <v>9937.0867879753969</v>
      </c>
      <c r="Z444" s="14">
        <v>0</v>
      </c>
      <c r="AA444" s="4">
        <v>0</v>
      </c>
      <c r="AB444" s="4">
        <f t="shared" si="60"/>
        <v>21941.5</v>
      </c>
      <c r="AC444" s="6">
        <f t="shared" si="61"/>
        <v>0</v>
      </c>
      <c r="AD444" s="18">
        <f t="shared" si="66"/>
        <v>12004.413212024603</v>
      </c>
      <c r="AE444" s="2">
        <v>7.0000000000000007E-2</v>
      </c>
      <c r="AF444" s="5">
        <f t="shared" si="62"/>
        <v>840.30892484172227</v>
      </c>
      <c r="AG444" s="14">
        <v>0</v>
      </c>
      <c r="AH444" s="10">
        <f t="shared" si="67"/>
        <v>21941.5</v>
      </c>
      <c r="AI444" s="16"/>
      <c r="AJ444" s="126" t="e">
        <v>#N/A</v>
      </c>
      <c r="AK444" s="80">
        <f t="shared" si="63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65"/>
        <v>0</v>
      </c>
      <c r="X445" s="18">
        <f t="shared" si="64"/>
        <v>0</v>
      </c>
      <c r="Y445" s="13">
        <f t="shared" si="59"/>
        <v>0</v>
      </c>
      <c r="Z445" s="14">
        <v>0</v>
      </c>
      <c r="AA445" s="4">
        <v>0</v>
      </c>
      <c r="AB445" s="4">
        <f t="shared" si="60"/>
        <v>0</v>
      </c>
      <c r="AC445" s="6">
        <f t="shared" si="61"/>
        <v>0</v>
      </c>
      <c r="AD445" s="18">
        <f t="shared" si="66"/>
        <v>0</v>
      </c>
      <c r="AE445" s="2">
        <v>0.12</v>
      </c>
      <c r="AF445" s="5">
        <f t="shared" si="62"/>
        <v>0</v>
      </c>
      <c r="AG445" s="14">
        <v>0</v>
      </c>
      <c r="AH445" s="10">
        <f t="shared" si="67"/>
        <v>0</v>
      </c>
      <c r="AI445" s="16"/>
      <c r="AJ445" s="126" t="e">
        <v>#N/A</v>
      </c>
      <c r="AK445" s="80">
        <f t="shared" si="63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65"/>
        <v>47869.709999999992</v>
      </c>
      <c r="X446" s="18">
        <f t="shared" si="64"/>
        <v>255029.69607843139</v>
      </c>
      <c r="Y446" s="13">
        <f t="shared" si="59"/>
        <v>112709.82322909147</v>
      </c>
      <c r="Z446" s="14">
        <v>0</v>
      </c>
      <c r="AA446" s="4">
        <v>0</v>
      </c>
      <c r="AB446" s="4">
        <f t="shared" si="60"/>
        <v>255029.69607843139</v>
      </c>
      <c r="AC446" s="6">
        <f t="shared" si="61"/>
        <v>5100.593921568623</v>
      </c>
      <c r="AD446" s="18">
        <f t="shared" si="66"/>
        <v>142319.87284933991</v>
      </c>
      <c r="AE446" s="2">
        <v>7.0000000000000007E-2</v>
      </c>
      <c r="AF446" s="5">
        <f t="shared" si="62"/>
        <v>9962.3910994537946</v>
      </c>
      <c r="AG446" s="14">
        <v>0</v>
      </c>
      <c r="AH446" s="10">
        <f t="shared" si="67"/>
        <v>260130.29</v>
      </c>
      <c r="AI446" s="16"/>
      <c r="AJ446" s="126" t="e">
        <v>#N/A</v>
      </c>
      <c r="AK446" s="80">
        <f t="shared" si="63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65"/>
        <v>2591.2100000000009</v>
      </c>
      <c r="X447" s="18">
        <f t="shared" si="64"/>
        <v>9224.3039215686258</v>
      </c>
      <c r="Y447" s="13">
        <f t="shared" si="59"/>
        <v>4076.6611904351594</v>
      </c>
      <c r="Z447" s="14">
        <v>0</v>
      </c>
      <c r="AA447" s="4">
        <v>0</v>
      </c>
      <c r="AB447" s="4">
        <f t="shared" si="60"/>
        <v>9224.3039215686258</v>
      </c>
      <c r="AC447" s="6">
        <f t="shared" si="61"/>
        <v>184.48607843137324</v>
      </c>
      <c r="AD447" s="18">
        <f t="shared" si="66"/>
        <v>5147.6427311334664</v>
      </c>
      <c r="AE447" s="2">
        <v>0.12</v>
      </c>
      <c r="AF447" s="5">
        <f t="shared" si="62"/>
        <v>617.71712773601598</v>
      </c>
      <c r="AG447" s="14">
        <v>0</v>
      </c>
      <c r="AH447" s="10">
        <f t="shared" si="67"/>
        <v>9408.7899999999991</v>
      </c>
      <c r="AI447" s="16"/>
      <c r="AJ447" s="126" t="e">
        <v>#N/A</v>
      </c>
      <c r="AK447" s="80">
        <f t="shared" si="63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65"/>
        <v>25085.540000000008</v>
      </c>
      <c r="X448" s="18">
        <f t="shared" si="64"/>
        <v>107886.54999999999</v>
      </c>
      <c r="Y448" s="13">
        <f t="shared" si="59"/>
        <v>48860.743823587582</v>
      </c>
      <c r="Z448" s="14">
        <v>0</v>
      </c>
      <c r="AA448" s="4">
        <v>0</v>
      </c>
      <c r="AB448" s="4">
        <f t="shared" si="60"/>
        <v>107886.54999999999</v>
      </c>
      <c r="AC448" s="6">
        <f t="shared" si="61"/>
        <v>0</v>
      </c>
      <c r="AD448" s="18">
        <f t="shared" si="66"/>
        <v>59025.806176412407</v>
      </c>
      <c r="AE448" s="2">
        <v>7.0000000000000007E-2</v>
      </c>
      <c r="AF448" s="5">
        <f t="shared" si="62"/>
        <v>4131.8064323488688</v>
      </c>
      <c r="AG448" s="14">
        <v>0</v>
      </c>
      <c r="AH448" s="10">
        <f t="shared" si="67"/>
        <v>107886.54999999999</v>
      </c>
      <c r="AI448" s="16"/>
      <c r="AJ448" s="126" t="e">
        <v>#N/A</v>
      </c>
      <c r="AK448" s="80">
        <f t="shared" si="63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65"/>
        <v>26754.929999999891</v>
      </c>
      <c r="X449" s="18">
        <f t="shared" si="64"/>
        <v>118520.11000000003</v>
      </c>
      <c r="Y449" s="13">
        <f t="shared" si="59"/>
        <v>53676.577225367044</v>
      </c>
      <c r="Z449" s="14">
        <v>0</v>
      </c>
      <c r="AA449" s="4">
        <v>0</v>
      </c>
      <c r="AB449" s="4">
        <f t="shared" si="60"/>
        <v>118520.11000000003</v>
      </c>
      <c r="AC449" s="6">
        <f t="shared" si="61"/>
        <v>0</v>
      </c>
      <c r="AD449" s="18">
        <f t="shared" si="66"/>
        <v>64843.532774632986</v>
      </c>
      <c r="AE449" s="2">
        <v>7.0000000000000007E-2</v>
      </c>
      <c r="AF449" s="5">
        <f t="shared" si="62"/>
        <v>4539.0472942243096</v>
      </c>
      <c r="AG449" s="14">
        <v>0</v>
      </c>
      <c r="AH449" s="10">
        <f t="shared" si="67"/>
        <v>118520.11000000003</v>
      </c>
      <c r="AI449" s="16"/>
      <c r="AJ449" s="126" t="e">
        <v>#N/A</v>
      </c>
      <c r="AK449" s="80">
        <f t="shared" si="63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65"/>
        <v>0</v>
      </c>
      <c r="X450" s="18">
        <f t="shared" si="64"/>
        <v>0</v>
      </c>
      <c r="Y450" s="13">
        <f t="shared" si="59"/>
        <v>0</v>
      </c>
      <c r="Z450" s="14">
        <v>0</v>
      </c>
      <c r="AA450" s="4">
        <v>0</v>
      </c>
      <c r="AB450" s="4">
        <f t="shared" si="60"/>
        <v>0</v>
      </c>
      <c r="AC450" s="6">
        <f t="shared" si="61"/>
        <v>0</v>
      </c>
      <c r="AD450" s="18">
        <f t="shared" si="66"/>
        <v>0</v>
      </c>
      <c r="AE450" s="2">
        <v>7.0000000000000007E-2</v>
      </c>
      <c r="AF450" s="5">
        <f t="shared" si="62"/>
        <v>0</v>
      </c>
      <c r="AG450" s="14">
        <v>0</v>
      </c>
      <c r="AH450" s="10">
        <f t="shared" si="67"/>
        <v>0</v>
      </c>
      <c r="AI450" s="16"/>
      <c r="AJ450" s="126" t="e">
        <v>#N/A</v>
      </c>
      <c r="AK450" s="80">
        <f t="shared" si="63"/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65"/>
        <v>351750</v>
      </c>
      <c r="X451" s="18">
        <f t="shared" si="64"/>
        <v>0</v>
      </c>
      <c r="Y451" s="13">
        <f t="shared" ref="Y451:Y514" si="6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69">X451+AA451</f>
        <v>0</v>
      </c>
      <c r="AC451" s="6">
        <f t="shared" ref="AC451:AC514" si="70">IF(P451="返现",X451*Q451,V451-X451)</f>
        <v>0</v>
      </c>
      <c r="AD451" s="18">
        <f t="shared" si="66"/>
        <v>0</v>
      </c>
      <c r="AE451" s="2">
        <v>7.0000000000000007E-2</v>
      </c>
      <c r="AF451" s="5">
        <f t="shared" ref="AF451:AF514" si="71">AD451*AE451</f>
        <v>0</v>
      </c>
      <c r="AG451" s="14">
        <v>0</v>
      </c>
      <c r="AH451" s="10">
        <f t="shared" si="67"/>
        <v>0</v>
      </c>
      <c r="AI451" s="16"/>
      <c r="AJ451" s="126" t="e">
        <v>#N/A</v>
      </c>
      <c r="AK451" s="80">
        <f t="shared" ref="AK451:AK514" si="72">X451+AA451-AB451</f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65"/>
        <v>216127.94000000041</v>
      </c>
      <c r="X452" s="18">
        <f t="shared" si="64"/>
        <v>2084947.3233830845</v>
      </c>
      <c r="Y452" s="13">
        <f t="shared" si="68"/>
        <v>938548.39709403389</v>
      </c>
      <c r="Z452" s="14">
        <v>0</v>
      </c>
      <c r="AA452" s="4">
        <v>0</v>
      </c>
      <c r="AB452" s="4">
        <f t="shared" si="69"/>
        <v>2084947.3233830845</v>
      </c>
      <c r="AC452" s="6">
        <f t="shared" si="70"/>
        <v>10424.736616915092</v>
      </c>
      <c r="AD452" s="18">
        <f t="shared" si="66"/>
        <v>1146398.9262890506</v>
      </c>
      <c r="AE452" s="2">
        <v>7.0000000000000007E-2</v>
      </c>
      <c r="AF452" s="5">
        <f t="shared" si="71"/>
        <v>80247.924840233551</v>
      </c>
      <c r="AG452" s="14">
        <v>0</v>
      </c>
      <c r="AH452" s="10">
        <f t="shared" si="67"/>
        <v>2095372.0599999996</v>
      </c>
      <c r="AI452" s="16"/>
      <c r="AJ452" s="126" t="e">
        <v>#N/A</v>
      </c>
      <c r="AK452" s="80">
        <f t="shared" si="72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65"/>
        <v>309311.36999999965</v>
      </c>
      <c r="X453" s="18">
        <f t="shared" si="64"/>
        <v>1992227.4925373141</v>
      </c>
      <c r="Y453" s="13">
        <f t="shared" si="68"/>
        <v>896810.14901305898</v>
      </c>
      <c r="Z453" s="14">
        <v>0</v>
      </c>
      <c r="AA453" s="4">
        <v>0</v>
      </c>
      <c r="AB453" s="4">
        <f t="shared" si="69"/>
        <v>1992227.4925373141</v>
      </c>
      <c r="AC453" s="6">
        <f t="shared" si="70"/>
        <v>9961.1374626862817</v>
      </c>
      <c r="AD453" s="18">
        <f t="shared" si="66"/>
        <v>1095417.3435242551</v>
      </c>
      <c r="AE453" s="2">
        <v>7.0000000000000007E-2</v>
      </c>
      <c r="AF453" s="5">
        <f t="shared" si="71"/>
        <v>76679.21404669786</v>
      </c>
      <c r="AG453" s="14">
        <v>0</v>
      </c>
      <c r="AH453" s="10">
        <f t="shared" si="67"/>
        <v>2002188.6300000004</v>
      </c>
      <c r="AI453" s="16"/>
      <c r="AJ453" s="126" t="e">
        <v>#N/A</v>
      </c>
      <c r="AK453" s="80">
        <f t="shared" si="72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65"/>
        <v>40456.410000000003</v>
      </c>
      <c r="X454" s="18">
        <f t="shared" si="64"/>
        <v>48572.147058823524</v>
      </c>
      <c r="Y454" s="13">
        <f t="shared" si="68"/>
        <v>21466.355459929648</v>
      </c>
      <c r="Z454" s="14">
        <v>0</v>
      </c>
      <c r="AA454" s="4">
        <v>0</v>
      </c>
      <c r="AB454" s="4">
        <f t="shared" si="69"/>
        <v>48572.147058823524</v>
      </c>
      <c r="AC454" s="6">
        <f t="shared" si="70"/>
        <v>971.44294117647223</v>
      </c>
      <c r="AD454" s="18">
        <f t="shared" si="66"/>
        <v>27105.791598893877</v>
      </c>
      <c r="AE454" s="2">
        <v>7.0000000000000007E-2</v>
      </c>
      <c r="AF454" s="5">
        <f t="shared" si="71"/>
        <v>1897.4054119225716</v>
      </c>
      <c r="AG454" s="14">
        <v>0</v>
      </c>
      <c r="AH454" s="10">
        <f t="shared" si="67"/>
        <v>49543.59</v>
      </c>
      <c r="AI454" s="16"/>
      <c r="AJ454" s="126" t="e">
        <v>#N/A</v>
      </c>
      <c r="AK454" s="80">
        <f t="shared" si="72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65"/>
        <v>182208.97</v>
      </c>
      <c r="X455" s="18">
        <f t="shared" si="64"/>
        <v>7638.2647058823522</v>
      </c>
      <c r="Y455" s="13">
        <f t="shared" si="68"/>
        <v>3375.714585458496</v>
      </c>
      <c r="Z455" s="14">
        <v>0</v>
      </c>
      <c r="AA455" s="4">
        <v>0</v>
      </c>
      <c r="AB455" s="4">
        <f t="shared" si="69"/>
        <v>7638.2647058823522</v>
      </c>
      <c r="AC455" s="6">
        <f t="shared" si="70"/>
        <v>152.7652941176475</v>
      </c>
      <c r="AD455" s="18">
        <f t="shared" si="66"/>
        <v>4262.5501204238562</v>
      </c>
      <c r="AE455" s="2">
        <v>7.0000000000000007E-2</v>
      </c>
      <c r="AF455" s="5">
        <f t="shared" si="71"/>
        <v>298.37850842966998</v>
      </c>
      <c r="AG455" s="14">
        <v>0</v>
      </c>
      <c r="AH455" s="10">
        <f t="shared" si="67"/>
        <v>7791.03</v>
      </c>
      <c r="AI455" s="16"/>
      <c r="AJ455" s="126" t="e">
        <v>#N/A</v>
      </c>
      <c r="AK455" s="80">
        <f t="shared" si="72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65"/>
        <v>0</v>
      </c>
      <c r="X456" s="18">
        <f t="shared" si="64"/>
        <v>0</v>
      </c>
      <c r="Y456" s="13">
        <f t="shared" si="68"/>
        <v>0</v>
      </c>
      <c r="Z456" s="14">
        <v>0</v>
      </c>
      <c r="AA456" s="4">
        <v>0</v>
      </c>
      <c r="AB456" s="4">
        <f t="shared" si="69"/>
        <v>0</v>
      </c>
      <c r="AC456" s="6">
        <f t="shared" si="70"/>
        <v>0</v>
      </c>
      <c r="AD456" s="18">
        <f t="shared" si="66"/>
        <v>0</v>
      </c>
      <c r="AE456" s="2">
        <v>7.0000000000000007E-2</v>
      </c>
      <c r="AF456" s="5">
        <f t="shared" si="71"/>
        <v>0</v>
      </c>
      <c r="AG456" s="14">
        <v>0</v>
      </c>
      <c r="AH456" s="10">
        <f t="shared" si="67"/>
        <v>0</v>
      </c>
      <c r="AI456" s="16"/>
      <c r="AJ456" s="126" t="e">
        <v>#N/A</v>
      </c>
      <c r="AK456" s="80">
        <f t="shared" si="72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65"/>
        <v>10000</v>
      </c>
      <c r="X457" s="18">
        <f t="shared" si="64"/>
        <v>0</v>
      </c>
      <c r="Y457" s="13">
        <f t="shared" si="68"/>
        <v>0</v>
      </c>
      <c r="Z457" s="14">
        <v>0</v>
      </c>
      <c r="AA457" s="4">
        <v>0</v>
      </c>
      <c r="AB457" s="4">
        <f t="shared" si="69"/>
        <v>0</v>
      </c>
      <c r="AC457" s="6">
        <f t="shared" si="70"/>
        <v>0</v>
      </c>
      <c r="AD457" s="18">
        <f t="shared" si="66"/>
        <v>0</v>
      </c>
      <c r="AE457" s="2">
        <v>0.12</v>
      </c>
      <c r="AF457" s="5">
        <f t="shared" si="71"/>
        <v>0</v>
      </c>
      <c r="AG457" s="14">
        <v>0</v>
      </c>
      <c r="AH457" s="10">
        <f t="shared" si="67"/>
        <v>0</v>
      </c>
      <c r="AI457" s="16"/>
      <c r="AJ457" s="126" t="e">
        <v>#N/A</v>
      </c>
      <c r="AK457" s="80">
        <f t="shared" si="72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65"/>
        <v>59712.119999999995</v>
      </c>
      <c r="X458" s="18">
        <f t="shared" si="64"/>
        <v>190287.88</v>
      </c>
      <c r="Y458" s="13">
        <f t="shared" si="68"/>
        <v>86179.485370637733</v>
      </c>
      <c r="Z458" s="14">
        <v>0</v>
      </c>
      <c r="AA458" s="4">
        <v>0</v>
      </c>
      <c r="AB458" s="4">
        <f t="shared" si="69"/>
        <v>190287.88</v>
      </c>
      <c r="AC458" s="6">
        <f t="shared" si="70"/>
        <v>0</v>
      </c>
      <c r="AD458" s="18">
        <f t="shared" si="66"/>
        <v>104108.39462936227</v>
      </c>
      <c r="AE458" s="2">
        <v>7.0000000000000007E-2</v>
      </c>
      <c r="AF458" s="5">
        <f t="shared" si="71"/>
        <v>7287.5876240553598</v>
      </c>
      <c r="AG458" s="14">
        <v>0</v>
      </c>
      <c r="AH458" s="10">
        <f t="shared" si="67"/>
        <v>190287.88</v>
      </c>
      <c r="AI458" s="16"/>
      <c r="AJ458" s="126" t="e">
        <v>#N/A</v>
      </c>
      <c r="AK458" s="80">
        <f t="shared" si="72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65"/>
        <v>70471.400000000023</v>
      </c>
      <c r="X459" s="18">
        <f t="shared" si="64"/>
        <v>629528.6</v>
      </c>
      <c r="Y459" s="13">
        <f t="shared" si="68"/>
        <v>285107.23212691239</v>
      </c>
      <c r="Z459" s="14">
        <v>0</v>
      </c>
      <c r="AA459" s="4">
        <v>0</v>
      </c>
      <c r="AB459" s="4">
        <f t="shared" si="69"/>
        <v>629528.6</v>
      </c>
      <c r="AC459" s="6">
        <f t="shared" si="70"/>
        <v>0</v>
      </c>
      <c r="AD459" s="18">
        <f t="shared" si="66"/>
        <v>344421.36787308758</v>
      </c>
      <c r="AE459" s="2">
        <v>7.0000000000000007E-2</v>
      </c>
      <c r="AF459" s="5">
        <f t="shared" si="71"/>
        <v>24109.495751116134</v>
      </c>
      <c r="AG459" s="14">
        <v>0</v>
      </c>
      <c r="AH459" s="10">
        <f t="shared" si="67"/>
        <v>629528.6</v>
      </c>
      <c r="AI459" s="16"/>
      <c r="AJ459" s="126" t="e">
        <v>#N/A</v>
      </c>
      <c r="AK459" s="80">
        <f t="shared" si="72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65"/>
        <v>20000</v>
      </c>
      <c r="X460" s="18">
        <f t="shared" si="64"/>
        <v>0</v>
      </c>
      <c r="Y460" s="13">
        <f t="shared" si="68"/>
        <v>0</v>
      </c>
      <c r="Z460" s="14">
        <v>0</v>
      </c>
      <c r="AA460" s="4">
        <v>0</v>
      </c>
      <c r="AB460" s="4">
        <f t="shared" si="69"/>
        <v>0</v>
      </c>
      <c r="AC460" s="6">
        <f t="shared" si="70"/>
        <v>0</v>
      </c>
      <c r="AD460" s="18">
        <f t="shared" si="66"/>
        <v>0</v>
      </c>
      <c r="AE460" s="2">
        <v>7.0000000000000007E-2</v>
      </c>
      <c r="AF460" s="5">
        <f t="shared" si="71"/>
        <v>0</v>
      </c>
      <c r="AG460" s="14">
        <v>0</v>
      </c>
      <c r="AH460" s="10">
        <f t="shared" si="67"/>
        <v>0</v>
      </c>
      <c r="AI460" s="16"/>
      <c r="AJ460" s="126" t="e">
        <v>#N/A</v>
      </c>
      <c r="AK460" s="80">
        <f t="shared" si="72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65"/>
        <v>3758.2199999999993</v>
      </c>
      <c r="X461" s="18">
        <f t="shared" si="64"/>
        <v>6241.7800000000007</v>
      </c>
      <c r="Y461" s="13">
        <f t="shared" si="68"/>
        <v>2826.8399868490792</v>
      </c>
      <c r="Z461" s="14">
        <v>0</v>
      </c>
      <c r="AA461" s="4">
        <v>0</v>
      </c>
      <c r="AB461" s="4">
        <f t="shared" si="69"/>
        <v>6241.7800000000007</v>
      </c>
      <c r="AC461" s="6">
        <f t="shared" si="70"/>
        <v>0</v>
      </c>
      <c r="AD461" s="18">
        <f t="shared" si="66"/>
        <v>3414.9400131509215</v>
      </c>
      <c r="AE461" s="2">
        <v>7.0000000000000007E-2</v>
      </c>
      <c r="AF461" s="5">
        <f t="shared" si="71"/>
        <v>239.04580092056452</v>
      </c>
      <c r="AG461" s="14">
        <v>0</v>
      </c>
      <c r="AH461" s="10">
        <f t="shared" si="67"/>
        <v>6241.7800000000007</v>
      </c>
      <c r="AI461" s="16"/>
      <c r="AJ461" s="126" t="e">
        <v>#N/A</v>
      </c>
      <c r="AK461" s="80">
        <f t="shared" si="72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65"/>
        <v>0</v>
      </c>
      <c r="X462" s="18">
        <f t="shared" si="64"/>
        <v>5147.7961165048537</v>
      </c>
      <c r="Y462" s="13">
        <f t="shared" si="68"/>
        <v>2246.8932673289446</v>
      </c>
      <c r="Z462" s="14">
        <v>0</v>
      </c>
      <c r="AA462" s="4">
        <v>0</v>
      </c>
      <c r="AB462" s="4">
        <f t="shared" si="69"/>
        <v>5147.7961165048537</v>
      </c>
      <c r="AC462" s="6">
        <f t="shared" si="70"/>
        <v>154.43388349514589</v>
      </c>
      <c r="AD462" s="18">
        <f t="shared" si="66"/>
        <v>2900.9028491759091</v>
      </c>
      <c r="AE462" s="2">
        <v>7.0000000000000007E-2</v>
      </c>
      <c r="AF462" s="5">
        <f t="shared" si="71"/>
        <v>203.06319944231365</v>
      </c>
      <c r="AG462" s="14">
        <v>0</v>
      </c>
      <c r="AH462" s="10">
        <f t="shared" si="67"/>
        <v>5302.23</v>
      </c>
      <c r="AI462" s="16"/>
      <c r="AJ462" s="126" t="e">
        <v>#N/A</v>
      </c>
      <c r="AK462" s="80">
        <f t="shared" si="72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65"/>
        <v>50000</v>
      </c>
      <c r="X463" s="18">
        <f t="shared" si="64"/>
        <v>0</v>
      </c>
      <c r="Y463" s="13">
        <f t="shared" si="68"/>
        <v>0</v>
      </c>
      <c r="Z463" s="14">
        <v>0</v>
      </c>
      <c r="AA463" s="4">
        <v>0</v>
      </c>
      <c r="AB463" s="4">
        <f t="shared" si="69"/>
        <v>0</v>
      </c>
      <c r="AC463" s="6">
        <f t="shared" si="70"/>
        <v>0</v>
      </c>
      <c r="AD463" s="18">
        <f t="shared" si="66"/>
        <v>0</v>
      </c>
      <c r="AE463" s="2">
        <v>0.12</v>
      </c>
      <c r="AF463" s="5">
        <f t="shared" si="71"/>
        <v>0</v>
      </c>
      <c r="AG463" s="14">
        <v>0</v>
      </c>
      <c r="AH463" s="10">
        <f t="shared" si="67"/>
        <v>0</v>
      </c>
      <c r="AI463" s="16"/>
      <c r="AJ463" s="126" t="e">
        <v>#N/A</v>
      </c>
      <c r="AK463" s="80">
        <f t="shared" si="72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65"/>
        <v>122148.09999999998</v>
      </c>
      <c r="X464" s="18">
        <f t="shared" si="64"/>
        <v>577851.9</v>
      </c>
      <c r="Y464" s="13">
        <f t="shared" si="68"/>
        <v>261703.36945498164</v>
      </c>
      <c r="Z464" s="14">
        <v>0</v>
      </c>
      <c r="AA464" s="4">
        <v>0</v>
      </c>
      <c r="AB464" s="4">
        <f t="shared" si="69"/>
        <v>577851.9</v>
      </c>
      <c r="AC464" s="6">
        <f t="shared" si="70"/>
        <v>0</v>
      </c>
      <c r="AD464" s="18">
        <f t="shared" si="66"/>
        <v>316148.53054501838</v>
      </c>
      <c r="AE464" s="2">
        <v>7.0000000000000007E-2</v>
      </c>
      <c r="AF464" s="5">
        <f t="shared" si="71"/>
        <v>22130.397138151289</v>
      </c>
      <c r="AG464" s="14">
        <v>0</v>
      </c>
      <c r="AH464" s="10">
        <f t="shared" si="67"/>
        <v>577851.9</v>
      </c>
      <c r="AI464" s="16"/>
      <c r="AJ464" s="126" t="e">
        <v>#N/A</v>
      </c>
      <c r="AK464" s="80">
        <f t="shared" si="72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65"/>
        <v>10350.550000000001</v>
      </c>
      <c r="X465" s="18">
        <f t="shared" si="64"/>
        <v>9649.4499999999989</v>
      </c>
      <c r="Y465" s="13">
        <f t="shared" si="68"/>
        <v>4370.1397856221856</v>
      </c>
      <c r="Z465" s="14">
        <v>0</v>
      </c>
      <c r="AA465" s="4">
        <v>0</v>
      </c>
      <c r="AB465" s="4">
        <f t="shared" si="69"/>
        <v>9649.4499999999989</v>
      </c>
      <c r="AC465" s="6">
        <f t="shared" si="70"/>
        <v>0</v>
      </c>
      <c r="AD465" s="18">
        <f t="shared" si="66"/>
        <v>5279.3102143778133</v>
      </c>
      <c r="AE465" s="2">
        <v>7.0000000000000007E-2</v>
      </c>
      <c r="AF465" s="5">
        <f t="shared" si="71"/>
        <v>369.55171500644695</v>
      </c>
      <c r="AG465" s="14">
        <v>0</v>
      </c>
      <c r="AH465" s="10">
        <f t="shared" si="67"/>
        <v>9649.4499999999989</v>
      </c>
      <c r="AI465" s="16"/>
      <c r="AJ465" s="126" t="e">
        <v>#N/A</v>
      </c>
      <c r="AK465" s="80">
        <f t="shared" si="72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65"/>
        <v>9546.7900000000009</v>
      </c>
      <c r="X466" s="18">
        <f t="shared" si="64"/>
        <v>435.77884615384613</v>
      </c>
      <c r="Y466" s="13">
        <f t="shared" si="68"/>
        <v>187.8231406723763</v>
      </c>
      <c r="Z466" s="14">
        <v>0</v>
      </c>
      <c r="AA466" s="4">
        <v>0</v>
      </c>
      <c r="AB466" s="4">
        <f t="shared" si="69"/>
        <v>435.77884615384613</v>
      </c>
      <c r="AC466" s="6">
        <f t="shared" si="70"/>
        <v>17.431153846153848</v>
      </c>
      <c r="AD466" s="18">
        <f t="shared" si="66"/>
        <v>247.95570548146983</v>
      </c>
      <c r="AE466" s="2">
        <v>0.12</v>
      </c>
      <c r="AF466" s="5">
        <f t="shared" si="71"/>
        <v>29.75468465777638</v>
      </c>
      <c r="AG466" s="14">
        <v>0</v>
      </c>
      <c r="AH466" s="10">
        <f t="shared" si="67"/>
        <v>453.21</v>
      </c>
      <c r="AI466" s="16"/>
      <c r="AJ466" s="126" t="e">
        <v>#N/A</v>
      </c>
      <c r="AK466" s="80">
        <f t="shared" si="72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65"/>
        <v>20787.439999999999</v>
      </c>
      <c r="X467" s="18">
        <f t="shared" ref="X467:X530" si="73">IF(P467="折扣",V467*Q467,IF(P467="返现",V467,V467/(1+Q467)))</f>
        <v>24212.560000000001</v>
      </c>
      <c r="Y467" s="13">
        <f t="shared" si="68"/>
        <v>10965.627239662812</v>
      </c>
      <c r="Z467" s="14">
        <v>0</v>
      </c>
      <c r="AA467" s="4">
        <v>0</v>
      </c>
      <c r="AB467" s="4">
        <f t="shared" si="69"/>
        <v>24212.560000000001</v>
      </c>
      <c r="AC467" s="6">
        <f t="shared" si="70"/>
        <v>0</v>
      </c>
      <c r="AD467" s="18">
        <f t="shared" si="66"/>
        <v>13246.932760337189</v>
      </c>
      <c r="AE467" s="2">
        <v>7.0000000000000007E-2</v>
      </c>
      <c r="AF467" s="5">
        <f t="shared" si="71"/>
        <v>927.28529322360339</v>
      </c>
      <c r="AG467" s="14">
        <v>0</v>
      </c>
      <c r="AH467" s="10">
        <f t="shared" si="67"/>
        <v>24212.560000000001</v>
      </c>
      <c r="AI467" s="16"/>
      <c r="AJ467" s="126" t="e">
        <v>#N/A</v>
      </c>
      <c r="AK467" s="80">
        <f t="shared" si="72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74">T468+U468-V468</f>
        <v>8009.5</v>
      </c>
      <c r="X468" s="18">
        <f t="shared" si="73"/>
        <v>1951.4705882352941</v>
      </c>
      <c r="Y468" s="13">
        <f t="shared" si="68"/>
        <v>862.44821061594394</v>
      </c>
      <c r="Z468" s="14">
        <v>0</v>
      </c>
      <c r="AA468" s="4">
        <v>0</v>
      </c>
      <c r="AB468" s="4">
        <f t="shared" si="69"/>
        <v>1951.4705882352941</v>
      </c>
      <c r="AC468" s="6">
        <f t="shared" si="70"/>
        <v>39.029411764705856</v>
      </c>
      <c r="AD468" s="18">
        <f t="shared" si="66"/>
        <v>1089.0223776193502</v>
      </c>
      <c r="AE468" s="2">
        <v>7.0000000000000007E-2</v>
      </c>
      <c r="AF468" s="5">
        <f t="shared" si="71"/>
        <v>76.231566433354516</v>
      </c>
      <c r="AG468" s="14">
        <v>0</v>
      </c>
      <c r="AH468" s="10">
        <f t="shared" si="67"/>
        <v>1990.5</v>
      </c>
      <c r="AI468" s="16"/>
      <c r="AJ468" s="126" t="e">
        <v>#N/A</v>
      </c>
      <c r="AK468" s="80">
        <f t="shared" si="72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74"/>
        <v>6229.4800000000032</v>
      </c>
      <c r="X469" s="18">
        <f t="shared" si="73"/>
        <v>23500.509803921566</v>
      </c>
      <c r="Y469" s="13">
        <f t="shared" si="68"/>
        <v>10385.999538575079</v>
      </c>
      <c r="Z469" s="14">
        <v>0</v>
      </c>
      <c r="AA469" s="4">
        <v>0</v>
      </c>
      <c r="AB469" s="4">
        <f t="shared" si="69"/>
        <v>23500.509803921566</v>
      </c>
      <c r="AC469" s="6">
        <f t="shared" si="70"/>
        <v>470.01019607843045</v>
      </c>
      <c r="AD469" s="18">
        <f t="shared" si="66"/>
        <v>13114.510265346487</v>
      </c>
      <c r="AE469" s="2">
        <v>7.0000000000000007E-2</v>
      </c>
      <c r="AF469" s="5">
        <f t="shared" si="71"/>
        <v>918.01571857425415</v>
      </c>
      <c r="AG469" s="14">
        <v>0</v>
      </c>
      <c r="AH469" s="10">
        <f t="shared" si="67"/>
        <v>23970.519999999997</v>
      </c>
      <c r="AI469" s="16"/>
      <c r="AJ469" s="126" t="e">
        <v>#N/A</v>
      </c>
      <c r="AK469" s="80">
        <f t="shared" si="72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74"/>
        <v>0</v>
      </c>
      <c r="X470" s="18">
        <f t="shared" si="73"/>
        <v>0</v>
      </c>
      <c r="Y470" s="13">
        <f t="shared" si="68"/>
        <v>0</v>
      </c>
      <c r="Z470" s="14">
        <v>0</v>
      </c>
      <c r="AA470" s="4">
        <v>0</v>
      </c>
      <c r="AB470" s="4">
        <f t="shared" si="69"/>
        <v>0</v>
      </c>
      <c r="AC470" s="6">
        <f t="shared" si="70"/>
        <v>0</v>
      </c>
      <c r="AD470" s="18">
        <f t="shared" si="66"/>
        <v>0</v>
      </c>
      <c r="AE470" s="2">
        <v>7.0000000000000007E-2</v>
      </c>
      <c r="AF470" s="5">
        <f t="shared" si="71"/>
        <v>0</v>
      </c>
      <c r="AG470" s="14">
        <v>0</v>
      </c>
      <c r="AH470" s="10">
        <f t="shared" si="67"/>
        <v>0</v>
      </c>
      <c r="AI470" s="16"/>
      <c r="AJ470" s="126" t="e">
        <v>#N/A</v>
      </c>
      <c r="AK470" s="80">
        <f t="shared" si="72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74"/>
        <v>10034.099999999999</v>
      </c>
      <c r="X471" s="18">
        <f t="shared" si="73"/>
        <v>59965.9</v>
      </c>
      <c r="Y471" s="13">
        <f t="shared" si="68"/>
        <v>27157.958782173228</v>
      </c>
      <c r="Z471" s="14">
        <v>0</v>
      </c>
      <c r="AA471" s="4">
        <v>0</v>
      </c>
      <c r="AB471" s="4">
        <f t="shared" si="69"/>
        <v>59965.9</v>
      </c>
      <c r="AC471" s="6">
        <f t="shared" si="70"/>
        <v>0</v>
      </c>
      <c r="AD471" s="18">
        <f t="shared" si="66"/>
        <v>32807.941217826774</v>
      </c>
      <c r="AE471" s="2">
        <v>7.0000000000000007E-2</v>
      </c>
      <c r="AF471" s="5">
        <f t="shared" si="71"/>
        <v>2296.5558852478744</v>
      </c>
      <c r="AG471" s="14">
        <v>0</v>
      </c>
      <c r="AH471" s="10">
        <f t="shared" si="67"/>
        <v>59965.9</v>
      </c>
      <c r="AI471" s="16"/>
      <c r="AJ471" s="126" t="e">
        <v>#N/A</v>
      </c>
      <c r="AK471" s="80">
        <f t="shared" si="72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74"/>
        <v>18722.119999999995</v>
      </c>
      <c r="X472" s="18">
        <f t="shared" si="73"/>
        <v>21277.880000000005</v>
      </c>
      <c r="Y472" s="13">
        <f t="shared" si="68"/>
        <v>9636.5399003771836</v>
      </c>
      <c r="Z472" s="14">
        <v>0</v>
      </c>
      <c r="AA472" s="4">
        <v>0</v>
      </c>
      <c r="AB472" s="4">
        <f t="shared" si="69"/>
        <v>21277.880000000005</v>
      </c>
      <c r="AC472" s="6">
        <f t="shared" si="70"/>
        <v>0</v>
      </c>
      <c r="AD472" s="18">
        <f t="shared" si="66"/>
        <v>11641.340099622821</v>
      </c>
      <c r="AE472" s="2">
        <v>7.0000000000000007E-2</v>
      </c>
      <c r="AF472" s="5">
        <f t="shared" si="71"/>
        <v>814.89380697359752</v>
      </c>
      <c r="AG472" s="14">
        <v>0</v>
      </c>
      <c r="AH472" s="10">
        <f t="shared" si="67"/>
        <v>21277.880000000005</v>
      </c>
      <c r="AI472" s="16"/>
      <c r="AJ472" s="126" t="e">
        <v>#N/A</v>
      </c>
      <c r="AK472" s="80">
        <f t="shared" si="72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74"/>
        <v>5173.7099999999991</v>
      </c>
      <c r="X473" s="18">
        <f t="shared" si="73"/>
        <v>4778.5049504950503</v>
      </c>
      <c r="Y473" s="13">
        <f t="shared" si="68"/>
        <v>2137.993616216982</v>
      </c>
      <c r="Z473" s="14">
        <v>0</v>
      </c>
      <c r="AA473" s="4">
        <v>0</v>
      </c>
      <c r="AB473" s="4">
        <f t="shared" si="69"/>
        <v>4778.5049504950503</v>
      </c>
      <c r="AC473" s="6">
        <f t="shared" si="70"/>
        <v>47.785049504950621</v>
      </c>
      <c r="AD473" s="18">
        <f t="shared" si="66"/>
        <v>2640.5113342780683</v>
      </c>
      <c r="AE473" s="2">
        <v>7.0000000000000007E-2</v>
      </c>
      <c r="AF473" s="5">
        <f t="shared" si="71"/>
        <v>184.83579339946479</v>
      </c>
      <c r="AG473" s="14">
        <v>0</v>
      </c>
      <c r="AH473" s="10">
        <f t="shared" si="67"/>
        <v>4826.2900000000009</v>
      </c>
      <c r="AI473" s="16"/>
      <c r="AJ473" s="126" t="e">
        <v>#N/A</v>
      </c>
      <c r="AK473" s="80">
        <f t="shared" si="72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74"/>
        <v>6535.16</v>
      </c>
      <c r="X474" s="18">
        <f t="shared" si="73"/>
        <v>3464.8399999999997</v>
      </c>
      <c r="Y474" s="13">
        <f t="shared" si="68"/>
        <v>1569.191522295589</v>
      </c>
      <c r="Z474" s="14">
        <v>0</v>
      </c>
      <c r="AA474" s="4">
        <v>0</v>
      </c>
      <c r="AB474" s="4">
        <f t="shared" si="69"/>
        <v>3464.8399999999997</v>
      </c>
      <c r="AC474" s="6">
        <f t="shared" si="70"/>
        <v>0</v>
      </c>
      <c r="AD474" s="18">
        <f t="shared" si="66"/>
        <v>1895.6484777044107</v>
      </c>
      <c r="AE474" s="2">
        <v>7.0000000000000007E-2</v>
      </c>
      <c r="AF474" s="5">
        <f t="shared" si="71"/>
        <v>132.69539343930876</v>
      </c>
      <c r="AG474" s="14">
        <v>0</v>
      </c>
      <c r="AH474" s="10">
        <f t="shared" si="67"/>
        <v>3464.8399999999997</v>
      </c>
      <c r="AI474" s="16"/>
      <c r="AJ474" s="126" t="e">
        <v>#N/A</v>
      </c>
      <c r="AK474" s="80">
        <f t="shared" si="72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74"/>
        <v>89955.200000000012</v>
      </c>
      <c r="X475" s="18">
        <f t="shared" si="73"/>
        <v>303965.49019607843</v>
      </c>
      <c r="Y475" s="13">
        <f t="shared" si="68"/>
        <v>134336.89172106417</v>
      </c>
      <c r="Z475" s="14">
        <v>0</v>
      </c>
      <c r="AA475" s="4">
        <v>0</v>
      </c>
      <c r="AB475" s="4">
        <f t="shared" si="69"/>
        <v>303965.49019607843</v>
      </c>
      <c r="AC475" s="6">
        <f t="shared" si="70"/>
        <v>6079.3098039215547</v>
      </c>
      <c r="AD475" s="18">
        <f t="shared" si="66"/>
        <v>169628.59847501427</v>
      </c>
      <c r="AE475" s="2">
        <v>7.0000000000000007E-2</v>
      </c>
      <c r="AF475" s="5">
        <f t="shared" si="71"/>
        <v>11874.001893250999</v>
      </c>
      <c r="AG475" s="14">
        <v>0</v>
      </c>
      <c r="AH475" s="10">
        <f t="shared" si="67"/>
        <v>310044.79999999999</v>
      </c>
      <c r="AI475" s="16"/>
      <c r="AJ475" s="126" t="e">
        <v>#N/A</v>
      </c>
      <c r="AK475" s="80">
        <f t="shared" si="72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74"/>
        <v>21369.819999999992</v>
      </c>
      <c r="X476" s="18">
        <f t="shared" si="73"/>
        <v>18630.180000000008</v>
      </c>
      <c r="Y476" s="13">
        <f t="shared" si="68"/>
        <v>8437.422944447897</v>
      </c>
      <c r="Z476" s="14">
        <v>0</v>
      </c>
      <c r="AA476" s="4">
        <v>0</v>
      </c>
      <c r="AB476" s="4">
        <f t="shared" si="69"/>
        <v>18630.180000000008</v>
      </c>
      <c r="AC476" s="6">
        <f t="shared" si="70"/>
        <v>0</v>
      </c>
      <c r="AD476" s="18">
        <f t="shared" si="66"/>
        <v>10192.757055552111</v>
      </c>
      <c r="AE476" s="2">
        <v>7.0000000000000007E-2</v>
      </c>
      <c r="AF476" s="5">
        <f t="shared" si="71"/>
        <v>713.49299388864779</v>
      </c>
      <c r="AG476" s="14">
        <v>0</v>
      </c>
      <c r="AH476" s="10">
        <f t="shared" si="67"/>
        <v>18630.180000000008</v>
      </c>
      <c r="AI476" s="16"/>
      <c r="AJ476" s="126" t="e">
        <v>#N/A</v>
      </c>
      <c r="AK476" s="80">
        <f t="shared" si="72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74"/>
        <v>2172.8000000000029</v>
      </c>
      <c r="X477" s="18">
        <f t="shared" si="73"/>
        <v>37827.199999999997</v>
      </c>
      <c r="Y477" s="13">
        <f t="shared" si="68"/>
        <v>17131.562078531682</v>
      </c>
      <c r="Z477" s="14">
        <v>0</v>
      </c>
      <c r="AA477" s="4">
        <v>0</v>
      </c>
      <c r="AB477" s="4">
        <f t="shared" si="69"/>
        <v>37827.199999999997</v>
      </c>
      <c r="AC477" s="6">
        <f t="shared" si="70"/>
        <v>0</v>
      </c>
      <c r="AD477" s="18">
        <f t="shared" si="66"/>
        <v>20695.637921468315</v>
      </c>
      <c r="AE477" s="2">
        <v>7.0000000000000007E-2</v>
      </c>
      <c r="AF477" s="5">
        <f t="shared" si="71"/>
        <v>1448.6946545027822</v>
      </c>
      <c r="AG477" s="14">
        <v>0</v>
      </c>
      <c r="AH477" s="10">
        <f t="shared" si="67"/>
        <v>37827.199999999997</v>
      </c>
      <c r="AI477" s="16"/>
      <c r="AJ477" s="126" t="e">
        <v>#N/A</v>
      </c>
      <c r="AK477" s="80">
        <f t="shared" si="72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74"/>
        <v>14489</v>
      </c>
      <c r="X478" s="18">
        <f t="shared" si="73"/>
        <v>5511</v>
      </c>
      <c r="Y478" s="13">
        <f t="shared" si="68"/>
        <v>2495.8770042400206</v>
      </c>
      <c r="Z478" s="14">
        <v>0</v>
      </c>
      <c r="AA478" s="4">
        <v>0</v>
      </c>
      <c r="AB478" s="4">
        <f t="shared" si="69"/>
        <v>5511</v>
      </c>
      <c r="AC478" s="6">
        <f t="shared" si="70"/>
        <v>0</v>
      </c>
      <c r="AD478" s="18">
        <f t="shared" si="66"/>
        <v>3015.1229957599794</v>
      </c>
      <c r="AE478" s="2">
        <v>7.0000000000000007E-2</v>
      </c>
      <c r="AF478" s="5">
        <f t="shared" si="71"/>
        <v>211.05860970319858</v>
      </c>
      <c r="AG478" s="14">
        <v>0</v>
      </c>
      <c r="AH478" s="10">
        <f t="shared" si="67"/>
        <v>5511</v>
      </c>
      <c r="AI478" s="16"/>
      <c r="AJ478" s="126" t="e">
        <v>#N/A</v>
      </c>
      <c r="AK478" s="80">
        <f t="shared" si="72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74"/>
        <v>0</v>
      </c>
      <c r="X479" s="18">
        <f t="shared" si="73"/>
        <v>0</v>
      </c>
      <c r="Y479" s="13">
        <f t="shared" si="68"/>
        <v>0</v>
      </c>
      <c r="Z479" s="14">
        <v>0</v>
      </c>
      <c r="AA479" s="4">
        <v>0</v>
      </c>
      <c r="AB479" s="4">
        <f t="shared" si="69"/>
        <v>0</v>
      </c>
      <c r="AC479" s="6">
        <f t="shared" si="70"/>
        <v>0</v>
      </c>
      <c r="AD479" s="18">
        <f t="shared" si="66"/>
        <v>0</v>
      </c>
      <c r="AE479" s="2">
        <v>7.0000000000000007E-2</v>
      </c>
      <c r="AF479" s="5">
        <f t="shared" si="71"/>
        <v>0</v>
      </c>
      <c r="AG479" s="14">
        <v>0</v>
      </c>
      <c r="AH479" s="10">
        <f t="shared" si="67"/>
        <v>0</v>
      </c>
      <c r="AI479" s="16"/>
      <c r="AJ479" s="126" t="e">
        <v>#N/A</v>
      </c>
      <c r="AK479" s="80">
        <f t="shared" si="72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74"/>
        <v>7149.0999999999913</v>
      </c>
      <c r="X480" s="18">
        <f t="shared" si="73"/>
        <v>110638.13725490197</v>
      </c>
      <c r="Y480" s="13">
        <f t="shared" si="68"/>
        <v>48896.285742978565</v>
      </c>
      <c r="Z480" s="14">
        <v>0</v>
      </c>
      <c r="AA480" s="4">
        <v>0</v>
      </c>
      <c r="AB480" s="4">
        <f t="shared" si="69"/>
        <v>110638.13725490197</v>
      </c>
      <c r="AC480" s="6">
        <f t="shared" si="70"/>
        <v>2212.7627450980362</v>
      </c>
      <c r="AD480" s="18">
        <f t="shared" si="66"/>
        <v>61741.851511923407</v>
      </c>
      <c r="AE480" s="2">
        <v>7.0000000000000007E-2</v>
      </c>
      <c r="AF480" s="5">
        <f t="shared" si="71"/>
        <v>4321.929605834639</v>
      </c>
      <c r="AG480" s="14">
        <v>0</v>
      </c>
      <c r="AH480" s="10">
        <f t="shared" si="67"/>
        <v>112850.90000000001</v>
      </c>
      <c r="AI480" s="16"/>
      <c r="AJ480" s="126" t="e">
        <v>#N/A</v>
      </c>
      <c r="AK480" s="80">
        <f t="shared" si="72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74"/>
        <v>0</v>
      </c>
      <c r="X481" s="18">
        <f t="shared" si="73"/>
        <v>-6330.3000000000029</v>
      </c>
      <c r="Y481" s="13">
        <f t="shared" si="68"/>
        <v>0</v>
      </c>
      <c r="Z481" s="14">
        <v>0</v>
      </c>
      <c r="AA481" s="4">
        <v>0</v>
      </c>
      <c r="AB481" s="4">
        <f t="shared" si="69"/>
        <v>-6330.3000000000029</v>
      </c>
      <c r="AC481" s="6">
        <f t="shared" si="70"/>
        <v>0</v>
      </c>
      <c r="AD481" s="18">
        <f t="shared" si="66"/>
        <v>-3463.370186909709</v>
      </c>
      <c r="AE481" s="2">
        <v>7.0000000000000007E-2</v>
      </c>
      <c r="AF481" s="5">
        <f t="shared" si="71"/>
        <v>-242.43591308367965</v>
      </c>
      <c r="AG481" s="14">
        <v>0</v>
      </c>
      <c r="AH481" s="10">
        <f t="shared" si="67"/>
        <v>-6330.3000000000029</v>
      </c>
      <c r="AI481" s="16"/>
      <c r="AJ481" s="126" t="e">
        <v>#N/A</v>
      </c>
      <c r="AK481" s="80">
        <f t="shared" si="72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74"/>
        <v>13736</v>
      </c>
      <c r="X482" s="18">
        <f t="shared" si="73"/>
        <v>74768.627450980392</v>
      </c>
      <c r="Y482" s="13">
        <f t="shared" si="68"/>
        <v>33043.833375741946</v>
      </c>
      <c r="Z482" s="14">
        <v>0</v>
      </c>
      <c r="AA482" s="4">
        <v>0</v>
      </c>
      <c r="AB482" s="4">
        <f t="shared" si="69"/>
        <v>74768.627450980392</v>
      </c>
      <c r="AC482" s="6">
        <f t="shared" si="70"/>
        <v>1495.3725490196084</v>
      </c>
      <c r="AD482" s="18">
        <f t="shared" si="66"/>
        <v>41724.794075238446</v>
      </c>
      <c r="AE482" s="2">
        <v>7.0000000000000007E-2</v>
      </c>
      <c r="AF482" s="5">
        <f t="shared" si="71"/>
        <v>2920.7355852666915</v>
      </c>
      <c r="AG482" s="14">
        <v>0</v>
      </c>
      <c r="AH482" s="10">
        <f t="shared" si="67"/>
        <v>76264</v>
      </c>
      <c r="AI482" s="16"/>
      <c r="AJ482" s="126" t="s">
        <v>4219</v>
      </c>
      <c r="AK482" s="80">
        <f t="shared" si="72"/>
        <v>0</v>
      </c>
      <c r="AL482" s="150"/>
      <c r="AM482" s="85"/>
    </row>
    <row r="483" spans="1:39" hidden="1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74"/>
        <v>108452.48999999993</v>
      </c>
      <c r="X483" s="18">
        <f t="shared" si="73"/>
        <v>285830.89215686283</v>
      </c>
      <c r="Y483" s="13">
        <f t="shared" si="68"/>
        <v>126322.34529466671</v>
      </c>
      <c r="Z483" s="14">
        <v>0</v>
      </c>
      <c r="AA483" s="4">
        <v>0</v>
      </c>
      <c r="AB483" s="4">
        <f t="shared" si="69"/>
        <v>285830.89215686283</v>
      </c>
      <c r="AC483" s="6">
        <f t="shared" si="70"/>
        <v>5716.6178431372391</v>
      </c>
      <c r="AD483" s="18">
        <f t="shared" si="66"/>
        <v>159508.54686219612</v>
      </c>
      <c r="AE483" s="2">
        <v>7.0000000000000007E-2</v>
      </c>
      <c r="AF483" s="5">
        <f t="shared" si="71"/>
        <v>11165.59828035373</v>
      </c>
      <c r="AG483" s="14">
        <v>0</v>
      </c>
      <c r="AH483" s="10">
        <f t="shared" si="67"/>
        <v>291547.51000000007</v>
      </c>
      <c r="AI483" s="16"/>
      <c r="AJ483" s="126" t="e">
        <v>#N/A</v>
      </c>
      <c r="AK483" s="80">
        <f t="shared" si="72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74"/>
        <v>2.9103830456733704E-11</v>
      </c>
      <c r="X484" s="18">
        <f t="shared" si="73"/>
        <v>0</v>
      </c>
      <c r="Y484" s="13">
        <f t="shared" si="68"/>
        <v>0</v>
      </c>
      <c r="Z484" s="14">
        <v>0</v>
      </c>
      <c r="AA484" s="4">
        <v>0</v>
      </c>
      <c r="AB484" s="4">
        <f t="shared" si="69"/>
        <v>0</v>
      </c>
      <c r="AC484" s="6">
        <f t="shared" si="70"/>
        <v>0</v>
      </c>
      <c r="AD484" s="18">
        <f t="shared" si="66"/>
        <v>0</v>
      </c>
      <c r="AE484" s="2">
        <v>7.0000000000000007E-2</v>
      </c>
      <c r="AF484" s="5">
        <f t="shared" si="71"/>
        <v>0</v>
      </c>
      <c r="AG484" s="14">
        <v>0</v>
      </c>
      <c r="AH484" s="10">
        <f t="shared" si="67"/>
        <v>0</v>
      </c>
      <c r="AI484" s="16"/>
      <c r="AJ484" s="126" t="e">
        <v>#N/A</v>
      </c>
      <c r="AK484" s="80">
        <f t="shared" si="72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74"/>
        <v>0</v>
      </c>
      <c r="X485" s="18">
        <f t="shared" si="73"/>
        <v>0</v>
      </c>
      <c r="Y485" s="13">
        <f t="shared" si="68"/>
        <v>0</v>
      </c>
      <c r="Z485" s="14">
        <v>0</v>
      </c>
      <c r="AA485" s="4">
        <v>0</v>
      </c>
      <c r="AB485" s="4">
        <f t="shared" si="69"/>
        <v>0</v>
      </c>
      <c r="AC485" s="6">
        <f t="shared" si="70"/>
        <v>0</v>
      </c>
      <c r="AD485" s="18">
        <f t="shared" si="66"/>
        <v>0</v>
      </c>
      <c r="AE485" s="2">
        <v>7.0000000000000007E-2</v>
      </c>
      <c r="AF485" s="5">
        <f t="shared" si="71"/>
        <v>0</v>
      </c>
      <c r="AG485" s="14">
        <v>0</v>
      </c>
      <c r="AH485" s="10">
        <f t="shared" si="67"/>
        <v>0</v>
      </c>
      <c r="AI485" s="16"/>
      <c r="AJ485" s="126" t="e">
        <v>#N/A</v>
      </c>
      <c r="AK485" s="80">
        <f t="shared" si="72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74"/>
        <v>8071.1900000000023</v>
      </c>
      <c r="X486" s="18">
        <f t="shared" si="73"/>
        <v>27406</v>
      </c>
      <c r="Y486" s="13">
        <f t="shared" si="68"/>
        <v>12411.904405407729</v>
      </c>
      <c r="Z486" s="14">
        <v>0</v>
      </c>
      <c r="AA486" s="4">
        <v>0</v>
      </c>
      <c r="AB486" s="4">
        <f t="shared" si="69"/>
        <v>27406</v>
      </c>
      <c r="AC486" s="6">
        <f t="shared" si="70"/>
        <v>0</v>
      </c>
      <c r="AD486" s="18">
        <f t="shared" si="66"/>
        <v>14994.095594592271</v>
      </c>
      <c r="AE486" s="2">
        <v>7.0000000000000007E-2</v>
      </c>
      <c r="AF486" s="5">
        <f t="shared" si="71"/>
        <v>1049.5866916214591</v>
      </c>
      <c r="AG486" s="14">
        <v>0</v>
      </c>
      <c r="AH486" s="10">
        <f t="shared" si="67"/>
        <v>27406</v>
      </c>
      <c r="AI486" s="16"/>
      <c r="AJ486" s="126" t="e">
        <v>#N/A</v>
      </c>
      <c r="AK486" s="80">
        <f t="shared" si="72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74"/>
        <v>44356.229999999996</v>
      </c>
      <c r="X487" s="18">
        <f t="shared" si="73"/>
        <v>55643.770000000004</v>
      </c>
      <c r="Y487" s="13">
        <f t="shared" si="68"/>
        <v>25200.509158450506</v>
      </c>
      <c r="Z487" s="14">
        <v>0</v>
      </c>
      <c r="AA487" s="4">
        <v>0</v>
      </c>
      <c r="AB487" s="4">
        <f t="shared" si="69"/>
        <v>55643.770000000004</v>
      </c>
      <c r="AC487" s="6">
        <f t="shared" si="70"/>
        <v>0</v>
      </c>
      <c r="AD487" s="18">
        <f t="shared" si="66"/>
        <v>30443.260841549498</v>
      </c>
      <c r="AE487" s="2">
        <v>7.0000000000000007E-2</v>
      </c>
      <c r="AF487" s="5">
        <f t="shared" si="71"/>
        <v>2131.028258908465</v>
      </c>
      <c r="AG487" s="14">
        <v>0</v>
      </c>
      <c r="AH487" s="10">
        <f t="shared" si="67"/>
        <v>55643.770000000004</v>
      </c>
      <c r="AI487" s="16"/>
      <c r="AJ487" s="126" t="e">
        <v>#N/A</v>
      </c>
      <c r="AK487" s="80">
        <f t="shared" si="72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74"/>
        <v>1728.88</v>
      </c>
      <c r="X488" s="18">
        <f t="shared" si="73"/>
        <v>4271.12</v>
      </c>
      <c r="Y488" s="13">
        <f t="shared" si="68"/>
        <v>1934.3477028397087</v>
      </c>
      <c r="Z488" s="14">
        <v>0</v>
      </c>
      <c r="AA488" s="4">
        <v>0</v>
      </c>
      <c r="AB488" s="4">
        <f t="shared" si="69"/>
        <v>4271.12</v>
      </c>
      <c r="AC488" s="6">
        <f t="shared" si="70"/>
        <v>0</v>
      </c>
      <c r="AD488" s="18">
        <f t="shared" si="66"/>
        <v>2336.7722971602911</v>
      </c>
      <c r="AE488" s="2">
        <v>7.0000000000000007E-2</v>
      </c>
      <c r="AF488" s="5">
        <f t="shared" si="71"/>
        <v>163.57406080122038</v>
      </c>
      <c r="AG488" s="14">
        <v>0</v>
      </c>
      <c r="AH488" s="10">
        <f t="shared" si="67"/>
        <v>4271.12</v>
      </c>
      <c r="AI488" s="16"/>
      <c r="AJ488" s="126" t="e">
        <v>#N/A</v>
      </c>
      <c r="AK488" s="80">
        <f t="shared" si="72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3759</v>
      </c>
      <c r="F489" s="15" t="s">
        <v>3759</v>
      </c>
      <c r="G489" s="15" t="s">
        <v>3759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74"/>
        <v>5979.7199999999993</v>
      </c>
      <c r="X489" s="18">
        <f t="shared" si="73"/>
        <v>3941.4509803921569</v>
      </c>
      <c r="Y489" s="13">
        <f t="shared" si="68"/>
        <v>1741.9157458804657</v>
      </c>
      <c r="Z489" s="14">
        <v>0</v>
      </c>
      <c r="AA489" s="4">
        <v>0</v>
      </c>
      <c r="AB489" s="4">
        <f t="shared" si="69"/>
        <v>3941.4509803921569</v>
      </c>
      <c r="AC489" s="6">
        <f t="shared" si="70"/>
        <v>78.829019607843293</v>
      </c>
      <c r="AD489" s="18">
        <f t="shared" si="66"/>
        <v>2199.5352345116912</v>
      </c>
      <c r="AE489" s="2">
        <v>7.0000000000000007E-2</v>
      </c>
      <c r="AF489" s="5">
        <f t="shared" si="71"/>
        <v>153.96746641581839</v>
      </c>
      <c r="AG489" s="14">
        <v>0</v>
      </c>
      <c r="AH489" s="10">
        <f t="shared" si="67"/>
        <v>4020.28</v>
      </c>
      <c r="AI489" s="16"/>
      <c r="AJ489" s="126" t="e">
        <v>#N/A</v>
      </c>
      <c r="AK489" s="80">
        <f t="shared" si="72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74"/>
        <v>239560.21000000002</v>
      </c>
      <c r="X490" s="18">
        <f t="shared" si="73"/>
        <v>60439.789999999994</v>
      </c>
      <c r="Y490" s="13">
        <f t="shared" si="68"/>
        <v>27372.578842695686</v>
      </c>
      <c r="Z490" s="14">
        <v>0</v>
      </c>
      <c r="AA490" s="4">
        <v>0</v>
      </c>
      <c r="AB490" s="4">
        <f t="shared" si="69"/>
        <v>60439.789999999994</v>
      </c>
      <c r="AC490" s="6">
        <f t="shared" si="70"/>
        <v>0</v>
      </c>
      <c r="AD490" s="18">
        <f t="shared" si="66"/>
        <v>33067.211157304308</v>
      </c>
      <c r="AE490" s="2">
        <v>0.12</v>
      </c>
      <c r="AF490" s="5">
        <f t="shared" si="71"/>
        <v>3968.0653388765168</v>
      </c>
      <c r="AG490" s="14">
        <v>0</v>
      </c>
      <c r="AH490" s="10">
        <f t="shared" si="67"/>
        <v>60439.789999999994</v>
      </c>
      <c r="AI490" s="16"/>
      <c r="AJ490" s="126" t="e">
        <v>#N/A</v>
      </c>
      <c r="AK490" s="80">
        <f t="shared" si="72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74"/>
        <v>0</v>
      </c>
      <c r="X491" s="18">
        <f t="shared" si="73"/>
        <v>0</v>
      </c>
      <c r="Y491" s="13">
        <f t="shared" si="68"/>
        <v>0</v>
      </c>
      <c r="Z491" s="14">
        <v>0</v>
      </c>
      <c r="AA491" s="4">
        <v>0</v>
      </c>
      <c r="AB491" s="4">
        <f t="shared" si="69"/>
        <v>0</v>
      </c>
      <c r="AC491" s="6">
        <f t="shared" si="70"/>
        <v>0</v>
      </c>
      <c r="AD491" s="18">
        <f t="shared" si="66"/>
        <v>0</v>
      </c>
      <c r="AE491" s="2">
        <v>0.12</v>
      </c>
      <c r="AF491" s="5">
        <f t="shared" si="71"/>
        <v>0</v>
      </c>
      <c r="AG491" s="14">
        <v>0</v>
      </c>
      <c r="AH491" s="10">
        <f t="shared" si="67"/>
        <v>0</v>
      </c>
      <c r="AI491" s="16"/>
      <c r="AJ491" s="126" t="e">
        <v>#N/A</v>
      </c>
      <c r="AK491" s="80">
        <f t="shared" si="72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74"/>
        <v>2158588.2599999998</v>
      </c>
      <c r="X492" s="18">
        <f t="shared" si="73"/>
        <v>541411.74</v>
      </c>
      <c r="Y492" s="13">
        <f t="shared" si="68"/>
        <v>245199.98397597112</v>
      </c>
      <c r="Z492" s="14">
        <v>0</v>
      </c>
      <c r="AA492" s="4">
        <v>0</v>
      </c>
      <c r="AB492" s="4">
        <f t="shared" si="69"/>
        <v>541411.74</v>
      </c>
      <c r="AC492" s="6">
        <f t="shared" si="70"/>
        <v>0</v>
      </c>
      <c r="AD492" s="18">
        <f t="shared" si="66"/>
        <v>296211.75602402887</v>
      </c>
      <c r="AE492" s="2">
        <v>7.0000000000000007E-2</v>
      </c>
      <c r="AF492" s="5">
        <f t="shared" si="71"/>
        <v>20734.822921682022</v>
      </c>
      <c r="AG492" s="14">
        <v>0</v>
      </c>
      <c r="AH492" s="10">
        <f t="shared" si="67"/>
        <v>541411.74</v>
      </c>
      <c r="AI492" s="16"/>
      <c r="AJ492" s="126" t="e">
        <v>#N/A</v>
      </c>
      <c r="AK492" s="80">
        <f t="shared" si="72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74"/>
        <v>0</v>
      </c>
      <c r="X493" s="18">
        <f t="shared" si="73"/>
        <v>0</v>
      </c>
      <c r="Y493" s="13">
        <f t="shared" si="68"/>
        <v>0</v>
      </c>
      <c r="Z493" s="14">
        <v>0</v>
      </c>
      <c r="AA493" s="4">
        <v>0</v>
      </c>
      <c r="AB493" s="4">
        <f t="shared" si="69"/>
        <v>0</v>
      </c>
      <c r="AC493" s="6">
        <f t="shared" si="70"/>
        <v>0</v>
      </c>
      <c r="AD493" s="18">
        <f t="shared" si="66"/>
        <v>0</v>
      </c>
      <c r="AE493" s="2">
        <v>7.0000000000000007E-2</v>
      </c>
      <c r="AF493" s="5">
        <f t="shared" si="71"/>
        <v>0</v>
      </c>
      <c r="AG493" s="14">
        <v>0</v>
      </c>
      <c r="AH493" s="10">
        <f t="shared" si="67"/>
        <v>0</v>
      </c>
      <c r="AI493" s="16"/>
      <c r="AJ493" s="126" t="e">
        <v>#N/A</v>
      </c>
      <c r="AK493" s="80">
        <f t="shared" si="72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74"/>
        <v>297595.67000000016</v>
      </c>
      <c r="X494" s="18">
        <f>(V494-509725.54)/(1+Q494)</f>
        <v>740199.06862745073</v>
      </c>
      <c r="Y494" s="13">
        <f t="shared" si="68"/>
        <v>48253.458918850753</v>
      </c>
      <c r="Z494" s="14">
        <v>0</v>
      </c>
      <c r="AA494" s="4">
        <v>0</v>
      </c>
      <c r="AB494" s="4">
        <f t="shared" si="69"/>
        <v>740199.06862745073</v>
      </c>
      <c r="AC494" s="6">
        <f t="shared" si="70"/>
        <v>524529.52137254912</v>
      </c>
      <c r="AD494" s="18">
        <f t="shared" si="66"/>
        <v>691945.60970859998</v>
      </c>
      <c r="AE494" s="2">
        <v>7.0000000000000007E-2</v>
      </c>
      <c r="AF494" s="5">
        <f t="shared" si="71"/>
        <v>48436.192679602005</v>
      </c>
      <c r="AG494" s="14">
        <v>0</v>
      </c>
      <c r="AH494" s="10">
        <f t="shared" si="67"/>
        <v>1264728.5899999999</v>
      </c>
      <c r="AI494" s="16"/>
      <c r="AJ494" s="126" t="e">
        <v>#N/A</v>
      </c>
      <c r="AK494" s="80">
        <f t="shared" si="72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74"/>
        <v>292085.78999999957</v>
      </c>
      <c r="X495" s="18">
        <f t="shared" si="73"/>
        <v>2128337.6372549022</v>
      </c>
      <c r="Y495" s="13">
        <f t="shared" si="68"/>
        <v>940614.22083586897</v>
      </c>
      <c r="Z495" s="14">
        <v>0</v>
      </c>
      <c r="AA495" s="4">
        <v>0</v>
      </c>
      <c r="AB495" s="4">
        <f t="shared" si="69"/>
        <v>2128337.6372549022</v>
      </c>
      <c r="AC495" s="6">
        <f t="shared" si="70"/>
        <v>42566.752745097969</v>
      </c>
      <c r="AD495" s="18">
        <f t="shared" si="66"/>
        <v>1187723.4164190332</v>
      </c>
      <c r="AE495" s="2">
        <v>7.0000000000000007E-2</v>
      </c>
      <c r="AF495" s="5">
        <f t="shared" si="71"/>
        <v>83140.639149332332</v>
      </c>
      <c r="AG495" s="14">
        <v>0</v>
      </c>
      <c r="AH495" s="10">
        <f t="shared" si="67"/>
        <v>2170904.39</v>
      </c>
      <c r="AI495" s="16"/>
      <c r="AJ495" s="126" t="e">
        <v>#N/A</v>
      </c>
      <c r="AK495" s="80">
        <f t="shared" si="72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74"/>
        <v>6937.0299999999988</v>
      </c>
      <c r="X496" s="18">
        <f t="shared" si="73"/>
        <v>22462.97</v>
      </c>
      <c r="Y496" s="13">
        <f t="shared" si="68"/>
        <v>10173.255356547534</v>
      </c>
      <c r="Z496" s="14">
        <v>0</v>
      </c>
      <c r="AA496" s="4">
        <v>0</v>
      </c>
      <c r="AB496" s="4">
        <f t="shared" si="69"/>
        <v>22462.97</v>
      </c>
      <c r="AC496" s="6">
        <f t="shared" si="70"/>
        <v>0</v>
      </c>
      <c r="AD496" s="18">
        <f t="shared" si="66"/>
        <v>12289.714643452467</v>
      </c>
      <c r="AE496" s="2">
        <v>7.0000000000000007E-2</v>
      </c>
      <c r="AF496" s="5">
        <f t="shared" si="71"/>
        <v>860.28002504167284</v>
      </c>
      <c r="AG496" s="14">
        <v>0</v>
      </c>
      <c r="AH496" s="10">
        <f t="shared" si="67"/>
        <v>22462.97</v>
      </c>
      <c r="AI496" s="16"/>
      <c r="AJ496" s="126" t="e">
        <v>#N/A</v>
      </c>
      <c r="AK496" s="80">
        <f t="shared" si="72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74"/>
        <v>-4054.0900000000038</v>
      </c>
      <c r="X497" s="18">
        <f t="shared" si="73"/>
        <v>14054.090000000004</v>
      </c>
      <c r="Y497" s="13">
        <f t="shared" si="68"/>
        <v>6364.9573664524842</v>
      </c>
      <c r="Z497" s="14">
        <v>0</v>
      </c>
      <c r="AA497" s="4">
        <v>0</v>
      </c>
      <c r="AB497" s="4">
        <f t="shared" si="69"/>
        <v>14054.090000000004</v>
      </c>
      <c r="AC497" s="6">
        <f t="shared" si="70"/>
        <v>0</v>
      </c>
      <c r="AD497" s="18">
        <f t="shared" si="66"/>
        <v>7689.1326335475196</v>
      </c>
      <c r="AE497" s="2">
        <v>0.12</v>
      </c>
      <c r="AF497" s="5">
        <f t="shared" si="71"/>
        <v>922.69591602570233</v>
      </c>
      <c r="AG497" s="14">
        <v>0</v>
      </c>
      <c r="AH497" s="10">
        <f t="shared" si="67"/>
        <v>14054.090000000004</v>
      </c>
      <c r="AI497" s="16"/>
      <c r="AJ497" s="126" t="e">
        <v>#N/A</v>
      </c>
      <c r="AK497" s="80">
        <f t="shared" si="72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74"/>
        <v>10000</v>
      </c>
      <c r="X498" s="18">
        <f t="shared" si="73"/>
        <v>0</v>
      </c>
      <c r="Y498" s="13">
        <f t="shared" si="68"/>
        <v>0</v>
      </c>
      <c r="Z498" s="14">
        <v>0</v>
      </c>
      <c r="AA498" s="4">
        <v>0</v>
      </c>
      <c r="AB498" s="4">
        <f t="shared" si="69"/>
        <v>0</v>
      </c>
      <c r="AC498" s="6">
        <f t="shared" si="70"/>
        <v>0</v>
      </c>
      <c r="AD498" s="18">
        <f t="shared" si="66"/>
        <v>0</v>
      </c>
      <c r="AE498" s="2">
        <v>7.0000000000000007E-2</v>
      </c>
      <c r="AF498" s="5">
        <f t="shared" si="71"/>
        <v>0</v>
      </c>
      <c r="AG498" s="14">
        <v>0</v>
      </c>
      <c r="AH498" s="10">
        <f t="shared" si="67"/>
        <v>0</v>
      </c>
      <c r="AI498" s="16"/>
      <c r="AJ498" s="126" t="e">
        <v>#N/A</v>
      </c>
      <c r="AK498" s="80">
        <f t="shared" si="72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74"/>
        <v>0</v>
      </c>
      <c r="X499" s="18">
        <f t="shared" si="73"/>
        <v>34690.076923077308</v>
      </c>
      <c r="Y499" s="13">
        <f t="shared" si="68"/>
        <v>14951.618820796215</v>
      </c>
      <c r="Z499" s="14">
        <v>0</v>
      </c>
      <c r="AA499" s="4">
        <v>0</v>
      </c>
      <c r="AB499" s="4">
        <f t="shared" si="69"/>
        <v>34690.076923077308</v>
      </c>
      <c r="AC499" s="6">
        <f t="shared" si="70"/>
        <v>1387.6030769230929</v>
      </c>
      <c r="AD499" s="18">
        <f t="shared" si="66"/>
        <v>19738.458102281093</v>
      </c>
      <c r="AE499" s="2">
        <v>0.12</v>
      </c>
      <c r="AF499" s="5">
        <f t="shared" si="71"/>
        <v>2368.6149722737309</v>
      </c>
      <c r="AG499" s="14">
        <v>0</v>
      </c>
      <c r="AH499" s="10">
        <f t="shared" si="67"/>
        <v>36077.6800000004</v>
      </c>
      <c r="AI499" s="16"/>
      <c r="AJ499" s="126" t="e">
        <v>#N/A</v>
      </c>
      <c r="AK499" s="80">
        <f t="shared" si="72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74"/>
        <v>51153.85</v>
      </c>
      <c r="X500" s="18">
        <f t="shared" si="73"/>
        <v>0</v>
      </c>
      <c r="Y500" s="13">
        <f t="shared" si="68"/>
        <v>0</v>
      </c>
      <c r="Z500" s="14">
        <v>0</v>
      </c>
      <c r="AA500" s="4">
        <v>0</v>
      </c>
      <c r="AB500" s="4">
        <f t="shared" si="69"/>
        <v>0</v>
      </c>
      <c r="AC500" s="6">
        <f t="shared" si="70"/>
        <v>0</v>
      </c>
      <c r="AD500" s="18">
        <f t="shared" si="66"/>
        <v>0</v>
      </c>
      <c r="AE500" s="2">
        <v>7.0000000000000007E-2</v>
      </c>
      <c r="AF500" s="5">
        <f t="shared" si="71"/>
        <v>0</v>
      </c>
      <c r="AG500" s="14">
        <v>0</v>
      </c>
      <c r="AH500" s="10">
        <f t="shared" si="67"/>
        <v>0</v>
      </c>
      <c r="AI500" s="16"/>
      <c r="AJ500" s="126" t="e">
        <v>#N/A</v>
      </c>
      <c r="AK500" s="80">
        <f t="shared" si="72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74"/>
        <v>76714.420000000013</v>
      </c>
      <c r="X501" s="18">
        <f t="shared" si="73"/>
        <v>223285.58</v>
      </c>
      <c r="Y501" s="13">
        <f t="shared" si="68"/>
        <v>101123.81500642268</v>
      </c>
      <c r="Z501" s="14">
        <v>0</v>
      </c>
      <c r="AA501" s="4">
        <v>0</v>
      </c>
      <c r="AB501" s="4">
        <f t="shared" si="69"/>
        <v>223285.58</v>
      </c>
      <c r="AC501" s="6">
        <f t="shared" si="70"/>
        <v>0</v>
      </c>
      <c r="AD501" s="18">
        <f t="shared" ref="AD501:AD564" si="75">V501*0.547109961125019</f>
        <v>122161.76499357731</v>
      </c>
      <c r="AE501" s="2">
        <v>7.0000000000000007E-2</v>
      </c>
      <c r="AF501" s="5">
        <f t="shared" si="71"/>
        <v>8551.3235495504123</v>
      </c>
      <c r="AG501" s="14">
        <v>0</v>
      </c>
      <c r="AH501" s="10">
        <f t="shared" ref="AH501:AH564" si="76">V501</f>
        <v>223285.58</v>
      </c>
      <c r="AI501" s="16"/>
      <c r="AJ501" s="126" t="e">
        <v>#N/A</v>
      </c>
      <c r="AK501" s="80">
        <f t="shared" si="72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74"/>
        <v>4000.9700000000048</v>
      </c>
      <c r="X502" s="18">
        <f t="shared" si="73"/>
        <v>20587.284313725486</v>
      </c>
      <c r="Y502" s="13">
        <f t="shared" si="68"/>
        <v>9098.5058267623808</v>
      </c>
      <c r="Z502" s="14">
        <v>0</v>
      </c>
      <c r="AA502" s="4">
        <v>0</v>
      </c>
      <c r="AB502" s="4"/>
      <c r="AC502" s="6">
        <f t="shared" si="70"/>
        <v>411.74568627450935</v>
      </c>
      <c r="AD502" s="18">
        <f t="shared" si="75"/>
        <v>11488.778486963105</v>
      </c>
      <c r="AE502" s="2">
        <v>7.0000000000000007E-2</v>
      </c>
      <c r="AF502" s="5">
        <f t="shared" si="71"/>
        <v>804.21449408741739</v>
      </c>
      <c r="AG502" s="14">
        <v>0</v>
      </c>
      <c r="AH502" s="10">
        <f t="shared" si="76"/>
        <v>20999.029999999995</v>
      </c>
      <c r="AI502" s="16"/>
      <c r="AJ502" s="126">
        <v>115</v>
      </c>
      <c r="AK502" s="80">
        <f t="shared" si="72"/>
        <v>20587.284313725486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74"/>
        <v>0</v>
      </c>
      <c r="X503" s="18">
        <f t="shared" si="73"/>
        <v>65000</v>
      </c>
      <c r="Y503" s="13">
        <f t="shared" si="68"/>
        <v>29437.852526873765</v>
      </c>
      <c r="Z503" s="14">
        <v>0</v>
      </c>
      <c r="AA503" s="4">
        <v>0</v>
      </c>
      <c r="AB503" s="4">
        <f t="shared" si="69"/>
        <v>65000</v>
      </c>
      <c r="AC503" s="6">
        <f t="shared" si="70"/>
        <v>0</v>
      </c>
      <c r="AD503" s="18">
        <f t="shared" si="75"/>
        <v>35562.147473126235</v>
      </c>
      <c r="AE503" s="2">
        <v>7.0000000000000007E-2</v>
      </c>
      <c r="AF503" s="5">
        <f t="shared" si="71"/>
        <v>2489.3503231188365</v>
      </c>
      <c r="AG503" s="14">
        <v>0</v>
      </c>
      <c r="AH503" s="10">
        <f t="shared" si="76"/>
        <v>65000</v>
      </c>
      <c r="AI503" s="16"/>
      <c r="AJ503" s="126" t="e">
        <v>#N/A</v>
      </c>
      <c r="AK503" s="80">
        <f t="shared" si="72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74"/>
        <v>0</v>
      </c>
      <c r="X504" s="18">
        <f t="shared" si="73"/>
        <v>85000</v>
      </c>
      <c r="Y504" s="13">
        <f t="shared" si="68"/>
        <v>38495.653304373387</v>
      </c>
      <c r="Z504" s="14">
        <v>0</v>
      </c>
      <c r="AA504" s="4">
        <v>0</v>
      </c>
      <c r="AB504" s="4">
        <f t="shared" si="69"/>
        <v>85000</v>
      </c>
      <c r="AC504" s="6">
        <f t="shared" si="70"/>
        <v>0</v>
      </c>
      <c r="AD504" s="18">
        <f t="shared" si="75"/>
        <v>46504.346695626613</v>
      </c>
      <c r="AE504" s="2">
        <v>7.0000000000000007E-2</v>
      </c>
      <c r="AF504" s="5">
        <f t="shared" si="71"/>
        <v>3255.3042686938634</v>
      </c>
      <c r="AG504" s="14">
        <v>0</v>
      </c>
      <c r="AH504" s="10">
        <f t="shared" si="76"/>
        <v>85000</v>
      </c>
      <c r="AI504" s="16"/>
      <c r="AJ504" s="126" t="e">
        <v>#N/A</v>
      </c>
      <c r="AK504" s="80">
        <f t="shared" si="72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74"/>
        <v>222948.93999999948</v>
      </c>
      <c r="X505" s="18">
        <f t="shared" si="73"/>
        <v>7862549.096153846</v>
      </c>
      <c r="Y505" s="13">
        <f t="shared" si="68"/>
        <v>3388803.0085999509</v>
      </c>
      <c r="Z505" s="14">
        <v>0</v>
      </c>
      <c r="AA505" s="4">
        <v>0</v>
      </c>
      <c r="AB505" s="4">
        <f t="shared" si="69"/>
        <v>7862549.096153846</v>
      </c>
      <c r="AC505" s="6">
        <f t="shared" si="70"/>
        <v>314501.96384615451</v>
      </c>
      <c r="AD505" s="18">
        <f t="shared" si="75"/>
        <v>4473746.0875538951</v>
      </c>
      <c r="AE505" s="2">
        <v>7.0000000000000007E-2</v>
      </c>
      <c r="AF505" s="5">
        <f t="shared" si="71"/>
        <v>313162.22612877266</v>
      </c>
      <c r="AG505" s="14">
        <v>0</v>
      </c>
      <c r="AH505" s="10">
        <f t="shared" si="76"/>
        <v>8177051.0600000005</v>
      </c>
      <c r="AI505" s="16"/>
      <c r="AJ505" s="126" t="e">
        <v>#N/A</v>
      </c>
      <c r="AK505" s="80">
        <f t="shared" si="72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74"/>
        <v>70744.010000000009</v>
      </c>
      <c r="X506" s="18">
        <f t="shared" si="73"/>
        <v>39255.99</v>
      </c>
      <c r="Y506" s="13">
        <f t="shared" si="68"/>
        <v>17778.646837175864</v>
      </c>
      <c r="Z506" s="14">
        <v>0</v>
      </c>
      <c r="AA506" s="4">
        <v>0</v>
      </c>
      <c r="AB506" s="4">
        <f t="shared" si="69"/>
        <v>39255.99</v>
      </c>
      <c r="AC506" s="6">
        <f t="shared" si="70"/>
        <v>0</v>
      </c>
      <c r="AD506" s="18">
        <f t="shared" si="75"/>
        <v>21477.343162824134</v>
      </c>
      <c r="AE506" s="2">
        <v>0.12</v>
      </c>
      <c r="AF506" s="5">
        <f t="shared" si="71"/>
        <v>2577.2811795388961</v>
      </c>
      <c r="AG506" s="14">
        <v>0</v>
      </c>
      <c r="AH506" s="10">
        <f t="shared" si="76"/>
        <v>39255.99</v>
      </c>
      <c r="AI506" s="16"/>
      <c r="AJ506" s="126" t="e">
        <v>#N/A</v>
      </c>
      <c r="AK506" s="80">
        <f t="shared" si="72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74"/>
        <v>85404.5</v>
      </c>
      <c r="X507" s="18">
        <f t="shared" si="73"/>
        <v>4595.4999999999982</v>
      </c>
      <c r="Y507" s="13">
        <f t="shared" si="68"/>
        <v>2081.2561736499747</v>
      </c>
      <c r="Z507" s="14">
        <v>0</v>
      </c>
      <c r="AA507" s="4">
        <v>0</v>
      </c>
      <c r="AB507" s="4">
        <f t="shared" si="69"/>
        <v>4595.4999999999982</v>
      </c>
      <c r="AC507" s="6">
        <f t="shared" si="70"/>
        <v>0</v>
      </c>
      <c r="AD507" s="18">
        <f t="shared" si="75"/>
        <v>2514.2438263500235</v>
      </c>
      <c r="AE507" s="2">
        <v>0.12</v>
      </c>
      <c r="AF507" s="5">
        <f t="shared" si="71"/>
        <v>301.70925916200281</v>
      </c>
      <c r="AG507" s="14">
        <v>0</v>
      </c>
      <c r="AH507" s="10">
        <f t="shared" si="76"/>
        <v>4595.4999999999982</v>
      </c>
      <c r="AI507" s="16"/>
      <c r="AJ507" s="126" t="e">
        <v>#N/A</v>
      </c>
      <c r="AK507" s="80">
        <f t="shared" si="72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74"/>
        <v>26054.18</v>
      </c>
      <c r="X508" s="18">
        <f t="shared" si="73"/>
        <v>43945.82</v>
      </c>
      <c r="Y508" s="13">
        <f t="shared" si="68"/>
        <v>19902.624128192918</v>
      </c>
      <c r="Z508" s="14">
        <v>0</v>
      </c>
      <c r="AA508" s="4">
        <v>0</v>
      </c>
      <c r="AB508" s="4">
        <f t="shared" si="69"/>
        <v>43945.82</v>
      </c>
      <c r="AC508" s="6">
        <f t="shared" si="70"/>
        <v>0</v>
      </c>
      <c r="AD508" s="18">
        <f t="shared" si="75"/>
        <v>24043.195871807082</v>
      </c>
      <c r="AE508" s="2">
        <v>7.0000000000000007E-2</v>
      </c>
      <c r="AF508" s="5">
        <f t="shared" si="71"/>
        <v>1683.0237110264959</v>
      </c>
      <c r="AG508" s="14">
        <v>0</v>
      </c>
      <c r="AH508" s="10">
        <f t="shared" si="76"/>
        <v>43945.82</v>
      </c>
      <c r="AI508" s="16"/>
      <c r="AJ508" s="126" t="e">
        <v>#N/A</v>
      </c>
      <c r="AK508" s="80">
        <f t="shared" si="72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74"/>
        <v>7037.4899999999907</v>
      </c>
      <c r="X509" s="18">
        <f t="shared" si="73"/>
        <v>107962.51000000001</v>
      </c>
      <c r="Y509" s="13">
        <f t="shared" si="68"/>
        <v>48895.145350940533</v>
      </c>
      <c r="Z509" s="14">
        <v>0</v>
      </c>
      <c r="AA509" s="4">
        <v>0</v>
      </c>
      <c r="AB509" s="4">
        <f t="shared" si="69"/>
        <v>107962.51000000001</v>
      </c>
      <c r="AC509" s="6">
        <f t="shared" si="70"/>
        <v>0</v>
      </c>
      <c r="AD509" s="18">
        <f t="shared" si="75"/>
        <v>59067.364649059477</v>
      </c>
      <c r="AE509" s="2">
        <v>7.0000000000000007E-2</v>
      </c>
      <c r="AF509" s="5">
        <f t="shared" si="71"/>
        <v>4134.7155254341642</v>
      </c>
      <c r="AG509" s="14">
        <v>0</v>
      </c>
      <c r="AH509" s="10">
        <f t="shared" si="76"/>
        <v>107962.51000000001</v>
      </c>
      <c r="AI509" s="16"/>
      <c r="AJ509" s="126" t="e">
        <v>#N/A</v>
      </c>
      <c r="AK509" s="80">
        <f t="shared" si="72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74"/>
        <v>7188.1000000000058</v>
      </c>
      <c r="X510" s="18">
        <f t="shared" si="73"/>
        <v>77811.899999999994</v>
      </c>
      <c r="Y510" s="13">
        <f t="shared" si="68"/>
        <v>35240.234415936131</v>
      </c>
      <c r="Z510" s="14">
        <v>0</v>
      </c>
      <c r="AA510" s="4">
        <v>0</v>
      </c>
      <c r="AB510" s="4">
        <f t="shared" si="69"/>
        <v>77811.899999999994</v>
      </c>
      <c r="AC510" s="6">
        <f t="shared" si="70"/>
        <v>0</v>
      </c>
      <c r="AD510" s="18">
        <f t="shared" si="75"/>
        <v>42571.665584063863</v>
      </c>
      <c r="AE510" s="2">
        <v>7.0000000000000007E-2</v>
      </c>
      <c r="AF510" s="5">
        <f t="shared" si="71"/>
        <v>2980.0165908844706</v>
      </c>
      <c r="AG510" s="14">
        <v>0</v>
      </c>
      <c r="AH510" s="10">
        <f t="shared" si="76"/>
        <v>77811.899999999994</v>
      </c>
      <c r="AI510" s="16"/>
      <c r="AJ510" s="126" t="e">
        <v>#N/A</v>
      </c>
      <c r="AK510" s="80">
        <f t="shared" si="72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74"/>
        <v>3.2596290111541748E-9</v>
      </c>
      <c r="X511" s="18">
        <f t="shared" si="73"/>
        <v>1188051.4900000002</v>
      </c>
      <c r="Y511" s="13">
        <f t="shared" si="68"/>
        <v>538056.68549157924</v>
      </c>
      <c r="Z511" s="14">
        <v>0</v>
      </c>
      <c r="AA511" s="4">
        <v>0</v>
      </c>
      <c r="AB511" s="4">
        <f t="shared" si="69"/>
        <v>1188051.4900000002</v>
      </c>
      <c r="AC511" s="6">
        <f t="shared" si="70"/>
        <v>0</v>
      </c>
      <c r="AD511" s="18">
        <f t="shared" si="75"/>
        <v>649994.80450842099</v>
      </c>
      <c r="AE511" s="2">
        <v>7.0000000000000007E-2</v>
      </c>
      <c r="AF511" s="5">
        <f t="shared" si="71"/>
        <v>45499.636315589472</v>
      </c>
      <c r="AG511" s="14">
        <v>0</v>
      </c>
      <c r="AH511" s="10">
        <f t="shared" si="76"/>
        <v>1188051.4900000002</v>
      </c>
      <c r="AI511" s="16"/>
      <c r="AJ511" s="126" t="e">
        <v>#N/A</v>
      </c>
      <c r="AK511" s="80">
        <f t="shared" si="72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74"/>
        <v>6745.25</v>
      </c>
      <c r="X512" s="18">
        <f t="shared" si="73"/>
        <v>3222.5247524752481</v>
      </c>
      <c r="Y512" s="13">
        <f t="shared" si="68"/>
        <v>1441.8186065035923</v>
      </c>
      <c r="Z512" s="14">
        <v>0</v>
      </c>
      <c r="AA512" s="4">
        <v>0</v>
      </c>
      <c r="AB512" s="4">
        <f t="shared" si="69"/>
        <v>3222.5247524752481</v>
      </c>
      <c r="AC512" s="6">
        <f t="shared" si="70"/>
        <v>32.225247524752376</v>
      </c>
      <c r="AD512" s="18">
        <f t="shared" si="75"/>
        <v>1780.7061459716558</v>
      </c>
      <c r="AE512" s="2">
        <v>7.0000000000000007E-2</v>
      </c>
      <c r="AF512" s="5">
        <f t="shared" si="71"/>
        <v>124.64943021801592</v>
      </c>
      <c r="AG512" s="14">
        <v>0</v>
      </c>
      <c r="AH512" s="10">
        <f t="shared" si="76"/>
        <v>3254.7500000000005</v>
      </c>
      <c r="AI512" s="16"/>
      <c r="AJ512" s="126" t="e">
        <v>#N/A</v>
      </c>
      <c r="AK512" s="80">
        <f t="shared" si="72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74"/>
        <v>7072.96</v>
      </c>
      <c r="X513" s="18">
        <f t="shared" si="73"/>
        <v>2898.0594059405939</v>
      </c>
      <c r="Y513" s="13">
        <f t="shared" si="68"/>
        <v>1296.6466653292184</v>
      </c>
      <c r="Z513" s="14">
        <v>0</v>
      </c>
      <c r="AA513" s="4">
        <v>0</v>
      </c>
      <c r="AB513" s="4">
        <f t="shared" si="69"/>
        <v>2898.0594059405939</v>
      </c>
      <c r="AC513" s="6">
        <f t="shared" si="70"/>
        <v>28.98059405940603</v>
      </c>
      <c r="AD513" s="18">
        <f t="shared" si="75"/>
        <v>1601.4127406113755</v>
      </c>
      <c r="AE513" s="2">
        <v>7.0000000000000007E-2</v>
      </c>
      <c r="AF513" s="5">
        <f t="shared" si="71"/>
        <v>112.09889184279629</v>
      </c>
      <c r="AG513" s="14">
        <v>0</v>
      </c>
      <c r="AH513" s="10">
        <f t="shared" si="76"/>
        <v>2927.04</v>
      </c>
      <c r="AI513" s="16"/>
      <c r="AJ513" s="126" t="e">
        <v>#N/A</v>
      </c>
      <c r="AK513" s="80">
        <f t="shared" si="72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74"/>
        <v>55740.26999999999</v>
      </c>
      <c r="X514" s="18">
        <f t="shared" si="73"/>
        <v>222930.42574257427</v>
      </c>
      <c r="Y514" s="13">
        <f t="shared" si="68"/>
        <v>99743.294615354491</v>
      </c>
      <c r="Z514" s="14">
        <v>0</v>
      </c>
      <c r="AA514" s="4">
        <v>0</v>
      </c>
      <c r="AB514" s="4">
        <f t="shared" si="69"/>
        <v>222930.42574257427</v>
      </c>
      <c r="AC514" s="6">
        <f t="shared" si="70"/>
        <v>2229.3042574257415</v>
      </c>
      <c r="AD514" s="18">
        <f t="shared" si="75"/>
        <v>123187.13112721978</v>
      </c>
      <c r="AE514" s="2">
        <v>7.0000000000000007E-2</v>
      </c>
      <c r="AF514" s="5">
        <f t="shared" si="71"/>
        <v>8623.099178905386</v>
      </c>
      <c r="AG514" s="14">
        <v>0</v>
      </c>
      <c r="AH514" s="10">
        <f t="shared" si="76"/>
        <v>225159.73</v>
      </c>
      <c r="AI514" s="16"/>
      <c r="AJ514" s="126" t="e">
        <v>#N/A</v>
      </c>
      <c r="AK514" s="80">
        <f t="shared" si="72"/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74"/>
        <v>65175.159999999974</v>
      </c>
      <c r="X515" s="18">
        <f t="shared" si="73"/>
        <v>303390.93069306936</v>
      </c>
      <c r="Y515" s="13">
        <f t="shared" ref="Y515:Y578" si="7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78">X515+AA515</f>
        <v>303390.93069306936</v>
      </c>
      <c r="AC515" s="6">
        <f t="shared" ref="AC515:AC578" si="79">IF(P515="返现",X515*Q515,V515-X515)</f>
        <v>3033.9093069306691</v>
      </c>
      <c r="AD515" s="18">
        <f t="shared" si="75"/>
        <v>167648.08230014017</v>
      </c>
      <c r="AE515" s="2">
        <v>7.0000000000000007E-2</v>
      </c>
      <c r="AF515" s="5">
        <f t="shared" ref="AF515:AF578" si="80">AD515*AE515</f>
        <v>11735.365761009813</v>
      </c>
      <c r="AG515" s="14">
        <v>0</v>
      </c>
      <c r="AH515" s="10">
        <f t="shared" si="76"/>
        <v>306424.84000000003</v>
      </c>
      <c r="AI515" s="16"/>
      <c r="AJ515" s="126" t="e">
        <v>#N/A</v>
      </c>
      <c r="AK515" s="80">
        <f t="shared" ref="AK515:AK578" si="81">X515+AA515-AB515</f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74"/>
        <v>20000</v>
      </c>
      <c r="X516" s="18">
        <f t="shared" si="73"/>
        <v>0</v>
      </c>
      <c r="Y516" s="13">
        <f t="shared" si="77"/>
        <v>0</v>
      </c>
      <c r="Z516" s="14">
        <v>0</v>
      </c>
      <c r="AA516" s="4">
        <v>0</v>
      </c>
      <c r="AB516" s="4">
        <f t="shared" si="78"/>
        <v>0</v>
      </c>
      <c r="AC516" s="6">
        <f t="shared" si="79"/>
        <v>0</v>
      </c>
      <c r="AD516" s="18">
        <f t="shared" si="75"/>
        <v>0</v>
      </c>
      <c r="AE516" s="2">
        <v>0.12</v>
      </c>
      <c r="AF516" s="5">
        <f t="shared" si="80"/>
        <v>0</v>
      </c>
      <c r="AG516" s="14">
        <v>0</v>
      </c>
      <c r="AH516" s="10">
        <f t="shared" si="76"/>
        <v>0</v>
      </c>
      <c r="AI516" s="16"/>
      <c r="AJ516" s="126" t="e">
        <v>#N/A</v>
      </c>
      <c r="AK516" s="80">
        <f t="shared" si="81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74"/>
        <v>0</v>
      </c>
      <c r="X517" s="18">
        <f t="shared" si="73"/>
        <v>0</v>
      </c>
      <c r="Y517" s="13">
        <f t="shared" si="77"/>
        <v>0</v>
      </c>
      <c r="Z517" s="14">
        <v>0</v>
      </c>
      <c r="AA517" s="4">
        <v>0</v>
      </c>
      <c r="AB517" s="4">
        <f t="shared" si="78"/>
        <v>0</v>
      </c>
      <c r="AC517" s="6">
        <f t="shared" si="79"/>
        <v>0</v>
      </c>
      <c r="AD517" s="18">
        <f t="shared" si="75"/>
        <v>0</v>
      </c>
      <c r="AE517" s="2">
        <v>7.0000000000000007E-2</v>
      </c>
      <c r="AF517" s="5">
        <f t="shared" si="80"/>
        <v>0</v>
      </c>
      <c r="AG517" s="14">
        <v>0</v>
      </c>
      <c r="AH517" s="10">
        <f t="shared" si="76"/>
        <v>0</v>
      </c>
      <c r="AI517" s="16"/>
      <c r="AJ517" s="126" t="e">
        <v>#N/A</v>
      </c>
      <c r="AK517" s="80">
        <f t="shared" si="81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74"/>
        <v>7979.3000000000065</v>
      </c>
      <c r="X518" s="18">
        <f t="shared" si="73"/>
        <v>32020.699999999993</v>
      </c>
      <c r="Y518" s="13">
        <f t="shared" si="77"/>
        <v>14501.856067804103</v>
      </c>
      <c r="Z518" s="14">
        <v>0</v>
      </c>
      <c r="AA518" s="4">
        <v>0</v>
      </c>
      <c r="AB518" s="4">
        <f t="shared" si="78"/>
        <v>32020.699999999993</v>
      </c>
      <c r="AC518" s="6">
        <f t="shared" si="79"/>
        <v>0</v>
      </c>
      <c r="AD518" s="18">
        <f t="shared" si="75"/>
        <v>17518.84393219589</v>
      </c>
      <c r="AE518" s="2">
        <v>7.0000000000000007E-2</v>
      </c>
      <c r="AF518" s="5">
        <f t="shared" si="80"/>
        <v>1226.3190752537125</v>
      </c>
      <c r="AG518" s="14">
        <v>0</v>
      </c>
      <c r="AH518" s="10">
        <f t="shared" si="76"/>
        <v>32020.699999999993</v>
      </c>
      <c r="AI518" s="16"/>
      <c r="AJ518" s="126" t="e">
        <v>#N/A</v>
      </c>
      <c r="AK518" s="80">
        <f t="shared" si="81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74"/>
        <v>10000</v>
      </c>
      <c r="X519" s="18">
        <f t="shared" si="73"/>
        <v>0</v>
      </c>
      <c r="Y519" s="13">
        <f t="shared" si="77"/>
        <v>0</v>
      </c>
      <c r="Z519" s="14">
        <v>0</v>
      </c>
      <c r="AA519" s="4">
        <v>0</v>
      </c>
      <c r="AB519" s="4">
        <f t="shared" si="78"/>
        <v>0</v>
      </c>
      <c r="AC519" s="6">
        <f t="shared" si="79"/>
        <v>0</v>
      </c>
      <c r="AD519" s="18">
        <f t="shared" si="75"/>
        <v>0</v>
      </c>
      <c r="AE519" s="2">
        <v>0.12</v>
      </c>
      <c r="AF519" s="5">
        <f t="shared" si="80"/>
        <v>0</v>
      </c>
      <c r="AG519" s="14">
        <v>0</v>
      </c>
      <c r="AH519" s="10">
        <f t="shared" si="76"/>
        <v>0</v>
      </c>
      <c r="AI519" s="16"/>
      <c r="AJ519" s="126" t="e">
        <v>#N/A</v>
      </c>
      <c r="AK519" s="80">
        <f t="shared" si="81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74"/>
        <v>67348.95</v>
      </c>
      <c r="X520" s="18">
        <f t="shared" si="73"/>
        <v>12164.471153846156</v>
      </c>
      <c r="Y520" s="13">
        <f t="shared" si="77"/>
        <v>5242.9556801554836</v>
      </c>
      <c r="Z520" s="14">
        <v>0</v>
      </c>
      <c r="AA520" s="4">
        <v>0</v>
      </c>
      <c r="AB520" s="4">
        <f t="shared" si="78"/>
        <v>12164.471153846156</v>
      </c>
      <c r="AC520" s="6">
        <f t="shared" si="79"/>
        <v>486.57884615384683</v>
      </c>
      <c r="AD520" s="18">
        <f t="shared" si="75"/>
        <v>6921.5154736906725</v>
      </c>
      <c r="AE520" s="2">
        <v>0.12</v>
      </c>
      <c r="AF520" s="5">
        <f t="shared" si="80"/>
        <v>830.58185684288071</v>
      </c>
      <c r="AG520" s="14">
        <v>0</v>
      </c>
      <c r="AH520" s="10">
        <f t="shared" si="76"/>
        <v>12651.050000000003</v>
      </c>
      <c r="AI520" s="16"/>
      <c r="AJ520" s="126" t="e">
        <v>#N/A</v>
      </c>
      <c r="AK520" s="80">
        <f t="shared" si="81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74"/>
        <v>149810.87</v>
      </c>
      <c r="X521" s="18">
        <f t="shared" si="73"/>
        <v>181.85576923076923</v>
      </c>
      <c r="Y521" s="13">
        <f t="shared" si="77"/>
        <v>78.380862283194389</v>
      </c>
      <c r="Z521" s="14">
        <v>0</v>
      </c>
      <c r="AA521" s="4">
        <v>0</v>
      </c>
      <c r="AB521" s="4">
        <f t="shared" si="78"/>
        <v>181.85576923076923</v>
      </c>
      <c r="AC521" s="6">
        <f t="shared" si="79"/>
        <v>7.2742307692307691</v>
      </c>
      <c r="AD521" s="18">
        <f t="shared" si="75"/>
        <v>103.47490694757484</v>
      </c>
      <c r="AE521" s="2">
        <v>0.12</v>
      </c>
      <c r="AF521" s="5">
        <f t="shared" si="80"/>
        <v>12.416988833708981</v>
      </c>
      <c r="AG521" s="14">
        <v>0</v>
      </c>
      <c r="AH521" s="10">
        <f t="shared" si="76"/>
        <v>189.13</v>
      </c>
      <c r="AI521" s="16"/>
      <c r="AJ521" s="126" t="e">
        <v>#N/A</v>
      </c>
      <c r="AK521" s="80">
        <f t="shared" si="81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74"/>
        <v>526455.68000000005</v>
      </c>
      <c r="X522" s="18">
        <f t="shared" si="73"/>
        <v>40899.230769230766</v>
      </c>
      <c r="Y522" s="13">
        <f t="shared" si="77"/>
        <v>17627.799150785861</v>
      </c>
      <c r="Z522" s="14">
        <v>0</v>
      </c>
      <c r="AA522" s="4">
        <v>0</v>
      </c>
      <c r="AB522" s="4">
        <f t="shared" si="78"/>
        <v>40899.230769230766</v>
      </c>
      <c r="AC522" s="6">
        <f t="shared" si="79"/>
        <v>1635.9692307692312</v>
      </c>
      <c r="AD522" s="18">
        <f t="shared" si="75"/>
        <v>23271.431618444905</v>
      </c>
      <c r="AE522" s="2">
        <v>0.12</v>
      </c>
      <c r="AF522" s="5">
        <f t="shared" si="80"/>
        <v>2792.5717942133883</v>
      </c>
      <c r="AG522" s="14">
        <v>0</v>
      </c>
      <c r="AH522" s="10">
        <f t="shared" si="76"/>
        <v>42535.199999999997</v>
      </c>
      <c r="AI522" s="16"/>
      <c r="AJ522" s="126" t="e">
        <v>#N/A</v>
      </c>
      <c r="AK522" s="80">
        <f t="shared" si="81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74"/>
        <v>49481.04</v>
      </c>
      <c r="X523" s="18">
        <f t="shared" si="73"/>
        <v>499.00000000000011</v>
      </c>
      <c r="Y523" s="13">
        <f t="shared" si="77"/>
        <v>215.07181457456016</v>
      </c>
      <c r="Z523" s="14">
        <v>0</v>
      </c>
      <c r="AA523" s="4">
        <v>0</v>
      </c>
      <c r="AB523" s="4">
        <f t="shared" si="78"/>
        <v>499.00000000000011</v>
      </c>
      <c r="AC523" s="6">
        <f t="shared" si="79"/>
        <v>19.960000000000036</v>
      </c>
      <c r="AD523" s="18">
        <f t="shared" si="75"/>
        <v>283.92818542543995</v>
      </c>
      <c r="AE523" s="2">
        <v>0.12</v>
      </c>
      <c r="AF523" s="5">
        <f t="shared" si="80"/>
        <v>34.071382251052796</v>
      </c>
      <c r="AG523" s="14">
        <v>0</v>
      </c>
      <c r="AH523" s="10">
        <f t="shared" si="76"/>
        <v>518.96000000000015</v>
      </c>
      <c r="AI523" s="16"/>
      <c r="AJ523" s="126" t="e">
        <v>#N/A</v>
      </c>
      <c r="AK523" s="80">
        <f t="shared" si="81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74"/>
        <v>0</v>
      </c>
      <c r="X524" s="18">
        <f t="shared" si="73"/>
        <v>0</v>
      </c>
      <c r="Y524" s="13">
        <f t="shared" si="77"/>
        <v>0</v>
      </c>
      <c r="Z524" s="14">
        <v>0</v>
      </c>
      <c r="AA524" s="4">
        <v>0</v>
      </c>
      <c r="AB524" s="4">
        <f t="shared" si="78"/>
        <v>0</v>
      </c>
      <c r="AC524" s="6">
        <f t="shared" si="79"/>
        <v>0</v>
      </c>
      <c r="AD524" s="18">
        <f t="shared" si="75"/>
        <v>0</v>
      </c>
      <c r="AE524" s="2">
        <v>0.12</v>
      </c>
      <c r="AF524" s="5">
        <f t="shared" si="80"/>
        <v>0</v>
      </c>
      <c r="AG524" s="14">
        <v>0</v>
      </c>
      <c r="AH524" s="10">
        <f t="shared" si="76"/>
        <v>0</v>
      </c>
      <c r="AI524" s="16"/>
      <c r="AJ524" s="126" t="e">
        <v>#N/A</v>
      </c>
      <c r="AK524" s="80">
        <f t="shared" si="81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74"/>
        <v>50000</v>
      </c>
      <c r="X525" s="18">
        <f t="shared" si="73"/>
        <v>0</v>
      </c>
      <c r="Y525" s="13">
        <f t="shared" si="77"/>
        <v>0</v>
      </c>
      <c r="Z525" s="14">
        <v>0</v>
      </c>
      <c r="AA525" s="4">
        <v>0</v>
      </c>
      <c r="AB525" s="4">
        <f t="shared" si="78"/>
        <v>0</v>
      </c>
      <c r="AC525" s="6">
        <f t="shared" si="79"/>
        <v>0</v>
      </c>
      <c r="AD525" s="18">
        <f t="shared" si="75"/>
        <v>0</v>
      </c>
      <c r="AE525" s="2">
        <v>0.12</v>
      </c>
      <c r="AF525" s="5">
        <f t="shared" si="80"/>
        <v>0</v>
      </c>
      <c r="AG525" s="14">
        <v>0</v>
      </c>
      <c r="AH525" s="10">
        <f t="shared" si="76"/>
        <v>0</v>
      </c>
      <c r="AI525" s="16"/>
      <c r="AJ525" s="126" t="e">
        <v>#N/A</v>
      </c>
      <c r="AK525" s="80">
        <f t="shared" si="81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74"/>
        <v>144015.07</v>
      </c>
      <c r="X526" s="18">
        <f t="shared" si="73"/>
        <v>5754.7403846153838</v>
      </c>
      <c r="Y526" s="13">
        <f t="shared" si="77"/>
        <v>2480.3255649794246</v>
      </c>
      <c r="Z526" s="14">
        <v>0</v>
      </c>
      <c r="AA526" s="4">
        <v>0</v>
      </c>
      <c r="AB526" s="4">
        <f t="shared" si="78"/>
        <v>5754.7403846153838</v>
      </c>
      <c r="AC526" s="6">
        <f t="shared" si="79"/>
        <v>230.18961538461554</v>
      </c>
      <c r="AD526" s="18">
        <f t="shared" si="75"/>
        <v>3274.4148196359592</v>
      </c>
      <c r="AE526" s="2">
        <v>0.12</v>
      </c>
      <c r="AF526" s="5">
        <f t="shared" si="80"/>
        <v>392.92977835631507</v>
      </c>
      <c r="AG526" s="14">
        <v>0</v>
      </c>
      <c r="AH526" s="10">
        <f t="shared" si="76"/>
        <v>5984.9299999999994</v>
      </c>
      <c r="AI526" s="16"/>
      <c r="AJ526" s="126" t="e">
        <v>#N/A</v>
      </c>
      <c r="AK526" s="80">
        <f t="shared" si="81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74"/>
        <v>0</v>
      </c>
      <c r="X527" s="18">
        <f t="shared" si="73"/>
        <v>0</v>
      </c>
      <c r="Y527" s="13">
        <f t="shared" si="77"/>
        <v>0</v>
      </c>
      <c r="Z527" s="14">
        <v>0</v>
      </c>
      <c r="AA527" s="4">
        <v>0</v>
      </c>
      <c r="AB527" s="4">
        <f t="shared" si="78"/>
        <v>0</v>
      </c>
      <c r="AC527" s="6">
        <f t="shared" si="79"/>
        <v>0</v>
      </c>
      <c r="AD527" s="18">
        <f t="shared" si="75"/>
        <v>0</v>
      </c>
      <c r="AE527" s="2">
        <v>0.12</v>
      </c>
      <c r="AF527" s="5">
        <f t="shared" si="80"/>
        <v>0</v>
      </c>
      <c r="AG527" s="14">
        <v>0</v>
      </c>
      <c r="AH527" s="10">
        <f t="shared" si="76"/>
        <v>0</v>
      </c>
      <c r="AI527" s="16"/>
      <c r="AJ527" s="126" t="e">
        <v>#N/A</v>
      </c>
      <c r="AK527" s="80">
        <f t="shared" si="81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74"/>
        <v>179450.74</v>
      </c>
      <c r="X528" s="18">
        <f t="shared" si="73"/>
        <v>528.13461538461524</v>
      </c>
      <c r="Y528" s="13">
        <f t="shared" si="77"/>
        <v>227.62899813708736</v>
      </c>
      <c r="Z528" s="14">
        <v>0</v>
      </c>
      <c r="AA528" s="4">
        <v>0</v>
      </c>
      <c r="AB528" s="4">
        <f t="shared" si="78"/>
        <v>528.13461538461524</v>
      </c>
      <c r="AC528" s="6">
        <f t="shared" si="79"/>
        <v>21.125384615384633</v>
      </c>
      <c r="AD528" s="18">
        <f t="shared" si="75"/>
        <v>300.50561724752788</v>
      </c>
      <c r="AE528" s="2">
        <v>0.12</v>
      </c>
      <c r="AF528" s="5">
        <f t="shared" si="80"/>
        <v>36.060674069703346</v>
      </c>
      <c r="AG528" s="14">
        <v>0</v>
      </c>
      <c r="AH528" s="10">
        <f t="shared" si="76"/>
        <v>549.25999999999988</v>
      </c>
      <c r="AI528" s="16"/>
      <c r="AJ528" s="126" t="e">
        <v>#N/A</v>
      </c>
      <c r="AK528" s="80">
        <f t="shared" si="81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74"/>
        <v>67890.439999999828</v>
      </c>
      <c r="X529" s="18">
        <f t="shared" si="73"/>
        <v>807873.35922330117</v>
      </c>
      <c r="Y529" s="13">
        <f t="shared" si="77"/>
        <v>352617.93019994441</v>
      </c>
      <c r="Z529" s="14">
        <v>0</v>
      </c>
      <c r="AA529" s="4">
        <v>0</v>
      </c>
      <c r="AB529" s="4">
        <f t="shared" si="78"/>
        <v>807873.35922330117</v>
      </c>
      <c r="AC529" s="6">
        <f t="shared" si="79"/>
        <v>24236.200776698999</v>
      </c>
      <c r="AD529" s="18">
        <f t="shared" si="75"/>
        <v>455255.42902335676</v>
      </c>
      <c r="AE529" s="2">
        <v>7.0000000000000007E-2</v>
      </c>
      <c r="AF529" s="5">
        <f t="shared" si="80"/>
        <v>31867.880031634977</v>
      </c>
      <c r="AG529" s="14">
        <v>0</v>
      </c>
      <c r="AH529" s="10">
        <f t="shared" si="76"/>
        <v>832109.56000000017</v>
      </c>
      <c r="AI529" s="16"/>
      <c r="AJ529" s="126" t="e">
        <v>#N/A</v>
      </c>
      <c r="AK529" s="80">
        <f t="shared" si="81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74"/>
        <v>163450.6799999997</v>
      </c>
      <c r="X530" s="18">
        <f t="shared" si="73"/>
        <v>1389853.7087378644</v>
      </c>
      <c r="Y530" s="13">
        <f t="shared" si="77"/>
        <v>606638.81592411688</v>
      </c>
      <c r="Z530" s="14">
        <v>0</v>
      </c>
      <c r="AA530" s="4">
        <v>0</v>
      </c>
      <c r="AB530" s="4">
        <f t="shared" si="78"/>
        <v>1389853.7087378644</v>
      </c>
      <c r="AC530" s="6">
        <f t="shared" si="79"/>
        <v>41695.611262135906</v>
      </c>
      <c r="AD530" s="18">
        <f t="shared" si="75"/>
        <v>783214.89281374752</v>
      </c>
      <c r="AE530" s="2">
        <v>7.0000000000000007E-2</v>
      </c>
      <c r="AF530" s="5">
        <f t="shared" si="80"/>
        <v>54825.042496962335</v>
      </c>
      <c r="AG530" s="14">
        <v>0</v>
      </c>
      <c r="AH530" s="10">
        <f t="shared" si="76"/>
        <v>1431549.3200000003</v>
      </c>
      <c r="AI530" s="16"/>
      <c r="AJ530" s="126" t="e">
        <v>#N/A</v>
      </c>
      <c r="AK530" s="80">
        <f t="shared" si="81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74"/>
        <v>2286.8000000000002</v>
      </c>
      <c r="X531" s="18">
        <f t="shared" ref="X531:X594" si="82">IF(P531="折扣",V531*Q531,IF(P531="返现",V531,V531/(1+Q531)))</f>
        <v>2583.9999999999995</v>
      </c>
      <c r="Y531" s="13">
        <f t="shared" si="77"/>
        <v>1099.5812534755983</v>
      </c>
      <c r="Z531" s="14">
        <v>0</v>
      </c>
      <c r="AA531" s="4">
        <v>0</v>
      </c>
      <c r="AB531" s="4">
        <f t="shared" si="78"/>
        <v>2583.9999999999995</v>
      </c>
      <c r="AC531" s="6">
        <f t="shared" si="79"/>
        <v>129.20000000000027</v>
      </c>
      <c r="AD531" s="18">
        <f t="shared" si="75"/>
        <v>1484.4187465244013</v>
      </c>
      <c r="AE531" s="2">
        <v>0.12</v>
      </c>
      <c r="AF531" s="5">
        <f t="shared" si="80"/>
        <v>178.13024958292814</v>
      </c>
      <c r="AG531" s="14">
        <v>0</v>
      </c>
      <c r="AH531" s="10">
        <f t="shared" si="76"/>
        <v>2713.2</v>
      </c>
      <c r="AI531" s="16"/>
      <c r="AJ531" s="126" t="e">
        <v>#N/A</v>
      </c>
      <c r="AK531" s="80">
        <f t="shared" si="81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83">T532+U532-V532</f>
        <v>160000</v>
      </c>
      <c r="X532" s="18">
        <f t="shared" si="82"/>
        <v>0</v>
      </c>
      <c r="Y532" s="13">
        <f t="shared" si="77"/>
        <v>0</v>
      </c>
      <c r="Z532" s="14">
        <v>0</v>
      </c>
      <c r="AA532" s="4">
        <v>0</v>
      </c>
      <c r="AB532" s="4">
        <f t="shared" si="78"/>
        <v>0</v>
      </c>
      <c r="AC532" s="6">
        <f t="shared" si="79"/>
        <v>0</v>
      </c>
      <c r="AD532" s="18">
        <f t="shared" si="75"/>
        <v>0</v>
      </c>
      <c r="AE532" s="2">
        <v>7.0000000000000007E-2</v>
      </c>
      <c r="AF532" s="5">
        <f t="shared" si="80"/>
        <v>0</v>
      </c>
      <c r="AG532" s="14">
        <v>0</v>
      </c>
      <c r="AH532" s="10">
        <f t="shared" si="76"/>
        <v>0</v>
      </c>
      <c r="AI532" s="16"/>
      <c r="AJ532" s="126" t="e">
        <v>#N/A</v>
      </c>
      <c r="AK532" s="80">
        <f t="shared" si="81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83"/>
        <v>0</v>
      </c>
      <c r="X533" s="18">
        <f t="shared" si="82"/>
        <v>10000</v>
      </c>
      <c r="Y533" s="13">
        <f t="shared" si="77"/>
        <v>4528.9003887498102</v>
      </c>
      <c r="Z533" s="14">
        <v>0</v>
      </c>
      <c r="AA533" s="4">
        <v>0</v>
      </c>
      <c r="AB533" s="4">
        <f t="shared" si="78"/>
        <v>10000</v>
      </c>
      <c r="AC533" s="6">
        <f t="shared" si="79"/>
        <v>0</v>
      </c>
      <c r="AD533" s="18">
        <f t="shared" si="75"/>
        <v>5471.0996112501898</v>
      </c>
      <c r="AE533" s="2">
        <v>7.0000000000000007E-2</v>
      </c>
      <c r="AF533" s="5">
        <f t="shared" si="80"/>
        <v>382.97697278751332</v>
      </c>
      <c r="AG533" s="14">
        <v>0</v>
      </c>
      <c r="AH533" s="10">
        <f t="shared" si="76"/>
        <v>10000</v>
      </c>
      <c r="AI533" s="16"/>
      <c r="AJ533" s="126" t="e">
        <v>#N/A</v>
      </c>
      <c r="AK533" s="80">
        <f t="shared" si="81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83"/>
        <v>0</v>
      </c>
      <c r="X534" s="18">
        <f t="shared" si="82"/>
        <v>1000</v>
      </c>
      <c r="Y534" s="13">
        <f t="shared" si="77"/>
        <v>441.94783965248064</v>
      </c>
      <c r="Z534" s="14">
        <v>0</v>
      </c>
      <c r="AA534" s="4">
        <v>0</v>
      </c>
      <c r="AB534" s="4">
        <f t="shared" si="78"/>
        <v>1000</v>
      </c>
      <c r="AC534" s="6">
        <f t="shared" si="79"/>
        <v>20</v>
      </c>
      <c r="AD534" s="18">
        <f t="shared" si="75"/>
        <v>558.05216034751936</v>
      </c>
      <c r="AE534" s="2">
        <v>7.0000000000000007E-2</v>
      </c>
      <c r="AF534" s="5">
        <f t="shared" si="80"/>
        <v>39.063651224326357</v>
      </c>
      <c r="AG534" s="14">
        <v>0</v>
      </c>
      <c r="AH534" s="10">
        <f t="shared" si="76"/>
        <v>1020</v>
      </c>
      <c r="AI534" s="16"/>
      <c r="AJ534" s="126" t="e">
        <v>#N/A</v>
      </c>
      <c r="AK534" s="80">
        <f t="shared" si="81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83"/>
        <v>888.80000000000018</v>
      </c>
      <c r="X535" s="18">
        <f t="shared" si="82"/>
        <v>2089.411764705882</v>
      </c>
      <c r="Y535" s="13">
        <f t="shared" si="77"/>
        <v>923.41101555624164</v>
      </c>
      <c r="Z535" s="14">
        <v>0</v>
      </c>
      <c r="AA535" s="4">
        <v>0</v>
      </c>
      <c r="AB535" s="4">
        <f t="shared" si="78"/>
        <v>2089.411764705882</v>
      </c>
      <c r="AC535" s="6">
        <f t="shared" si="79"/>
        <v>41.78823529411784</v>
      </c>
      <c r="AD535" s="18">
        <f t="shared" si="75"/>
        <v>1166.0007491496403</v>
      </c>
      <c r="AE535" s="2">
        <v>7.0000000000000007E-2</v>
      </c>
      <c r="AF535" s="5">
        <f t="shared" si="80"/>
        <v>81.620052440474836</v>
      </c>
      <c r="AG535" s="14">
        <v>0</v>
      </c>
      <c r="AH535" s="10">
        <f t="shared" si="76"/>
        <v>2131.1999999999998</v>
      </c>
      <c r="AI535" s="16"/>
      <c r="AJ535" s="126" t="e">
        <v>#N/A</v>
      </c>
      <c r="AK535" s="80">
        <f t="shared" si="81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83"/>
        <v>8160.4000000000015</v>
      </c>
      <c r="X536" s="18">
        <f t="shared" si="82"/>
        <v>18541.099999999999</v>
      </c>
      <c r="Y536" s="13">
        <f t="shared" si="77"/>
        <v>8397.0794997849098</v>
      </c>
      <c r="Z536" s="14">
        <v>0</v>
      </c>
      <c r="AA536" s="4">
        <v>0</v>
      </c>
      <c r="AB536" s="4"/>
      <c r="AC536" s="6">
        <f t="shared" si="79"/>
        <v>0</v>
      </c>
      <c r="AD536" s="18">
        <f t="shared" si="75"/>
        <v>10144.020500215089</v>
      </c>
      <c r="AE536" s="2">
        <v>7.0000000000000007E-2</v>
      </c>
      <c r="AF536" s="5">
        <f t="shared" si="80"/>
        <v>710.08143501505629</v>
      </c>
      <c r="AG536" s="14">
        <v>0</v>
      </c>
      <c r="AH536" s="10">
        <f t="shared" si="76"/>
        <v>18541.099999999999</v>
      </c>
      <c r="AI536" s="16"/>
      <c r="AJ536" s="126">
        <v>109</v>
      </c>
      <c r="AK536" s="80">
        <f t="shared" si="81"/>
        <v>18541.099999999999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83"/>
        <v>13738.230000000003</v>
      </c>
      <c r="X537" s="18">
        <f t="shared" si="82"/>
        <v>25819.269999999997</v>
      </c>
      <c r="Y537" s="13">
        <f t="shared" si="77"/>
        <v>11693.29019402363</v>
      </c>
      <c r="Z537" s="14">
        <v>0</v>
      </c>
      <c r="AA537" s="4">
        <v>0</v>
      </c>
      <c r="AB537" s="4">
        <f t="shared" si="78"/>
        <v>25819.269999999997</v>
      </c>
      <c r="AC537" s="6">
        <f t="shared" si="79"/>
        <v>0</v>
      </c>
      <c r="AD537" s="18">
        <f t="shared" si="75"/>
        <v>14125.979805976367</v>
      </c>
      <c r="AE537" s="2">
        <v>7.0000000000000007E-2</v>
      </c>
      <c r="AF537" s="5">
        <f t="shared" si="80"/>
        <v>988.81858641834583</v>
      </c>
      <c r="AG537" s="14">
        <v>0</v>
      </c>
      <c r="AH537" s="10">
        <f t="shared" si="76"/>
        <v>25819.269999999997</v>
      </c>
      <c r="AI537" s="16"/>
      <c r="AJ537" s="126" t="e">
        <v>#N/A</v>
      </c>
      <c r="AK537" s="80">
        <f t="shared" si="81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83"/>
        <v>0</v>
      </c>
      <c r="X538" s="18">
        <f t="shared" si="82"/>
        <v>26811.701923076922</v>
      </c>
      <c r="Y538" s="13">
        <f t="shared" si="77"/>
        <v>11555.994758373503</v>
      </c>
      <c r="Z538" s="14">
        <v>0</v>
      </c>
      <c r="AA538" s="4">
        <v>0</v>
      </c>
      <c r="AB538" s="4">
        <f t="shared" si="78"/>
        <v>26811.701923076922</v>
      </c>
      <c r="AC538" s="6">
        <f t="shared" si="79"/>
        <v>1072.4680769230763</v>
      </c>
      <c r="AD538" s="18">
        <f t="shared" si="75"/>
        <v>15255.707164703419</v>
      </c>
      <c r="AE538" s="2">
        <v>7.0000000000000007E-2</v>
      </c>
      <c r="AF538" s="5">
        <f t="shared" si="80"/>
        <v>1067.8995015292394</v>
      </c>
      <c r="AG538" s="14">
        <v>0</v>
      </c>
      <c r="AH538" s="10">
        <f t="shared" si="76"/>
        <v>27884.17</v>
      </c>
      <c r="AI538" s="16"/>
      <c r="AJ538" s="126" t="e">
        <v>#N/A</v>
      </c>
      <c r="AK538" s="80">
        <f t="shared" si="81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83"/>
        <v>0</v>
      </c>
      <c r="X539" s="18">
        <f t="shared" si="82"/>
        <v>-19557.5</v>
      </c>
      <c r="Y539" s="13">
        <f t="shared" si="77"/>
        <v>0</v>
      </c>
      <c r="Z539" s="14">
        <v>0</v>
      </c>
      <c r="AA539" s="4">
        <v>0</v>
      </c>
      <c r="AB539" s="4">
        <f t="shared" si="78"/>
        <v>-19557.5</v>
      </c>
      <c r="AC539" s="6">
        <f t="shared" si="79"/>
        <v>0</v>
      </c>
      <c r="AD539" s="18">
        <f t="shared" si="75"/>
        <v>-10700.103064702558</v>
      </c>
      <c r="AE539" s="2">
        <v>7.0000000000000007E-2</v>
      </c>
      <c r="AF539" s="5">
        <f t="shared" si="80"/>
        <v>-749.00721452917912</v>
      </c>
      <c r="AG539" s="14">
        <v>0</v>
      </c>
      <c r="AH539" s="10">
        <f t="shared" si="76"/>
        <v>-19557.5</v>
      </c>
      <c r="AI539" s="16"/>
      <c r="AJ539" s="126" t="e">
        <v>#N/A</v>
      </c>
      <c r="AK539" s="80">
        <f t="shared" si="81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83"/>
        <v>13155.789999999999</v>
      </c>
      <c r="X540" s="18">
        <f t="shared" si="82"/>
        <v>6844.2100000000009</v>
      </c>
      <c r="Y540" s="13">
        <f t="shared" si="77"/>
        <v>3099.6745329685345</v>
      </c>
      <c r="Z540" s="14">
        <v>0</v>
      </c>
      <c r="AA540" s="4">
        <v>0</v>
      </c>
      <c r="AB540" s="4">
        <f t="shared" si="78"/>
        <v>6844.2100000000009</v>
      </c>
      <c r="AC540" s="6">
        <f t="shared" si="79"/>
        <v>0</v>
      </c>
      <c r="AD540" s="18">
        <f t="shared" si="75"/>
        <v>3744.5354670314664</v>
      </c>
      <c r="AE540" s="2">
        <v>0.12</v>
      </c>
      <c r="AF540" s="5">
        <f t="shared" si="80"/>
        <v>449.34425604377594</v>
      </c>
      <c r="AG540" s="14">
        <v>0</v>
      </c>
      <c r="AH540" s="10">
        <f t="shared" si="76"/>
        <v>6844.2100000000009</v>
      </c>
      <c r="AI540" s="16"/>
      <c r="AJ540" s="126" t="e">
        <v>#N/A</v>
      </c>
      <c r="AK540" s="80">
        <f t="shared" si="81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83"/>
        <v>6979.41</v>
      </c>
      <c r="X541" s="18">
        <f t="shared" si="82"/>
        <v>4751.3600000000006</v>
      </c>
      <c r="Y541" s="13">
        <f t="shared" si="77"/>
        <v>2151.84361510903</v>
      </c>
      <c r="Z541" s="14">
        <v>0</v>
      </c>
      <c r="AA541" s="4">
        <v>0</v>
      </c>
      <c r="AB541" s="4">
        <f t="shared" si="78"/>
        <v>4751.3600000000006</v>
      </c>
      <c r="AC541" s="6">
        <f t="shared" si="79"/>
        <v>0</v>
      </c>
      <c r="AD541" s="18">
        <f t="shared" si="75"/>
        <v>2599.5163848909706</v>
      </c>
      <c r="AE541" s="2">
        <v>7.0000000000000007E-2</v>
      </c>
      <c r="AF541" s="5">
        <f t="shared" si="80"/>
        <v>181.96614694236797</v>
      </c>
      <c r="AG541" s="14">
        <v>0</v>
      </c>
      <c r="AH541" s="10">
        <f t="shared" si="76"/>
        <v>4751.3600000000006</v>
      </c>
      <c r="AI541" s="16"/>
      <c r="AJ541" s="126" t="e">
        <v>#N/A</v>
      </c>
      <c r="AK541" s="80">
        <f t="shared" si="81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83"/>
        <v>0</v>
      </c>
      <c r="X542" s="18">
        <f t="shared" si="82"/>
        <v>0</v>
      </c>
      <c r="Y542" s="13">
        <f t="shared" si="77"/>
        <v>0</v>
      </c>
      <c r="Z542" s="14">
        <v>0</v>
      </c>
      <c r="AA542" s="4">
        <v>0</v>
      </c>
      <c r="AB542" s="4">
        <f t="shared" si="78"/>
        <v>0</v>
      </c>
      <c r="AC542" s="6">
        <f t="shared" si="79"/>
        <v>0</v>
      </c>
      <c r="AD542" s="18">
        <f t="shared" si="75"/>
        <v>0</v>
      </c>
      <c r="AE542" s="2">
        <v>7.0000000000000007E-2</v>
      </c>
      <c r="AF542" s="5">
        <f t="shared" si="80"/>
        <v>0</v>
      </c>
      <c r="AG542" s="14">
        <v>0</v>
      </c>
      <c r="AH542" s="10">
        <f t="shared" si="76"/>
        <v>0</v>
      </c>
      <c r="AI542" s="16"/>
      <c r="AJ542" s="126" t="e">
        <v>#N/A</v>
      </c>
      <c r="AK542" s="80">
        <f t="shared" si="81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83"/>
        <v>0</v>
      </c>
      <c r="X543" s="18">
        <f t="shared" si="82"/>
        <v>0</v>
      </c>
      <c r="Y543" s="13">
        <f t="shared" si="77"/>
        <v>0</v>
      </c>
      <c r="Z543" s="14">
        <v>0</v>
      </c>
      <c r="AA543" s="4">
        <v>0</v>
      </c>
      <c r="AB543" s="4">
        <f t="shared" si="78"/>
        <v>0</v>
      </c>
      <c r="AC543" s="6">
        <f t="shared" si="79"/>
        <v>0</v>
      </c>
      <c r="AD543" s="18">
        <f t="shared" si="75"/>
        <v>0</v>
      </c>
      <c r="AE543" s="2">
        <v>7.0000000000000007E-2</v>
      </c>
      <c r="AF543" s="5">
        <f t="shared" si="80"/>
        <v>0</v>
      </c>
      <c r="AG543" s="14">
        <v>0</v>
      </c>
      <c r="AH543" s="10">
        <f t="shared" si="76"/>
        <v>0</v>
      </c>
      <c r="AI543" s="16"/>
      <c r="AJ543" s="126" t="e">
        <v>#N/A</v>
      </c>
      <c r="AK543" s="80">
        <f t="shared" si="81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83"/>
        <v>4196.5</v>
      </c>
      <c r="X544" s="18">
        <f t="shared" si="82"/>
        <v>5689.7058823529414</v>
      </c>
      <c r="Y544" s="13">
        <f t="shared" si="77"/>
        <v>2514.5532229638939</v>
      </c>
      <c r="Z544" s="14">
        <v>0</v>
      </c>
      <c r="AA544" s="4">
        <v>0</v>
      </c>
      <c r="AB544" s="4">
        <f t="shared" si="78"/>
        <v>5689.7058823529414</v>
      </c>
      <c r="AC544" s="6">
        <f t="shared" si="79"/>
        <v>113.79411764705856</v>
      </c>
      <c r="AD544" s="18">
        <f t="shared" si="75"/>
        <v>3175.1526593890476</v>
      </c>
      <c r="AE544" s="2">
        <v>7.0000000000000007E-2</v>
      </c>
      <c r="AF544" s="5">
        <f t="shared" si="80"/>
        <v>222.26068615723335</v>
      </c>
      <c r="AG544" s="14">
        <v>0</v>
      </c>
      <c r="AH544" s="10">
        <f t="shared" si="76"/>
        <v>5803.5</v>
      </c>
      <c r="AI544" s="16"/>
      <c r="AJ544" s="126" t="e">
        <v>#N/A</v>
      </c>
      <c r="AK544" s="80">
        <f t="shared" si="81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83"/>
        <v>16393.010000000002</v>
      </c>
      <c r="X545" s="18">
        <f t="shared" si="82"/>
        <v>13606.99</v>
      </c>
      <c r="Y545" s="13">
        <f t="shared" si="77"/>
        <v>6162.470230071478</v>
      </c>
      <c r="Z545" s="14">
        <v>0</v>
      </c>
      <c r="AA545" s="4">
        <v>0</v>
      </c>
      <c r="AB545" s="4">
        <f t="shared" si="78"/>
        <v>13606.99</v>
      </c>
      <c r="AC545" s="6">
        <f t="shared" si="79"/>
        <v>0</v>
      </c>
      <c r="AD545" s="18">
        <f t="shared" si="75"/>
        <v>7444.5197699285218</v>
      </c>
      <c r="AE545" s="2">
        <v>7.0000000000000007E-2</v>
      </c>
      <c r="AF545" s="5">
        <f t="shared" si="80"/>
        <v>521.1163838949966</v>
      </c>
      <c r="AG545" s="14">
        <v>0</v>
      </c>
      <c r="AH545" s="10">
        <f t="shared" si="76"/>
        <v>13606.99</v>
      </c>
      <c r="AI545" s="16"/>
      <c r="AJ545" s="126" t="e">
        <v>#N/A</v>
      </c>
      <c r="AK545" s="80">
        <f t="shared" si="81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83"/>
        <v>3975.5</v>
      </c>
      <c r="X546" s="18">
        <f t="shared" si="82"/>
        <v>52024.5</v>
      </c>
      <c r="Y546" s="13">
        <f t="shared" si="77"/>
        <v>23561.377827451452</v>
      </c>
      <c r="Z546" s="14">
        <v>0</v>
      </c>
      <c r="AA546" s="4">
        <v>0</v>
      </c>
      <c r="AB546" s="4">
        <f t="shared" si="78"/>
        <v>52024.5</v>
      </c>
      <c r="AC546" s="6">
        <f t="shared" si="79"/>
        <v>0</v>
      </c>
      <c r="AD546" s="18">
        <f t="shared" si="75"/>
        <v>28463.122172548548</v>
      </c>
      <c r="AE546" s="2">
        <v>7.0000000000000007E-2</v>
      </c>
      <c r="AF546" s="5">
        <f t="shared" si="80"/>
        <v>1992.4185520783985</v>
      </c>
      <c r="AG546" s="14">
        <v>0</v>
      </c>
      <c r="AH546" s="10">
        <f t="shared" si="76"/>
        <v>52024.5</v>
      </c>
      <c r="AI546" s="16"/>
      <c r="AJ546" s="126" t="e">
        <v>#N/A</v>
      </c>
      <c r="AK546" s="80">
        <f t="shared" si="81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83"/>
        <v>78823.999999999985</v>
      </c>
      <c r="X547" s="18">
        <f t="shared" si="82"/>
        <v>51625.900000000009</v>
      </c>
      <c r="Y547" s="13">
        <f t="shared" si="77"/>
        <v>23380.855857955888</v>
      </c>
      <c r="Z547" s="14">
        <v>0</v>
      </c>
      <c r="AA547" s="4">
        <v>0</v>
      </c>
      <c r="AB547" s="4">
        <f t="shared" si="78"/>
        <v>51625.900000000009</v>
      </c>
      <c r="AC547" s="6">
        <f t="shared" si="79"/>
        <v>0</v>
      </c>
      <c r="AD547" s="18">
        <f t="shared" si="75"/>
        <v>28245.04414204412</v>
      </c>
      <c r="AE547" s="2">
        <v>7.0000000000000007E-2</v>
      </c>
      <c r="AF547" s="5">
        <f t="shared" si="80"/>
        <v>1977.1530899430886</v>
      </c>
      <c r="AG547" s="14">
        <v>0</v>
      </c>
      <c r="AH547" s="10">
        <f t="shared" si="76"/>
        <v>51625.900000000009</v>
      </c>
      <c r="AI547" s="16"/>
      <c r="AJ547" s="126" t="e">
        <v>#N/A</v>
      </c>
      <c r="AK547" s="80">
        <f t="shared" si="81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83"/>
        <v>40169.21</v>
      </c>
      <c r="X548" s="18">
        <f t="shared" si="82"/>
        <v>9830.7900000000009</v>
      </c>
      <c r="Y548" s="13">
        <f t="shared" si="77"/>
        <v>4452.2668652717748</v>
      </c>
      <c r="Z548" s="14">
        <v>0</v>
      </c>
      <c r="AA548" s="4">
        <v>0</v>
      </c>
      <c r="AB548" s="4">
        <f t="shared" si="78"/>
        <v>9830.7900000000009</v>
      </c>
      <c r="AC548" s="6">
        <f t="shared" si="79"/>
        <v>0</v>
      </c>
      <c r="AD548" s="18">
        <f t="shared" si="75"/>
        <v>5378.5231347282261</v>
      </c>
      <c r="AE548" s="2">
        <v>7.0000000000000007E-2</v>
      </c>
      <c r="AF548" s="5">
        <f t="shared" si="80"/>
        <v>376.49661943097584</v>
      </c>
      <c r="AG548" s="14">
        <v>0</v>
      </c>
      <c r="AH548" s="10">
        <f t="shared" si="76"/>
        <v>9830.7900000000009</v>
      </c>
      <c r="AI548" s="16"/>
      <c r="AJ548" s="126" t="e">
        <v>#N/A</v>
      </c>
      <c r="AK548" s="80">
        <f t="shared" si="81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83"/>
        <v>77158.029999999984</v>
      </c>
      <c r="X549" s="18">
        <f t="shared" si="82"/>
        <v>89156.900000000009</v>
      </c>
      <c r="Y549" s="13">
        <f t="shared" si="77"/>
        <v>40378.271906972797</v>
      </c>
      <c r="Z549" s="14">
        <v>0</v>
      </c>
      <c r="AA549" s="4">
        <v>0</v>
      </c>
      <c r="AB549" s="4">
        <f t="shared" si="78"/>
        <v>89156.900000000009</v>
      </c>
      <c r="AC549" s="6">
        <f t="shared" si="79"/>
        <v>0</v>
      </c>
      <c r="AD549" s="18">
        <f t="shared" si="75"/>
        <v>48778.628093027211</v>
      </c>
      <c r="AE549" s="2">
        <v>7.0000000000000007E-2</v>
      </c>
      <c r="AF549" s="5">
        <f t="shared" si="80"/>
        <v>3414.5039665119052</v>
      </c>
      <c r="AG549" s="14">
        <v>0</v>
      </c>
      <c r="AH549" s="10">
        <f t="shared" si="76"/>
        <v>89156.900000000009</v>
      </c>
      <c r="AI549" s="16"/>
      <c r="AJ549" s="126" t="e">
        <v>#N/A</v>
      </c>
      <c r="AK549" s="80">
        <f t="shared" si="81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83"/>
        <v>0</v>
      </c>
      <c r="X550" s="18">
        <f t="shared" si="82"/>
        <v>0</v>
      </c>
      <c r="Y550" s="13">
        <f t="shared" si="77"/>
        <v>0</v>
      </c>
      <c r="Z550" s="14">
        <v>0</v>
      </c>
      <c r="AA550" s="4">
        <v>0</v>
      </c>
      <c r="AB550" s="4">
        <f t="shared" si="78"/>
        <v>0</v>
      </c>
      <c r="AC550" s="6">
        <f t="shared" si="79"/>
        <v>0</v>
      </c>
      <c r="AD550" s="18">
        <f t="shared" si="75"/>
        <v>0</v>
      </c>
      <c r="AE550" s="2">
        <v>7.0000000000000007E-2</v>
      </c>
      <c r="AF550" s="5">
        <f t="shared" si="80"/>
        <v>0</v>
      </c>
      <c r="AG550" s="14">
        <v>0</v>
      </c>
      <c r="AH550" s="10">
        <f t="shared" si="76"/>
        <v>0</v>
      </c>
      <c r="AI550" s="16"/>
      <c r="AJ550" s="126" t="e">
        <v>#N/A</v>
      </c>
      <c r="AK550" s="80">
        <f t="shared" si="81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83"/>
        <v>775.00000000000182</v>
      </c>
      <c r="X551" s="18">
        <f t="shared" si="82"/>
        <v>9224.9999999999982</v>
      </c>
      <c r="Y551" s="13">
        <f t="shared" si="77"/>
        <v>4177.9106086216989</v>
      </c>
      <c r="Z551" s="14">
        <v>0</v>
      </c>
      <c r="AA551" s="4">
        <v>0</v>
      </c>
      <c r="AB551" s="4">
        <f t="shared" si="78"/>
        <v>9224.9999999999982</v>
      </c>
      <c r="AC551" s="6">
        <f t="shared" si="79"/>
        <v>0</v>
      </c>
      <c r="AD551" s="18">
        <f t="shared" si="75"/>
        <v>5047.0893913782993</v>
      </c>
      <c r="AE551" s="2">
        <v>7.0000000000000007E-2</v>
      </c>
      <c r="AF551" s="5">
        <f t="shared" si="80"/>
        <v>353.296257396481</v>
      </c>
      <c r="AG551" s="14">
        <v>0</v>
      </c>
      <c r="AH551" s="10">
        <f t="shared" si="76"/>
        <v>9224.9999999999982</v>
      </c>
      <c r="AI551" s="16"/>
      <c r="AJ551" s="126" t="e">
        <v>#N/A</v>
      </c>
      <c r="AK551" s="80">
        <f t="shared" si="81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83"/>
        <v>712751.88000000012</v>
      </c>
      <c r="X552" s="18">
        <f t="shared" si="82"/>
        <v>392017.55882352934</v>
      </c>
      <c r="Y552" s="13">
        <f t="shared" si="77"/>
        <v>173251.31322789806</v>
      </c>
      <c r="Z552" s="14">
        <v>0</v>
      </c>
      <c r="AA552" s="4">
        <v>0</v>
      </c>
      <c r="AB552" s="4">
        <f t="shared" si="78"/>
        <v>392017.55882352934</v>
      </c>
      <c r="AC552" s="6">
        <f t="shared" si="79"/>
        <v>7840.3511764705763</v>
      </c>
      <c r="AD552" s="18">
        <f t="shared" si="75"/>
        <v>218766.24559563128</v>
      </c>
      <c r="AE552" s="2">
        <v>7.0000000000000007E-2</v>
      </c>
      <c r="AF552" s="5">
        <f t="shared" si="80"/>
        <v>15313.637191694192</v>
      </c>
      <c r="AG552" s="14">
        <v>0</v>
      </c>
      <c r="AH552" s="10">
        <f t="shared" si="76"/>
        <v>399857.90999999992</v>
      </c>
      <c r="AI552" s="16"/>
      <c r="AJ552" s="126" t="e">
        <v>#N/A</v>
      </c>
      <c r="AK552" s="80">
        <f t="shared" si="81"/>
        <v>0</v>
      </c>
      <c r="AM552" s="85"/>
    </row>
    <row r="553" spans="1:39" hidden="1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83"/>
        <v>0</v>
      </c>
      <c r="X553" s="18">
        <f t="shared" si="82"/>
        <v>0</v>
      </c>
      <c r="Y553" s="13">
        <f t="shared" si="77"/>
        <v>0</v>
      </c>
      <c r="Z553" s="14">
        <v>0</v>
      </c>
      <c r="AA553" s="4">
        <v>0</v>
      </c>
      <c r="AB553" s="4">
        <f t="shared" si="78"/>
        <v>0</v>
      </c>
      <c r="AC553" s="6">
        <f t="shared" si="79"/>
        <v>0</v>
      </c>
      <c r="AD553" s="18">
        <f t="shared" si="75"/>
        <v>0</v>
      </c>
      <c r="AE553" s="2">
        <v>7.0000000000000007E-2</v>
      </c>
      <c r="AF553" s="5">
        <f t="shared" si="80"/>
        <v>0</v>
      </c>
      <c r="AG553" s="14">
        <v>0</v>
      </c>
      <c r="AH553" s="10">
        <f t="shared" si="76"/>
        <v>0</v>
      </c>
      <c r="AI553" s="16"/>
      <c r="AJ553" s="126" t="e">
        <v>#N/A</v>
      </c>
      <c r="AK553" s="80">
        <f t="shared" si="81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83"/>
        <v>0</v>
      </c>
      <c r="X554" s="18">
        <f t="shared" si="82"/>
        <v>2946.5961538461556</v>
      </c>
      <c r="Y554" s="13">
        <f t="shared" si="77"/>
        <v>1269.9995623769789</v>
      </c>
      <c r="Z554" s="14">
        <v>0</v>
      </c>
      <c r="AA554" s="4">
        <v>0</v>
      </c>
      <c r="AB554" s="4">
        <f t="shared" si="78"/>
        <v>2946.5961538461556</v>
      </c>
      <c r="AC554" s="6">
        <f t="shared" si="79"/>
        <v>117.86384615384623</v>
      </c>
      <c r="AD554" s="18">
        <f t="shared" si="75"/>
        <v>1676.5965914691767</v>
      </c>
      <c r="AE554" s="2">
        <v>7.0000000000000007E-2</v>
      </c>
      <c r="AF554" s="5">
        <f t="shared" si="80"/>
        <v>117.36176140284238</v>
      </c>
      <c r="AG554" s="14">
        <v>0</v>
      </c>
      <c r="AH554" s="10">
        <f t="shared" si="76"/>
        <v>3064.4600000000019</v>
      </c>
      <c r="AI554" s="16"/>
      <c r="AJ554" s="126" t="e">
        <v>#N/A</v>
      </c>
      <c r="AK554" s="80">
        <f t="shared" si="81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83"/>
        <v>1441</v>
      </c>
      <c r="X555" s="18">
        <f t="shared" si="82"/>
        <v>0</v>
      </c>
      <c r="Y555" s="13">
        <f t="shared" si="77"/>
        <v>0</v>
      </c>
      <c r="Z555" s="14">
        <v>0</v>
      </c>
      <c r="AA555" s="4">
        <v>0</v>
      </c>
      <c r="AB555" s="4">
        <f t="shared" si="78"/>
        <v>0</v>
      </c>
      <c r="AC555" s="6">
        <f t="shared" si="79"/>
        <v>0</v>
      </c>
      <c r="AD555" s="18">
        <f t="shared" si="75"/>
        <v>0</v>
      </c>
      <c r="AE555" s="2">
        <v>7.0000000000000007E-2</v>
      </c>
      <c r="AF555" s="5">
        <f t="shared" si="80"/>
        <v>0</v>
      </c>
      <c r="AG555" s="14">
        <v>0</v>
      </c>
      <c r="AH555" s="10">
        <f t="shared" si="76"/>
        <v>0</v>
      </c>
      <c r="AI555" s="16"/>
      <c r="AJ555" s="126" t="e">
        <v>#N/A</v>
      </c>
      <c r="AK555" s="80">
        <f t="shared" si="81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83"/>
        <v>0</v>
      </c>
      <c r="X556" s="18">
        <f t="shared" si="82"/>
        <v>31151.382352941149</v>
      </c>
      <c r="Y556" s="13">
        <f t="shared" si="77"/>
        <v>13767.286133070749</v>
      </c>
      <c r="Z556" s="14">
        <v>0</v>
      </c>
      <c r="AA556" s="4">
        <v>0</v>
      </c>
      <c r="AB556" s="4">
        <f t="shared" si="78"/>
        <v>31151.382352941149</v>
      </c>
      <c r="AC556" s="6">
        <f t="shared" si="79"/>
        <v>623.0276470588251</v>
      </c>
      <c r="AD556" s="18">
        <f t="shared" si="75"/>
        <v>17384.0962198704</v>
      </c>
      <c r="AE556" s="2">
        <v>7.0000000000000007E-2</v>
      </c>
      <c r="AF556" s="5">
        <f t="shared" si="80"/>
        <v>1216.8867353909282</v>
      </c>
      <c r="AG556" s="14">
        <v>0</v>
      </c>
      <c r="AH556" s="10">
        <f t="shared" si="76"/>
        <v>31774.409999999974</v>
      </c>
      <c r="AI556" s="16"/>
      <c r="AJ556" s="126" t="e">
        <v>#N/A</v>
      </c>
      <c r="AK556" s="80">
        <f t="shared" si="81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83"/>
        <v>12174.8</v>
      </c>
      <c r="X557" s="18">
        <f t="shared" si="82"/>
        <v>2410.5</v>
      </c>
      <c r="Y557" s="13">
        <f t="shared" si="77"/>
        <v>1091.6914387081417</v>
      </c>
      <c r="Z557" s="14">
        <v>0</v>
      </c>
      <c r="AA557" s="4">
        <v>0</v>
      </c>
      <c r="AB557" s="4">
        <f t="shared" si="78"/>
        <v>2410.5</v>
      </c>
      <c r="AC557" s="6">
        <f t="shared" si="79"/>
        <v>0</v>
      </c>
      <c r="AD557" s="18">
        <f t="shared" si="75"/>
        <v>1318.8085612918583</v>
      </c>
      <c r="AE557" s="2">
        <v>0.12</v>
      </c>
      <c r="AF557" s="5">
        <f t="shared" si="80"/>
        <v>158.25702735502298</v>
      </c>
      <c r="AG557" s="14">
        <v>0</v>
      </c>
      <c r="AH557" s="10">
        <f t="shared" si="76"/>
        <v>2410.5</v>
      </c>
      <c r="AI557" s="16"/>
      <c r="AJ557" s="126" t="e">
        <v>#N/A</v>
      </c>
      <c r="AK557" s="80">
        <f t="shared" si="81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83"/>
        <v>15829.1</v>
      </c>
      <c r="X558" s="18">
        <f t="shared" si="82"/>
        <v>0</v>
      </c>
      <c r="Y558" s="13">
        <f t="shared" si="77"/>
        <v>0</v>
      </c>
      <c r="Z558" s="14">
        <v>0</v>
      </c>
      <c r="AA558" s="4">
        <v>0</v>
      </c>
      <c r="AB558" s="4">
        <f t="shared" si="78"/>
        <v>0</v>
      </c>
      <c r="AC558" s="6">
        <f t="shared" si="79"/>
        <v>0</v>
      </c>
      <c r="AD558" s="18">
        <f t="shared" si="75"/>
        <v>0</v>
      </c>
      <c r="AE558" s="2">
        <v>0.12</v>
      </c>
      <c r="AF558" s="5">
        <f t="shared" si="80"/>
        <v>0</v>
      </c>
      <c r="AG558" s="14">
        <v>0</v>
      </c>
      <c r="AH558" s="10">
        <f t="shared" si="76"/>
        <v>0</v>
      </c>
      <c r="AI558" s="16"/>
      <c r="AJ558" s="126" t="e">
        <v>#N/A</v>
      </c>
      <c r="AK558" s="80">
        <f t="shared" si="81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83"/>
        <v>12759.24</v>
      </c>
      <c r="X559" s="18">
        <f t="shared" si="82"/>
        <v>0</v>
      </c>
      <c r="Y559" s="13">
        <f t="shared" si="77"/>
        <v>0</v>
      </c>
      <c r="Z559" s="14">
        <v>0</v>
      </c>
      <c r="AA559" s="4">
        <v>0</v>
      </c>
      <c r="AB559" s="4">
        <f t="shared" si="78"/>
        <v>0</v>
      </c>
      <c r="AC559" s="6">
        <f t="shared" si="79"/>
        <v>0</v>
      </c>
      <c r="AD559" s="18">
        <f t="shared" si="75"/>
        <v>0</v>
      </c>
      <c r="AE559" s="2">
        <v>0.12</v>
      </c>
      <c r="AF559" s="5">
        <f t="shared" si="80"/>
        <v>0</v>
      </c>
      <c r="AG559" s="14">
        <v>0</v>
      </c>
      <c r="AH559" s="10">
        <f t="shared" si="76"/>
        <v>0</v>
      </c>
      <c r="AI559" s="16"/>
      <c r="AJ559" s="126" t="e">
        <v>#N/A</v>
      </c>
      <c r="AK559" s="80">
        <f t="shared" si="81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83"/>
        <v>12650</v>
      </c>
      <c r="X560" s="18">
        <f t="shared" si="82"/>
        <v>0</v>
      </c>
      <c r="Y560" s="13">
        <f t="shared" si="77"/>
        <v>0</v>
      </c>
      <c r="Z560" s="14">
        <v>0</v>
      </c>
      <c r="AA560" s="4">
        <v>0</v>
      </c>
      <c r="AB560" s="4">
        <f t="shared" si="78"/>
        <v>0</v>
      </c>
      <c r="AC560" s="6">
        <f t="shared" si="79"/>
        <v>0</v>
      </c>
      <c r="AD560" s="18">
        <f t="shared" si="75"/>
        <v>0</v>
      </c>
      <c r="AE560" s="2">
        <v>0.12</v>
      </c>
      <c r="AF560" s="5">
        <f t="shared" si="80"/>
        <v>0</v>
      </c>
      <c r="AG560" s="14">
        <v>0</v>
      </c>
      <c r="AH560" s="10">
        <f t="shared" si="76"/>
        <v>0</v>
      </c>
      <c r="AI560" s="16"/>
      <c r="AJ560" s="126" t="e">
        <v>#N/A</v>
      </c>
      <c r="AK560" s="80">
        <f t="shared" si="81"/>
        <v>0</v>
      </c>
      <c r="AM560" s="85"/>
    </row>
    <row r="561" spans="1:39" hidden="1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83"/>
        <v>14932.1</v>
      </c>
      <c r="X561" s="18">
        <f t="shared" si="82"/>
        <v>0</v>
      </c>
      <c r="Y561" s="13">
        <f t="shared" si="77"/>
        <v>0</v>
      </c>
      <c r="Z561" s="14">
        <v>0</v>
      </c>
      <c r="AA561" s="4">
        <v>0</v>
      </c>
      <c r="AB561" s="4">
        <f t="shared" si="78"/>
        <v>0</v>
      </c>
      <c r="AC561" s="6">
        <f t="shared" si="79"/>
        <v>0</v>
      </c>
      <c r="AD561" s="18">
        <f t="shared" si="75"/>
        <v>0</v>
      </c>
      <c r="AE561" s="2">
        <v>0.12</v>
      </c>
      <c r="AF561" s="5">
        <f t="shared" si="80"/>
        <v>0</v>
      </c>
      <c r="AG561" s="14">
        <v>0</v>
      </c>
      <c r="AH561" s="10">
        <f t="shared" si="76"/>
        <v>0</v>
      </c>
      <c r="AI561" s="16"/>
      <c r="AJ561" s="126" t="e">
        <v>#N/A</v>
      </c>
      <c r="AK561" s="80">
        <f t="shared" si="81"/>
        <v>0</v>
      </c>
      <c r="AM561" s="85"/>
    </row>
    <row r="562" spans="1:39" hidden="1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83"/>
        <v>10000</v>
      </c>
      <c r="X562" s="18">
        <f t="shared" si="82"/>
        <v>0</v>
      </c>
      <c r="Y562" s="13">
        <f t="shared" si="77"/>
        <v>0</v>
      </c>
      <c r="Z562" s="14">
        <v>0</v>
      </c>
      <c r="AA562" s="4">
        <v>0</v>
      </c>
      <c r="AB562" s="4">
        <f t="shared" si="78"/>
        <v>0</v>
      </c>
      <c r="AC562" s="6">
        <f t="shared" si="79"/>
        <v>0</v>
      </c>
      <c r="AD562" s="18">
        <f t="shared" si="75"/>
        <v>0</v>
      </c>
      <c r="AE562" s="2">
        <v>7.0000000000000007E-2</v>
      </c>
      <c r="AF562" s="5">
        <f t="shared" si="80"/>
        <v>0</v>
      </c>
      <c r="AG562" s="14">
        <v>0</v>
      </c>
      <c r="AH562" s="10">
        <f t="shared" si="76"/>
        <v>0</v>
      </c>
      <c r="AI562" s="16"/>
      <c r="AJ562" s="126" t="e">
        <v>#N/A</v>
      </c>
      <c r="AK562" s="80">
        <f t="shared" si="81"/>
        <v>0</v>
      </c>
      <c r="AM562" s="85"/>
    </row>
    <row r="563" spans="1:39" hidden="1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82"/>
        <v>5495.2799999999961</v>
      </c>
      <c r="Y563" s="13">
        <f t="shared" si="7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79"/>
        <v>0</v>
      </c>
      <c r="AD563" s="18">
        <f t="shared" si="75"/>
        <v>3006.5224271710922</v>
      </c>
      <c r="AE563" s="2">
        <v>7.0000000000000007E-2</v>
      </c>
      <c r="AF563" s="5">
        <f t="shared" si="80"/>
        <v>210.45656990197648</v>
      </c>
      <c r="AG563" s="14">
        <v>0</v>
      </c>
      <c r="AH563" s="10">
        <f t="shared" si="76"/>
        <v>5495.2799999999961</v>
      </c>
      <c r="AI563" s="16"/>
      <c r="AJ563" s="126" t="s">
        <v>4216</v>
      </c>
      <c r="AK563" s="80">
        <f t="shared" si="81"/>
        <v>0</v>
      </c>
      <c r="AM563" s="85"/>
    </row>
    <row r="564" spans="1:39" hidden="1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83"/>
        <v>-73667.62</v>
      </c>
      <c r="X564" s="18">
        <f t="shared" si="82"/>
        <v>0</v>
      </c>
      <c r="Y564" s="13">
        <f t="shared" si="77"/>
        <v>0</v>
      </c>
      <c r="Z564" s="14">
        <v>0</v>
      </c>
      <c r="AA564" s="4">
        <v>0</v>
      </c>
      <c r="AB564" s="4">
        <f t="shared" si="78"/>
        <v>0</v>
      </c>
      <c r="AC564" s="6">
        <f t="shared" si="79"/>
        <v>0</v>
      </c>
      <c r="AD564" s="18">
        <f t="shared" si="75"/>
        <v>0</v>
      </c>
      <c r="AE564" s="2">
        <v>7.0000000000000007E-2</v>
      </c>
      <c r="AF564" s="5">
        <f t="shared" si="80"/>
        <v>0</v>
      </c>
      <c r="AG564" s="14">
        <v>0</v>
      </c>
      <c r="AH564" s="10">
        <f t="shared" si="76"/>
        <v>0</v>
      </c>
      <c r="AI564" s="16"/>
      <c r="AJ564" s="126" t="e">
        <v>#N/A</v>
      </c>
      <c r="AK564" s="80">
        <f t="shared" si="81"/>
        <v>0</v>
      </c>
      <c r="AM564" s="85"/>
    </row>
    <row r="565" spans="1:39" hidden="1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83"/>
        <v>0</v>
      </c>
      <c r="X565" s="18">
        <f t="shared" si="82"/>
        <v>-35245.699999999997</v>
      </c>
      <c r="Y565" s="13">
        <f t="shared" si="77"/>
        <v>0</v>
      </c>
      <c r="Z565" s="14">
        <v>0</v>
      </c>
      <c r="AA565" s="4">
        <v>0</v>
      </c>
      <c r="AB565" s="4">
        <f t="shared" si="78"/>
        <v>-35245.699999999997</v>
      </c>
      <c r="AC565" s="6">
        <f t="shared" si="79"/>
        <v>0</v>
      </c>
      <c r="AD565" s="18">
        <f t="shared" ref="AD565:AD628" si="84">V565*0.547109961125019</f>
        <v>-19283.273556824079</v>
      </c>
      <c r="AE565" s="2">
        <v>7.0000000000000007E-2</v>
      </c>
      <c r="AF565" s="5">
        <f t="shared" si="80"/>
        <v>-1349.8291489776857</v>
      </c>
      <c r="AG565" s="14">
        <v>0</v>
      </c>
      <c r="AH565" s="10">
        <f t="shared" ref="AH565:AH628" si="85">V565</f>
        <v>-35245.699999999997</v>
      </c>
      <c r="AI565" s="16"/>
      <c r="AJ565" s="126" t="e">
        <v>#N/A</v>
      </c>
      <c r="AK565" s="80">
        <f t="shared" si="81"/>
        <v>0</v>
      </c>
      <c r="AM565" s="85"/>
    </row>
    <row r="566" spans="1:39" hidden="1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83"/>
        <v>2444.2000000000016</v>
      </c>
      <c r="X566" s="18">
        <f t="shared" si="82"/>
        <v>6450.3199999999988</v>
      </c>
      <c r="Y566" s="13">
        <f t="shared" si="77"/>
        <v>2921.285675556067</v>
      </c>
      <c r="Z566" s="14">
        <v>0</v>
      </c>
      <c r="AA566" s="4">
        <v>0</v>
      </c>
      <c r="AB566" s="4">
        <f t="shared" si="78"/>
        <v>6450.3199999999988</v>
      </c>
      <c r="AC566" s="6">
        <f t="shared" si="79"/>
        <v>0</v>
      </c>
      <c r="AD566" s="18">
        <f t="shared" si="84"/>
        <v>3529.0343244439318</v>
      </c>
      <c r="AE566" s="2">
        <v>7.0000000000000007E-2</v>
      </c>
      <c r="AF566" s="5">
        <f t="shared" si="80"/>
        <v>247.03240271107526</v>
      </c>
      <c r="AG566" s="14">
        <v>0</v>
      </c>
      <c r="AH566" s="10">
        <f t="shared" si="85"/>
        <v>6450.3199999999988</v>
      </c>
      <c r="AI566" s="16"/>
      <c r="AJ566" s="126" t="e">
        <v>#N/A</v>
      </c>
      <c r="AK566" s="80">
        <f t="shared" si="81"/>
        <v>0</v>
      </c>
      <c r="AM566" s="85"/>
    </row>
    <row r="567" spans="1:39" hidden="1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83"/>
        <v>0</v>
      </c>
      <c r="X567" s="18">
        <f t="shared" si="82"/>
        <v>12201.990291262138</v>
      </c>
      <c r="Y567" s="13">
        <f t="shared" si="77"/>
        <v>5325.8849443448416</v>
      </c>
      <c r="Z567" s="14">
        <v>0</v>
      </c>
      <c r="AA567" s="4">
        <v>0</v>
      </c>
      <c r="AB567" s="4">
        <f t="shared" si="78"/>
        <v>12201.990291262138</v>
      </c>
      <c r="AC567" s="6">
        <f t="shared" si="79"/>
        <v>366.05970873786464</v>
      </c>
      <c r="AD567" s="18">
        <f t="shared" si="84"/>
        <v>6876.1053469172966</v>
      </c>
      <c r="AE567" s="2">
        <v>7.0000000000000007E-2</v>
      </c>
      <c r="AF567" s="5">
        <f t="shared" si="80"/>
        <v>481.3273742842108</v>
      </c>
      <c r="AG567" s="14">
        <v>0</v>
      </c>
      <c r="AH567" s="10">
        <f t="shared" si="85"/>
        <v>12568.050000000003</v>
      </c>
      <c r="AI567" s="16"/>
      <c r="AJ567" s="126" t="e">
        <v>#N/A</v>
      </c>
      <c r="AK567" s="80">
        <f t="shared" si="81"/>
        <v>0</v>
      </c>
      <c r="AM567" s="85"/>
    </row>
    <row r="568" spans="1:39" hidden="1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83"/>
        <v>30000</v>
      </c>
      <c r="X568" s="18">
        <f t="shared" si="82"/>
        <v>0</v>
      </c>
      <c r="Y568" s="13">
        <f t="shared" si="77"/>
        <v>0</v>
      </c>
      <c r="Z568" s="14">
        <v>0</v>
      </c>
      <c r="AA568" s="4">
        <v>0</v>
      </c>
      <c r="AB568" s="4">
        <f t="shared" si="78"/>
        <v>0</v>
      </c>
      <c r="AC568" s="6">
        <f t="shared" si="79"/>
        <v>0</v>
      </c>
      <c r="AD568" s="18">
        <f t="shared" si="84"/>
        <v>0</v>
      </c>
      <c r="AE568" s="2">
        <v>7.0000000000000007E-2</v>
      </c>
      <c r="AF568" s="5">
        <f t="shared" si="80"/>
        <v>0</v>
      </c>
      <c r="AG568" s="14">
        <v>0</v>
      </c>
      <c r="AH568" s="10">
        <f t="shared" si="85"/>
        <v>0</v>
      </c>
      <c r="AI568" s="16"/>
      <c r="AJ568" s="126" t="e">
        <v>#N/A</v>
      </c>
      <c r="AK568" s="80">
        <f t="shared" si="81"/>
        <v>0</v>
      </c>
      <c r="AM568" s="85"/>
    </row>
    <row r="569" spans="1:39" hidden="1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83"/>
        <v>8741.84</v>
      </c>
      <c r="X569" s="18">
        <f t="shared" si="82"/>
        <v>0</v>
      </c>
      <c r="Y569" s="13">
        <f t="shared" si="77"/>
        <v>0</v>
      </c>
      <c r="Z569" s="14">
        <v>0</v>
      </c>
      <c r="AA569" s="4">
        <v>0</v>
      </c>
      <c r="AB569" s="4"/>
      <c r="AC569" s="6">
        <f t="shared" si="79"/>
        <v>0</v>
      </c>
      <c r="AD569" s="18">
        <f t="shared" si="84"/>
        <v>0</v>
      </c>
      <c r="AE569" s="2">
        <v>7.0000000000000007E-2</v>
      </c>
      <c r="AF569" s="5">
        <f t="shared" si="80"/>
        <v>0</v>
      </c>
      <c r="AG569" s="14">
        <v>0</v>
      </c>
      <c r="AH569" s="10">
        <f t="shared" si="85"/>
        <v>0</v>
      </c>
      <c r="AI569" s="16"/>
      <c r="AJ569" s="126">
        <v>112</v>
      </c>
      <c r="AK569" s="80">
        <f t="shared" si="81"/>
        <v>0</v>
      </c>
      <c r="AM569" s="85"/>
    </row>
    <row r="570" spans="1:39" hidden="1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83"/>
        <v>104510.56000000004</v>
      </c>
      <c r="X570" s="18">
        <f t="shared" si="82"/>
        <v>95489.439999999959</v>
      </c>
      <c r="Y570" s="13">
        <f t="shared" si="77"/>
        <v>43246.216193750151</v>
      </c>
      <c r="Z570" s="14">
        <v>0</v>
      </c>
      <c r="AA570" s="4">
        <v>0</v>
      </c>
      <c r="AB570" s="4">
        <f t="shared" si="78"/>
        <v>95489.439999999959</v>
      </c>
      <c r="AC570" s="6">
        <f t="shared" si="79"/>
        <v>0</v>
      </c>
      <c r="AD570" s="18">
        <f t="shared" si="84"/>
        <v>52243.223806249807</v>
      </c>
      <c r="AE570" s="2">
        <v>7.0000000000000007E-2</v>
      </c>
      <c r="AF570" s="5">
        <f t="shared" si="80"/>
        <v>3657.025666437487</v>
      </c>
      <c r="AG570" s="14">
        <v>0</v>
      </c>
      <c r="AH570" s="10">
        <f t="shared" si="85"/>
        <v>95489.439999999959</v>
      </c>
      <c r="AI570" s="16"/>
      <c r="AJ570" s="126" t="e">
        <v>#N/A</v>
      </c>
      <c r="AK570" s="80">
        <f t="shared" si="81"/>
        <v>0</v>
      </c>
      <c r="AM570" s="85"/>
    </row>
    <row r="571" spans="1:39" hidden="1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83"/>
        <v>0</v>
      </c>
      <c r="X571" s="18">
        <f t="shared" si="82"/>
        <v>36844.839999999997</v>
      </c>
      <c r="Y571" s="13">
        <f t="shared" si="77"/>
        <v>16686.661019942454</v>
      </c>
      <c r="Z571" s="14">
        <v>0</v>
      </c>
      <c r="AA571" s="4">
        <v>0</v>
      </c>
      <c r="AB571" s="4">
        <f t="shared" si="78"/>
        <v>36844.839999999997</v>
      </c>
      <c r="AC571" s="6">
        <f t="shared" si="79"/>
        <v>0</v>
      </c>
      <c r="AD571" s="18">
        <f t="shared" si="84"/>
        <v>20158.178980057543</v>
      </c>
      <c r="AE571" s="2">
        <v>0.12</v>
      </c>
      <c r="AF571" s="5">
        <f t="shared" si="80"/>
        <v>2418.9814776069052</v>
      </c>
      <c r="AG571" s="14">
        <v>0</v>
      </c>
      <c r="AH571" s="10">
        <f t="shared" si="85"/>
        <v>36844.839999999997</v>
      </c>
      <c r="AI571" s="16"/>
      <c r="AJ571" s="126" t="s">
        <v>4220</v>
      </c>
      <c r="AK571" s="80">
        <f t="shared" si="81"/>
        <v>0</v>
      </c>
      <c r="AL571" s="150"/>
      <c r="AM571" s="85"/>
    </row>
    <row r="572" spans="1:39" hidden="1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83"/>
        <v>10000</v>
      </c>
      <c r="X572" s="18">
        <f t="shared" si="82"/>
        <v>0</v>
      </c>
      <c r="Y572" s="13">
        <f t="shared" si="77"/>
        <v>0</v>
      </c>
      <c r="Z572" s="14">
        <v>0</v>
      </c>
      <c r="AA572" s="4">
        <v>0</v>
      </c>
      <c r="AB572" s="4"/>
      <c r="AC572" s="6">
        <f t="shared" si="79"/>
        <v>0</v>
      </c>
      <c r="AD572" s="18">
        <f t="shared" si="84"/>
        <v>0</v>
      </c>
      <c r="AE572" s="2">
        <v>7.0000000000000007E-2</v>
      </c>
      <c r="AF572" s="5">
        <f t="shared" si="80"/>
        <v>0</v>
      </c>
      <c r="AG572" s="14">
        <v>0</v>
      </c>
      <c r="AH572" s="10">
        <f t="shared" si="85"/>
        <v>0</v>
      </c>
      <c r="AI572" s="16"/>
      <c r="AJ572" s="126">
        <v>109</v>
      </c>
      <c r="AK572" s="80">
        <f t="shared" si="81"/>
        <v>0</v>
      </c>
      <c r="AM572" s="85"/>
    </row>
    <row r="573" spans="1:39" hidden="1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83"/>
        <v>5000</v>
      </c>
      <c r="X573" s="18">
        <f t="shared" si="82"/>
        <v>0</v>
      </c>
      <c r="Y573" s="13">
        <f t="shared" si="77"/>
        <v>0</v>
      </c>
      <c r="Z573" s="14">
        <v>0</v>
      </c>
      <c r="AA573" s="4">
        <v>0</v>
      </c>
      <c r="AB573" s="4">
        <f t="shared" si="78"/>
        <v>0</v>
      </c>
      <c r="AC573" s="6">
        <f t="shared" si="79"/>
        <v>0</v>
      </c>
      <c r="AD573" s="18">
        <f t="shared" si="84"/>
        <v>0</v>
      </c>
      <c r="AE573" s="2">
        <v>7.0000000000000007E-2</v>
      </c>
      <c r="AF573" s="5">
        <f t="shared" si="80"/>
        <v>0</v>
      </c>
      <c r="AG573" s="14">
        <v>0</v>
      </c>
      <c r="AH573" s="10">
        <f t="shared" si="85"/>
        <v>0</v>
      </c>
      <c r="AI573" s="16"/>
      <c r="AJ573" s="126" t="e">
        <v>#N/A</v>
      </c>
      <c r="AK573" s="80">
        <f t="shared" si="81"/>
        <v>0</v>
      </c>
      <c r="AM573" s="85"/>
    </row>
    <row r="574" spans="1:39" hidden="1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83"/>
        <v>5000</v>
      </c>
      <c r="X574" s="18">
        <f t="shared" si="82"/>
        <v>0</v>
      </c>
      <c r="Y574" s="13">
        <f t="shared" si="77"/>
        <v>0</v>
      </c>
      <c r="Z574" s="14">
        <v>0</v>
      </c>
      <c r="AA574" s="4">
        <v>0</v>
      </c>
      <c r="AB574" s="4">
        <f t="shared" si="78"/>
        <v>0</v>
      </c>
      <c r="AC574" s="6">
        <f t="shared" si="79"/>
        <v>0</v>
      </c>
      <c r="AD574" s="18">
        <f t="shared" si="84"/>
        <v>0</v>
      </c>
      <c r="AE574" s="2">
        <v>0.12</v>
      </c>
      <c r="AF574" s="5">
        <f t="shared" si="80"/>
        <v>0</v>
      </c>
      <c r="AG574" s="14">
        <v>0</v>
      </c>
      <c r="AH574" s="10">
        <f t="shared" si="85"/>
        <v>0</v>
      </c>
      <c r="AI574" s="16"/>
      <c r="AJ574" s="126" t="e">
        <v>#N/A</v>
      </c>
      <c r="AK574" s="80">
        <f t="shared" si="81"/>
        <v>0</v>
      </c>
      <c r="AM574" s="85"/>
    </row>
    <row r="575" spans="1:39" s="15" customFormat="1" hidden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82"/>
        <v>1231.3137254901962</v>
      </c>
      <c r="Y575" s="13">
        <f t="shared" si="77"/>
        <v>1133.0874740655327</v>
      </c>
      <c r="Z575" s="14">
        <v>0</v>
      </c>
      <c r="AA575" s="6">
        <v>0</v>
      </c>
      <c r="AB575" s="4">
        <f t="shared" si="78"/>
        <v>1231.3137254901962</v>
      </c>
      <c r="AC575" s="6">
        <f t="shared" si="7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80"/>
        <v>6.8758375997264514</v>
      </c>
      <c r="AG575" s="14">
        <v>0</v>
      </c>
      <c r="AH575" s="10">
        <f t="shared" si="85"/>
        <v>1255.9400000000003</v>
      </c>
      <c r="AI575" s="16"/>
      <c r="AJ575" s="126" t="e">
        <v>#N/A</v>
      </c>
      <c r="AK575" s="80">
        <f t="shared" si="81"/>
        <v>0</v>
      </c>
      <c r="AL575" s="85"/>
      <c r="AM575" s="85"/>
    </row>
    <row r="576" spans="1:39" hidden="1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83"/>
        <v>74.199999999999363</v>
      </c>
      <c r="X576" s="18">
        <f t="shared" si="82"/>
        <v>0</v>
      </c>
      <c r="Y576" s="13">
        <f t="shared" si="77"/>
        <v>0</v>
      </c>
      <c r="Z576" s="14">
        <v>0</v>
      </c>
      <c r="AA576" s="4">
        <v>0</v>
      </c>
      <c r="AB576" s="4">
        <f t="shared" si="78"/>
        <v>0</v>
      </c>
      <c r="AC576" s="6">
        <f t="shared" si="79"/>
        <v>0</v>
      </c>
      <c r="AD576" s="18">
        <f t="shared" si="84"/>
        <v>0</v>
      </c>
      <c r="AE576" s="2">
        <v>7.0000000000000007E-2</v>
      </c>
      <c r="AF576" s="5">
        <f t="shared" si="80"/>
        <v>0</v>
      </c>
      <c r="AG576" s="14">
        <v>0</v>
      </c>
      <c r="AH576" s="10">
        <f t="shared" si="85"/>
        <v>0</v>
      </c>
      <c r="AI576" s="16"/>
      <c r="AJ576" s="126" t="e">
        <v>#N/A</v>
      </c>
      <c r="AK576" s="80">
        <f t="shared" si="81"/>
        <v>0</v>
      </c>
      <c r="AM576" s="85"/>
    </row>
    <row r="577" spans="1:39" hidden="1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83"/>
        <v>98000</v>
      </c>
      <c r="X577" s="18">
        <f t="shared" si="82"/>
        <v>0</v>
      </c>
      <c r="Y577" s="13">
        <f t="shared" si="77"/>
        <v>0</v>
      </c>
      <c r="Z577" s="14">
        <v>0</v>
      </c>
      <c r="AA577" s="4">
        <v>0</v>
      </c>
      <c r="AB577" s="4">
        <f t="shared" si="78"/>
        <v>0</v>
      </c>
      <c r="AC577" s="6">
        <f t="shared" si="79"/>
        <v>0</v>
      </c>
      <c r="AD577" s="18">
        <f t="shared" si="84"/>
        <v>0</v>
      </c>
      <c r="AE577" s="2">
        <v>0.12</v>
      </c>
      <c r="AF577" s="5">
        <f t="shared" si="80"/>
        <v>0</v>
      </c>
      <c r="AG577" s="14">
        <v>0</v>
      </c>
      <c r="AH577" s="10">
        <f t="shared" si="85"/>
        <v>0</v>
      </c>
      <c r="AI577" s="16"/>
      <c r="AJ577" s="126" t="e">
        <v>#N/A</v>
      </c>
      <c r="AK577" s="80">
        <f t="shared" si="81"/>
        <v>0</v>
      </c>
      <c r="AM577" s="85"/>
    </row>
    <row r="578" spans="1:39" hidden="1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83"/>
        <v>5000</v>
      </c>
      <c r="X578" s="18">
        <f t="shared" si="82"/>
        <v>0</v>
      </c>
      <c r="Y578" s="13">
        <f t="shared" si="77"/>
        <v>0</v>
      </c>
      <c r="Z578" s="14">
        <v>0</v>
      </c>
      <c r="AA578" s="4">
        <v>0</v>
      </c>
      <c r="AB578" s="4">
        <f t="shared" si="78"/>
        <v>0</v>
      </c>
      <c r="AC578" s="6">
        <f t="shared" si="79"/>
        <v>0</v>
      </c>
      <c r="AD578" s="18">
        <f t="shared" si="84"/>
        <v>0</v>
      </c>
      <c r="AE578" s="2">
        <v>0.12</v>
      </c>
      <c r="AF578" s="5">
        <f t="shared" si="80"/>
        <v>0</v>
      </c>
      <c r="AG578" s="14">
        <v>0</v>
      </c>
      <c r="AH578" s="10">
        <f t="shared" si="85"/>
        <v>0</v>
      </c>
      <c r="AI578" s="16"/>
      <c r="AJ578" s="126" t="e">
        <v>#N/A</v>
      </c>
      <c r="AK578" s="80">
        <f t="shared" si="81"/>
        <v>0</v>
      </c>
      <c r="AM578" s="85"/>
    </row>
    <row r="579" spans="1:39" hidden="1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83"/>
        <v>1926.2000000000012</v>
      </c>
      <c r="X579" s="18">
        <f t="shared" si="82"/>
        <v>604.05999999999995</v>
      </c>
      <c r="Y579" s="13">
        <f t="shared" ref="Y579:Y642" si="8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87">X579+AA579</f>
        <v>604.05999999999995</v>
      </c>
      <c r="AC579" s="6">
        <f t="shared" ref="AC579:AC642" si="88">IF(P579="返现",X579*Q579,V579-X579)</f>
        <v>0</v>
      </c>
      <c r="AD579" s="18">
        <f t="shared" si="84"/>
        <v>330.48724311717893</v>
      </c>
      <c r="AE579" s="2">
        <v>7.0000000000000007E-2</v>
      </c>
      <c r="AF579" s="5">
        <f t="shared" ref="AF579:AF642" si="89">AD579*AE579</f>
        <v>23.134107018202528</v>
      </c>
      <c r="AG579" s="14">
        <v>0</v>
      </c>
      <c r="AH579" s="10">
        <f t="shared" si="85"/>
        <v>604.05999999999995</v>
      </c>
      <c r="AI579" s="16"/>
      <c r="AJ579" s="126" t="e">
        <v>#N/A</v>
      </c>
      <c r="AK579" s="80">
        <f t="shared" ref="AK579:AK642" si="90">X579+AA579-AB579</f>
        <v>0</v>
      </c>
      <c r="AM579" s="85"/>
    </row>
    <row r="580" spans="1:39" hidden="1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83"/>
        <v>0</v>
      </c>
      <c r="X580" s="18">
        <f t="shared" si="82"/>
        <v>39999.049019607832</v>
      </c>
      <c r="Y580" s="13">
        <f t="shared" si="86"/>
        <v>17677.493302369352</v>
      </c>
      <c r="Z580" s="14">
        <v>0</v>
      </c>
      <c r="AA580" s="4">
        <v>0</v>
      </c>
      <c r="AB580" s="4">
        <f t="shared" si="87"/>
        <v>39999.049019607832</v>
      </c>
      <c r="AC580" s="6">
        <f t="shared" si="88"/>
        <v>799.98098039215984</v>
      </c>
      <c r="AD580" s="18">
        <f t="shared" si="84"/>
        <v>22321.55571723848</v>
      </c>
      <c r="AE580" s="2">
        <v>7.0000000000000007E-2</v>
      </c>
      <c r="AF580" s="5">
        <f t="shared" si="89"/>
        <v>1562.5089002066936</v>
      </c>
      <c r="AG580" s="14">
        <v>0</v>
      </c>
      <c r="AH580" s="10">
        <f t="shared" si="85"/>
        <v>40799.029999999992</v>
      </c>
      <c r="AI580" s="16"/>
      <c r="AJ580" s="126" t="e">
        <v>#N/A</v>
      </c>
      <c r="AK580" s="80">
        <f t="shared" si="90"/>
        <v>0</v>
      </c>
      <c r="AM580" s="85"/>
    </row>
    <row r="581" spans="1:39" hidden="1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83"/>
        <v>9834.090000000002</v>
      </c>
      <c r="X581" s="18">
        <f t="shared" si="82"/>
        <v>0</v>
      </c>
      <c r="Y581" s="13">
        <f t="shared" si="86"/>
        <v>0</v>
      </c>
      <c r="Z581" s="14">
        <v>0</v>
      </c>
      <c r="AA581" s="4">
        <v>0</v>
      </c>
      <c r="AB581" s="4">
        <f t="shared" si="87"/>
        <v>0</v>
      </c>
      <c r="AC581" s="6">
        <f t="shared" si="88"/>
        <v>0</v>
      </c>
      <c r="AD581" s="18">
        <f t="shared" si="84"/>
        <v>0</v>
      </c>
      <c r="AE581" s="2">
        <v>0.12</v>
      </c>
      <c r="AF581" s="5">
        <f t="shared" si="89"/>
        <v>0</v>
      </c>
      <c r="AG581" s="14">
        <v>0</v>
      </c>
      <c r="AH581" s="10">
        <f t="shared" si="85"/>
        <v>0</v>
      </c>
      <c r="AI581" s="16"/>
      <c r="AJ581" s="126" t="e">
        <v>#N/A</v>
      </c>
      <c r="AK581" s="80">
        <f t="shared" si="90"/>
        <v>0</v>
      </c>
      <c r="AM581" s="85"/>
    </row>
    <row r="582" spans="1:39" hidden="1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83"/>
        <v>512</v>
      </c>
      <c r="X582" s="18">
        <f t="shared" si="82"/>
        <v>0</v>
      </c>
      <c r="Y582" s="13">
        <f t="shared" si="86"/>
        <v>0</v>
      </c>
      <c r="Z582" s="14">
        <v>0</v>
      </c>
      <c r="AA582" s="4">
        <v>0</v>
      </c>
      <c r="AB582" s="4">
        <f t="shared" si="87"/>
        <v>0</v>
      </c>
      <c r="AC582" s="6">
        <f t="shared" si="88"/>
        <v>0</v>
      </c>
      <c r="AD582" s="18">
        <f t="shared" si="84"/>
        <v>0</v>
      </c>
      <c r="AE582" s="2">
        <v>0.12</v>
      </c>
      <c r="AF582" s="5">
        <f t="shared" si="89"/>
        <v>0</v>
      </c>
      <c r="AG582" s="14">
        <v>0</v>
      </c>
      <c r="AH582" s="10">
        <f t="shared" si="85"/>
        <v>0</v>
      </c>
      <c r="AI582" s="16"/>
      <c r="AJ582" s="126" t="e">
        <v>#N/A</v>
      </c>
      <c r="AK582" s="80">
        <f t="shared" si="90"/>
        <v>0</v>
      </c>
      <c r="AM582" s="85"/>
    </row>
    <row r="583" spans="1:39" hidden="1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83"/>
        <v>0.22</v>
      </c>
      <c r="X583" s="18">
        <f t="shared" si="82"/>
        <v>0</v>
      </c>
      <c r="Y583" s="13">
        <f t="shared" si="86"/>
        <v>0</v>
      </c>
      <c r="Z583" s="14">
        <v>0</v>
      </c>
      <c r="AA583" s="4">
        <v>0</v>
      </c>
      <c r="AB583" s="4"/>
      <c r="AC583" s="6">
        <f t="shared" si="88"/>
        <v>0</v>
      </c>
      <c r="AD583" s="18">
        <f t="shared" si="84"/>
        <v>0</v>
      </c>
      <c r="AE583" s="2">
        <v>0.12</v>
      </c>
      <c r="AF583" s="5">
        <f t="shared" si="89"/>
        <v>0</v>
      </c>
      <c r="AG583" s="14">
        <v>0</v>
      </c>
      <c r="AH583" s="10">
        <f t="shared" si="85"/>
        <v>0</v>
      </c>
      <c r="AI583" s="16"/>
      <c r="AJ583" s="126">
        <v>71</v>
      </c>
      <c r="AK583" s="80">
        <f t="shared" si="90"/>
        <v>0</v>
      </c>
      <c r="AM583" s="85"/>
    </row>
    <row r="584" spans="1:39" hidden="1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83"/>
        <v>0.94</v>
      </c>
      <c r="X584" s="18">
        <f t="shared" si="82"/>
        <v>0</v>
      </c>
      <c r="Y584" s="13">
        <f t="shared" si="86"/>
        <v>0</v>
      </c>
      <c r="Z584" s="14">
        <v>0</v>
      </c>
      <c r="AA584" s="4">
        <v>0</v>
      </c>
      <c r="AB584" s="4"/>
      <c r="AC584" s="6">
        <f t="shared" si="88"/>
        <v>0</v>
      </c>
      <c r="AD584" s="18">
        <f t="shared" si="84"/>
        <v>0</v>
      </c>
      <c r="AE584" s="2">
        <v>0.12</v>
      </c>
      <c r="AF584" s="5">
        <f t="shared" si="89"/>
        <v>0</v>
      </c>
      <c r="AG584" s="14">
        <v>0</v>
      </c>
      <c r="AH584" s="10">
        <f t="shared" si="85"/>
        <v>0</v>
      </c>
      <c r="AI584" s="16"/>
      <c r="AJ584" s="126">
        <v>71</v>
      </c>
      <c r="AK584" s="80">
        <f t="shared" si="90"/>
        <v>0</v>
      </c>
      <c r="AM584" s="85"/>
    </row>
    <row r="585" spans="1:39" hidden="1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83"/>
        <v>0.43</v>
      </c>
      <c r="X585" s="18">
        <f t="shared" si="82"/>
        <v>0</v>
      </c>
      <c r="Y585" s="13">
        <f t="shared" si="86"/>
        <v>0</v>
      </c>
      <c r="Z585" s="14">
        <v>0</v>
      </c>
      <c r="AA585" s="4">
        <v>0</v>
      </c>
      <c r="AB585" s="4"/>
      <c r="AC585" s="6">
        <f t="shared" si="88"/>
        <v>0</v>
      </c>
      <c r="AD585" s="18">
        <f t="shared" si="84"/>
        <v>0</v>
      </c>
      <c r="AE585" s="2">
        <v>0.12</v>
      </c>
      <c r="AF585" s="5">
        <f t="shared" si="89"/>
        <v>0</v>
      </c>
      <c r="AG585" s="14">
        <v>0</v>
      </c>
      <c r="AH585" s="10">
        <f t="shared" si="85"/>
        <v>0</v>
      </c>
      <c r="AI585" s="16"/>
      <c r="AJ585" s="126">
        <v>71</v>
      </c>
      <c r="AK585" s="80">
        <f t="shared" si="90"/>
        <v>0</v>
      </c>
      <c r="AM585" s="85"/>
    </row>
    <row r="586" spans="1:39" hidden="1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83"/>
        <v>0.24</v>
      </c>
      <c r="X586" s="18">
        <f t="shared" si="82"/>
        <v>0</v>
      </c>
      <c r="Y586" s="13">
        <f t="shared" si="86"/>
        <v>0</v>
      </c>
      <c r="Z586" s="14">
        <v>0</v>
      </c>
      <c r="AA586" s="4">
        <v>0</v>
      </c>
      <c r="AB586" s="4"/>
      <c r="AC586" s="6">
        <f t="shared" si="88"/>
        <v>0</v>
      </c>
      <c r="AD586" s="18">
        <f t="shared" si="84"/>
        <v>0</v>
      </c>
      <c r="AE586" s="2">
        <v>0.12</v>
      </c>
      <c r="AF586" s="5">
        <f t="shared" si="89"/>
        <v>0</v>
      </c>
      <c r="AG586" s="14">
        <v>0</v>
      </c>
      <c r="AH586" s="10">
        <f t="shared" si="85"/>
        <v>0</v>
      </c>
      <c r="AI586" s="16"/>
      <c r="AJ586" s="126">
        <v>71</v>
      </c>
      <c r="AK586" s="80">
        <f t="shared" si="90"/>
        <v>0</v>
      </c>
      <c r="AM586" s="85"/>
    </row>
    <row r="587" spans="1:39" hidden="1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83"/>
        <v>28964.959999999999</v>
      </c>
      <c r="X587" s="18">
        <f t="shared" si="82"/>
        <v>0</v>
      </c>
      <c r="Y587" s="13">
        <f t="shared" si="86"/>
        <v>0</v>
      </c>
      <c r="Z587" s="14">
        <v>0</v>
      </c>
      <c r="AA587" s="4">
        <v>0</v>
      </c>
      <c r="AB587" s="4"/>
      <c r="AC587" s="6">
        <f t="shared" si="88"/>
        <v>0</v>
      </c>
      <c r="AD587" s="18">
        <f t="shared" si="84"/>
        <v>0</v>
      </c>
      <c r="AE587" s="2">
        <v>0.12</v>
      </c>
      <c r="AF587" s="5">
        <f t="shared" si="89"/>
        <v>0</v>
      </c>
      <c r="AG587" s="14">
        <v>0</v>
      </c>
      <c r="AH587" s="10">
        <f t="shared" si="85"/>
        <v>0</v>
      </c>
      <c r="AI587" s="16"/>
      <c r="AJ587" s="126">
        <v>71</v>
      </c>
      <c r="AK587" s="80">
        <f t="shared" si="90"/>
        <v>0</v>
      </c>
      <c r="AM587" s="85"/>
    </row>
    <row r="588" spans="1:39" hidden="1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83"/>
        <v>14781</v>
      </c>
      <c r="X588" s="18">
        <f t="shared" si="82"/>
        <v>0</v>
      </c>
      <c r="Y588" s="13">
        <f t="shared" si="86"/>
        <v>0</v>
      </c>
      <c r="Z588" s="14">
        <v>0</v>
      </c>
      <c r="AA588" s="4">
        <v>0</v>
      </c>
      <c r="AB588" s="4"/>
      <c r="AC588" s="6">
        <f t="shared" si="88"/>
        <v>0</v>
      </c>
      <c r="AD588" s="18">
        <f t="shared" si="84"/>
        <v>0</v>
      </c>
      <c r="AE588" s="2">
        <v>0.12</v>
      </c>
      <c r="AF588" s="5">
        <f t="shared" si="89"/>
        <v>0</v>
      </c>
      <c r="AG588" s="14">
        <v>0</v>
      </c>
      <c r="AH588" s="10">
        <f t="shared" si="85"/>
        <v>0</v>
      </c>
      <c r="AI588" s="16"/>
      <c r="AJ588" s="126">
        <v>71</v>
      </c>
      <c r="AK588" s="80">
        <f t="shared" si="90"/>
        <v>0</v>
      </c>
      <c r="AM588" s="85"/>
    </row>
    <row r="589" spans="1:39" hidden="1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83"/>
        <v>-20000</v>
      </c>
      <c r="X589" s="18">
        <f t="shared" si="82"/>
        <v>0</v>
      </c>
      <c r="Y589" s="13">
        <f t="shared" si="86"/>
        <v>0</v>
      </c>
      <c r="Z589" s="14">
        <v>0</v>
      </c>
      <c r="AA589" s="4">
        <v>0</v>
      </c>
      <c r="AB589" s="4"/>
      <c r="AC589" s="6">
        <f t="shared" si="88"/>
        <v>0</v>
      </c>
      <c r="AD589" s="18">
        <f t="shared" si="84"/>
        <v>0</v>
      </c>
      <c r="AE589" s="2">
        <v>0.12</v>
      </c>
      <c r="AF589" s="5">
        <f t="shared" si="89"/>
        <v>0</v>
      </c>
      <c r="AG589" s="14">
        <v>0</v>
      </c>
      <c r="AH589" s="10">
        <f t="shared" si="85"/>
        <v>0</v>
      </c>
      <c r="AI589" s="16"/>
      <c r="AJ589" s="126">
        <v>96</v>
      </c>
      <c r="AK589" s="80">
        <f t="shared" si="90"/>
        <v>0</v>
      </c>
      <c r="AM589" s="85"/>
    </row>
    <row r="590" spans="1:39" hidden="1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83"/>
        <v>14240.56</v>
      </c>
      <c r="X590" s="18">
        <f t="shared" si="82"/>
        <v>0</v>
      </c>
      <c r="Y590" s="13">
        <f t="shared" si="86"/>
        <v>0</v>
      </c>
      <c r="Z590" s="14">
        <v>0</v>
      </c>
      <c r="AA590" s="4">
        <v>0</v>
      </c>
      <c r="AB590" s="4">
        <f t="shared" si="87"/>
        <v>0</v>
      </c>
      <c r="AC590" s="6">
        <f t="shared" si="88"/>
        <v>0</v>
      </c>
      <c r="AD590" s="18">
        <f t="shared" si="84"/>
        <v>0</v>
      </c>
      <c r="AE590" s="2">
        <v>7.0000000000000007E-2</v>
      </c>
      <c r="AF590" s="5">
        <f t="shared" si="89"/>
        <v>0</v>
      </c>
      <c r="AG590" s="14">
        <v>0</v>
      </c>
      <c r="AH590" s="10">
        <f t="shared" si="85"/>
        <v>0</v>
      </c>
      <c r="AI590" s="16"/>
      <c r="AJ590" s="126" t="e">
        <v>#N/A</v>
      </c>
      <c r="AK590" s="80">
        <f t="shared" si="90"/>
        <v>0</v>
      </c>
      <c r="AM590" s="85"/>
    </row>
    <row r="591" spans="1:39" hidden="1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83"/>
        <v>11576.1</v>
      </c>
      <c r="X591" s="18">
        <f t="shared" si="82"/>
        <v>0</v>
      </c>
      <c r="Y591" s="13">
        <f t="shared" si="86"/>
        <v>0</v>
      </c>
      <c r="Z591" s="14">
        <v>0</v>
      </c>
      <c r="AA591" s="4">
        <v>0</v>
      </c>
      <c r="AB591" s="4">
        <f t="shared" si="87"/>
        <v>0</v>
      </c>
      <c r="AC591" s="6">
        <f t="shared" si="88"/>
        <v>0</v>
      </c>
      <c r="AD591" s="18">
        <f t="shared" si="84"/>
        <v>0</v>
      </c>
      <c r="AE591" s="2">
        <v>7.0000000000000007E-2</v>
      </c>
      <c r="AF591" s="5">
        <f t="shared" si="89"/>
        <v>0</v>
      </c>
      <c r="AG591" s="14">
        <v>0</v>
      </c>
      <c r="AH591" s="10">
        <f t="shared" si="85"/>
        <v>0</v>
      </c>
      <c r="AI591" s="16"/>
      <c r="AJ591" s="126" t="e">
        <v>#N/A</v>
      </c>
      <c r="AK591" s="80">
        <f t="shared" si="90"/>
        <v>0</v>
      </c>
      <c r="AM591" s="85"/>
    </row>
    <row r="592" spans="1:39" hidden="1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83"/>
        <v>3153.85</v>
      </c>
      <c r="X592" s="18">
        <f t="shared" si="82"/>
        <v>0</v>
      </c>
      <c r="Y592" s="13">
        <f t="shared" si="86"/>
        <v>0</v>
      </c>
      <c r="Z592" s="14">
        <v>0</v>
      </c>
      <c r="AA592" s="4">
        <v>0</v>
      </c>
      <c r="AB592" s="4">
        <f t="shared" si="87"/>
        <v>0</v>
      </c>
      <c r="AC592" s="6">
        <f t="shared" si="88"/>
        <v>0</v>
      </c>
      <c r="AD592" s="18">
        <f t="shared" si="84"/>
        <v>0</v>
      </c>
      <c r="AE592" s="2">
        <v>0.12</v>
      </c>
      <c r="AF592" s="5">
        <f t="shared" si="89"/>
        <v>0</v>
      </c>
      <c r="AG592" s="14">
        <v>0</v>
      </c>
      <c r="AH592" s="10">
        <f t="shared" si="85"/>
        <v>0</v>
      </c>
      <c r="AI592" s="16"/>
      <c r="AJ592" s="126" t="e">
        <v>#N/A</v>
      </c>
      <c r="AK592" s="80">
        <f t="shared" si="90"/>
        <v>0</v>
      </c>
      <c r="AM592" s="85"/>
    </row>
    <row r="593" spans="1:39" hidden="1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83"/>
        <v>0.17</v>
      </c>
      <c r="X593" s="18">
        <f t="shared" si="82"/>
        <v>0</v>
      </c>
      <c r="Y593" s="13">
        <f t="shared" si="86"/>
        <v>0</v>
      </c>
      <c r="Z593" s="14">
        <v>0</v>
      </c>
      <c r="AA593" s="4">
        <v>0</v>
      </c>
      <c r="AB593" s="4">
        <f t="shared" si="87"/>
        <v>0</v>
      </c>
      <c r="AC593" s="6">
        <f t="shared" si="88"/>
        <v>0</v>
      </c>
      <c r="AD593" s="18">
        <f t="shared" si="84"/>
        <v>0</v>
      </c>
      <c r="AE593" s="2">
        <v>0.12</v>
      </c>
      <c r="AF593" s="5">
        <f t="shared" si="89"/>
        <v>0</v>
      </c>
      <c r="AG593" s="14">
        <v>0</v>
      </c>
      <c r="AH593" s="10">
        <f t="shared" si="85"/>
        <v>0</v>
      </c>
      <c r="AI593" s="16"/>
      <c r="AJ593" s="126" t="e">
        <v>#N/A</v>
      </c>
      <c r="AK593" s="80">
        <f t="shared" si="90"/>
        <v>0</v>
      </c>
      <c r="AM593" s="85"/>
    </row>
    <row r="594" spans="1:39" hidden="1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83"/>
        <v>0.97</v>
      </c>
      <c r="X594" s="18">
        <f t="shared" si="82"/>
        <v>0</v>
      </c>
      <c r="Y594" s="13">
        <f t="shared" si="86"/>
        <v>0</v>
      </c>
      <c r="Z594" s="14">
        <v>0</v>
      </c>
      <c r="AA594" s="4">
        <v>0</v>
      </c>
      <c r="AB594" s="4">
        <f t="shared" si="87"/>
        <v>0</v>
      </c>
      <c r="AC594" s="6">
        <f t="shared" si="88"/>
        <v>0</v>
      </c>
      <c r="AD594" s="18">
        <f t="shared" si="84"/>
        <v>0</v>
      </c>
      <c r="AE594" s="2">
        <v>0.12</v>
      </c>
      <c r="AF594" s="5">
        <f t="shared" si="89"/>
        <v>0</v>
      </c>
      <c r="AG594" s="14">
        <v>0</v>
      </c>
      <c r="AH594" s="10">
        <f t="shared" si="85"/>
        <v>0</v>
      </c>
      <c r="AI594" s="16"/>
      <c r="AJ594" s="126" t="e">
        <v>#N/A</v>
      </c>
      <c r="AK594" s="80">
        <f t="shared" si="90"/>
        <v>0</v>
      </c>
      <c r="AM594" s="85"/>
    </row>
    <row r="595" spans="1:39" hidden="1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83"/>
        <v>18046</v>
      </c>
      <c r="X595" s="18">
        <f t="shared" ref="X595:X658" si="91">IF(P595="折扣",V595*Q595,IF(P595="返现",V595,V595/(1+Q595)))</f>
        <v>0</v>
      </c>
      <c r="Y595" s="13">
        <f t="shared" si="86"/>
        <v>0</v>
      </c>
      <c r="Z595" s="14">
        <v>0</v>
      </c>
      <c r="AA595" s="4">
        <v>0</v>
      </c>
      <c r="AB595" s="4">
        <f t="shared" si="87"/>
        <v>0</v>
      </c>
      <c r="AC595" s="6">
        <f t="shared" si="88"/>
        <v>0</v>
      </c>
      <c r="AD595" s="18">
        <f t="shared" si="84"/>
        <v>0</v>
      </c>
      <c r="AE595" s="2">
        <v>7.0000000000000007E-2</v>
      </c>
      <c r="AF595" s="5">
        <f t="shared" si="89"/>
        <v>0</v>
      </c>
      <c r="AG595" s="14">
        <v>0</v>
      </c>
      <c r="AH595" s="10">
        <f t="shared" si="85"/>
        <v>0</v>
      </c>
      <c r="AI595" s="16"/>
      <c r="AJ595" s="126" t="e">
        <v>#N/A</v>
      </c>
      <c r="AK595" s="80">
        <f t="shared" si="90"/>
        <v>0</v>
      </c>
      <c r="AM595" s="85"/>
    </row>
    <row r="596" spans="1:39" hidden="1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92">T596+U596-V596</f>
        <v>19672.349999999999</v>
      </c>
      <c r="X596" s="18">
        <f t="shared" si="91"/>
        <v>0</v>
      </c>
      <c r="Y596" s="13">
        <f t="shared" si="86"/>
        <v>0</v>
      </c>
      <c r="Z596" s="14">
        <v>0</v>
      </c>
      <c r="AA596" s="4">
        <v>0</v>
      </c>
      <c r="AB596" s="4">
        <f t="shared" si="87"/>
        <v>0</v>
      </c>
      <c r="AC596" s="6">
        <f t="shared" si="88"/>
        <v>0</v>
      </c>
      <c r="AD596" s="18">
        <f t="shared" si="84"/>
        <v>0</v>
      </c>
      <c r="AE596" s="2">
        <v>0.12</v>
      </c>
      <c r="AF596" s="5">
        <f t="shared" si="89"/>
        <v>0</v>
      </c>
      <c r="AG596" s="14">
        <v>0</v>
      </c>
      <c r="AH596" s="10">
        <f t="shared" si="85"/>
        <v>0</v>
      </c>
      <c r="AI596" s="16"/>
      <c r="AJ596" s="126" t="e">
        <v>#N/A</v>
      </c>
      <c r="AK596" s="80">
        <f t="shared" si="90"/>
        <v>0</v>
      </c>
      <c r="AM596" s="85"/>
    </row>
    <row r="597" spans="1:39" hidden="1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92"/>
        <v>6422</v>
      </c>
      <c r="X597" s="18">
        <f t="shared" si="91"/>
        <v>0</v>
      </c>
      <c r="Y597" s="13">
        <f t="shared" si="86"/>
        <v>0</v>
      </c>
      <c r="Z597" s="14">
        <v>0</v>
      </c>
      <c r="AA597" s="4">
        <v>0</v>
      </c>
      <c r="AB597" s="4">
        <f t="shared" si="87"/>
        <v>0</v>
      </c>
      <c r="AC597" s="6">
        <f t="shared" si="88"/>
        <v>0</v>
      </c>
      <c r="AD597" s="18">
        <f t="shared" si="84"/>
        <v>0</v>
      </c>
      <c r="AE597" s="2">
        <v>7.0000000000000007E-2</v>
      </c>
      <c r="AF597" s="5">
        <f t="shared" si="89"/>
        <v>0</v>
      </c>
      <c r="AG597" s="14">
        <v>0</v>
      </c>
      <c r="AH597" s="10">
        <f t="shared" si="85"/>
        <v>0</v>
      </c>
      <c r="AI597" s="16"/>
      <c r="AJ597" s="126" t="e">
        <v>#N/A</v>
      </c>
      <c r="AK597" s="80">
        <f t="shared" si="90"/>
        <v>0</v>
      </c>
      <c r="AM597" s="85"/>
    </row>
    <row r="598" spans="1:39" hidden="1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92"/>
        <v>971.2</v>
      </c>
      <c r="X598" s="18">
        <f t="shared" si="91"/>
        <v>0</v>
      </c>
      <c r="Y598" s="13">
        <f t="shared" si="86"/>
        <v>0</v>
      </c>
      <c r="Z598" s="14">
        <v>0</v>
      </c>
      <c r="AA598" s="4">
        <v>0</v>
      </c>
      <c r="AB598" s="4">
        <f t="shared" si="87"/>
        <v>0</v>
      </c>
      <c r="AC598" s="6">
        <f t="shared" si="88"/>
        <v>0</v>
      </c>
      <c r="AD598" s="18">
        <f t="shared" si="84"/>
        <v>0</v>
      </c>
      <c r="AE598" s="2">
        <v>7.0000000000000007E-2</v>
      </c>
      <c r="AF598" s="5">
        <f t="shared" si="89"/>
        <v>0</v>
      </c>
      <c r="AG598" s="14">
        <v>0</v>
      </c>
      <c r="AH598" s="10">
        <f t="shared" si="85"/>
        <v>0</v>
      </c>
      <c r="AI598" s="16"/>
      <c r="AJ598" s="126" t="e">
        <v>#N/A</v>
      </c>
      <c r="AK598" s="80">
        <f t="shared" si="90"/>
        <v>0</v>
      </c>
      <c r="AM598" s="85"/>
    </row>
    <row r="599" spans="1:39" hidden="1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92"/>
        <v>15309.18</v>
      </c>
      <c r="X599" s="18">
        <f t="shared" si="91"/>
        <v>0</v>
      </c>
      <c r="Y599" s="13">
        <f t="shared" si="86"/>
        <v>0</v>
      </c>
      <c r="Z599" s="14">
        <v>0</v>
      </c>
      <c r="AA599" s="4">
        <v>0</v>
      </c>
      <c r="AB599" s="4">
        <f t="shared" si="87"/>
        <v>0</v>
      </c>
      <c r="AC599" s="6">
        <f t="shared" si="88"/>
        <v>0</v>
      </c>
      <c r="AD599" s="18">
        <f t="shared" si="84"/>
        <v>0</v>
      </c>
      <c r="AE599" s="2">
        <v>7.0000000000000007E-2</v>
      </c>
      <c r="AF599" s="5">
        <f t="shared" si="89"/>
        <v>0</v>
      </c>
      <c r="AG599" s="14">
        <v>0</v>
      </c>
      <c r="AH599" s="10">
        <f t="shared" si="85"/>
        <v>0</v>
      </c>
      <c r="AI599" s="16"/>
      <c r="AJ599" s="126" t="e">
        <v>#N/A</v>
      </c>
      <c r="AK599" s="80">
        <f t="shared" si="90"/>
        <v>0</v>
      </c>
      <c r="AM599" s="85"/>
    </row>
    <row r="600" spans="1:39" hidden="1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92"/>
        <v>9705.75</v>
      </c>
      <c r="X600" s="18">
        <f t="shared" si="91"/>
        <v>0</v>
      </c>
      <c r="Y600" s="13">
        <f t="shared" si="86"/>
        <v>0</v>
      </c>
      <c r="Z600" s="14">
        <v>0</v>
      </c>
      <c r="AA600" s="4">
        <v>0</v>
      </c>
      <c r="AB600" s="4">
        <f t="shared" si="87"/>
        <v>0</v>
      </c>
      <c r="AC600" s="6">
        <f t="shared" si="88"/>
        <v>0</v>
      </c>
      <c r="AD600" s="18">
        <f t="shared" si="84"/>
        <v>0</v>
      </c>
      <c r="AE600" s="2">
        <v>7.0000000000000007E-2</v>
      </c>
      <c r="AF600" s="5">
        <f t="shared" si="89"/>
        <v>0</v>
      </c>
      <c r="AG600" s="14">
        <v>0</v>
      </c>
      <c r="AH600" s="10">
        <f t="shared" si="85"/>
        <v>0</v>
      </c>
      <c r="AI600" s="16"/>
      <c r="AJ600" s="126" t="e">
        <v>#N/A</v>
      </c>
      <c r="AK600" s="80">
        <f t="shared" si="90"/>
        <v>0</v>
      </c>
      <c r="AM600" s="85"/>
    </row>
    <row r="601" spans="1:39" hidden="1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92"/>
        <v>36787.019999999997</v>
      </c>
      <c r="X601" s="18">
        <f t="shared" si="91"/>
        <v>0</v>
      </c>
      <c r="Y601" s="13">
        <f t="shared" si="86"/>
        <v>0</v>
      </c>
      <c r="Z601" s="14">
        <v>0</v>
      </c>
      <c r="AA601" s="4">
        <v>0</v>
      </c>
      <c r="AB601" s="4">
        <f t="shared" si="87"/>
        <v>0</v>
      </c>
      <c r="AC601" s="6">
        <f t="shared" si="88"/>
        <v>0</v>
      </c>
      <c r="AD601" s="18">
        <f t="shared" si="84"/>
        <v>0</v>
      </c>
      <c r="AE601" s="2">
        <v>7.0000000000000007E-2</v>
      </c>
      <c r="AF601" s="5">
        <f t="shared" si="89"/>
        <v>0</v>
      </c>
      <c r="AG601" s="14">
        <v>0</v>
      </c>
      <c r="AH601" s="10">
        <f t="shared" si="85"/>
        <v>0</v>
      </c>
      <c r="AI601" s="16"/>
      <c r="AJ601" s="126" t="e">
        <v>#N/A</v>
      </c>
      <c r="AK601" s="80">
        <f t="shared" si="90"/>
        <v>0</v>
      </c>
      <c r="AM601" s="85"/>
    </row>
    <row r="602" spans="1:39" hidden="1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92"/>
        <v>2099.6</v>
      </c>
      <c r="X602" s="18">
        <f t="shared" si="91"/>
        <v>0</v>
      </c>
      <c r="Y602" s="13">
        <f t="shared" si="86"/>
        <v>0</v>
      </c>
      <c r="Z602" s="14">
        <v>0</v>
      </c>
      <c r="AA602" s="4">
        <v>0</v>
      </c>
      <c r="AB602" s="4">
        <f t="shared" si="87"/>
        <v>0</v>
      </c>
      <c r="AC602" s="6">
        <f t="shared" si="88"/>
        <v>0</v>
      </c>
      <c r="AD602" s="18">
        <f t="shared" si="84"/>
        <v>0</v>
      </c>
      <c r="AE602" s="2">
        <v>7.0000000000000007E-2</v>
      </c>
      <c r="AF602" s="5">
        <f t="shared" si="89"/>
        <v>0</v>
      </c>
      <c r="AG602" s="14">
        <v>0</v>
      </c>
      <c r="AH602" s="10">
        <f t="shared" si="85"/>
        <v>0</v>
      </c>
      <c r="AI602" s="16"/>
      <c r="AJ602" s="126" t="e">
        <v>#N/A</v>
      </c>
      <c r="AK602" s="80">
        <f t="shared" si="90"/>
        <v>0</v>
      </c>
      <c r="AM602" s="85"/>
    </row>
    <row r="603" spans="1:39" hidden="1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92"/>
        <v>193.16</v>
      </c>
      <c r="X603" s="18">
        <f t="shared" si="91"/>
        <v>0</v>
      </c>
      <c r="Y603" s="13">
        <f t="shared" si="86"/>
        <v>0</v>
      </c>
      <c r="Z603" s="14">
        <v>0</v>
      </c>
      <c r="AA603" s="4">
        <v>0</v>
      </c>
      <c r="AB603" s="4">
        <f t="shared" si="87"/>
        <v>0</v>
      </c>
      <c r="AC603" s="6">
        <f t="shared" si="88"/>
        <v>0</v>
      </c>
      <c r="AD603" s="18">
        <f t="shared" si="84"/>
        <v>0</v>
      </c>
      <c r="AE603" s="2">
        <v>7.0000000000000007E-2</v>
      </c>
      <c r="AF603" s="5">
        <f t="shared" si="89"/>
        <v>0</v>
      </c>
      <c r="AG603" s="14">
        <v>0</v>
      </c>
      <c r="AH603" s="10">
        <f t="shared" si="85"/>
        <v>0</v>
      </c>
      <c r="AI603" s="16"/>
      <c r="AJ603" s="126" t="e">
        <v>#N/A</v>
      </c>
      <c r="AK603" s="80">
        <f t="shared" si="90"/>
        <v>0</v>
      </c>
      <c r="AM603" s="85"/>
    </row>
    <row r="604" spans="1:39" hidden="1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92"/>
        <v>4000.15</v>
      </c>
      <c r="X604" s="18">
        <f t="shared" si="91"/>
        <v>0</v>
      </c>
      <c r="Y604" s="13">
        <f t="shared" si="86"/>
        <v>0</v>
      </c>
      <c r="Z604" s="14">
        <v>0</v>
      </c>
      <c r="AA604" s="4">
        <v>0</v>
      </c>
      <c r="AB604" s="4">
        <f t="shared" si="87"/>
        <v>0</v>
      </c>
      <c r="AC604" s="6">
        <f t="shared" si="88"/>
        <v>0</v>
      </c>
      <c r="AD604" s="18">
        <f t="shared" si="84"/>
        <v>0</v>
      </c>
      <c r="AE604" s="2">
        <v>7.0000000000000007E-2</v>
      </c>
      <c r="AF604" s="5">
        <f t="shared" si="89"/>
        <v>0</v>
      </c>
      <c r="AG604" s="14">
        <v>0</v>
      </c>
      <c r="AH604" s="10">
        <f t="shared" si="85"/>
        <v>0</v>
      </c>
      <c r="AI604" s="16"/>
      <c r="AJ604" s="126" t="e">
        <v>#N/A</v>
      </c>
      <c r="AK604" s="80">
        <f t="shared" si="90"/>
        <v>0</v>
      </c>
      <c r="AM604" s="85"/>
    </row>
    <row r="605" spans="1:39" hidden="1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92"/>
        <v>15691</v>
      </c>
      <c r="X605" s="18">
        <f t="shared" si="91"/>
        <v>0</v>
      </c>
      <c r="Y605" s="13">
        <f t="shared" si="86"/>
        <v>0</v>
      </c>
      <c r="Z605" s="14">
        <v>0</v>
      </c>
      <c r="AA605" s="4">
        <v>0</v>
      </c>
      <c r="AB605" s="4">
        <f t="shared" si="87"/>
        <v>0</v>
      </c>
      <c r="AC605" s="6">
        <f t="shared" si="88"/>
        <v>0</v>
      </c>
      <c r="AD605" s="18">
        <f t="shared" si="84"/>
        <v>0</v>
      </c>
      <c r="AE605" s="2">
        <v>7.0000000000000007E-2</v>
      </c>
      <c r="AF605" s="5">
        <f t="shared" si="89"/>
        <v>0</v>
      </c>
      <c r="AG605" s="14">
        <v>0</v>
      </c>
      <c r="AH605" s="10">
        <f t="shared" si="85"/>
        <v>0</v>
      </c>
      <c r="AI605" s="16"/>
      <c r="AJ605" s="126" t="e">
        <v>#N/A</v>
      </c>
      <c r="AK605" s="80">
        <f t="shared" si="90"/>
        <v>0</v>
      </c>
      <c r="AM605" s="85"/>
    </row>
    <row r="606" spans="1:39" hidden="1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92"/>
        <v>4469.6000000000004</v>
      </c>
      <c r="X606" s="18">
        <f t="shared" si="91"/>
        <v>0</v>
      </c>
      <c r="Y606" s="13">
        <f t="shared" si="86"/>
        <v>0</v>
      </c>
      <c r="Z606" s="14">
        <v>0</v>
      </c>
      <c r="AA606" s="4">
        <v>0</v>
      </c>
      <c r="AB606" s="4">
        <f t="shared" si="87"/>
        <v>0</v>
      </c>
      <c r="AC606" s="6">
        <f t="shared" si="88"/>
        <v>0</v>
      </c>
      <c r="AD606" s="18">
        <f t="shared" si="84"/>
        <v>0</v>
      </c>
      <c r="AE606" s="2">
        <v>7.0000000000000007E-2</v>
      </c>
      <c r="AF606" s="5">
        <f t="shared" si="89"/>
        <v>0</v>
      </c>
      <c r="AG606" s="14">
        <v>0</v>
      </c>
      <c r="AH606" s="10">
        <f t="shared" si="85"/>
        <v>0</v>
      </c>
      <c r="AI606" s="16"/>
      <c r="AJ606" s="126" t="e">
        <v>#N/A</v>
      </c>
      <c r="AK606" s="80">
        <f t="shared" si="90"/>
        <v>0</v>
      </c>
      <c r="AM606" s="85"/>
    </row>
    <row r="607" spans="1:39" hidden="1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92"/>
        <v>6886.9</v>
      </c>
      <c r="X607" s="18">
        <f t="shared" si="91"/>
        <v>0</v>
      </c>
      <c r="Y607" s="13">
        <f t="shared" si="86"/>
        <v>0</v>
      </c>
      <c r="Z607" s="14">
        <v>0</v>
      </c>
      <c r="AA607" s="4">
        <v>0</v>
      </c>
      <c r="AB607" s="4">
        <f t="shared" si="87"/>
        <v>0</v>
      </c>
      <c r="AC607" s="6">
        <f t="shared" si="88"/>
        <v>0</v>
      </c>
      <c r="AD607" s="18">
        <f t="shared" si="84"/>
        <v>0</v>
      </c>
      <c r="AE607" s="2">
        <v>7.0000000000000007E-2</v>
      </c>
      <c r="AF607" s="5">
        <f t="shared" si="89"/>
        <v>0</v>
      </c>
      <c r="AG607" s="14">
        <v>0</v>
      </c>
      <c r="AH607" s="10">
        <f t="shared" si="85"/>
        <v>0</v>
      </c>
      <c r="AI607" s="16"/>
      <c r="AJ607" s="126" t="e">
        <v>#N/A</v>
      </c>
      <c r="AK607" s="80">
        <f t="shared" si="90"/>
        <v>0</v>
      </c>
      <c r="AM607" s="85"/>
    </row>
    <row r="608" spans="1:39" hidden="1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92"/>
        <v>2384.46</v>
      </c>
      <c r="X608" s="18">
        <f t="shared" si="91"/>
        <v>0</v>
      </c>
      <c r="Y608" s="13">
        <f t="shared" si="86"/>
        <v>0</v>
      </c>
      <c r="Z608" s="14">
        <v>0</v>
      </c>
      <c r="AA608" s="4">
        <v>0</v>
      </c>
      <c r="AB608" s="4">
        <f t="shared" si="87"/>
        <v>0</v>
      </c>
      <c r="AC608" s="6">
        <f t="shared" si="88"/>
        <v>0</v>
      </c>
      <c r="AD608" s="18">
        <f t="shared" si="84"/>
        <v>0</v>
      </c>
      <c r="AE608" s="2">
        <v>7.0000000000000007E-2</v>
      </c>
      <c r="AF608" s="5">
        <f t="shared" si="89"/>
        <v>0</v>
      </c>
      <c r="AG608" s="14">
        <v>0</v>
      </c>
      <c r="AH608" s="10">
        <f t="shared" si="85"/>
        <v>0</v>
      </c>
      <c r="AI608" s="16"/>
      <c r="AJ608" s="126" t="e">
        <v>#N/A</v>
      </c>
      <c r="AK608" s="80">
        <f t="shared" si="90"/>
        <v>0</v>
      </c>
      <c r="AM608" s="85"/>
    </row>
    <row r="609" spans="1:39" hidden="1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92"/>
        <v>27993.81</v>
      </c>
      <c r="X609" s="18">
        <f t="shared" si="91"/>
        <v>0</v>
      </c>
      <c r="Y609" s="13">
        <f t="shared" si="86"/>
        <v>0</v>
      </c>
      <c r="Z609" s="14">
        <v>0</v>
      </c>
      <c r="AA609" s="4">
        <v>0</v>
      </c>
      <c r="AB609" s="4">
        <f t="shared" si="87"/>
        <v>0</v>
      </c>
      <c r="AC609" s="6">
        <f t="shared" si="88"/>
        <v>0</v>
      </c>
      <c r="AD609" s="18">
        <f t="shared" si="84"/>
        <v>0</v>
      </c>
      <c r="AE609" s="2">
        <v>7.0000000000000007E-2</v>
      </c>
      <c r="AF609" s="5">
        <f t="shared" si="89"/>
        <v>0</v>
      </c>
      <c r="AG609" s="14">
        <v>0</v>
      </c>
      <c r="AH609" s="10">
        <f t="shared" si="85"/>
        <v>0</v>
      </c>
      <c r="AI609" s="16"/>
      <c r="AJ609" s="126" t="e">
        <v>#N/A</v>
      </c>
      <c r="AK609" s="80">
        <f t="shared" si="90"/>
        <v>0</v>
      </c>
      <c r="AM609" s="85"/>
    </row>
    <row r="610" spans="1:39" hidden="1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92"/>
        <v>768.6</v>
      </c>
      <c r="X610" s="18">
        <f t="shared" si="91"/>
        <v>0</v>
      </c>
      <c r="Y610" s="13">
        <f t="shared" si="86"/>
        <v>0</v>
      </c>
      <c r="Z610" s="14">
        <v>0</v>
      </c>
      <c r="AA610" s="4">
        <v>0</v>
      </c>
      <c r="AB610" s="4">
        <f t="shared" si="87"/>
        <v>0</v>
      </c>
      <c r="AC610" s="6">
        <f t="shared" si="88"/>
        <v>0</v>
      </c>
      <c r="AD610" s="18">
        <f t="shared" si="84"/>
        <v>0</v>
      </c>
      <c r="AE610" s="2">
        <v>7.0000000000000007E-2</v>
      </c>
      <c r="AF610" s="5">
        <f t="shared" si="89"/>
        <v>0</v>
      </c>
      <c r="AG610" s="14">
        <v>0</v>
      </c>
      <c r="AH610" s="10">
        <f t="shared" si="85"/>
        <v>0</v>
      </c>
      <c r="AI610" s="16"/>
      <c r="AJ610" s="126" t="e">
        <v>#N/A</v>
      </c>
      <c r="AK610" s="80">
        <f t="shared" si="90"/>
        <v>0</v>
      </c>
      <c r="AM610" s="85"/>
    </row>
    <row r="611" spans="1:39" hidden="1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92"/>
        <v>6557.88</v>
      </c>
      <c r="X611" s="18">
        <f t="shared" si="91"/>
        <v>0</v>
      </c>
      <c r="Y611" s="13">
        <f t="shared" si="86"/>
        <v>0</v>
      </c>
      <c r="Z611" s="14">
        <v>0</v>
      </c>
      <c r="AA611" s="4">
        <v>0</v>
      </c>
      <c r="AB611" s="4">
        <f t="shared" si="87"/>
        <v>0</v>
      </c>
      <c r="AC611" s="6">
        <f t="shared" si="88"/>
        <v>0</v>
      </c>
      <c r="AD611" s="18">
        <f t="shared" si="84"/>
        <v>0</v>
      </c>
      <c r="AE611" s="2">
        <v>7.0000000000000007E-2</v>
      </c>
      <c r="AF611" s="5">
        <f t="shared" si="89"/>
        <v>0</v>
      </c>
      <c r="AG611" s="14">
        <v>0</v>
      </c>
      <c r="AH611" s="10">
        <f t="shared" si="85"/>
        <v>0</v>
      </c>
      <c r="AI611" s="16"/>
      <c r="AJ611" s="126" t="e">
        <v>#N/A</v>
      </c>
      <c r="AK611" s="80">
        <f t="shared" si="90"/>
        <v>0</v>
      </c>
      <c r="AM611" s="85"/>
    </row>
    <row r="612" spans="1:39" hidden="1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92"/>
        <v>150.1</v>
      </c>
      <c r="X612" s="18">
        <f t="shared" si="91"/>
        <v>0</v>
      </c>
      <c r="Y612" s="13">
        <f t="shared" si="86"/>
        <v>0</v>
      </c>
      <c r="Z612" s="14">
        <v>0</v>
      </c>
      <c r="AA612" s="4">
        <v>0</v>
      </c>
      <c r="AB612" s="4">
        <f t="shared" si="87"/>
        <v>0</v>
      </c>
      <c r="AC612" s="6">
        <f t="shared" si="88"/>
        <v>0</v>
      </c>
      <c r="AD612" s="18">
        <f t="shared" si="84"/>
        <v>0</v>
      </c>
      <c r="AE612" s="2">
        <v>7.0000000000000007E-2</v>
      </c>
      <c r="AF612" s="5">
        <f t="shared" si="89"/>
        <v>0</v>
      </c>
      <c r="AG612" s="14">
        <v>0</v>
      </c>
      <c r="AH612" s="10">
        <f t="shared" si="85"/>
        <v>0</v>
      </c>
      <c r="AI612" s="16"/>
      <c r="AJ612" s="126" t="e">
        <v>#N/A</v>
      </c>
      <c r="AK612" s="80">
        <f t="shared" si="90"/>
        <v>0</v>
      </c>
      <c r="AM612" s="85"/>
    </row>
    <row r="613" spans="1:39" hidden="1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92"/>
        <v>1336.7</v>
      </c>
      <c r="X613" s="18">
        <f t="shared" si="91"/>
        <v>0</v>
      </c>
      <c r="Y613" s="13">
        <f t="shared" si="86"/>
        <v>0</v>
      </c>
      <c r="Z613" s="14">
        <v>0</v>
      </c>
      <c r="AA613" s="4">
        <v>0</v>
      </c>
      <c r="AB613" s="4">
        <f t="shared" si="87"/>
        <v>0</v>
      </c>
      <c r="AC613" s="6">
        <f t="shared" si="88"/>
        <v>0</v>
      </c>
      <c r="AD613" s="18">
        <f t="shared" si="84"/>
        <v>0</v>
      </c>
      <c r="AE613" s="2">
        <v>7.0000000000000007E-2</v>
      </c>
      <c r="AF613" s="5">
        <f t="shared" si="89"/>
        <v>0</v>
      </c>
      <c r="AG613" s="14">
        <v>0</v>
      </c>
      <c r="AH613" s="10">
        <f t="shared" si="85"/>
        <v>0</v>
      </c>
      <c r="AI613" s="16"/>
      <c r="AJ613" s="126" t="e">
        <v>#N/A</v>
      </c>
      <c r="AK613" s="80">
        <f t="shared" si="90"/>
        <v>0</v>
      </c>
      <c r="AM613" s="85"/>
    </row>
    <row r="614" spans="1:39" hidden="1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92"/>
        <v>356.31</v>
      </c>
      <c r="X614" s="18">
        <f t="shared" si="91"/>
        <v>0</v>
      </c>
      <c r="Y614" s="13">
        <f t="shared" si="86"/>
        <v>0</v>
      </c>
      <c r="Z614" s="14">
        <v>0</v>
      </c>
      <c r="AA614" s="4">
        <v>0</v>
      </c>
      <c r="AB614" s="4">
        <f t="shared" si="87"/>
        <v>0</v>
      </c>
      <c r="AC614" s="6">
        <f t="shared" si="88"/>
        <v>0</v>
      </c>
      <c r="AD614" s="18">
        <f t="shared" si="84"/>
        <v>0</v>
      </c>
      <c r="AE614" s="2">
        <v>7.0000000000000007E-2</v>
      </c>
      <c r="AF614" s="5">
        <f t="shared" si="89"/>
        <v>0</v>
      </c>
      <c r="AG614" s="14">
        <v>0</v>
      </c>
      <c r="AH614" s="10">
        <f t="shared" si="85"/>
        <v>0</v>
      </c>
      <c r="AI614" s="16"/>
      <c r="AJ614" s="126" t="e">
        <v>#N/A</v>
      </c>
      <c r="AK614" s="80">
        <f t="shared" si="90"/>
        <v>0</v>
      </c>
      <c r="AM614" s="85"/>
    </row>
    <row r="615" spans="1:39" hidden="1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92"/>
        <v>10166.4</v>
      </c>
      <c r="X615" s="18">
        <f t="shared" si="91"/>
        <v>0</v>
      </c>
      <c r="Y615" s="13">
        <f t="shared" si="86"/>
        <v>0</v>
      </c>
      <c r="Z615" s="14">
        <v>0</v>
      </c>
      <c r="AA615" s="4">
        <v>0</v>
      </c>
      <c r="AB615" s="4">
        <f t="shared" si="87"/>
        <v>0</v>
      </c>
      <c r="AC615" s="6">
        <f t="shared" si="88"/>
        <v>0</v>
      </c>
      <c r="AD615" s="18">
        <f t="shared" si="84"/>
        <v>0</v>
      </c>
      <c r="AE615" s="2">
        <v>7.0000000000000007E-2</v>
      </c>
      <c r="AF615" s="5">
        <f t="shared" si="89"/>
        <v>0</v>
      </c>
      <c r="AG615" s="14">
        <v>0</v>
      </c>
      <c r="AH615" s="10">
        <f t="shared" si="85"/>
        <v>0</v>
      </c>
      <c r="AI615" s="16"/>
      <c r="AJ615" s="126" t="e">
        <v>#N/A</v>
      </c>
      <c r="AK615" s="80">
        <f t="shared" si="90"/>
        <v>0</v>
      </c>
      <c r="AM615" s="85"/>
    </row>
    <row r="616" spans="1:39" hidden="1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92"/>
        <v>145.04</v>
      </c>
      <c r="X616" s="18">
        <f t="shared" si="91"/>
        <v>0</v>
      </c>
      <c r="Y616" s="13">
        <f t="shared" si="86"/>
        <v>0</v>
      </c>
      <c r="Z616" s="14">
        <v>0</v>
      </c>
      <c r="AA616" s="4">
        <v>0</v>
      </c>
      <c r="AB616" s="4">
        <f t="shared" si="87"/>
        <v>0</v>
      </c>
      <c r="AC616" s="6">
        <f t="shared" si="88"/>
        <v>0</v>
      </c>
      <c r="AD616" s="18">
        <f t="shared" si="84"/>
        <v>0</v>
      </c>
      <c r="AE616" s="2">
        <v>7.0000000000000007E-2</v>
      </c>
      <c r="AF616" s="5">
        <f t="shared" si="89"/>
        <v>0</v>
      </c>
      <c r="AG616" s="14">
        <v>0</v>
      </c>
      <c r="AH616" s="10">
        <f t="shared" si="85"/>
        <v>0</v>
      </c>
      <c r="AI616" s="16"/>
      <c r="AJ616" s="126" t="e">
        <v>#N/A</v>
      </c>
      <c r="AK616" s="80">
        <f t="shared" si="90"/>
        <v>0</v>
      </c>
      <c r="AM616" s="85"/>
    </row>
    <row r="617" spans="1:39" hidden="1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92"/>
        <v>4027.61</v>
      </c>
      <c r="X617" s="18">
        <f t="shared" si="91"/>
        <v>0</v>
      </c>
      <c r="Y617" s="13">
        <f t="shared" si="86"/>
        <v>0</v>
      </c>
      <c r="Z617" s="14">
        <v>0</v>
      </c>
      <c r="AA617" s="4">
        <v>0</v>
      </c>
      <c r="AB617" s="4">
        <f t="shared" si="87"/>
        <v>0</v>
      </c>
      <c r="AC617" s="6">
        <f t="shared" si="88"/>
        <v>0</v>
      </c>
      <c r="AD617" s="18">
        <f t="shared" si="84"/>
        <v>0</v>
      </c>
      <c r="AE617" s="2">
        <v>7.0000000000000007E-2</v>
      </c>
      <c r="AF617" s="5">
        <f t="shared" si="89"/>
        <v>0</v>
      </c>
      <c r="AG617" s="14">
        <v>0</v>
      </c>
      <c r="AH617" s="10">
        <f t="shared" si="85"/>
        <v>0</v>
      </c>
      <c r="AI617" s="16"/>
      <c r="AJ617" s="126" t="e">
        <v>#N/A</v>
      </c>
      <c r="AK617" s="80">
        <f t="shared" si="90"/>
        <v>0</v>
      </c>
      <c r="AM617" s="85"/>
    </row>
    <row r="618" spans="1:39" hidden="1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92"/>
        <v>5617.1800000000012</v>
      </c>
      <c r="X618" s="18">
        <f t="shared" si="91"/>
        <v>0</v>
      </c>
      <c r="Y618" s="13">
        <f t="shared" si="86"/>
        <v>0</v>
      </c>
      <c r="Z618" s="14">
        <v>0</v>
      </c>
      <c r="AA618" s="4">
        <v>0</v>
      </c>
      <c r="AB618" s="4">
        <f t="shared" si="87"/>
        <v>0</v>
      </c>
      <c r="AC618" s="6">
        <f t="shared" si="88"/>
        <v>0</v>
      </c>
      <c r="AD618" s="18">
        <f t="shared" si="84"/>
        <v>0</v>
      </c>
      <c r="AE618" s="2">
        <v>7.0000000000000007E-2</v>
      </c>
      <c r="AF618" s="5">
        <f t="shared" si="89"/>
        <v>0</v>
      </c>
      <c r="AG618" s="14">
        <v>0</v>
      </c>
      <c r="AH618" s="10">
        <f t="shared" si="85"/>
        <v>0</v>
      </c>
      <c r="AI618" s="16"/>
      <c r="AJ618" s="126" t="e">
        <v>#N/A</v>
      </c>
      <c r="AK618" s="80">
        <f t="shared" si="90"/>
        <v>0</v>
      </c>
      <c r="AM618" s="85"/>
    </row>
    <row r="619" spans="1:39" hidden="1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92"/>
        <v>8.6</v>
      </c>
      <c r="X619" s="18">
        <f t="shared" si="91"/>
        <v>0</v>
      </c>
      <c r="Y619" s="13">
        <f t="shared" si="86"/>
        <v>0</v>
      </c>
      <c r="Z619" s="14">
        <v>0</v>
      </c>
      <c r="AA619" s="4">
        <v>0</v>
      </c>
      <c r="AB619" s="4">
        <f t="shared" si="87"/>
        <v>0</v>
      </c>
      <c r="AC619" s="6">
        <f t="shared" si="88"/>
        <v>0</v>
      </c>
      <c r="AD619" s="18">
        <f t="shared" si="84"/>
        <v>0</v>
      </c>
      <c r="AE619" s="2">
        <v>7.0000000000000007E-2</v>
      </c>
      <c r="AF619" s="5">
        <f t="shared" si="89"/>
        <v>0</v>
      </c>
      <c r="AG619" s="14">
        <v>0</v>
      </c>
      <c r="AH619" s="10">
        <f t="shared" si="85"/>
        <v>0</v>
      </c>
      <c r="AI619" s="16"/>
      <c r="AJ619" s="126" t="e">
        <v>#N/A</v>
      </c>
      <c r="AK619" s="80">
        <f t="shared" si="90"/>
        <v>0</v>
      </c>
      <c r="AM619" s="85"/>
    </row>
    <row r="620" spans="1:39" hidden="1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92"/>
        <v>117244.06</v>
      </c>
      <c r="X620" s="18">
        <f t="shared" si="91"/>
        <v>0</v>
      </c>
      <c r="Y620" s="13">
        <f t="shared" si="86"/>
        <v>0</v>
      </c>
      <c r="Z620" s="14">
        <v>0</v>
      </c>
      <c r="AA620" s="4">
        <v>0</v>
      </c>
      <c r="AB620" s="4">
        <f t="shared" si="87"/>
        <v>0</v>
      </c>
      <c r="AC620" s="6">
        <f t="shared" si="88"/>
        <v>0</v>
      </c>
      <c r="AD620" s="18">
        <f t="shared" si="84"/>
        <v>0</v>
      </c>
      <c r="AE620" s="2">
        <v>7.0000000000000007E-2</v>
      </c>
      <c r="AF620" s="5">
        <f t="shared" si="89"/>
        <v>0</v>
      </c>
      <c r="AG620" s="14">
        <v>0</v>
      </c>
      <c r="AH620" s="10">
        <f t="shared" si="85"/>
        <v>0</v>
      </c>
      <c r="AI620" s="16"/>
      <c r="AJ620" s="126" t="e">
        <v>#N/A</v>
      </c>
      <c r="AK620" s="80">
        <f t="shared" si="90"/>
        <v>0</v>
      </c>
      <c r="AM620" s="85"/>
    </row>
    <row r="621" spans="1:39" hidden="1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92"/>
        <v>484</v>
      </c>
      <c r="X621" s="18">
        <f t="shared" si="91"/>
        <v>0</v>
      </c>
      <c r="Y621" s="13">
        <f t="shared" si="86"/>
        <v>0</v>
      </c>
      <c r="Z621" s="14">
        <v>0</v>
      </c>
      <c r="AA621" s="4">
        <v>0</v>
      </c>
      <c r="AB621" s="4">
        <f t="shared" si="87"/>
        <v>0</v>
      </c>
      <c r="AC621" s="6">
        <f t="shared" si="88"/>
        <v>0</v>
      </c>
      <c r="AD621" s="18">
        <f t="shared" si="84"/>
        <v>0</v>
      </c>
      <c r="AE621" s="2">
        <v>7.0000000000000007E-2</v>
      </c>
      <c r="AF621" s="5">
        <f t="shared" si="89"/>
        <v>0</v>
      </c>
      <c r="AG621" s="14">
        <v>0</v>
      </c>
      <c r="AH621" s="10">
        <f t="shared" si="85"/>
        <v>0</v>
      </c>
      <c r="AI621" s="16"/>
      <c r="AJ621" s="126" t="e">
        <v>#N/A</v>
      </c>
      <c r="AK621" s="80">
        <f t="shared" si="90"/>
        <v>0</v>
      </c>
      <c r="AM621" s="85"/>
    </row>
    <row r="622" spans="1:39" hidden="1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92"/>
        <v>778.26</v>
      </c>
      <c r="X622" s="18">
        <f t="shared" si="91"/>
        <v>0</v>
      </c>
      <c r="Y622" s="13">
        <f t="shared" si="86"/>
        <v>0</v>
      </c>
      <c r="Z622" s="14">
        <v>0</v>
      </c>
      <c r="AA622" s="4">
        <v>0</v>
      </c>
      <c r="AB622" s="4">
        <f t="shared" si="87"/>
        <v>0</v>
      </c>
      <c r="AC622" s="6">
        <f t="shared" si="88"/>
        <v>0</v>
      </c>
      <c r="AD622" s="18">
        <f t="shared" si="84"/>
        <v>0</v>
      </c>
      <c r="AE622" s="2">
        <v>7.0000000000000007E-2</v>
      </c>
      <c r="AF622" s="5">
        <f t="shared" si="89"/>
        <v>0</v>
      </c>
      <c r="AG622" s="14">
        <v>0</v>
      </c>
      <c r="AH622" s="10">
        <f t="shared" si="85"/>
        <v>0</v>
      </c>
      <c r="AI622" s="16"/>
      <c r="AJ622" s="126" t="e">
        <v>#N/A</v>
      </c>
      <c r="AK622" s="80">
        <f t="shared" si="90"/>
        <v>0</v>
      </c>
      <c r="AM622" s="85"/>
    </row>
    <row r="623" spans="1:39" hidden="1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92"/>
        <v>10200</v>
      </c>
      <c r="X623" s="18">
        <f t="shared" si="91"/>
        <v>0</v>
      </c>
      <c r="Y623" s="13">
        <f t="shared" si="86"/>
        <v>0</v>
      </c>
      <c r="Z623" s="14">
        <v>0</v>
      </c>
      <c r="AA623" s="4">
        <v>0</v>
      </c>
      <c r="AB623" s="4">
        <f t="shared" si="87"/>
        <v>0</v>
      </c>
      <c r="AC623" s="6">
        <f t="shared" si="88"/>
        <v>0</v>
      </c>
      <c r="AD623" s="18">
        <f t="shared" si="84"/>
        <v>0</v>
      </c>
      <c r="AE623" s="2">
        <v>0.12</v>
      </c>
      <c r="AF623" s="5">
        <f t="shared" si="89"/>
        <v>0</v>
      </c>
      <c r="AG623" s="14">
        <v>0</v>
      </c>
      <c r="AH623" s="10">
        <f t="shared" si="85"/>
        <v>0</v>
      </c>
      <c r="AI623" s="16"/>
      <c r="AJ623" s="126" t="e">
        <v>#N/A</v>
      </c>
      <c r="AK623" s="80">
        <f t="shared" si="90"/>
        <v>0</v>
      </c>
      <c r="AM623" s="85"/>
    </row>
    <row r="624" spans="1:39" hidden="1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92"/>
        <v>49.5</v>
      </c>
      <c r="X624" s="18">
        <f t="shared" si="91"/>
        <v>0</v>
      </c>
      <c r="Y624" s="13">
        <f t="shared" si="86"/>
        <v>0</v>
      </c>
      <c r="Z624" s="14">
        <v>0</v>
      </c>
      <c r="AA624" s="4">
        <v>0</v>
      </c>
      <c r="AB624" s="4">
        <f t="shared" si="87"/>
        <v>0</v>
      </c>
      <c r="AC624" s="6">
        <f t="shared" si="88"/>
        <v>0</v>
      </c>
      <c r="AD624" s="18">
        <f t="shared" si="84"/>
        <v>0</v>
      </c>
      <c r="AE624" s="2">
        <v>7.0000000000000007E-2</v>
      </c>
      <c r="AF624" s="5">
        <f t="shared" si="89"/>
        <v>0</v>
      </c>
      <c r="AG624" s="14">
        <v>0</v>
      </c>
      <c r="AH624" s="10">
        <f t="shared" si="85"/>
        <v>0</v>
      </c>
      <c r="AI624" s="16"/>
      <c r="AJ624" s="126" t="e">
        <v>#N/A</v>
      </c>
      <c r="AK624" s="80">
        <f t="shared" si="90"/>
        <v>0</v>
      </c>
      <c r="AM624" s="85"/>
    </row>
    <row r="625" spans="1:39" hidden="1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92"/>
        <v>3542.3</v>
      </c>
      <c r="X625" s="18">
        <f t="shared" si="91"/>
        <v>0</v>
      </c>
      <c r="Y625" s="13">
        <f t="shared" si="86"/>
        <v>0</v>
      </c>
      <c r="Z625" s="14">
        <v>0</v>
      </c>
      <c r="AA625" s="4">
        <v>0</v>
      </c>
      <c r="AB625" s="4">
        <f t="shared" si="87"/>
        <v>0</v>
      </c>
      <c r="AC625" s="6">
        <f t="shared" si="88"/>
        <v>0</v>
      </c>
      <c r="AD625" s="18">
        <f t="shared" si="84"/>
        <v>0</v>
      </c>
      <c r="AE625" s="2">
        <v>7.0000000000000007E-2</v>
      </c>
      <c r="AF625" s="5">
        <f t="shared" si="89"/>
        <v>0</v>
      </c>
      <c r="AG625" s="14">
        <v>0</v>
      </c>
      <c r="AH625" s="10">
        <f t="shared" si="85"/>
        <v>0</v>
      </c>
      <c r="AI625" s="16"/>
      <c r="AJ625" s="126" t="e">
        <v>#N/A</v>
      </c>
      <c r="AK625" s="80">
        <f t="shared" si="90"/>
        <v>0</v>
      </c>
      <c r="AM625" s="85"/>
    </row>
    <row r="626" spans="1:39" hidden="1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92"/>
        <v>4203.45</v>
      </c>
      <c r="X626" s="18">
        <f t="shared" si="91"/>
        <v>0</v>
      </c>
      <c r="Y626" s="13">
        <f t="shared" si="86"/>
        <v>0</v>
      </c>
      <c r="Z626" s="14">
        <v>0</v>
      </c>
      <c r="AA626" s="4">
        <v>0</v>
      </c>
      <c r="AB626" s="4">
        <f t="shared" si="87"/>
        <v>0</v>
      </c>
      <c r="AC626" s="6">
        <f t="shared" si="88"/>
        <v>0</v>
      </c>
      <c r="AD626" s="18">
        <f t="shared" si="84"/>
        <v>0</v>
      </c>
      <c r="AE626" s="2">
        <v>7.0000000000000007E-2</v>
      </c>
      <c r="AF626" s="5">
        <f t="shared" si="89"/>
        <v>0</v>
      </c>
      <c r="AG626" s="14">
        <v>0</v>
      </c>
      <c r="AH626" s="10">
        <f t="shared" si="85"/>
        <v>0</v>
      </c>
      <c r="AI626" s="16"/>
      <c r="AJ626" s="126" t="e">
        <v>#N/A</v>
      </c>
      <c r="AK626" s="80">
        <f t="shared" si="90"/>
        <v>0</v>
      </c>
      <c r="AM626" s="85"/>
    </row>
    <row r="627" spans="1:39" hidden="1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92"/>
        <v>33599.269999999997</v>
      </c>
      <c r="X627" s="18">
        <f t="shared" si="91"/>
        <v>0</v>
      </c>
      <c r="Y627" s="13">
        <f t="shared" si="86"/>
        <v>0</v>
      </c>
      <c r="Z627" s="14">
        <v>0</v>
      </c>
      <c r="AA627" s="4">
        <v>0</v>
      </c>
      <c r="AB627" s="4">
        <f t="shared" si="87"/>
        <v>0</v>
      </c>
      <c r="AC627" s="6">
        <f t="shared" si="88"/>
        <v>0</v>
      </c>
      <c r="AD627" s="18">
        <f t="shared" si="84"/>
        <v>0</v>
      </c>
      <c r="AE627" s="2">
        <v>7.0000000000000007E-2</v>
      </c>
      <c r="AF627" s="5">
        <f t="shared" si="89"/>
        <v>0</v>
      </c>
      <c r="AG627" s="14">
        <v>0</v>
      </c>
      <c r="AH627" s="10">
        <f t="shared" si="85"/>
        <v>0</v>
      </c>
      <c r="AI627" s="16"/>
      <c r="AJ627" s="126" t="e">
        <v>#N/A</v>
      </c>
      <c r="AK627" s="80">
        <f t="shared" si="90"/>
        <v>0</v>
      </c>
      <c r="AM627" s="85"/>
    </row>
    <row r="628" spans="1:39" hidden="1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92"/>
        <v>5730.1</v>
      </c>
      <c r="X628" s="18">
        <f t="shared" si="91"/>
        <v>0</v>
      </c>
      <c r="Y628" s="13">
        <f t="shared" si="86"/>
        <v>0</v>
      </c>
      <c r="Z628" s="14">
        <v>0</v>
      </c>
      <c r="AA628" s="4">
        <v>0</v>
      </c>
      <c r="AB628" s="4">
        <f t="shared" si="87"/>
        <v>0</v>
      </c>
      <c r="AC628" s="6">
        <f t="shared" si="88"/>
        <v>0</v>
      </c>
      <c r="AD628" s="18">
        <f t="shared" si="84"/>
        <v>0</v>
      </c>
      <c r="AE628" s="2">
        <v>7.0000000000000007E-2</v>
      </c>
      <c r="AF628" s="5">
        <f t="shared" si="89"/>
        <v>0</v>
      </c>
      <c r="AG628" s="14">
        <v>0</v>
      </c>
      <c r="AH628" s="10">
        <f t="shared" si="85"/>
        <v>0</v>
      </c>
      <c r="AI628" s="16"/>
      <c r="AJ628" s="126" t="e">
        <v>#N/A</v>
      </c>
      <c r="AK628" s="80">
        <f t="shared" si="90"/>
        <v>0</v>
      </c>
      <c r="AM628" s="85"/>
    </row>
    <row r="629" spans="1:39" hidden="1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92"/>
        <v>4648.87</v>
      </c>
      <c r="X629" s="18">
        <f t="shared" si="91"/>
        <v>0</v>
      </c>
      <c r="Y629" s="13">
        <f t="shared" si="86"/>
        <v>0</v>
      </c>
      <c r="Z629" s="14">
        <v>0</v>
      </c>
      <c r="AA629" s="4">
        <v>0</v>
      </c>
      <c r="AB629" s="4">
        <f t="shared" si="87"/>
        <v>0</v>
      </c>
      <c r="AC629" s="6">
        <f t="shared" si="88"/>
        <v>0</v>
      </c>
      <c r="AD629" s="18">
        <f t="shared" ref="AD629:AD692" si="93">V629*0.547109961125019</f>
        <v>0</v>
      </c>
      <c r="AE629" s="2">
        <v>0.12</v>
      </c>
      <c r="AF629" s="5">
        <f t="shared" si="89"/>
        <v>0</v>
      </c>
      <c r="AG629" s="14">
        <v>0</v>
      </c>
      <c r="AH629" s="10">
        <f t="shared" ref="AH629:AH692" si="94">V629</f>
        <v>0</v>
      </c>
      <c r="AI629" s="16"/>
      <c r="AJ629" s="126" t="e">
        <v>#N/A</v>
      </c>
      <c r="AK629" s="80">
        <f t="shared" si="90"/>
        <v>0</v>
      </c>
      <c r="AM629" s="85"/>
    </row>
    <row r="630" spans="1:39" hidden="1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92"/>
        <v>110</v>
      </c>
      <c r="X630" s="18">
        <f t="shared" si="91"/>
        <v>0</v>
      </c>
      <c r="Y630" s="13">
        <f t="shared" si="86"/>
        <v>0</v>
      </c>
      <c r="Z630" s="14">
        <v>0</v>
      </c>
      <c r="AA630" s="4">
        <v>0</v>
      </c>
      <c r="AB630" s="4">
        <f t="shared" si="87"/>
        <v>0</v>
      </c>
      <c r="AC630" s="6">
        <f t="shared" si="88"/>
        <v>0</v>
      </c>
      <c r="AD630" s="18">
        <f t="shared" si="93"/>
        <v>0</v>
      </c>
      <c r="AE630" s="2">
        <v>7.0000000000000007E-2</v>
      </c>
      <c r="AF630" s="5">
        <f t="shared" si="89"/>
        <v>0</v>
      </c>
      <c r="AG630" s="14">
        <v>0</v>
      </c>
      <c r="AH630" s="10">
        <f t="shared" si="94"/>
        <v>0</v>
      </c>
      <c r="AI630" s="16"/>
      <c r="AJ630" s="126" t="e">
        <v>#N/A</v>
      </c>
      <c r="AK630" s="80">
        <f t="shared" si="90"/>
        <v>0</v>
      </c>
      <c r="AM630" s="85"/>
    </row>
    <row r="631" spans="1:39" hidden="1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92"/>
        <v>9231.0499999999993</v>
      </c>
      <c r="X631" s="18">
        <f t="shared" si="91"/>
        <v>0</v>
      </c>
      <c r="Y631" s="13">
        <f t="shared" si="86"/>
        <v>0</v>
      </c>
      <c r="Z631" s="14">
        <v>0</v>
      </c>
      <c r="AA631" s="4">
        <v>0</v>
      </c>
      <c r="AB631" s="4">
        <f t="shared" si="87"/>
        <v>0</v>
      </c>
      <c r="AC631" s="6">
        <f t="shared" si="88"/>
        <v>0</v>
      </c>
      <c r="AD631" s="18">
        <f t="shared" si="93"/>
        <v>0</v>
      </c>
      <c r="AE631" s="2">
        <v>7.0000000000000007E-2</v>
      </c>
      <c r="AF631" s="5">
        <f t="shared" si="89"/>
        <v>0</v>
      </c>
      <c r="AG631" s="14">
        <v>0</v>
      </c>
      <c r="AH631" s="10">
        <f t="shared" si="94"/>
        <v>0</v>
      </c>
      <c r="AI631" s="16"/>
      <c r="AJ631" s="126" t="e">
        <v>#N/A</v>
      </c>
      <c r="AK631" s="80">
        <f t="shared" si="90"/>
        <v>0</v>
      </c>
      <c r="AM631" s="85"/>
    </row>
    <row r="632" spans="1:39" hidden="1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92"/>
        <v>11400</v>
      </c>
      <c r="X632" s="18">
        <f t="shared" si="91"/>
        <v>0</v>
      </c>
      <c r="Y632" s="13">
        <f t="shared" si="86"/>
        <v>0</v>
      </c>
      <c r="Z632" s="14">
        <v>0</v>
      </c>
      <c r="AA632" s="4">
        <v>0</v>
      </c>
      <c r="AB632" s="4">
        <f t="shared" si="87"/>
        <v>0</v>
      </c>
      <c r="AC632" s="6">
        <f t="shared" si="88"/>
        <v>0</v>
      </c>
      <c r="AD632" s="18">
        <f t="shared" si="93"/>
        <v>0</v>
      </c>
      <c r="AE632" s="2">
        <v>7.0000000000000007E-2</v>
      </c>
      <c r="AF632" s="5">
        <f t="shared" si="89"/>
        <v>0</v>
      </c>
      <c r="AG632" s="14">
        <v>0</v>
      </c>
      <c r="AH632" s="10">
        <f t="shared" si="94"/>
        <v>0</v>
      </c>
      <c r="AI632" s="16"/>
      <c r="AJ632" s="126" t="e">
        <v>#N/A</v>
      </c>
      <c r="AK632" s="80">
        <f t="shared" si="90"/>
        <v>0</v>
      </c>
      <c r="AM632" s="85"/>
    </row>
    <row r="633" spans="1:39" hidden="1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92"/>
        <v>5000</v>
      </c>
      <c r="X633" s="18">
        <f t="shared" si="91"/>
        <v>0</v>
      </c>
      <c r="Y633" s="13">
        <f t="shared" si="86"/>
        <v>0</v>
      </c>
      <c r="Z633" s="14">
        <v>0</v>
      </c>
      <c r="AA633" s="4">
        <v>0</v>
      </c>
      <c r="AB633" s="4"/>
      <c r="AC633" s="6">
        <f t="shared" si="88"/>
        <v>0</v>
      </c>
      <c r="AD633" s="18">
        <f t="shared" si="93"/>
        <v>0</v>
      </c>
      <c r="AE633" s="2">
        <v>0.12</v>
      </c>
      <c r="AF633" s="5">
        <f t="shared" si="89"/>
        <v>0</v>
      </c>
      <c r="AG633" s="14">
        <v>0</v>
      </c>
      <c r="AH633" s="10">
        <f t="shared" si="94"/>
        <v>0</v>
      </c>
      <c r="AI633" s="16"/>
      <c r="AJ633" s="126">
        <v>28</v>
      </c>
      <c r="AK633" s="80">
        <f t="shared" si="90"/>
        <v>0</v>
      </c>
      <c r="AM633" s="85"/>
    </row>
    <row r="634" spans="1:39" hidden="1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92"/>
        <v>4566.68</v>
      </c>
      <c r="X634" s="18">
        <f t="shared" si="91"/>
        <v>0</v>
      </c>
      <c r="Y634" s="13">
        <f t="shared" si="86"/>
        <v>0</v>
      </c>
      <c r="Z634" s="14">
        <v>0</v>
      </c>
      <c r="AA634" s="4">
        <v>0</v>
      </c>
      <c r="AB634" s="4"/>
      <c r="AC634" s="6">
        <f t="shared" si="88"/>
        <v>0</v>
      </c>
      <c r="AD634" s="18">
        <f t="shared" si="93"/>
        <v>0</v>
      </c>
      <c r="AE634" s="2">
        <v>0.12</v>
      </c>
      <c r="AF634" s="5">
        <f t="shared" si="89"/>
        <v>0</v>
      </c>
      <c r="AG634" s="14">
        <v>0</v>
      </c>
      <c r="AH634" s="10">
        <f t="shared" si="94"/>
        <v>0</v>
      </c>
      <c r="AI634" s="16"/>
      <c r="AJ634" s="126">
        <v>28</v>
      </c>
      <c r="AK634" s="80">
        <f t="shared" si="90"/>
        <v>0</v>
      </c>
      <c r="AM634" s="85"/>
    </row>
    <row r="635" spans="1:39" hidden="1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92"/>
        <v>4893.2</v>
      </c>
      <c r="X635" s="18">
        <f t="shared" si="91"/>
        <v>0</v>
      </c>
      <c r="Y635" s="13">
        <f t="shared" si="86"/>
        <v>0</v>
      </c>
      <c r="Z635" s="14">
        <v>0</v>
      </c>
      <c r="AA635" s="4">
        <v>0</v>
      </c>
      <c r="AB635" s="4">
        <f t="shared" si="87"/>
        <v>0</v>
      </c>
      <c r="AC635" s="6">
        <f t="shared" si="88"/>
        <v>0</v>
      </c>
      <c r="AD635" s="18">
        <f t="shared" si="93"/>
        <v>0</v>
      </c>
      <c r="AE635" s="2">
        <v>7.0000000000000007E-2</v>
      </c>
      <c r="AF635" s="5">
        <f t="shared" si="89"/>
        <v>0</v>
      </c>
      <c r="AG635" s="14">
        <v>0</v>
      </c>
      <c r="AH635" s="10">
        <f t="shared" si="94"/>
        <v>0</v>
      </c>
      <c r="AI635" s="16"/>
      <c r="AJ635" s="126" t="e">
        <v>#N/A</v>
      </c>
      <c r="AK635" s="80">
        <f t="shared" si="90"/>
        <v>0</v>
      </c>
      <c r="AM635" s="85"/>
    </row>
    <row r="636" spans="1:39" hidden="1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92"/>
        <v>188113.3</v>
      </c>
      <c r="X636" s="18">
        <f t="shared" si="91"/>
        <v>0</v>
      </c>
      <c r="Y636" s="13">
        <f t="shared" si="86"/>
        <v>0</v>
      </c>
      <c r="Z636" s="14">
        <v>0</v>
      </c>
      <c r="AA636" s="4">
        <v>0</v>
      </c>
      <c r="AB636" s="4"/>
      <c r="AC636" s="6">
        <f t="shared" si="88"/>
        <v>0</v>
      </c>
      <c r="AD636" s="18">
        <f t="shared" si="93"/>
        <v>0</v>
      </c>
      <c r="AE636" s="2">
        <v>0.12</v>
      </c>
      <c r="AF636" s="5">
        <f t="shared" si="89"/>
        <v>0</v>
      </c>
      <c r="AG636" s="14">
        <v>0</v>
      </c>
      <c r="AH636" s="10">
        <f t="shared" si="94"/>
        <v>0</v>
      </c>
      <c r="AI636" s="16"/>
      <c r="AJ636" s="126">
        <v>25</v>
      </c>
      <c r="AK636" s="80">
        <f t="shared" si="90"/>
        <v>0</v>
      </c>
      <c r="AM636" s="85"/>
    </row>
    <row r="637" spans="1:39" hidden="1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92"/>
        <v>9056.2000000000007</v>
      </c>
      <c r="X637" s="18">
        <f t="shared" si="91"/>
        <v>0</v>
      </c>
      <c r="Y637" s="13">
        <f t="shared" si="86"/>
        <v>0</v>
      </c>
      <c r="Z637" s="14">
        <v>0</v>
      </c>
      <c r="AA637" s="4">
        <v>0</v>
      </c>
      <c r="AB637" s="4">
        <f t="shared" si="87"/>
        <v>0</v>
      </c>
      <c r="AC637" s="6">
        <f t="shared" si="88"/>
        <v>0</v>
      </c>
      <c r="AD637" s="18">
        <f t="shared" si="93"/>
        <v>0</v>
      </c>
      <c r="AE637" s="2">
        <v>7.0000000000000007E-2</v>
      </c>
      <c r="AF637" s="5">
        <f t="shared" si="89"/>
        <v>0</v>
      </c>
      <c r="AG637" s="14">
        <v>0</v>
      </c>
      <c r="AH637" s="10">
        <f t="shared" si="94"/>
        <v>0</v>
      </c>
      <c r="AI637" s="16"/>
      <c r="AJ637" s="126" t="e">
        <v>#N/A</v>
      </c>
      <c r="AK637" s="80">
        <f t="shared" si="90"/>
        <v>0</v>
      </c>
      <c r="AM637" s="85"/>
    </row>
    <row r="638" spans="1:39" hidden="1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92"/>
        <v>3920.2</v>
      </c>
      <c r="X638" s="18">
        <f t="shared" si="91"/>
        <v>0</v>
      </c>
      <c r="Y638" s="13">
        <f t="shared" si="86"/>
        <v>0</v>
      </c>
      <c r="Z638" s="14">
        <v>0</v>
      </c>
      <c r="AA638" s="4">
        <v>0</v>
      </c>
      <c r="AB638" s="4"/>
      <c r="AC638" s="6">
        <f t="shared" si="88"/>
        <v>0</v>
      </c>
      <c r="AD638" s="18">
        <f t="shared" si="93"/>
        <v>0</v>
      </c>
      <c r="AE638" s="2">
        <v>7.0000000000000007E-2</v>
      </c>
      <c r="AF638" s="5">
        <f t="shared" si="89"/>
        <v>0</v>
      </c>
      <c r="AG638" s="14">
        <v>0</v>
      </c>
      <c r="AH638" s="10">
        <f t="shared" si="94"/>
        <v>0</v>
      </c>
      <c r="AI638" s="16"/>
      <c r="AJ638" s="126">
        <v>14</v>
      </c>
      <c r="AK638" s="80">
        <f t="shared" si="90"/>
        <v>0</v>
      </c>
      <c r="AM638" s="85"/>
    </row>
    <row r="639" spans="1:39" hidden="1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92"/>
        <v>3210.89</v>
      </c>
      <c r="X639" s="18">
        <f t="shared" si="91"/>
        <v>0</v>
      </c>
      <c r="Y639" s="13">
        <f t="shared" si="86"/>
        <v>0</v>
      </c>
      <c r="Z639" s="14">
        <v>0</v>
      </c>
      <c r="AA639" s="4">
        <v>0</v>
      </c>
      <c r="AB639" s="4">
        <f t="shared" si="87"/>
        <v>0</v>
      </c>
      <c r="AC639" s="6">
        <f t="shared" si="88"/>
        <v>0</v>
      </c>
      <c r="AD639" s="18">
        <f t="shared" si="93"/>
        <v>0</v>
      </c>
      <c r="AE639" s="2">
        <v>7.0000000000000007E-2</v>
      </c>
      <c r="AF639" s="5">
        <f t="shared" si="89"/>
        <v>0</v>
      </c>
      <c r="AG639" s="14">
        <v>0</v>
      </c>
      <c r="AH639" s="10">
        <f t="shared" si="94"/>
        <v>0</v>
      </c>
      <c r="AI639" s="16"/>
      <c r="AJ639" s="126" t="e">
        <v>#N/A</v>
      </c>
      <c r="AK639" s="80">
        <f t="shared" si="90"/>
        <v>0</v>
      </c>
      <c r="AM639" s="85"/>
    </row>
    <row r="640" spans="1:39" hidden="1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92"/>
        <v>32786.82</v>
      </c>
      <c r="X640" s="18">
        <f t="shared" si="91"/>
        <v>0</v>
      </c>
      <c r="Y640" s="13">
        <f t="shared" si="86"/>
        <v>0</v>
      </c>
      <c r="Z640" s="14">
        <v>0</v>
      </c>
      <c r="AA640" s="4">
        <v>0</v>
      </c>
      <c r="AB640" s="4">
        <f t="shared" si="87"/>
        <v>0</v>
      </c>
      <c r="AC640" s="6">
        <f t="shared" si="88"/>
        <v>0</v>
      </c>
      <c r="AD640" s="18">
        <f t="shared" si="93"/>
        <v>0</v>
      </c>
      <c r="AE640" s="2">
        <v>7.0000000000000007E-2</v>
      </c>
      <c r="AF640" s="5">
        <f t="shared" si="89"/>
        <v>0</v>
      </c>
      <c r="AG640" s="14">
        <v>0</v>
      </c>
      <c r="AH640" s="10">
        <f t="shared" si="94"/>
        <v>0</v>
      </c>
      <c r="AI640" s="16"/>
      <c r="AJ640" s="126" t="e">
        <v>#N/A</v>
      </c>
      <c r="AK640" s="80">
        <f t="shared" si="90"/>
        <v>0</v>
      </c>
      <c r="AM640" s="85"/>
    </row>
    <row r="641" spans="1:39" hidden="1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92"/>
        <v>494</v>
      </c>
      <c r="X641" s="18">
        <f t="shared" si="91"/>
        <v>0</v>
      </c>
      <c r="Y641" s="13">
        <f t="shared" si="86"/>
        <v>0</v>
      </c>
      <c r="Z641" s="14">
        <v>0</v>
      </c>
      <c r="AA641" s="4">
        <v>0</v>
      </c>
      <c r="AB641" s="4">
        <f t="shared" si="87"/>
        <v>0</v>
      </c>
      <c r="AC641" s="6">
        <f t="shared" si="88"/>
        <v>0</v>
      </c>
      <c r="AD641" s="18">
        <f t="shared" si="93"/>
        <v>0</v>
      </c>
      <c r="AE641" s="2">
        <v>7.0000000000000007E-2</v>
      </c>
      <c r="AF641" s="5">
        <f t="shared" si="89"/>
        <v>0</v>
      </c>
      <c r="AG641" s="14">
        <v>0</v>
      </c>
      <c r="AH641" s="10">
        <f t="shared" si="94"/>
        <v>0</v>
      </c>
      <c r="AI641" s="16"/>
      <c r="AJ641" s="126" t="e">
        <v>#N/A</v>
      </c>
      <c r="AK641" s="80">
        <f t="shared" si="90"/>
        <v>0</v>
      </c>
      <c r="AM641" s="85"/>
    </row>
    <row r="642" spans="1:39" hidden="1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92"/>
        <v>27822.3</v>
      </c>
      <c r="X642" s="18">
        <f t="shared" si="91"/>
        <v>0</v>
      </c>
      <c r="Y642" s="13">
        <f t="shared" si="86"/>
        <v>0</v>
      </c>
      <c r="Z642" s="14">
        <v>0</v>
      </c>
      <c r="AA642" s="4">
        <v>0</v>
      </c>
      <c r="AB642" s="4">
        <f t="shared" si="87"/>
        <v>0</v>
      </c>
      <c r="AC642" s="6">
        <f t="shared" si="88"/>
        <v>0</v>
      </c>
      <c r="AD642" s="18">
        <f t="shared" si="93"/>
        <v>0</v>
      </c>
      <c r="AE642" s="2">
        <v>7.0000000000000007E-2</v>
      </c>
      <c r="AF642" s="5">
        <f t="shared" si="89"/>
        <v>0</v>
      </c>
      <c r="AG642" s="14">
        <v>0</v>
      </c>
      <c r="AH642" s="10">
        <f t="shared" si="94"/>
        <v>0</v>
      </c>
      <c r="AI642" s="16"/>
      <c r="AJ642" s="126" t="e">
        <v>#N/A</v>
      </c>
      <c r="AK642" s="80">
        <f t="shared" si="90"/>
        <v>0</v>
      </c>
      <c r="AM642" s="85"/>
    </row>
    <row r="643" spans="1:39" hidden="1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92"/>
        <v>0.33</v>
      </c>
      <c r="X643" s="18">
        <f t="shared" si="91"/>
        <v>0</v>
      </c>
      <c r="Y643" s="13">
        <f t="shared" ref="Y643:Y706" si="9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96">IF(P643="返现",X643*Q643,V643-X643)</f>
        <v>0</v>
      </c>
      <c r="AD643" s="18">
        <f t="shared" si="93"/>
        <v>0</v>
      </c>
      <c r="AE643" s="2">
        <v>0.12</v>
      </c>
      <c r="AF643" s="5">
        <f t="shared" ref="AF643:AF706" si="97">AD643*AE643</f>
        <v>0</v>
      </c>
      <c r="AG643" s="14">
        <v>0</v>
      </c>
      <c r="AH643" s="10">
        <f t="shared" si="94"/>
        <v>0</v>
      </c>
      <c r="AI643" s="16"/>
      <c r="AJ643" s="126">
        <v>71</v>
      </c>
      <c r="AK643" s="80">
        <f t="shared" ref="AK643:AK706" si="98">X643+AA643-AB643</f>
        <v>0</v>
      </c>
      <c r="AM643" s="85"/>
    </row>
    <row r="644" spans="1:39" hidden="1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92"/>
        <v>0.08</v>
      </c>
      <c r="X644" s="18">
        <f t="shared" si="91"/>
        <v>0</v>
      </c>
      <c r="Y644" s="13">
        <f t="shared" si="95"/>
        <v>0</v>
      </c>
      <c r="Z644" s="14">
        <v>0</v>
      </c>
      <c r="AA644" s="4">
        <v>0</v>
      </c>
      <c r="AB644" s="4"/>
      <c r="AC644" s="6">
        <f t="shared" si="96"/>
        <v>0</v>
      </c>
      <c r="AD644" s="18">
        <f t="shared" si="93"/>
        <v>0</v>
      </c>
      <c r="AE644" s="2">
        <v>0.12</v>
      </c>
      <c r="AF644" s="5">
        <f t="shared" si="97"/>
        <v>0</v>
      </c>
      <c r="AG644" s="14">
        <v>0</v>
      </c>
      <c r="AH644" s="10">
        <f t="shared" si="94"/>
        <v>0</v>
      </c>
      <c r="AI644" s="16"/>
      <c r="AJ644" s="126">
        <v>71</v>
      </c>
      <c r="AK644" s="80">
        <f t="shared" si="98"/>
        <v>0</v>
      </c>
      <c r="AM644" s="85"/>
    </row>
    <row r="645" spans="1:39" hidden="1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92"/>
        <v>0.19</v>
      </c>
      <c r="X645" s="18">
        <f t="shared" si="91"/>
        <v>0</v>
      </c>
      <c r="Y645" s="13">
        <f t="shared" si="95"/>
        <v>0</v>
      </c>
      <c r="Z645" s="14">
        <v>0</v>
      </c>
      <c r="AA645" s="4">
        <v>0</v>
      </c>
      <c r="AB645" s="4"/>
      <c r="AC645" s="6">
        <f t="shared" si="96"/>
        <v>0</v>
      </c>
      <c r="AD645" s="18">
        <f t="shared" si="93"/>
        <v>0</v>
      </c>
      <c r="AE645" s="2">
        <v>0.12</v>
      </c>
      <c r="AF645" s="5">
        <f t="shared" si="97"/>
        <v>0</v>
      </c>
      <c r="AG645" s="14">
        <v>0</v>
      </c>
      <c r="AH645" s="10">
        <f t="shared" si="94"/>
        <v>0</v>
      </c>
      <c r="AI645" s="16"/>
      <c r="AJ645" s="126">
        <v>71</v>
      </c>
      <c r="AK645" s="80">
        <f t="shared" si="98"/>
        <v>0</v>
      </c>
      <c r="AM645" s="85"/>
    </row>
    <row r="646" spans="1:39" hidden="1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92"/>
        <v>0.55000000000000004</v>
      </c>
      <c r="X646" s="18">
        <f t="shared" si="91"/>
        <v>0</v>
      </c>
      <c r="Y646" s="13">
        <f t="shared" si="95"/>
        <v>0</v>
      </c>
      <c r="Z646" s="14">
        <v>0</v>
      </c>
      <c r="AA646" s="4">
        <v>0</v>
      </c>
      <c r="AB646" s="4"/>
      <c r="AC646" s="6">
        <f t="shared" si="96"/>
        <v>0</v>
      </c>
      <c r="AD646" s="18">
        <f t="shared" si="93"/>
        <v>0</v>
      </c>
      <c r="AE646" s="2">
        <v>0.12</v>
      </c>
      <c r="AF646" s="5">
        <f t="shared" si="97"/>
        <v>0</v>
      </c>
      <c r="AG646" s="14">
        <v>0</v>
      </c>
      <c r="AH646" s="10">
        <f t="shared" si="94"/>
        <v>0</v>
      </c>
      <c r="AI646" s="16"/>
      <c r="AJ646" s="126">
        <v>71</v>
      </c>
      <c r="AK646" s="80">
        <f t="shared" si="98"/>
        <v>0</v>
      </c>
      <c r="AM646" s="85"/>
    </row>
    <row r="647" spans="1:39" hidden="1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92"/>
        <v>0.53</v>
      </c>
      <c r="X647" s="18">
        <f t="shared" si="91"/>
        <v>0</v>
      </c>
      <c r="Y647" s="13">
        <f t="shared" si="95"/>
        <v>0</v>
      </c>
      <c r="Z647" s="14">
        <v>0</v>
      </c>
      <c r="AA647" s="4">
        <v>0</v>
      </c>
      <c r="AB647" s="4"/>
      <c r="AC647" s="6">
        <f t="shared" si="96"/>
        <v>0</v>
      </c>
      <c r="AD647" s="18">
        <f t="shared" si="93"/>
        <v>0</v>
      </c>
      <c r="AE647" s="2">
        <v>0.12</v>
      </c>
      <c r="AF647" s="5">
        <f t="shared" si="97"/>
        <v>0</v>
      </c>
      <c r="AG647" s="14">
        <v>0</v>
      </c>
      <c r="AH647" s="10">
        <f t="shared" si="94"/>
        <v>0</v>
      </c>
      <c r="AI647" s="16"/>
      <c r="AJ647" s="126">
        <v>71</v>
      </c>
      <c r="AK647" s="80">
        <f t="shared" si="98"/>
        <v>0</v>
      </c>
      <c r="AM647" s="85"/>
    </row>
    <row r="648" spans="1:39" hidden="1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92"/>
        <v>7.0000000000000007E-2</v>
      </c>
      <c r="X648" s="18">
        <f t="shared" si="91"/>
        <v>0</v>
      </c>
      <c r="Y648" s="13">
        <f t="shared" si="95"/>
        <v>0</v>
      </c>
      <c r="Z648" s="14">
        <v>0</v>
      </c>
      <c r="AA648" s="4">
        <v>0</v>
      </c>
      <c r="AB648" s="4"/>
      <c r="AC648" s="6">
        <f t="shared" si="96"/>
        <v>0</v>
      </c>
      <c r="AD648" s="18">
        <f t="shared" si="93"/>
        <v>0</v>
      </c>
      <c r="AE648" s="2">
        <v>0.12</v>
      </c>
      <c r="AF648" s="5">
        <f t="shared" si="97"/>
        <v>0</v>
      </c>
      <c r="AG648" s="14">
        <v>0</v>
      </c>
      <c r="AH648" s="10">
        <f t="shared" si="94"/>
        <v>0</v>
      </c>
      <c r="AI648" s="16"/>
      <c r="AJ648" s="126">
        <v>71</v>
      </c>
      <c r="AK648" s="80">
        <f t="shared" si="98"/>
        <v>0</v>
      </c>
      <c r="AM648" s="85"/>
    </row>
    <row r="649" spans="1:39" hidden="1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92"/>
        <v>0.57999999999999996</v>
      </c>
      <c r="X649" s="18">
        <f t="shared" si="91"/>
        <v>0</v>
      </c>
      <c r="Y649" s="13">
        <f t="shared" si="95"/>
        <v>0</v>
      </c>
      <c r="Z649" s="14">
        <v>0</v>
      </c>
      <c r="AA649" s="4">
        <v>0</v>
      </c>
      <c r="AB649" s="4"/>
      <c r="AC649" s="6">
        <f t="shared" si="96"/>
        <v>0</v>
      </c>
      <c r="AD649" s="18">
        <f t="shared" si="93"/>
        <v>0</v>
      </c>
      <c r="AE649" s="2">
        <v>0.12</v>
      </c>
      <c r="AF649" s="5">
        <f t="shared" si="97"/>
        <v>0</v>
      </c>
      <c r="AG649" s="14">
        <v>0</v>
      </c>
      <c r="AH649" s="10">
        <f t="shared" si="94"/>
        <v>0</v>
      </c>
      <c r="AI649" s="16"/>
      <c r="AJ649" s="126">
        <v>71</v>
      </c>
      <c r="AK649" s="80">
        <f t="shared" si="98"/>
        <v>0</v>
      </c>
      <c r="AM649" s="85"/>
    </row>
    <row r="650" spans="1:39" hidden="1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92"/>
        <v>0.82</v>
      </c>
      <c r="X650" s="18">
        <f t="shared" si="91"/>
        <v>0</v>
      </c>
      <c r="Y650" s="13">
        <f t="shared" si="95"/>
        <v>0</v>
      </c>
      <c r="Z650" s="14">
        <v>0</v>
      </c>
      <c r="AA650" s="4">
        <v>0</v>
      </c>
      <c r="AB650" s="4"/>
      <c r="AC650" s="6">
        <f t="shared" si="96"/>
        <v>0</v>
      </c>
      <c r="AD650" s="18">
        <f t="shared" si="93"/>
        <v>0</v>
      </c>
      <c r="AE650" s="2">
        <v>0.12</v>
      </c>
      <c r="AF650" s="5">
        <f t="shared" si="97"/>
        <v>0</v>
      </c>
      <c r="AG650" s="14">
        <v>0</v>
      </c>
      <c r="AH650" s="10">
        <f t="shared" si="94"/>
        <v>0</v>
      </c>
      <c r="AI650" s="16"/>
      <c r="AJ650" s="126">
        <v>71</v>
      </c>
      <c r="AK650" s="80">
        <f t="shared" si="98"/>
        <v>0</v>
      </c>
      <c r="AM650" s="85"/>
    </row>
    <row r="651" spans="1:39" hidden="1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92"/>
        <v>0.05</v>
      </c>
      <c r="X651" s="18">
        <f t="shared" si="91"/>
        <v>0</v>
      </c>
      <c r="Y651" s="13">
        <f t="shared" si="95"/>
        <v>0</v>
      </c>
      <c r="Z651" s="14">
        <v>0</v>
      </c>
      <c r="AA651" s="4">
        <v>0</v>
      </c>
      <c r="AB651" s="4"/>
      <c r="AC651" s="6">
        <f t="shared" si="96"/>
        <v>0</v>
      </c>
      <c r="AD651" s="18">
        <f t="shared" si="93"/>
        <v>0</v>
      </c>
      <c r="AE651" s="2">
        <v>0.12</v>
      </c>
      <c r="AF651" s="5">
        <f t="shared" si="97"/>
        <v>0</v>
      </c>
      <c r="AG651" s="14">
        <v>0</v>
      </c>
      <c r="AH651" s="10">
        <f t="shared" si="94"/>
        <v>0</v>
      </c>
      <c r="AI651" s="16"/>
      <c r="AJ651" s="126">
        <v>71</v>
      </c>
      <c r="AK651" s="80">
        <f t="shared" si="98"/>
        <v>0</v>
      </c>
      <c r="AM651" s="85"/>
    </row>
    <row r="652" spans="1:39" hidden="1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92"/>
        <v>6673.14</v>
      </c>
      <c r="X652" s="18">
        <f t="shared" si="91"/>
        <v>0</v>
      </c>
      <c r="Y652" s="13">
        <f t="shared" si="95"/>
        <v>0</v>
      </c>
      <c r="Z652" s="14">
        <v>0</v>
      </c>
      <c r="AA652" s="4">
        <v>0</v>
      </c>
      <c r="AB652" s="4"/>
      <c r="AC652" s="6">
        <f t="shared" si="96"/>
        <v>0</v>
      </c>
      <c r="AD652" s="18">
        <f t="shared" si="93"/>
        <v>0</v>
      </c>
      <c r="AE652" s="2">
        <v>0.12</v>
      </c>
      <c r="AF652" s="5">
        <f t="shared" si="97"/>
        <v>0</v>
      </c>
      <c r="AG652" s="14">
        <v>0</v>
      </c>
      <c r="AH652" s="10">
        <f t="shared" si="94"/>
        <v>0</v>
      </c>
      <c r="AI652" s="16"/>
      <c r="AJ652" s="126">
        <v>31</v>
      </c>
      <c r="AK652" s="80">
        <f t="shared" si="98"/>
        <v>0</v>
      </c>
      <c r="AM652" s="85"/>
    </row>
    <row r="653" spans="1:39" hidden="1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92"/>
        <v>5730.63</v>
      </c>
      <c r="X653" s="18">
        <f t="shared" si="91"/>
        <v>0</v>
      </c>
      <c r="Y653" s="13">
        <f t="shared" si="95"/>
        <v>0</v>
      </c>
      <c r="Z653" s="14">
        <v>0</v>
      </c>
      <c r="AA653" s="4">
        <v>0</v>
      </c>
      <c r="AB653" s="4"/>
      <c r="AC653" s="6">
        <f t="shared" si="96"/>
        <v>0</v>
      </c>
      <c r="AD653" s="18">
        <f t="shared" si="93"/>
        <v>0</v>
      </c>
      <c r="AE653" s="2">
        <v>7.0000000000000007E-2</v>
      </c>
      <c r="AF653" s="5">
        <f t="shared" si="97"/>
        <v>0</v>
      </c>
      <c r="AG653" s="14">
        <v>0</v>
      </c>
      <c r="AH653" s="10">
        <f t="shared" si="94"/>
        <v>0</v>
      </c>
      <c r="AI653" s="16"/>
      <c r="AJ653" s="126">
        <v>31</v>
      </c>
      <c r="AK653" s="80">
        <f t="shared" si="98"/>
        <v>0</v>
      </c>
      <c r="AM653" s="85"/>
    </row>
    <row r="654" spans="1:39" hidden="1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92"/>
        <v>7525.93</v>
      </c>
      <c r="X654" s="18">
        <f t="shared" si="91"/>
        <v>0</v>
      </c>
      <c r="Y654" s="13">
        <f t="shared" si="95"/>
        <v>0</v>
      </c>
      <c r="Z654" s="14">
        <v>0</v>
      </c>
      <c r="AA654" s="4">
        <v>0</v>
      </c>
      <c r="AB654" s="4">
        <f t="shared" ref="AB654:AB705" si="99">X654+AA654</f>
        <v>0</v>
      </c>
      <c r="AC654" s="6">
        <f t="shared" si="96"/>
        <v>0</v>
      </c>
      <c r="AD654" s="18">
        <f t="shared" si="93"/>
        <v>0</v>
      </c>
      <c r="AE654" s="2">
        <v>0.12</v>
      </c>
      <c r="AF654" s="5">
        <f t="shared" si="97"/>
        <v>0</v>
      </c>
      <c r="AG654" s="14">
        <v>0</v>
      </c>
      <c r="AH654" s="10">
        <f t="shared" si="94"/>
        <v>0</v>
      </c>
      <c r="AI654" s="16"/>
      <c r="AJ654" s="126" t="e">
        <v>#N/A</v>
      </c>
      <c r="AK654" s="80">
        <f t="shared" si="98"/>
        <v>0</v>
      </c>
      <c r="AM654" s="85"/>
    </row>
    <row r="655" spans="1:39" hidden="1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92"/>
        <v>7172</v>
      </c>
      <c r="X655" s="18">
        <f t="shared" si="91"/>
        <v>0</v>
      </c>
      <c r="Y655" s="13">
        <f t="shared" si="95"/>
        <v>0</v>
      </c>
      <c r="Z655" s="14">
        <v>0</v>
      </c>
      <c r="AA655" s="4">
        <v>0</v>
      </c>
      <c r="AB655" s="4">
        <f t="shared" si="99"/>
        <v>0</v>
      </c>
      <c r="AC655" s="6">
        <f t="shared" si="96"/>
        <v>0</v>
      </c>
      <c r="AD655" s="18">
        <f t="shared" si="93"/>
        <v>0</v>
      </c>
      <c r="AE655" s="2">
        <v>7.0000000000000007E-2</v>
      </c>
      <c r="AF655" s="5">
        <f t="shared" si="97"/>
        <v>0</v>
      </c>
      <c r="AG655" s="14">
        <v>0</v>
      </c>
      <c r="AH655" s="10">
        <f t="shared" si="94"/>
        <v>0</v>
      </c>
      <c r="AI655" s="16"/>
      <c r="AJ655" s="126" t="e">
        <v>#N/A</v>
      </c>
      <c r="AK655" s="80">
        <f t="shared" si="98"/>
        <v>0</v>
      </c>
      <c r="AM655" s="85"/>
    </row>
    <row r="656" spans="1:39" hidden="1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92"/>
        <v>28027.7</v>
      </c>
      <c r="X656" s="18">
        <f t="shared" si="91"/>
        <v>0</v>
      </c>
      <c r="Y656" s="13">
        <f t="shared" si="95"/>
        <v>0</v>
      </c>
      <c r="Z656" s="14">
        <v>0</v>
      </c>
      <c r="AA656" s="4">
        <v>0</v>
      </c>
      <c r="AB656" s="4">
        <f t="shared" si="99"/>
        <v>0</v>
      </c>
      <c r="AC656" s="6">
        <f t="shared" si="96"/>
        <v>0</v>
      </c>
      <c r="AD656" s="18">
        <f t="shared" si="93"/>
        <v>0</v>
      </c>
      <c r="AE656" s="2">
        <v>7.0000000000000007E-2</v>
      </c>
      <c r="AF656" s="5">
        <f t="shared" si="97"/>
        <v>0</v>
      </c>
      <c r="AG656" s="14">
        <v>0</v>
      </c>
      <c r="AH656" s="10">
        <f t="shared" si="94"/>
        <v>0</v>
      </c>
      <c r="AI656" s="16"/>
      <c r="AJ656" s="126" t="e">
        <v>#N/A</v>
      </c>
      <c r="AK656" s="80">
        <f t="shared" si="98"/>
        <v>0</v>
      </c>
      <c r="AM656" s="85"/>
    </row>
    <row r="657" spans="1:39" hidden="1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92"/>
        <v>35733.800000000003</v>
      </c>
      <c r="X657" s="18">
        <f t="shared" si="91"/>
        <v>0</v>
      </c>
      <c r="Y657" s="13">
        <f t="shared" si="95"/>
        <v>0</v>
      </c>
      <c r="Z657" s="14">
        <v>0</v>
      </c>
      <c r="AA657" s="4">
        <v>0</v>
      </c>
      <c r="AB657" s="4">
        <f t="shared" si="99"/>
        <v>0</v>
      </c>
      <c r="AC657" s="6">
        <f t="shared" si="96"/>
        <v>0</v>
      </c>
      <c r="AD657" s="18">
        <f t="shared" si="93"/>
        <v>0</v>
      </c>
      <c r="AE657" s="2">
        <v>7.0000000000000007E-2</v>
      </c>
      <c r="AF657" s="5">
        <f t="shared" si="97"/>
        <v>0</v>
      </c>
      <c r="AG657" s="14">
        <v>0</v>
      </c>
      <c r="AH657" s="10">
        <f t="shared" si="94"/>
        <v>0</v>
      </c>
      <c r="AI657" s="16"/>
      <c r="AJ657" s="126" t="e">
        <v>#N/A</v>
      </c>
      <c r="AK657" s="80">
        <f t="shared" si="98"/>
        <v>0</v>
      </c>
      <c r="AM657" s="85"/>
    </row>
    <row r="658" spans="1:39" hidden="1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92"/>
        <v>351</v>
      </c>
      <c r="X658" s="18">
        <f t="shared" si="91"/>
        <v>0</v>
      </c>
      <c r="Y658" s="13">
        <f t="shared" si="95"/>
        <v>0</v>
      </c>
      <c r="Z658" s="14">
        <v>0</v>
      </c>
      <c r="AA658" s="4">
        <v>0</v>
      </c>
      <c r="AB658" s="4">
        <f t="shared" si="99"/>
        <v>0</v>
      </c>
      <c r="AC658" s="6">
        <f t="shared" si="96"/>
        <v>0</v>
      </c>
      <c r="AD658" s="18">
        <f t="shared" si="93"/>
        <v>0</v>
      </c>
      <c r="AE658" s="2">
        <v>7.0000000000000007E-2</v>
      </c>
      <c r="AF658" s="5">
        <f t="shared" si="97"/>
        <v>0</v>
      </c>
      <c r="AG658" s="14">
        <v>0</v>
      </c>
      <c r="AH658" s="10">
        <f t="shared" si="94"/>
        <v>0</v>
      </c>
      <c r="AI658" s="16"/>
      <c r="AJ658" s="126" t="e">
        <v>#N/A</v>
      </c>
      <c r="AK658" s="80">
        <f t="shared" si="98"/>
        <v>0</v>
      </c>
      <c r="AM658" s="85"/>
    </row>
    <row r="659" spans="1:39" hidden="1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92"/>
        <v>32887.910000000003</v>
      </c>
      <c r="X659" s="18">
        <f t="shared" ref="X659:X722" si="100">IF(P659="折扣",V659*Q659,IF(P659="返现",V659,V659/(1+Q659)))</f>
        <v>0</v>
      </c>
      <c r="Y659" s="13">
        <f t="shared" si="95"/>
        <v>0</v>
      </c>
      <c r="Z659" s="14">
        <v>0</v>
      </c>
      <c r="AA659" s="4">
        <v>0</v>
      </c>
      <c r="AB659" s="4">
        <f t="shared" si="99"/>
        <v>0</v>
      </c>
      <c r="AC659" s="6">
        <f t="shared" si="96"/>
        <v>0</v>
      </c>
      <c r="AD659" s="18">
        <f t="shared" si="93"/>
        <v>0</v>
      </c>
      <c r="AE659" s="2">
        <v>7.0000000000000007E-2</v>
      </c>
      <c r="AF659" s="5">
        <f t="shared" si="97"/>
        <v>0</v>
      </c>
      <c r="AG659" s="14">
        <v>0</v>
      </c>
      <c r="AH659" s="10">
        <f t="shared" si="94"/>
        <v>0</v>
      </c>
      <c r="AI659" s="16"/>
      <c r="AJ659" s="126" t="e">
        <v>#N/A</v>
      </c>
      <c r="AK659" s="80">
        <f t="shared" si="98"/>
        <v>0</v>
      </c>
      <c r="AM659" s="85"/>
    </row>
    <row r="660" spans="1:39" hidden="1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01">T660+U660-V660</f>
        <v>16499.900000000001</v>
      </c>
      <c r="X660" s="18">
        <f t="shared" si="100"/>
        <v>0</v>
      </c>
      <c r="Y660" s="13">
        <f t="shared" si="95"/>
        <v>0</v>
      </c>
      <c r="Z660" s="14">
        <v>0</v>
      </c>
      <c r="AA660" s="4">
        <v>0</v>
      </c>
      <c r="AB660" s="4">
        <f t="shared" si="99"/>
        <v>0</v>
      </c>
      <c r="AC660" s="6">
        <f t="shared" si="96"/>
        <v>0</v>
      </c>
      <c r="AD660" s="18">
        <f t="shared" si="93"/>
        <v>0</v>
      </c>
      <c r="AE660" s="2">
        <v>7.0000000000000007E-2</v>
      </c>
      <c r="AF660" s="5">
        <f t="shared" si="97"/>
        <v>0</v>
      </c>
      <c r="AG660" s="14">
        <v>0</v>
      </c>
      <c r="AH660" s="10">
        <f t="shared" si="94"/>
        <v>0</v>
      </c>
      <c r="AI660" s="16"/>
      <c r="AJ660" s="126" t="e">
        <v>#N/A</v>
      </c>
      <c r="AK660" s="80">
        <f t="shared" si="98"/>
        <v>0</v>
      </c>
      <c r="AM660" s="85"/>
    </row>
    <row r="661" spans="1:39" hidden="1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01"/>
        <v>15897.1</v>
      </c>
      <c r="X661" s="18">
        <f t="shared" si="100"/>
        <v>0</v>
      </c>
      <c r="Y661" s="13">
        <f t="shared" si="95"/>
        <v>0</v>
      </c>
      <c r="Z661" s="14">
        <v>0</v>
      </c>
      <c r="AA661" s="4">
        <v>0</v>
      </c>
      <c r="AB661" s="4">
        <f t="shared" si="99"/>
        <v>0</v>
      </c>
      <c r="AC661" s="6">
        <f t="shared" si="96"/>
        <v>0</v>
      </c>
      <c r="AD661" s="18">
        <f t="shared" si="93"/>
        <v>0</v>
      </c>
      <c r="AE661" s="2">
        <v>7.0000000000000007E-2</v>
      </c>
      <c r="AF661" s="5">
        <f t="shared" si="97"/>
        <v>0</v>
      </c>
      <c r="AG661" s="14">
        <v>0</v>
      </c>
      <c r="AH661" s="10">
        <f t="shared" si="94"/>
        <v>0</v>
      </c>
      <c r="AI661" s="16"/>
      <c r="AJ661" s="126" t="e">
        <v>#N/A</v>
      </c>
      <c r="AK661" s="80">
        <f t="shared" si="98"/>
        <v>0</v>
      </c>
      <c r="AM661" s="85"/>
    </row>
    <row r="662" spans="1:39" hidden="1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01"/>
        <v>2400</v>
      </c>
      <c r="X662" s="18">
        <f t="shared" si="100"/>
        <v>0</v>
      </c>
      <c r="Y662" s="13">
        <f t="shared" si="95"/>
        <v>0</v>
      </c>
      <c r="Z662" s="14">
        <v>0</v>
      </c>
      <c r="AA662" s="4">
        <v>0</v>
      </c>
      <c r="AB662" s="4">
        <f t="shared" si="99"/>
        <v>0</v>
      </c>
      <c r="AC662" s="6">
        <f t="shared" si="96"/>
        <v>0</v>
      </c>
      <c r="AD662" s="18">
        <f t="shared" si="93"/>
        <v>0</v>
      </c>
      <c r="AE662" s="2">
        <v>0.12</v>
      </c>
      <c r="AF662" s="5">
        <f t="shared" si="97"/>
        <v>0</v>
      </c>
      <c r="AG662" s="14">
        <v>0</v>
      </c>
      <c r="AH662" s="10">
        <f t="shared" si="94"/>
        <v>0</v>
      </c>
      <c r="AI662" s="16"/>
      <c r="AJ662" s="126" t="e">
        <v>#N/A</v>
      </c>
      <c r="AK662" s="80">
        <f t="shared" si="98"/>
        <v>0</v>
      </c>
      <c r="AM662" s="85"/>
    </row>
    <row r="663" spans="1:39" hidden="1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01"/>
        <v>499146.39</v>
      </c>
      <c r="X663" s="18">
        <f t="shared" si="100"/>
        <v>0</v>
      </c>
      <c r="Y663" s="13">
        <f t="shared" si="95"/>
        <v>0</v>
      </c>
      <c r="Z663" s="14">
        <v>0</v>
      </c>
      <c r="AA663" s="4">
        <v>0</v>
      </c>
      <c r="AB663" s="4">
        <f t="shared" si="99"/>
        <v>0</v>
      </c>
      <c r="AC663" s="6">
        <f t="shared" si="96"/>
        <v>0</v>
      </c>
      <c r="AD663" s="18">
        <f t="shared" si="93"/>
        <v>0</v>
      </c>
      <c r="AE663" s="2">
        <v>7.0000000000000007E-2</v>
      </c>
      <c r="AF663" s="5">
        <f t="shared" si="97"/>
        <v>0</v>
      </c>
      <c r="AG663" s="14">
        <v>0</v>
      </c>
      <c r="AH663" s="10">
        <f t="shared" si="94"/>
        <v>0</v>
      </c>
      <c r="AI663" s="16"/>
      <c r="AJ663" s="126" t="e">
        <v>#N/A</v>
      </c>
      <c r="AK663" s="80">
        <f t="shared" si="98"/>
        <v>0</v>
      </c>
      <c r="AM663" s="85"/>
    </row>
    <row r="664" spans="1:39" hidden="1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01"/>
        <v>9727.1</v>
      </c>
      <c r="X664" s="18">
        <f t="shared" si="100"/>
        <v>0</v>
      </c>
      <c r="Y664" s="13">
        <f t="shared" si="95"/>
        <v>0</v>
      </c>
      <c r="Z664" s="14">
        <v>0</v>
      </c>
      <c r="AA664" s="4">
        <v>0</v>
      </c>
      <c r="AB664" s="4">
        <f t="shared" si="99"/>
        <v>0</v>
      </c>
      <c r="AC664" s="6">
        <f t="shared" si="96"/>
        <v>0</v>
      </c>
      <c r="AD664" s="18">
        <f t="shared" si="93"/>
        <v>0</v>
      </c>
      <c r="AE664" s="2">
        <v>7.0000000000000007E-2</v>
      </c>
      <c r="AF664" s="5">
        <f t="shared" si="97"/>
        <v>0</v>
      </c>
      <c r="AG664" s="14">
        <v>0</v>
      </c>
      <c r="AH664" s="10">
        <f t="shared" si="94"/>
        <v>0</v>
      </c>
      <c r="AI664" s="16"/>
      <c r="AJ664" s="126" t="e">
        <v>#N/A</v>
      </c>
      <c r="AK664" s="80">
        <f t="shared" si="98"/>
        <v>0</v>
      </c>
      <c r="AM664" s="85"/>
    </row>
    <row r="665" spans="1:39" hidden="1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01"/>
        <v>85408.59</v>
      </c>
      <c r="X665" s="18">
        <f t="shared" si="100"/>
        <v>0</v>
      </c>
      <c r="Y665" s="13">
        <f t="shared" si="95"/>
        <v>0</v>
      </c>
      <c r="Z665" s="14">
        <v>0</v>
      </c>
      <c r="AA665" s="4">
        <v>0</v>
      </c>
      <c r="AB665" s="4">
        <f t="shared" si="99"/>
        <v>0</v>
      </c>
      <c r="AC665" s="6">
        <f t="shared" si="96"/>
        <v>0</v>
      </c>
      <c r="AD665" s="18">
        <f t="shared" si="93"/>
        <v>0</v>
      </c>
      <c r="AE665" s="2">
        <v>7.0000000000000007E-2</v>
      </c>
      <c r="AF665" s="5">
        <f t="shared" si="97"/>
        <v>0</v>
      </c>
      <c r="AG665" s="14">
        <v>0</v>
      </c>
      <c r="AH665" s="10">
        <f t="shared" si="94"/>
        <v>0</v>
      </c>
      <c r="AI665" s="16"/>
      <c r="AJ665" s="126" t="e">
        <v>#N/A</v>
      </c>
      <c r="AK665" s="80">
        <f t="shared" si="98"/>
        <v>0</v>
      </c>
      <c r="AM665" s="85"/>
    </row>
    <row r="666" spans="1:39" hidden="1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01"/>
        <v>655.38</v>
      </c>
      <c r="X666" s="18">
        <f t="shared" si="100"/>
        <v>0</v>
      </c>
      <c r="Y666" s="13">
        <f t="shared" si="95"/>
        <v>0</v>
      </c>
      <c r="Z666" s="14">
        <v>0</v>
      </c>
      <c r="AA666" s="4">
        <v>0</v>
      </c>
      <c r="AB666" s="4">
        <f t="shared" si="99"/>
        <v>0</v>
      </c>
      <c r="AC666" s="6">
        <f t="shared" si="96"/>
        <v>0</v>
      </c>
      <c r="AD666" s="18">
        <f t="shared" si="93"/>
        <v>0</v>
      </c>
      <c r="AE666" s="2">
        <v>7.0000000000000007E-2</v>
      </c>
      <c r="AF666" s="5">
        <f t="shared" si="97"/>
        <v>0</v>
      </c>
      <c r="AG666" s="14">
        <v>0</v>
      </c>
      <c r="AH666" s="10">
        <f t="shared" si="94"/>
        <v>0</v>
      </c>
      <c r="AI666" s="16"/>
      <c r="AJ666" s="126" t="e">
        <v>#N/A</v>
      </c>
      <c r="AK666" s="80">
        <f t="shared" si="98"/>
        <v>0</v>
      </c>
      <c r="AM666" s="85"/>
    </row>
    <row r="667" spans="1:39" hidden="1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01"/>
        <v>1</v>
      </c>
      <c r="X667" s="18">
        <f t="shared" si="100"/>
        <v>0</v>
      </c>
      <c r="Y667" s="13">
        <f t="shared" si="95"/>
        <v>0</v>
      </c>
      <c r="Z667" s="14">
        <v>0</v>
      </c>
      <c r="AA667" s="4">
        <v>0</v>
      </c>
      <c r="AB667" s="4">
        <f t="shared" si="99"/>
        <v>0</v>
      </c>
      <c r="AC667" s="6">
        <f t="shared" si="96"/>
        <v>0</v>
      </c>
      <c r="AD667" s="18">
        <f t="shared" si="93"/>
        <v>0</v>
      </c>
      <c r="AE667" s="2">
        <v>7.0000000000000007E-2</v>
      </c>
      <c r="AF667" s="5">
        <f t="shared" si="97"/>
        <v>0</v>
      </c>
      <c r="AG667" s="14">
        <v>0</v>
      </c>
      <c r="AH667" s="10">
        <f t="shared" si="94"/>
        <v>0</v>
      </c>
      <c r="AI667" s="16"/>
      <c r="AJ667" s="126" t="e">
        <v>#N/A</v>
      </c>
      <c r="AK667" s="80">
        <f t="shared" si="98"/>
        <v>0</v>
      </c>
      <c r="AM667" s="85"/>
    </row>
    <row r="668" spans="1:39" hidden="1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01"/>
        <v>15112.89</v>
      </c>
      <c r="X668" s="18">
        <f t="shared" si="100"/>
        <v>0</v>
      </c>
      <c r="Y668" s="13">
        <f t="shared" si="95"/>
        <v>0</v>
      </c>
      <c r="Z668" s="14">
        <v>0</v>
      </c>
      <c r="AA668" s="4">
        <v>0</v>
      </c>
      <c r="AB668" s="4">
        <f t="shared" si="99"/>
        <v>0</v>
      </c>
      <c r="AC668" s="6">
        <f t="shared" si="96"/>
        <v>0</v>
      </c>
      <c r="AD668" s="18">
        <f t="shared" si="93"/>
        <v>0</v>
      </c>
      <c r="AE668" s="2">
        <v>7.0000000000000007E-2</v>
      </c>
      <c r="AF668" s="5">
        <f t="shared" si="97"/>
        <v>0</v>
      </c>
      <c r="AG668" s="14">
        <v>0</v>
      </c>
      <c r="AH668" s="10">
        <f t="shared" si="94"/>
        <v>0</v>
      </c>
      <c r="AI668" s="16"/>
      <c r="AJ668" s="126" t="e">
        <v>#N/A</v>
      </c>
      <c r="AK668" s="80">
        <f t="shared" si="98"/>
        <v>0</v>
      </c>
      <c r="AM668" s="85"/>
    </row>
    <row r="669" spans="1:39" hidden="1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01"/>
        <v>971.7</v>
      </c>
      <c r="X669" s="18">
        <f t="shared" si="100"/>
        <v>0</v>
      </c>
      <c r="Y669" s="13">
        <f t="shared" si="95"/>
        <v>0</v>
      </c>
      <c r="Z669" s="14">
        <v>0</v>
      </c>
      <c r="AA669" s="4">
        <v>0</v>
      </c>
      <c r="AB669" s="4">
        <f t="shared" si="99"/>
        <v>0</v>
      </c>
      <c r="AC669" s="6">
        <f t="shared" si="96"/>
        <v>0</v>
      </c>
      <c r="AD669" s="18">
        <f t="shared" si="93"/>
        <v>0</v>
      </c>
      <c r="AE669" s="2">
        <v>7.0000000000000007E-2</v>
      </c>
      <c r="AF669" s="5">
        <f t="shared" si="97"/>
        <v>0</v>
      </c>
      <c r="AG669" s="14">
        <v>0</v>
      </c>
      <c r="AH669" s="10">
        <f t="shared" si="94"/>
        <v>0</v>
      </c>
      <c r="AI669" s="16"/>
      <c r="AJ669" s="126" t="e">
        <v>#N/A</v>
      </c>
      <c r="AK669" s="80">
        <f t="shared" si="98"/>
        <v>0</v>
      </c>
      <c r="AM669" s="85"/>
    </row>
    <row r="670" spans="1:39" hidden="1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01"/>
        <v>2298.75</v>
      </c>
      <c r="X670" s="18">
        <f t="shared" si="100"/>
        <v>0</v>
      </c>
      <c r="Y670" s="13">
        <f t="shared" si="95"/>
        <v>0</v>
      </c>
      <c r="Z670" s="14">
        <v>0</v>
      </c>
      <c r="AA670" s="4">
        <v>0</v>
      </c>
      <c r="AB670" s="4">
        <f t="shared" si="99"/>
        <v>0</v>
      </c>
      <c r="AC670" s="6">
        <f t="shared" si="96"/>
        <v>0</v>
      </c>
      <c r="AD670" s="18">
        <f t="shared" si="93"/>
        <v>0</v>
      </c>
      <c r="AE670" s="2">
        <v>7.0000000000000007E-2</v>
      </c>
      <c r="AF670" s="5">
        <f t="shared" si="97"/>
        <v>0</v>
      </c>
      <c r="AG670" s="14">
        <v>0</v>
      </c>
      <c r="AH670" s="10">
        <f t="shared" si="94"/>
        <v>0</v>
      </c>
      <c r="AI670" s="16"/>
      <c r="AJ670" s="126" t="e">
        <v>#N/A</v>
      </c>
      <c r="AK670" s="80">
        <f t="shared" si="98"/>
        <v>0</v>
      </c>
      <c r="AM670" s="85"/>
    </row>
    <row r="671" spans="1:39" hidden="1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01"/>
        <v>11.4</v>
      </c>
      <c r="X671" s="18">
        <f t="shared" si="100"/>
        <v>0</v>
      </c>
      <c r="Y671" s="13">
        <f t="shared" si="95"/>
        <v>0</v>
      </c>
      <c r="Z671" s="14">
        <v>0</v>
      </c>
      <c r="AA671" s="4">
        <v>0</v>
      </c>
      <c r="AB671" s="4">
        <f t="shared" si="99"/>
        <v>0</v>
      </c>
      <c r="AC671" s="6">
        <f t="shared" si="96"/>
        <v>0</v>
      </c>
      <c r="AD671" s="18">
        <f t="shared" si="93"/>
        <v>0</v>
      </c>
      <c r="AE671" s="2">
        <v>7.0000000000000007E-2</v>
      </c>
      <c r="AF671" s="5">
        <f t="shared" si="97"/>
        <v>0</v>
      </c>
      <c r="AG671" s="14">
        <v>0</v>
      </c>
      <c r="AH671" s="10">
        <f t="shared" si="94"/>
        <v>0</v>
      </c>
      <c r="AI671" s="16"/>
      <c r="AJ671" s="126" t="e">
        <v>#N/A</v>
      </c>
      <c r="AK671" s="80">
        <f t="shared" si="98"/>
        <v>0</v>
      </c>
      <c r="AM671" s="85"/>
    </row>
    <row r="672" spans="1:39" hidden="1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01"/>
        <v>73667.62</v>
      </c>
      <c r="X672" s="18">
        <f t="shared" si="100"/>
        <v>0</v>
      </c>
      <c r="Y672" s="13">
        <f t="shared" si="95"/>
        <v>0</v>
      </c>
      <c r="Z672" s="14">
        <v>0</v>
      </c>
      <c r="AA672" s="4">
        <v>0</v>
      </c>
      <c r="AB672" s="4">
        <f t="shared" si="99"/>
        <v>0</v>
      </c>
      <c r="AC672" s="6">
        <f t="shared" si="96"/>
        <v>0</v>
      </c>
      <c r="AD672" s="18">
        <f t="shared" si="93"/>
        <v>0</v>
      </c>
      <c r="AE672" s="2">
        <v>0.12</v>
      </c>
      <c r="AF672" s="5">
        <f t="shared" si="97"/>
        <v>0</v>
      </c>
      <c r="AG672" s="14">
        <v>0</v>
      </c>
      <c r="AH672" s="10">
        <f t="shared" si="94"/>
        <v>0</v>
      </c>
      <c r="AI672" s="16"/>
      <c r="AJ672" s="126" t="e">
        <v>#N/A</v>
      </c>
      <c r="AK672" s="80">
        <f t="shared" si="98"/>
        <v>0</v>
      </c>
      <c r="AM672" s="85"/>
    </row>
    <row r="673" spans="1:39" hidden="1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01"/>
        <v>3171.92</v>
      </c>
      <c r="X673" s="18">
        <f t="shared" si="100"/>
        <v>0</v>
      </c>
      <c r="Y673" s="13">
        <f t="shared" si="95"/>
        <v>0</v>
      </c>
      <c r="Z673" s="14">
        <v>0</v>
      </c>
      <c r="AA673" s="4">
        <v>0</v>
      </c>
      <c r="AB673" s="4">
        <f t="shared" si="99"/>
        <v>0</v>
      </c>
      <c r="AC673" s="6">
        <f t="shared" si="96"/>
        <v>0</v>
      </c>
      <c r="AD673" s="18">
        <f t="shared" si="93"/>
        <v>0</v>
      </c>
      <c r="AE673" s="2">
        <v>0.12</v>
      </c>
      <c r="AF673" s="5">
        <f t="shared" si="97"/>
        <v>0</v>
      </c>
      <c r="AG673" s="14">
        <v>0</v>
      </c>
      <c r="AH673" s="10">
        <f t="shared" si="94"/>
        <v>0</v>
      </c>
      <c r="AI673" s="16"/>
      <c r="AJ673" s="126" t="e">
        <v>#N/A</v>
      </c>
      <c r="AK673" s="80">
        <f t="shared" si="98"/>
        <v>0</v>
      </c>
      <c r="AM673" s="85"/>
    </row>
    <row r="674" spans="1:39" hidden="1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01"/>
        <v>28952.38</v>
      </c>
      <c r="X674" s="18">
        <f t="shared" si="100"/>
        <v>0</v>
      </c>
      <c r="Y674" s="13">
        <f t="shared" si="95"/>
        <v>0</v>
      </c>
      <c r="Z674" s="14">
        <v>0</v>
      </c>
      <c r="AA674" s="4">
        <v>0</v>
      </c>
      <c r="AB674" s="4">
        <f t="shared" si="99"/>
        <v>0</v>
      </c>
      <c r="AC674" s="6">
        <f t="shared" si="96"/>
        <v>0</v>
      </c>
      <c r="AD674" s="18">
        <f t="shared" si="93"/>
        <v>0</v>
      </c>
      <c r="AE674" s="2">
        <v>7.0000000000000007E-2</v>
      </c>
      <c r="AF674" s="5">
        <f t="shared" si="97"/>
        <v>0</v>
      </c>
      <c r="AG674" s="14">
        <v>0</v>
      </c>
      <c r="AH674" s="10">
        <f t="shared" si="94"/>
        <v>0</v>
      </c>
      <c r="AI674" s="16"/>
      <c r="AJ674" s="126" t="e">
        <v>#N/A</v>
      </c>
      <c r="AK674" s="80">
        <f t="shared" si="98"/>
        <v>0</v>
      </c>
      <c r="AM674" s="85"/>
    </row>
    <row r="675" spans="1:39" hidden="1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01"/>
        <v>0</v>
      </c>
      <c r="X675" s="18">
        <f t="shared" si="100"/>
        <v>34219.12621359223</v>
      </c>
      <c r="Y675" s="13">
        <f t="shared" si="95"/>
        <v>14935.852656768151</v>
      </c>
      <c r="Z675" s="14">
        <v>0</v>
      </c>
      <c r="AA675" s="4">
        <v>0</v>
      </c>
      <c r="AB675" s="4">
        <f t="shared" si="99"/>
        <v>34219.12621359223</v>
      </c>
      <c r="AC675" s="6">
        <f t="shared" si="96"/>
        <v>1026.5737864077673</v>
      </c>
      <c r="AD675" s="18">
        <f t="shared" si="93"/>
        <v>19283.273556824079</v>
      </c>
      <c r="AE675" s="2">
        <v>7.0000000000000007E-2</v>
      </c>
      <c r="AF675" s="5">
        <f t="shared" si="97"/>
        <v>1349.8291489776857</v>
      </c>
      <c r="AG675" s="14">
        <v>0</v>
      </c>
      <c r="AH675" s="10">
        <f t="shared" si="94"/>
        <v>35245.699999999997</v>
      </c>
      <c r="AI675" s="16"/>
      <c r="AJ675" s="126" t="e">
        <v>#N/A</v>
      </c>
      <c r="AK675" s="80">
        <f t="shared" si="98"/>
        <v>0</v>
      </c>
      <c r="AM675" s="85"/>
    </row>
    <row r="676" spans="1:39" hidden="1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01"/>
        <v>16751.8</v>
      </c>
      <c r="X676" s="18">
        <f t="shared" si="100"/>
        <v>0</v>
      </c>
      <c r="Y676" s="13">
        <f t="shared" si="95"/>
        <v>0</v>
      </c>
      <c r="Z676" s="14">
        <v>0</v>
      </c>
      <c r="AA676" s="4">
        <v>0</v>
      </c>
      <c r="AB676" s="4">
        <f t="shared" si="99"/>
        <v>0</v>
      </c>
      <c r="AC676" s="6">
        <f t="shared" si="96"/>
        <v>0</v>
      </c>
      <c r="AD676" s="18">
        <f t="shared" si="93"/>
        <v>0</v>
      </c>
      <c r="AE676" s="2">
        <v>0.12</v>
      </c>
      <c r="AF676" s="5">
        <f t="shared" si="97"/>
        <v>0</v>
      </c>
      <c r="AG676" s="14">
        <v>0</v>
      </c>
      <c r="AH676" s="10">
        <f t="shared" si="94"/>
        <v>0</v>
      </c>
      <c r="AI676" s="16"/>
      <c r="AJ676" s="126" t="e">
        <v>#N/A</v>
      </c>
      <c r="AK676" s="80">
        <f t="shared" si="98"/>
        <v>0</v>
      </c>
      <c r="AM676" s="85"/>
    </row>
    <row r="677" spans="1:39" hidden="1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01"/>
        <v>4204.8999999999996</v>
      </c>
      <c r="X677" s="18">
        <f t="shared" si="100"/>
        <v>0</v>
      </c>
      <c r="Y677" s="13">
        <f t="shared" si="95"/>
        <v>0</v>
      </c>
      <c r="Z677" s="14">
        <v>0</v>
      </c>
      <c r="AA677" s="4">
        <v>0</v>
      </c>
      <c r="AB677" s="4">
        <f t="shared" si="99"/>
        <v>0</v>
      </c>
      <c r="AC677" s="6">
        <f t="shared" si="96"/>
        <v>0</v>
      </c>
      <c r="AD677" s="18">
        <f t="shared" si="93"/>
        <v>0</v>
      </c>
      <c r="AE677" s="2">
        <v>7.0000000000000007E-2</v>
      </c>
      <c r="AF677" s="5">
        <f t="shared" si="97"/>
        <v>0</v>
      </c>
      <c r="AG677" s="14">
        <v>0</v>
      </c>
      <c r="AH677" s="10">
        <f t="shared" si="94"/>
        <v>0</v>
      </c>
      <c r="AI677" s="16"/>
      <c r="AJ677" s="126" t="e">
        <v>#N/A</v>
      </c>
      <c r="AK677" s="80">
        <f t="shared" si="98"/>
        <v>0</v>
      </c>
      <c r="AM677" s="85"/>
    </row>
    <row r="678" spans="1:39" hidden="1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01"/>
        <v>4252.8</v>
      </c>
      <c r="X678" s="18">
        <f t="shared" si="100"/>
        <v>0</v>
      </c>
      <c r="Y678" s="13">
        <f t="shared" si="95"/>
        <v>0</v>
      </c>
      <c r="Z678" s="14">
        <v>0</v>
      </c>
      <c r="AA678" s="4">
        <v>0</v>
      </c>
      <c r="AB678" s="4">
        <f t="shared" si="99"/>
        <v>0</v>
      </c>
      <c r="AC678" s="6">
        <f t="shared" si="96"/>
        <v>0</v>
      </c>
      <c r="AD678" s="18">
        <f t="shared" si="93"/>
        <v>0</v>
      </c>
      <c r="AE678" s="2">
        <v>7.0000000000000007E-2</v>
      </c>
      <c r="AF678" s="5">
        <f t="shared" si="97"/>
        <v>0</v>
      </c>
      <c r="AG678" s="14">
        <v>0</v>
      </c>
      <c r="AH678" s="10">
        <f t="shared" si="94"/>
        <v>0</v>
      </c>
      <c r="AI678" s="16"/>
      <c r="AJ678" s="126" t="e">
        <v>#N/A</v>
      </c>
      <c r="AK678" s="80">
        <f t="shared" si="98"/>
        <v>0</v>
      </c>
      <c r="AM678" s="85"/>
    </row>
    <row r="679" spans="1:39" hidden="1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01"/>
        <v>8256.9</v>
      </c>
      <c r="X679" s="18">
        <f t="shared" si="100"/>
        <v>0</v>
      </c>
      <c r="Y679" s="13">
        <f t="shared" si="95"/>
        <v>0</v>
      </c>
      <c r="Z679" s="14">
        <v>0</v>
      </c>
      <c r="AA679" s="4">
        <v>0</v>
      </c>
      <c r="AB679" s="4">
        <f t="shared" si="99"/>
        <v>0</v>
      </c>
      <c r="AC679" s="6">
        <f t="shared" si="96"/>
        <v>0</v>
      </c>
      <c r="AD679" s="18">
        <f t="shared" si="93"/>
        <v>0</v>
      </c>
      <c r="AE679" s="2">
        <v>7.0000000000000007E-2</v>
      </c>
      <c r="AF679" s="5">
        <f t="shared" si="97"/>
        <v>0</v>
      </c>
      <c r="AG679" s="14">
        <v>0</v>
      </c>
      <c r="AH679" s="10">
        <f t="shared" si="94"/>
        <v>0</v>
      </c>
      <c r="AI679" s="16"/>
      <c r="AJ679" s="126" t="e">
        <v>#N/A</v>
      </c>
      <c r="AK679" s="80">
        <f t="shared" si="98"/>
        <v>0</v>
      </c>
      <c r="AM679" s="85"/>
    </row>
    <row r="680" spans="1:39" hidden="1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01"/>
        <v>5081.22</v>
      </c>
      <c r="X680" s="18">
        <f t="shared" si="100"/>
        <v>0</v>
      </c>
      <c r="Y680" s="13">
        <f t="shared" si="95"/>
        <v>0</v>
      </c>
      <c r="Z680" s="14">
        <v>0</v>
      </c>
      <c r="AA680" s="4">
        <v>0</v>
      </c>
      <c r="AB680" s="4">
        <f t="shared" si="99"/>
        <v>0</v>
      </c>
      <c r="AC680" s="6">
        <f t="shared" si="96"/>
        <v>0</v>
      </c>
      <c r="AD680" s="18">
        <f t="shared" si="93"/>
        <v>0</v>
      </c>
      <c r="AE680" s="2">
        <v>0.12</v>
      </c>
      <c r="AF680" s="5">
        <f t="shared" si="97"/>
        <v>0</v>
      </c>
      <c r="AG680" s="14">
        <v>0</v>
      </c>
      <c r="AH680" s="10">
        <f t="shared" si="94"/>
        <v>0</v>
      </c>
      <c r="AI680" s="16"/>
      <c r="AJ680" s="126" t="e">
        <v>#N/A</v>
      </c>
      <c r="AK680" s="80">
        <f t="shared" si="98"/>
        <v>0</v>
      </c>
      <c r="AM680" s="85"/>
    </row>
    <row r="681" spans="1:39" hidden="1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01"/>
        <v>12602.69</v>
      </c>
      <c r="X681" s="18">
        <f t="shared" si="100"/>
        <v>0</v>
      </c>
      <c r="Y681" s="13">
        <f t="shared" si="95"/>
        <v>0</v>
      </c>
      <c r="Z681" s="14">
        <v>0</v>
      </c>
      <c r="AA681" s="4">
        <v>0</v>
      </c>
      <c r="AB681" s="4">
        <f t="shared" si="99"/>
        <v>0</v>
      </c>
      <c r="AC681" s="6">
        <f t="shared" si="96"/>
        <v>0</v>
      </c>
      <c r="AD681" s="18">
        <f t="shared" si="93"/>
        <v>0</v>
      </c>
      <c r="AE681" s="2">
        <v>0.12</v>
      </c>
      <c r="AF681" s="5">
        <f t="shared" si="97"/>
        <v>0</v>
      </c>
      <c r="AG681" s="14">
        <v>0</v>
      </c>
      <c r="AH681" s="10">
        <f t="shared" si="94"/>
        <v>0</v>
      </c>
      <c r="AI681" s="16"/>
      <c r="AJ681" s="126" t="e">
        <v>#N/A</v>
      </c>
      <c r="AK681" s="80">
        <f t="shared" si="98"/>
        <v>0</v>
      </c>
      <c r="AM681" s="85"/>
    </row>
    <row r="682" spans="1:39" hidden="1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01"/>
        <v>4718.3999999999996</v>
      </c>
      <c r="X682" s="18">
        <f t="shared" si="100"/>
        <v>0</v>
      </c>
      <c r="Y682" s="13">
        <f t="shared" si="95"/>
        <v>0</v>
      </c>
      <c r="Z682" s="14">
        <v>0</v>
      </c>
      <c r="AA682" s="4">
        <v>0</v>
      </c>
      <c r="AB682" s="4">
        <f t="shared" si="99"/>
        <v>0</v>
      </c>
      <c r="AC682" s="6">
        <f t="shared" si="96"/>
        <v>0</v>
      </c>
      <c r="AD682" s="18">
        <f t="shared" si="93"/>
        <v>0</v>
      </c>
      <c r="AE682" s="2">
        <v>7.0000000000000007E-2</v>
      </c>
      <c r="AF682" s="5">
        <f t="shared" si="97"/>
        <v>0</v>
      </c>
      <c r="AG682" s="14">
        <v>0</v>
      </c>
      <c r="AH682" s="10">
        <f t="shared" si="94"/>
        <v>0</v>
      </c>
      <c r="AI682" s="16"/>
      <c r="AJ682" s="126" t="e">
        <v>#N/A</v>
      </c>
      <c r="AK682" s="80">
        <f t="shared" si="98"/>
        <v>0</v>
      </c>
      <c r="AM682" s="85"/>
    </row>
    <row r="683" spans="1:39" hidden="1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01"/>
        <v>253.9</v>
      </c>
      <c r="X683" s="18">
        <f t="shared" si="100"/>
        <v>0</v>
      </c>
      <c r="Y683" s="13">
        <f t="shared" si="95"/>
        <v>0</v>
      </c>
      <c r="Z683" s="14">
        <v>0</v>
      </c>
      <c r="AA683" s="4">
        <v>0</v>
      </c>
      <c r="AB683" s="4">
        <f t="shared" si="99"/>
        <v>0</v>
      </c>
      <c r="AC683" s="6">
        <f t="shared" si="96"/>
        <v>0</v>
      </c>
      <c r="AD683" s="18">
        <f t="shared" si="93"/>
        <v>0</v>
      </c>
      <c r="AE683" s="2">
        <v>7.0000000000000007E-2</v>
      </c>
      <c r="AF683" s="5">
        <f t="shared" si="97"/>
        <v>0</v>
      </c>
      <c r="AG683" s="14">
        <v>0</v>
      </c>
      <c r="AH683" s="10">
        <f t="shared" si="94"/>
        <v>0</v>
      </c>
      <c r="AI683" s="16"/>
      <c r="AJ683" s="126" t="e">
        <v>#N/A</v>
      </c>
      <c r="AK683" s="80">
        <f t="shared" si="98"/>
        <v>0</v>
      </c>
      <c r="AM683" s="85"/>
    </row>
    <row r="684" spans="1:39" hidden="1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01"/>
        <v>29251.9</v>
      </c>
      <c r="X684" s="18">
        <f t="shared" si="100"/>
        <v>0</v>
      </c>
      <c r="Y684" s="13">
        <f t="shared" si="95"/>
        <v>0</v>
      </c>
      <c r="Z684" s="14">
        <v>0</v>
      </c>
      <c r="AA684" s="4">
        <v>0</v>
      </c>
      <c r="AB684" s="4">
        <f t="shared" si="99"/>
        <v>0</v>
      </c>
      <c r="AC684" s="6">
        <f t="shared" si="96"/>
        <v>0</v>
      </c>
      <c r="AD684" s="18">
        <f t="shared" si="93"/>
        <v>0</v>
      </c>
      <c r="AE684" s="2">
        <v>7.0000000000000007E-2</v>
      </c>
      <c r="AF684" s="5">
        <f t="shared" si="97"/>
        <v>0</v>
      </c>
      <c r="AG684" s="14">
        <v>0</v>
      </c>
      <c r="AH684" s="10">
        <f t="shared" si="94"/>
        <v>0</v>
      </c>
      <c r="AI684" s="16"/>
      <c r="AJ684" s="126" t="e">
        <v>#N/A</v>
      </c>
      <c r="AK684" s="80">
        <f t="shared" si="98"/>
        <v>0</v>
      </c>
      <c r="AM684" s="85"/>
    </row>
    <row r="685" spans="1:39" hidden="1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01"/>
        <v>2000</v>
      </c>
      <c r="X685" s="18">
        <f t="shared" si="100"/>
        <v>0</v>
      </c>
      <c r="Y685" s="13">
        <f t="shared" si="95"/>
        <v>0</v>
      </c>
      <c r="Z685" s="14">
        <v>0</v>
      </c>
      <c r="AA685" s="4">
        <v>0</v>
      </c>
      <c r="AB685" s="4">
        <f t="shared" si="99"/>
        <v>0</v>
      </c>
      <c r="AC685" s="6">
        <f t="shared" si="96"/>
        <v>0</v>
      </c>
      <c r="AD685" s="18">
        <f t="shared" si="93"/>
        <v>0</v>
      </c>
      <c r="AE685" s="2">
        <v>7.0000000000000007E-2</v>
      </c>
      <c r="AF685" s="5">
        <f t="shared" si="97"/>
        <v>0</v>
      </c>
      <c r="AG685" s="14">
        <v>0</v>
      </c>
      <c r="AH685" s="10">
        <f t="shared" si="94"/>
        <v>0</v>
      </c>
      <c r="AI685" s="16"/>
      <c r="AJ685" s="126" t="e">
        <v>#N/A</v>
      </c>
      <c r="AK685" s="80">
        <f t="shared" si="98"/>
        <v>0</v>
      </c>
      <c r="AM685" s="85"/>
    </row>
    <row r="686" spans="1:39" hidden="1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01"/>
        <v>43170.3</v>
      </c>
      <c r="X686" s="18">
        <f t="shared" si="100"/>
        <v>0</v>
      </c>
      <c r="Y686" s="13">
        <f t="shared" si="95"/>
        <v>0</v>
      </c>
      <c r="Z686" s="14">
        <v>0</v>
      </c>
      <c r="AA686" s="4">
        <v>0</v>
      </c>
      <c r="AB686" s="4">
        <f t="shared" si="99"/>
        <v>0</v>
      </c>
      <c r="AC686" s="6">
        <f t="shared" si="96"/>
        <v>0</v>
      </c>
      <c r="AD686" s="18">
        <f t="shared" si="93"/>
        <v>0</v>
      </c>
      <c r="AE686" s="2">
        <v>7.0000000000000007E-2</v>
      </c>
      <c r="AF686" s="5">
        <f t="shared" si="97"/>
        <v>0</v>
      </c>
      <c r="AG686" s="14">
        <v>0</v>
      </c>
      <c r="AH686" s="10">
        <f t="shared" si="94"/>
        <v>0</v>
      </c>
      <c r="AI686" s="16"/>
      <c r="AJ686" s="126" t="e">
        <v>#N/A</v>
      </c>
      <c r="AK686" s="80">
        <f t="shared" si="98"/>
        <v>0</v>
      </c>
      <c r="AM686" s="85"/>
    </row>
    <row r="687" spans="1:39" hidden="1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01"/>
        <v>10000</v>
      </c>
      <c r="X687" s="18">
        <f t="shared" si="100"/>
        <v>0</v>
      </c>
      <c r="Y687" s="13">
        <f t="shared" si="95"/>
        <v>0</v>
      </c>
      <c r="Z687" s="14">
        <v>0</v>
      </c>
      <c r="AA687" s="4">
        <v>0</v>
      </c>
      <c r="AB687" s="4">
        <f t="shared" si="99"/>
        <v>0</v>
      </c>
      <c r="AC687" s="6">
        <f t="shared" si="96"/>
        <v>0</v>
      </c>
      <c r="AD687" s="18">
        <f t="shared" si="93"/>
        <v>0</v>
      </c>
      <c r="AE687" s="2">
        <v>7.0000000000000007E-2</v>
      </c>
      <c r="AF687" s="5">
        <f t="shared" si="97"/>
        <v>0</v>
      </c>
      <c r="AG687" s="14">
        <v>0</v>
      </c>
      <c r="AH687" s="10">
        <f t="shared" si="94"/>
        <v>0</v>
      </c>
      <c r="AI687" s="16"/>
      <c r="AJ687" s="126" t="e">
        <v>#N/A</v>
      </c>
      <c r="AK687" s="80">
        <f t="shared" si="98"/>
        <v>0</v>
      </c>
      <c r="AM687" s="85"/>
    </row>
    <row r="688" spans="1:39" hidden="1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01"/>
        <v>10398.74</v>
      </c>
      <c r="X688" s="18">
        <f t="shared" si="100"/>
        <v>0</v>
      </c>
      <c r="Y688" s="13">
        <f t="shared" si="95"/>
        <v>0</v>
      </c>
      <c r="Z688" s="14">
        <v>0</v>
      </c>
      <c r="AA688" s="4">
        <v>0</v>
      </c>
      <c r="AB688" s="4">
        <f t="shared" si="99"/>
        <v>0</v>
      </c>
      <c r="AC688" s="6">
        <f t="shared" si="96"/>
        <v>0</v>
      </c>
      <c r="AD688" s="18">
        <f t="shared" si="93"/>
        <v>0</v>
      </c>
      <c r="AE688" s="2">
        <v>0.12</v>
      </c>
      <c r="AF688" s="5">
        <f t="shared" si="97"/>
        <v>0</v>
      </c>
      <c r="AG688" s="14">
        <v>0</v>
      </c>
      <c r="AH688" s="10">
        <f t="shared" si="94"/>
        <v>0</v>
      </c>
      <c r="AI688" s="16"/>
      <c r="AJ688" s="126" t="e">
        <v>#N/A</v>
      </c>
      <c r="AK688" s="80">
        <f t="shared" si="98"/>
        <v>0</v>
      </c>
      <c r="AM688" s="85"/>
    </row>
    <row r="689" spans="1:39" hidden="1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01"/>
        <v>10221.219999999999</v>
      </c>
      <c r="X689" s="18">
        <f t="shared" si="100"/>
        <v>0</v>
      </c>
      <c r="Y689" s="13">
        <f t="shared" si="95"/>
        <v>0</v>
      </c>
      <c r="Z689" s="14">
        <v>0</v>
      </c>
      <c r="AA689" s="4">
        <v>0</v>
      </c>
      <c r="AB689" s="4">
        <f t="shared" si="99"/>
        <v>0</v>
      </c>
      <c r="AC689" s="6">
        <f t="shared" si="96"/>
        <v>0</v>
      </c>
      <c r="AD689" s="18">
        <f t="shared" si="93"/>
        <v>0</v>
      </c>
      <c r="AE689" s="2">
        <v>0.12</v>
      </c>
      <c r="AF689" s="5">
        <f t="shared" si="97"/>
        <v>0</v>
      </c>
      <c r="AG689" s="14">
        <v>0</v>
      </c>
      <c r="AH689" s="10">
        <f t="shared" si="94"/>
        <v>0</v>
      </c>
      <c r="AI689" s="16"/>
      <c r="AJ689" s="126" t="e">
        <v>#N/A</v>
      </c>
      <c r="AK689" s="80">
        <f t="shared" si="98"/>
        <v>0</v>
      </c>
      <c r="AM689" s="85"/>
    </row>
    <row r="690" spans="1:39" hidden="1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01"/>
        <v>12179.5</v>
      </c>
      <c r="X690" s="18">
        <f t="shared" si="100"/>
        <v>0</v>
      </c>
      <c r="Y690" s="13">
        <f t="shared" si="95"/>
        <v>0</v>
      </c>
      <c r="Z690" s="14">
        <v>0</v>
      </c>
      <c r="AA690" s="4">
        <v>0</v>
      </c>
      <c r="AB690" s="4">
        <f t="shared" si="99"/>
        <v>0</v>
      </c>
      <c r="AC690" s="6">
        <f t="shared" si="96"/>
        <v>0</v>
      </c>
      <c r="AD690" s="18">
        <f t="shared" si="93"/>
        <v>0</v>
      </c>
      <c r="AE690" s="2">
        <v>7.0000000000000007E-2</v>
      </c>
      <c r="AF690" s="5">
        <f t="shared" si="97"/>
        <v>0</v>
      </c>
      <c r="AG690" s="14">
        <v>0</v>
      </c>
      <c r="AH690" s="10">
        <f t="shared" si="94"/>
        <v>0</v>
      </c>
      <c r="AI690" s="16"/>
      <c r="AJ690" s="126" t="e">
        <v>#N/A</v>
      </c>
      <c r="AK690" s="80">
        <f t="shared" si="98"/>
        <v>0</v>
      </c>
      <c r="AM690" s="85"/>
    </row>
    <row r="691" spans="1:39" hidden="1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01"/>
        <v>4625.51</v>
      </c>
      <c r="X691" s="18">
        <f t="shared" si="100"/>
        <v>0</v>
      </c>
      <c r="Y691" s="13">
        <f t="shared" si="95"/>
        <v>0</v>
      </c>
      <c r="Z691" s="14">
        <v>0</v>
      </c>
      <c r="AA691" s="4">
        <v>0</v>
      </c>
      <c r="AB691" s="4">
        <f t="shared" si="99"/>
        <v>0</v>
      </c>
      <c r="AC691" s="6">
        <f t="shared" si="96"/>
        <v>0</v>
      </c>
      <c r="AD691" s="18">
        <f t="shared" si="93"/>
        <v>0</v>
      </c>
      <c r="AE691" s="2">
        <v>0.12</v>
      </c>
      <c r="AF691" s="5">
        <f t="shared" si="97"/>
        <v>0</v>
      </c>
      <c r="AG691" s="14">
        <v>0</v>
      </c>
      <c r="AH691" s="10">
        <f t="shared" si="94"/>
        <v>0</v>
      </c>
      <c r="AI691" s="16"/>
      <c r="AJ691" s="126" t="e">
        <v>#N/A</v>
      </c>
      <c r="AK691" s="80">
        <f t="shared" si="98"/>
        <v>0</v>
      </c>
      <c r="AM691" s="85"/>
    </row>
    <row r="692" spans="1:39" hidden="1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01"/>
        <v>8223.7000000000007</v>
      </c>
      <c r="X692" s="18">
        <f t="shared" si="100"/>
        <v>0</v>
      </c>
      <c r="Y692" s="13">
        <f t="shared" si="95"/>
        <v>0</v>
      </c>
      <c r="Z692" s="14">
        <v>0</v>
      </c>
      <c r="AA692" s="4">
        <v>0</v>
      </c>
      <c r="AB692" s="4">
        <f t="shared" si="99"/>
        <v>0</v>
      </c>
      <c r="AC692" s="6">
        <f t="shared" si="96"/>
        <v>0</v>
      </c>
      <c r="AD692" s="18">
        <f t="shared" si="93"/>
        <v>0</v>
      </c>
      <c r="AE692" s="2">
        <v>7.0000000000000007E-2</v>
      </c>
      <c r="AF692" s="5">
        <f t="shared" si="97"/>
        <v>0</v>
      </c>
      <c r="AG692" s="14">
        <v>0</v>
      </c>
      <c r="AH692" s="10">
        <f t="shared" si="94"/>
        <v>0</v>
      </c>
      <c r="AI692" s="16"/>
      <c r="AJ692" s="126" t="e">
        <v>#N/A</v>
      </c>
      <c r="AK692" s="80">
        <f t="shared" si="98"/>
        <v>0</v>
      </c>
      <c r="AM692" s="85"/>
    </row>
    <row r="693" spans="1:39" hidden="1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01"/>
        <v>2453</v>
      </c>
      <c r="X693" s="18">
        <f t="shared" si="100"/>
        <v>0</v>
      </c>
      <c r="Y693" s="13">
        <f t="shared" si="95"/>
        <v>0</v>
      </c>
      <c r="Z693" s="14">
        <v>0</v>
      </c>
      <c r="AA693" s="4">
        <v>0</v>
      </c>
      <c r="AB693" s="4">
        <f t="shared" si="99"/>
        <v>0</v>
      </c>
      <c r="AC693" s="6">
        <f t="shared" si="96"/>
        <v>0</v>
      </c>
      <c r="AD693" s="18">
        <f t="shared" ref="AD693:AD756" si="102">V693*0.547109961125019</f>
        <v>0</v>
      </c>
      <c r="AE693" s="2">
        <v>7.0000000000000007E-2</v>
      </c>
      <c r="AF693" s="5">
        <f t="shared" si="97"/>
        <v>0</v>
      </c>
      <c r="AG693" s="14">
        <v>0</v>
      </c>
      <c r="AH693" s="10">
        <f t="shared" ref="AH693:AH756" si="103">V693</f>
        <v>0</v>
      </c>
      <c r="AI693" s="16"/>
      <c r="AJ693" s="126" t="e">
        <v>#N/A</v>
      </c>
      <c r="AK693" s="80">
        <f t="shared" si="98"/>
        <v>0</v>
      </c>
      <c r="AM693" s="85"/>
    </row>
    <row r="694" spans="1:39" hidden="1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01"/>
        <v>9703.2000000000007</v>
      </c>
      <c r="X694" s="18">
        <f t="shared" si="100"/>
        <v>0</v>
      </c>
      <c r="Y694" s="13">
        <f t="shared" si="95"/>
        <v>0</v>
      </c>
      <c r="Z694" s="14">
        <v>0</v>
      </c>
      <c r="AA694" s="4">
        <v>0</v>
      </c>
      <c r="AB694" s="4">
        <f t="shared" si="99"/>
        <v>0</v>
      </c>
      <c r="AC694" s="6">
        <f t="shared" si="96"/>
        <v>0</v>
      </c>
      <c r="AD694" s="18">
        <f t="shared" si="102"/>
        <v>0</v>
      </c>
      <c r="AE694" s="2">
        <v>7.0000000000000007E-2</v>
      </c>
      <c r="AF694" s="5">
        <f t="shared" si="97"/>
        <v>0</v>
      </c>
      <c r="AG694" s="14">
        <v>0</v>
      </c>
      <c r="AH694" s="10">
        <f t="shared" si="103"/>
        <v>0</v>
      </c>
      <c r="AI694" s="16"/>
      <c r="AJ694" s="126" t="e">
        <v>#N/A</v>
      </c>
      <c r="AK694" s="80">
        <f t="shared" si="98"/>
        <v>0</v>
      </c>
      <c r="AM694" s="85"/>
    </row>
    <row r="695" spans="1:39" hidden="1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01"/>
        <v>10200</v>
      </c>
      <c r="X695" s="18">
        <f t="shared" si="100"/>
        <v>0</v>
      </c>
      <c r="Y695" s="13">
        <f t="shared" si="95"/>
        <v>0</v>
      </c>
      <c r="Z695" s="14">
        <v>0</v>
      </c>
      <c r="AA695" s="4">
        <v>0</v>
      </c>
      <c r="AB695" s="4">
        <f t="shared" si="99"/>
        <v>0</v>
      </c>
      <c r="AC695" s="6">
        <f t="shared" si="96"/>
        <v>0</v>
      </c>
      <c r="AD695" s="18">
        <f t="shared" si="102"/>
        <v>0</v>
      </c>
      <c r="AE695" s="2">
        <v>7.0000000000000007E-2</v>
      </c>
      <c r="AF695" s="5">
        <f t="shared" si="97"/>
        <v>0</v>
      </c>
      <c r="AG695" s="14">
        <v>0</v>
      </c>
      <c r="AH695" s="10">
        <f t="shared" si="103"/>
        <v>0</v>
      </c>
      <c r="AI695" s="16"/>
      <c r="AJ695" s="126" t="e">
        <v>#N/A</v>
      </c>
      <c r="AK695" s="80">
        <f t="shared" si="98"/>
        <v>0</v>
      </c>
      <c r="AM695" s="85"/>
    </row>
    <row r="696" spans="1:39" hidden="1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01"/>
        <v>272.2</v>
      </c>
      <c r="X696" s="18">
        <f t="shared" si="100"/>
        <v>0</v>
      </c>
      <c r="Y696" s="13">
        <f t="shared" si="95"/>
        <v>0</v>
      </c>
      <c r="Z696" s="14">
        <v>0</v>
      </c>
      <c r="AA696" s="4">
        <v>0</v>
      </c>
      <c r="AB696" s="4">
        <f t="shared" si="99"/>
        <v>0</v>
      </c>
      <c r="AC696" s="6">
        <f t="shared" si="96"/>
        <v>0</v>
      </c>
      <c r="AD696" s="18">
        <f t="shared" si="102"/>
        <v>0</v>
      </c>
      <c r="AE696" s="2">
        <v>0.12</v>
      </c>
      <c r="AF696" s="5">
        <f t="shared" si="97"/>
        <v>0</v>
      </c>
      <c r="AG696" s="14">
        <v>0</v>
      </c>
      <c r="AH696" s="10">
        <f t="shared" si="103"/>
        <v>0</v>
      </c>
      <c r="AI696" s="16"/>
      <c r="AJ696" s="126" t="e">
        <v>#N/A</v>
      </c>
      <c r="AK696" s="80">
        <f t="shared" si="98"/>
        <v>0</v>
      </c>
      <c r="AM696" s="85"/>
    </row>
    <row r="697" spans="1:39" hidden="1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01"/>
        <v>6212.97</v>
      </c>
      <c r="X697" s="18">
        <f t="shared" si="100"/>
        <v>0</v>
      </c>
      <c r="Y697" s="13">
        <f t="shared" si="95"/>
        <v>0</v>
      </c>
      <c r="Z697" s="14">
        <v>0</v>
      </c>
      <c r="AA697" s="4">
        <v>0</v>
      </c>
      <c r="AB697" s="4">
        <f t="shared" si="99"/>
        <v>0</v>
      </c>
      <c r="AC697" s="6">
        <f t="shared" si="96"/>
        <v>0</v>
      </c>
      <c r="AD697" s="18">
        <f t="shared" si="102"/>
        <v>0</v>
      </c>
      <c r="AE697" s="2">
        <v>7.0000000000000007E-2</v>
      </c>
      <c r="AF697" s="5">
        <f t="shared" si="97"/>
        <v>0</v>
      </c>
      <c r="AG697" s="14">
        <v>0</v>
      </c>
      <c r="AH697" s="10">
        <f t="shared" si="103"/>
        <v>0</v>
      </c>
      <c r="AI697" s="16"/>
      <c r="AJ697" s="126" t="e">
        <v>#N/A</v>
      </c>
      <c r="AK697" s="80">
        <f t="shared" si="98"/>
        <v>0</v>
      </c>
      <c r="AM697" s="85"/>
    </row>
    <row r="698" spans="1:39" hidden="1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01"/>
        <v>0</v>
      </c>
      <c r="X698" s="18">
        <f t="shared" si="100"/>
        <v>0</v>
      </c>
      <c r="Y698" s="13">
        <f t="shared" si="95"/>
        <v>0</v>
      </c>
      <c r="Z698" s="14">
        <v>0</v>
      </c>
      <c r="AA698" s="4">
        <v>0</v>
      </c>
      <c r="AB698" s="4">
        <f t="shared" si="99"/>
        <v>0</v>
      </c>
      <c r="AC698" s="6">
        <f t="shared" si="96"/>
        <v>0</v>
      </c>
      <c r="AD698" s="18">
        <f t="shared" si="102"/>
        <v>0</v>
      </c>
      <c r="AE698" s="2">
        <v>0.12</v>
      </c>
      <c r="AF698" s="5">
        <f t="shared" si="97"/>
        <v>0</v>
      </c>
      <c r="AG698" s="14">
        <v>0</v>
      </c>
      <c r="AH698" s="10">
        <f t="shared" si="103"/>
        <v>0</v>
      </c>
      <c r="AI698" s="16"/>
      <c r="AJ698" s="126" t="e">
        <v>#N/A</v>
      </c>
      <c r="AK698" s="80">
        <f t="shared" si="98"/>
        <v>0</v>
      </c>
      <c r="AM698" s="85"/>
    </row>
    <row r="699" spans="1:39" hidden="1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01"/>
        <v>4982</v>
      </c>
      <c r="X699" s="18">
        <f t="shared" si="100"/>
        <v>0</v>
      </c>
      <c r="Y699" s="13">
        <f t="shared" si="95"/>
        <v>0</v>
      </c>
      <c r="Z699" s="14">
        <v>0</v>
      </c>
      <c r="AA699" s="4">
        <v>0</v>
      </c>
      <c r="AB699" s="4">
        <f t="shared" si="99"/>
        <v>0</v>
      </c>
      <c r="AC699" s="6">
        <f t="shared" si="96"/>
        <v>0</v>
      </c>
      <c r="AD699" s="18">
        <f t="shared" si="102"/>
        <v>0</v>
      </c>
      <c r="AE699" s="2">
        <v>0.12</v>
      </c>
      <c r="AF699" s="5">
        <f t="shared" si="97"/>
        <v>0</v>
      </c>
      <c r="AG699" s="14">
        <v>0</v>
      </c>
      <c r="AH699" s="10">
        <f t="shared" si="103"/>
        <v>0</v>
      </c>
      <c r="AI699" s="16"/>
      <c r="AJ699" s="126" t="e">
        <v>#N/A</v>
      </c>
      <c r="AK699" s="80">
        <f t="shared" si="98"/>
        <v>0</v>
      </c>
      <c r="AM699" s="85"/>
    </row>
    <row r="700" spans="1:39" hidden="1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01"/>
        <v>10184.5</v>
      </c>
      <c r="X700" s="18">
        <f t="shared" si="100"/>
        <v>0</v>
      </c>
      <c r="Y700" s="13">
        <f t="shared" si="95"/>
        <v>0</v>
      </c>
      <c r="Z700" s="14">
        <v>0</v>
      </c>
      <c r="AA700" s="4">
        <v>0</v>
      </c>
      <c r="AB700" s="4">
        <f t="shared" si="99"/>
        <v>0</v>
      </c>
      <c r="AC700" s="6">
        <f t="shared" si="96"/>
        <v>0</v>
      </c>
      <c r="AD700" s="18">
        <f t="shared" si="102"/>
        <v>0</v>
      </c>
      <c r="AE700" s="2">
        <v>7.0000000000000007E-2</v>
      </c>
      <c r="AF700" s="5">
        <f t="shared" si="97"/>
        <v>0</v>
      </c>
      <c r="AG700" s="14">
        <v>0</v>
      </c>
      <c r="AH700" s="10">
        <f t="shared" si="103"/>
        <v>0</v>
      </c>
      <c r="AI700" s="16"/>
      <c r="AJ700" s="126" t="e">
        <v>#N/A</v>
      </c>
      <c r="AK700" s="80">
        <f t="shared" si="98"/>
        <v>0</v>
      </c>
      <c r="AM700" s="85"/>
    </row>
    <row r="701" spans="1:39" hidden="1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01"/>
        <v>1779.71</v>
      </c>
      <c r="X701" s="18">
        <f t="shared" si="100"/>
        <v>0</v>
      </c>
      <c r="Y701" s="13">
        <f t="shared" si="95"/>
        <v>0</v>
      </c>
      <c r="Z701" s="14">
        <v>0</v>
      </c>
      <c r="AA701" s="4">
        <v>0</v>
      </c>
      <c r="AB701" s="4">
        <f t="shared" si="99"/>
        <v>0</v>
      </c>
      <c r="AC701" s="6">
        <f t="shared" si="96"/>
        <v>0</v>
      </c>
      <c r="AD701" s="18">
        <f t="shared" si="102"/>
        <v>0</v>
      </c>
      <c r="AE701" s="2">
        <v>7.0000000000000007E-2</v>
      </c>
      <c r="AF701" s="5">
        <f t="shared" si="97"/>
        <v>0</v>
      </c>
      <c r="AG701" s="14">
        <v>0</v>
      </c>
      <c r="AH701" s="10">
        <f t="shared" si="103"/>
        <v>0</v>
      </c>
      <c r="AI701" s="16"/>
      <c r="AJ701" s="126" t="e">
        <v>#N/A</v>
      </c>
      <c r="AK701" s="80">
        <f t="shared" si="98"/>
        <v>0</v>
      </c>
      <c r="AM701" s="85"/>
    </row>
    <row r="702" spans="1:39" hidden="1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01"/>
        <v>1651.5</v>
      </c>
      <c r="X702" s="18">
        <f t="shared" si="100"/>
        <v>0</v>
      </c>
      <c r="Y702" s="13">
        <f t="shared" si="95"/>
        <v>0</v>
      </c>
      <c r="Z702" s="14">
        <v>0</v>
      </c>
      <c r="AA702" s="4">
        <v>0</v>
      </c>
      <c r="AB702" s="4"/>
      <c r="AC702" s="6">
        <f t="shared" si="96"/>
        <v>0</v>
      </c>
      <c r="AD702" s="18">
        <f t="shared" si="102"/>
        <v>0</v>
      </c>
      <c r="AE702" s="2">
        <v>0.12</v>
      </c>
      <c r="AF702" s="5">
        <f t="shared" si="97"/>
        <v>0</v>
      </c>
      <c r="AG702" s="14">
        <v>0</v>
      </c>
      <c r="AH702" s="10">
        <f t="shared" si="103"/>
        <v>0</v>
      </c>
      <c r="AI702" s="16"/>
      <c r="AJ702" s="126">
        <v>16</v>
      </c>
      <c r="AK702" s="80">
        <f t="shared" si="98"/>
        <v>0</v>
      </c>
      <c r="AM702" s="85"/>
    </row>
    <row r="703" spans="1:39" hidden="1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01"/>
        <v>5296.7</v>
      </c>
      <c r="X703" s="18">
        <f t="shared" si="100"/>
        <v>0</v>
      </c>
      <c r="Y703" s="13">
        <f t="shared" si="95"/>
        <v>0</v>
      </c>
      <c r="Z703" s="14">
        <v>0</v>
      </c>
      <c r="AA703" s="4">
        <v>0</v>
      </c>
      <c r="AB703" s="4">
        <f t="shared" si="99"/>
        <v>0</v>
      </c>
      <c r="AC703" s="6">
        <f t="shared" si="96"/>
        <v>0</v>
      </c>
      <c r="AD703" s="18">
        <f t="shared" si="102"/>
        <v>0</v>
      </c>
      <c r="AE703" s="2">
        <v>7.0000000000000007E-2</v>
      </c>
      <c r="AF703" s="5">
        <f t="shared" si="97"/>
        <v>0</v>
      </c>
      <c r="AG703" s="14">
        <v>0</v>
      </c>
      <c r="AH703" s="10">
        <f t="shared" si="103"/>
        <v>0</v>
      </c>
      <c r="AI703" s="16"/>
      <c r="AJ703" s="126" t="e">
        <v>#N/A</v>
      </c>
      <c r="AK703" s="80">
        <f t="shared" si="98"/>
        <v>0</v>
      </c>
      <c r="AM703" s="85"/>
    </row>
    <row r="704" spans="1:39" hidden="1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01"/>
        <v>44382.7</v>
      </c>
      <c r="X704" s="18">
        <f t="shared" si="100"/>
        <v>0</v>
      </c>
      <c r="Y704" s="13">
        <f t="shared" si="95"/>
        <v>0</v>
      </c>
      <c r="Z704" s="14">
        <v>0</v>
      </c>
      <c r="AA704" s="4">
        <v>0</v>
      </c>
      <c r="AB704" s="4">
        <f t="shared" si="99"/>
        <v>0</v>
      </c>
      <c r="AC704" s="6">
        <f t="shared" si="96"/>
        <v>0</v>
      </c>
      <c r="AD704" s="18">
        <f t="shared" si="102"/>
        <v>0</v>
      </c>
      <c r="AE704" s="2">
        <v>7.0000000000000007E-2</v>
      </c>
      <c r="AF704" s="5">
        <f t="shared" si="97"/>
        <v>0</v>
      </c>
      <c r="AG704" s="14">
        <v>0</v>
      </c>
      <c r="AH704" s="10">
        <f t="shared" si="103"/>
        <v>0</v>
      </c>
      <c r="AI704" s="16"/>
      <c r="AJ704" s="126" t="e">
        <v>#N/A</v>
      </c>
      <c r="AK704" s="80">
        <f t="shared" si="98"/>
        <v>0</v>
      </c>
      <c r="AM704" s="85"/>
    </row>
    <row r="705" spans="1:39" hidden="1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01"/>
        <v>653.5</v>
      </c>
      <c r="X705" s="18">
        <f t="shared" si="100"/>
        <v>0</v>
      </c>
      <c r="Y705" s="13">
        <f t="shared" si="95"/>
        <v>0</v>
      </c>
      <c r="Z705" s="14">
        <v>0</v>
      </c>
      <c r="AA705" s="4">
        <v>0</v>
      </c>
      <c r="AB705" s="4">
        <f t="shared" si="99"/>
        <v>0</v>
      </c>
      <c r="AC705" s="6">
        <f t="shared" si="96"/>
        <v>0</v>
      </c>
      <c r="AD705" s="18">
        <f t="shared" si="102"/>
        <v>0</v>
      </c>
      <c r="AE705" s="2">
        <v>7.0000000000000007E-2</v>
      </c>
      <c r="AF705" s="5">
        <f t="shared" si="97"/>
        <v>0</v>
      </c>
      <c r="AG705" s="14">
        <v>0</v>
      </c>
      <c r="AH705" s="10">
        <f t="shared" si="103"/>
        <v>0</v>
      </c>
      <c r="AI705" s="16"/>
      <c r="AJ705" s="126" t="e">
        <v>#N/A</v>
      </c>
      <c r="AK705" s="80">
        <f t="shared" si="98"/>
        <v>0</v>
      </c>
      <c r="AM705" s="85"/>
    </row>
    <row r="706" spans="1:39" hidden="1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01"/>
        <v>3515.75</v>
      </c>
      <c r="X706" s="18">
        <f t="shared" si="100"/>
        <v>0</v>
      </c>
      <c r="Y706" s="13">
        <f t="shared" si="95"/>
        <v>0</v>
      </c>
      <c r="Z706" s="14">
        <v>0</v>
      </c>
      <c r="AA706" s="4">
        <v>0</v>
      </c>
      <c r="AB706" s="4"/>
      <c r="AC706" s="6">
        <f t="shared" si="96"/>
        <v>0</v>
      </c>
      <c r="AD706" s="18">
        <f t="shared" si="102"/>
        <v>0</v>
      </c>
      <c r="AE706" s="2">
        <v>0.12</v>
      </c>
      <c r="AF706" s="5">
        <f t="shared" si="97"/>
        <v>0</v>
      </c>
      <c r="AG706" s="14">
        <v>0</v>
      </c>
      <c r="AH706" s="10">
        <f t="shared" si="103"/>
        <v>0</v>
      </c>
      <c r="AI706" s="16"/>
      <c r="AJ706" s="126">
        <v>1</v>
      </c>
      <c r="AK706" s="80">
        <f t="shared" si="98"/>
        <v>0</v>
      </c>
      <c r="AM706" s="85"/>
    </row>
    <row r="707" spans="1:39" hidden="1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01"/>
        <v>7.25</v>
      </c>
      <c r="X707" s="18">
        <f t="shared" si="100"/>
        <v>0</v>
      </c>
      <c r="Y707" s="13">
        <f t="shared" ref="Y707:Y770" si="10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05">IF(P707="返现",X707*Q707,V707-X707)</f>
        <v>0</v>
      </c>
      <c r="AD707" s="18">
        <f t="shared" si="102"/>
        <v>0</v>
      </c>
      <c r="AE707" s="2">
        <v>0.12</v>
      </c>
      <c r="AF707" s="5">
        <f t="shared" ref="AF707:AF770" si="106">AD707*AE707</f>
        <v>0</v>
      </c>
      <c r="AG707" s="14">
        <v>0</v>
      </c>
      <c r="AH707" s="10">
        <f t="shared" si="103"/>
        <v>0</v>
      </c>
      <c r="AI707" s="16"/>
      <c r="AJ707" s="126">
        <v>1</v>
      </c>
      <c r="AK707" s="80">
        <f t="shared" ref="AK707:AK770" si="107">X707+AA707-AB707</f>
        <v>0</v>
      </c>
      <c r="AM707" s="85"/>
    </row>
    <row r="708" spans="1:39" hidden="1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01"/>
        <v>4515.43</v>
      </c>
      <c r="X708" s="18">
        <f t="shared" si="100"/>
        <v>0</v>
      </c>
      <c r="Y708" s="13">
        <f t="shared" si="104"/>
        <v>0</v>
      </c>
      <c r="Z708" s="14">
        <v>0</v>
      </c>
      <c r="AA708" s="4">
        <v>0</v>
      </c>
      <c r="AB708" s="4"/>
      <c r="AC708" s="6">
        <f t="shared" si="105"/>
        <v>0</v>
      </c>
      <c r="AD708" s="18">
        <f t="shared" si="102"/>
        <v>0</v>
      </c>
      <c r="AE708" s="2">
        <v>0.12</v>
      </c>
      <c r="AF708" s="5">
        <f t="shared" si="106"/>
        <v>0</v>
      </c>
      <c r="AG708" s="14">
        <v>0</v>
      </c>
      <c r="AH708" s="10">
        <f t="shared" si="103"/>
        <v>0</v>
      </c>
      <c r="AI708" s="16"/>
      <c r="AJ708" s="126">
        <v>1</v>
      </c>
      <c r="AK708" s="80">
        <f t="shared" si="107"/>
        <v>0</v>
      </c>
      <c r="AM708" s="85"/>
    </row>
    <row r="709" spans="1:39" hidden="1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01"/>
        <v>10100.4</v>
      </c>
      <c r="X709" s="18">
        <f t="shared" si="100"/>
        <v>0</v>
      </c>
      <c r="Y709" s="13">
        <f t="shared" si="104"/>
        <v>0</v>
      </c>
      <c r="Z709" s="14">
        <v>0</v>
      </c>
      <c r="AA709" s="4">
        <v>0</v>
      </c>
      <c r="AB709" s="4"/>
      <c r="AC709" s="6">
        <f t="shared" si="105"/>
        <v>0</v>
      </c>
      <c r="AD709" s="18">
        <f t="shared" si="102"/>
        <v>0</v>
      </c>
      <c r="AE709" s="2">
        <v>0.12</v>
      </c>
      <c r="AF709" s="5">
        <f t="shared" si="106"/>
        <v>0</v>
      </c>
      <c r="AG709" s="14">
        <v>0</v>
      </c>
      <c r="AH709" s="10">
        <f t="shared" si="103"/>
        <v>0</v>
      </c>
      <c r="AI709" s="16"/>
      <c r="AJ709" s="126">
        <v>1</v>
      </c>
      <c r="AK709" s="80">
        <f t="shared" si="107"/>
        <v>0</v>
      </c>
      <c r="AM709" s="85"/>
    </row>
    <row r="710" spans="1:39" hidden="1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01"/>
        <v>19075.55</v>
      </c>
      <c r="X710" s="18">
        <f t="shared" si="100"/>
        <v>0</v>
      </c>
      <c r="Y710" s="13">
        <f t="shared" si="104"/>
        <v>0</v>
      </c>
      <c r="Z710" s="14">
        <v>0</v>
      </c>
      <c r="AA710" s="4">
        <v>0</v>
      </c>
      <c r="AB710" s="4"/>
      <c r="AC710" s="6">
        <f t="shared" si="105"/>
        <v>0</v>
      </c>
      <c r="AD710" s="18">
        <f t="shared" si="102"/>
        <v>0</v>
      </c>
      <c r="AE710" s="2">
        <v>0.12</v>
      </c>
      <c r="AF710" s="5">
        <f t="shared" si="106"/>
        <v>0</v>
      </c>
      <c r="AG710" s="14">
        <v>0</v>
      </c>
      <c r="AH710" s="10">
        <f t="shared" si="103"/>
        <v>0</v>
      </c>
      <c r="AI710" s="16"/>
      <c r="AJ710" s="126">
        <v>1</v>
      </c>
      <c r="AK710" s="80">
        <f t="shared" si="107"/>
        <v>0</v>
      </c>
      <c r="AM710" s="85"/>
    </row>
    <row r="711" spans="1:39" hidden="1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01"/>
        <v>5207.93</v>
      </c>
      <c r="X711" s="18">
        <f t="shared" si="100"/>
        <v>0</v>
      </c>
      <c r="Y711" s="13">
        <f t="shared" si="104"/>
        <v>0</v>
      </c>
      <c r="Z711" s="14">
        <v>0</v>
      </c>
      <c r="AA711" s="4">
        <v>0</v>
      </c>
      <c r="AB711" s="4"/>
      <c r="AC711" s="6">
        <f t="shared" si="105"/>
        <v>0</v>
      </c>
      <c r="AD711" s="18">
        <f t="shared" si="102"/>
        <v>0</v>
      </c>
      <c r="AE711" s="2">
        <v>0.12</v>
      </c>
      <c r="AF711" s="5">
        <f t="shared" si="106"/>
        <v>0</v>
      </c>
      <c r="AG711" s="14">
        <v>0</v>
      </c>
      <c r="AH711" s="10">
        <f t="shared" si="103"/>
        <v>0</v>
      </c>
      <c r="AI711" s="16"/>
      <c r="AJ711" s="126">
        <v>1</v>
      </c>
      <c r="AK711" s="80">
        <f t="shared" si="107"/>
        <v>0</v>
      </c>
      <c r="AM711" s="85"/>
    </row>
    <row r="712" spans="1:39" hidden="1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01"/>
        <v>30000</v>
      </c>
      <c r="X712" s="18">
        <f t="shared" si="100"/>
        <v>0</v>
      </c>
      <c r="Y712" s="13">
        <f t="shared" si="104"/>
        <v>0</v>
      </c>
      <c r="Z712" s="14">
        <v>0</v>
      </c>
      <c r="AA712" s="4">
        <v>0</v>
      </c>
      <c r="AB712" s="4">
        <f t="shared" ref="AB712:AB770" si="108">X712+AA712</f>
        <v>0</v>
      </c>
      <c r="AC712" s="6">
        <f t="shared" si="105"/>
        <v>0</v>
      </c>
      <c r="AD712" s="18">
        <f t="shared" si="102"/>
        <v>0</v>
      </c>
      <c r="AE712" s="2">
        <v>0.12</v>
      </c>
      <c r="AF712" s="5">
        <f t="shared" si="106"/>
        <v>0</v>
      </c>
      <c r="AG712" s="14">
        <v>0</v>
      </c>
      <c r="AH712" s="10">
        <f t="shared" si="103"/>
        <v>0</v>
      </c>
      <c r="AI712" s="16"/>
      <c r="AJ712" s="126" t="e">
        <v>#N/A</v>
      </c>
      <c r="AK712" s="80">
        <f t="shared" si="107"/>
        <v>0</v>
      </c>
      <c r="AM712" s="85"/>
    </row>
    <row r="713" spans="1:39" hidden="1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01"/>
        <v>21000</v>
      </c>
      <c r="X713" s="18">
        <f t="shared" si="100"/>
        <v>0</v>
      </c>
      <c r="Y713" s="13">
        <f t="shared" si="104"/>
        <v>0</v>
      </c>
      <c r="Z713" s="14">
        <v>0</v>
      </c>
      <c r="AA713" s="4">
        <v>0</v>
      </c>
      <c r="AB713" s="4">
        <f t="shared" si="108"/>
        <v>0</v>
      </c>
      <c r="AC713" s="6">
        <f t="shared" si="105"/>
        <v>0</v>
      </c>
      <c r="AD713" s="18">
        <f t="shared" si="102"/>
        <v>0</v>
      </c>
      <c r="AE713" s="2">
        <v>7.0000000000000007E-2</v>
      </c>
      <c r="AF713" s="5">
        <f t="shared" si="106"/>
        <v>0</v>
      </c>
      <c r="AG713" s="14">
        <v>0</v>
      </c>
      <c r="AH713" s="10">
        <f t="shared" si="103"/>
        <v>0</v>
      </c>
      <c r="AI713" s="16"/>
      <c r="AJ713" s="126" t="e">
        <v>#N/A</v>
      </c>
      <c r="AK713" s="80">
        <f t="shared" si="107"/>
        <v>0</v>
      </c>
      <c r="AM713" s="85"/>
    </row>
    <row r="714" spans="1:39" hidden="1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01"/>
        <v>30</v>
      </c>
      <c r="X714" s="18">
        <f t="shared" si="100"/>
        <v>0</v>
      </c>
      <c r="Y714" s="13">
        <f t="shared" si="104"/>
        <v>0</v>
      </c>
      <c r="Z714" s="14">
        <v>0</v>
      </c>
      <c r="AA714" s="4">
        <v>0</v>
      </c>
      <c r="AB714" s="4">
        <f t="shared" si="108"/>
        <v>0</v>
      </c>
      <c r="AC714" s="6">
        <f t="shared" si="105"/>
        <v>0</v>
      </c>
      <c r="AD714" s="18">
        <f t="shared" si="102"/>
        <v>0</v>
      </c>
      <c r="AE714" s="2">
        <v>7.0000000000000007E-2</v>
      </c>
      <c r="AF714" s="5">
        <f t="shared" si="106"/>
        <v>0</v>
      </c>
      <c r="AG714" s="14">
        <v>0</v>
      </c>
      <c r="AH714" s="10">
        <f t="shared" si="103"/>
        <v>0</v>
      </c>
      <c r="AI714" s="16"/>
      <c r="AJ714" s="126" t="e">
        <v>#N/A</v>
      </c>
      <c r="AK714" s="80">
        <f t="shared" si="107"/>
        <v>0</v>
      </c>
      <c r="AM714" s="85"/>
    </row>
    <row r="715" spans="1:39" hidden="1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01"/>
        <v>6124.3</v>
      </c>
      <c r="X715" s="18">
        <f t="shared" si="100"/>
        <v>0</v>
      </c>
      <c r="Y715" s="13">
        <f t="shared" si="104"/>
        <v>0</v>
      </c>
      <c r="Z715" s="14">
        <v>0</v>
      </c>
      <c r="AA715" s="4">
        <v>0</v>
      </c>
      <c r="AB715" s="4">
        <f t="shared" si="108"/>
        <v>0</v>
      </c>
      <c r="AC715" s="6">
        <f t="shared" si="105"/>
        <v>0</v>
      </c>
      <c r="AD715" s="18">
        <f t="shared" si="102"/>
        <v>0</v>
      </c>
      <c r="AE715" s="2">
        <v>7.0000000000000007E-2</v>
      </c>
      <c r="AF715" s="5">
        <f t="shared" si="106"/>
        <v>0</v>
      </c>
      <c r="AG715" s="14">
        <v>0</v>
      </c>
      <c r="AH715" s="10">
        <f t="shared" si="103"/>
        <v>0</v>
      </c>
      <c r="AI715" s="16"/>
      <c r="AJ715" s="126" t="e">
        <v>#N/A</v>
      </c>
      <c r="AK715" s="80">
        <f t="shared" si="107"/>
        <v>0</v>
      </c>
      <c r="AM715" s="85"/>
    </row>
    <row r="716" spans="1:39" hidden="1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01"/>
        <v>4243.2</v>
      </c>
      <c r="X716" s="18">
        <f t="shared" si="100"/>
        <v>0</v>
      </c>
      <c r="Y716" s="13">
        <f t="shared" si="104"/>
        <v>0</v>
      </c>
      <c r="Z716" s="14">
        <v>0</v>
      </c>
      <c r="AA716" s="4">
        <v>0</v>
      </c>
      <c r="AB716" s="4">
        <f t="shared" si="108"/>
        <v>0</v>
      </c>
      <c r="AC716" s="6">
        <f t="shared" si="105"/>
        <v>0</v>
      </c>
      <c r="AD716" s="18">
        <f t="shared" si="102"/>
        <v>0</v>
      </c>
      <c r="AE716" s="2">
        <v>7.0000000000000007E-2</v>
      </c>
      <c r="AF716" s="5">
        <f t="shared" si="106"/>
        <v>0</v>
      </c>
      <c r="AG716" s="14">
        <v>0</v>
      </c>
      <c r="AH716" s="10">
        <f t="shared" si="103"/>
        <v>0</v>
      </c>
      <c r="AI716" s="16"/>
      <c r="AJ716" s="126" t="e">
        <v>#N/A</v>
      </c>
      <c r="AK716" s="80">
        <f t="shared" si="107"/>
        <v>0</v>
      </c>
      <c r="AM716" s="85"/>
    </row>
    <row r="717" spans="1:39" hidden="1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01"/>
        <v>11743.3</v>
      </c>
      <c r="X717" s="18">
        <f t="shared" si="100"/>
        <v>0</v>
      </c>
      <c r="Y717" s="13">
        <f t="shared" si="104"/>
        <v>0</v>
      </c>
      <c r="Z717" s="14">
        <v>0</v>
      </c>
      <c r="AA717" s="4">
        <v>0</v>
      </c>
      <c r="AB717" s="4">
        <f t="shared" si="108"/>
        <v>0</v>
      </c>
      <c r="AC717" s="6">
        <f t="shared" si="105"/>
        <v>0</v>
      </c>
      <c r="AD717" s="18">
        <f t="shared" si="102"/>
        <v>0</v>
      </c>
      <c r="AE717" s="2">
        <v>7.0000000000000007E-2</v>
      </c>
      <c r="AF717" s="5">
        <f t="shared" si="106"/>
        <v>0</v>
      </c>
      <c r="AG717" s="14">
        <v>0</v>
      </c>
      <c r="AH717" s="10">
        <f t="shared" si="103"/>
        <v>0</v>
      </c>
      <c r="AI717" s="16"/>
      <c r="AJ717" s="126" t="e">
        <v>#N/A</v>
      </c>
      <c r="AK717" s="80">
        <f t="shared" si="107"/>
        <v>0</v>
      </c>
      <c r="AM717" s="85"/>
    </row>
    <row r="718" spans="1:39" hidden="1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01"/>
        <v>4677.2</v>
      </c>
      <c r="X718" s="18">
        <f t="shared" si="100"/>
        <v>0</v>
      </c>
      <c r="Y718" s="13">
        <f t="shared" si="104"/>
        <v>0</v>
      </c>
      <c r="Z718" s="14">
        <v>0</v>
      </c>
      <c r="AA718" s="4">
        <v>0</v>
      </c>
      <c r="AB718" s="4">
        <f t="shared" si="108"/>
        <v>0</v>
      </c>
      <c r="AC718" s="6">
        <f t="shared" si="105"/>
        <v>0</v>
      </c>
      <c r="AD718" s="18">
        <f t="shared" si="102"/>
        <v>0</v>
      </c>
      <c r="AE718" s="2">
        <v>7.0000000000000007E-2</v>
      </c>
      <c r="AF718" s="5">
        <f t="shared" si="106"/>
        <v>0</v>
      </c>
      <c r="AG718" s="14">
        <v>0</v>
      </c>
      <c r="AH718" s="10">
        <f t="shared" si="103"/>
        <v>0</v>
      </c>
      <c r="AI718" s="16"/>
      <c r="AJ718" s="126" t="e">
        <v>#N/A</v>
      </c>
      <c r="AK718" s="80">
        <f t="shared" si="107"/>
        <v>0</v>
      </c>
      <c r="AM718" s="85"/>
    </row>
    <row r="719" spans="1:39" hidden="1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01"/>
        <v>55301.7</v>
      </c>
      <c r="X719" s="18">
        <f t="shared" si="100"/>
        <v>0</v>
      </c>
      <c r="Y719" s="13">
        <f t="shared" si="104"/>
        <v>0</v>
      </c>
      <c r="Z719" s="14">
        <v>0</v>
      </c>
      <c r="AA719" s="4">
        <v>0</v>
      </c>
      <c r="AB719" s="4">
        <f t="shared" si="108"/>
        <v>0</v>
      </c>
      <c r="AC719" s="6">
        <f t="shared" si="105"/>
        <v>0</v>
      </c>
      <c r="AD719" s="18">
        <f t="shared" si="102"/>
        <v>0</v>
      </c>
      <c r="AE719" s="2">
        <v>7.0000000000000007E-2</v>
      </c>
      <c r="AF719" s="5">
        <f t="shared" si="106"/>
        <v>0</v>
      </c>
      <c r="AG719" s="14">
        <v>0</v>
      </c>
      <c r="AH719" s="10">
        <f t="shared" si="103"/>
        <v>0</v>
      </c>
      <c r="AI719" s="16"/>
      <c r="AJ719" s="126" t="e">
        <v>#N/A</v>
      </c>
      <c r="AK719" s="80">
        <f t="shared" si="107"/>
        <v>0</v>
      </c>
      <c r="AM719" s="85"/>
    </row>
    <row r="720" spans="1:39" hidden="1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01"/>
        <v>2261.71</v>
      </c>
      <c r="X720" s="18">
        <f t="shared" si="100"/>
        <v>0</v>
      </c>
      <c r="Y720" s="13">
        <f t="shared" si="104"/>
        <v>0</v>
      </c>
      <c r="Z720" s="14">
        <v>0</v>
      </c>
      <c r="AA720" s="4">
        <v>0</v>
      </c>
      <c r="AB720" s="4"/>
      <c r="AC720" s="6">
        <f t="shared" si="105"/>
        <v>0</v>
      </c>
      <c r="AD720" s="18">
        <f t="shared" si="102"/>
        <v>0</v>
      </c>
      <c r="AE720" s="2">
        <v>0.12</v>
      </c>
      <c r="AF720" s="5">
        <f t="shared" si="106"/>
        <v>0</v>
      </c>
      <c r="AG720" s="14">
        <v>0</v>
      </c>
      <c r="AH720" s="10">
        <f t="shared" si="103"/>
        <v>0</v>
      </c>
      <c r="AI720" s="16"/>
      <c r="AJ720" s="126">
        <v>67</v>
      </c>
      <c r="AK720" s="80">
        <f t="shared" si="107"/>
        <v>0</v>
      </c>
      <c r="AM720" s="85"/>
    </row>
    <row r="721" spans="1:39" hidden="1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01"/>
        <v>70.17</v>
      </c>
      <c r="X721" s="18">
        <f t="shared" si="100"/>
        <v>0</v>
      </c>
      <c r="Y721" s="13">
        <f t="shared" si="104"/>
        <v>0</v>
      </c>
      <c r="Z721" s="14">
        <v>0</v>
      </c>
      <c r="AA721" s="4">
        <v>0</v>
      </c>
      <c r="AB721" s="4"/>
      <c r="AC721" s="6">
        <f t="shared" si="105"/>
        <v>0</v>
      </c>
      <c r="AD721" s="18">
        <f t="shared" si="102"/>
        <v>0</v>
      </c>
      <c r="AE721" s="2">
        <v>0.12</v>
      </c>
      <c r="AF721" s="5">
        <f t="shared" si="106"/>
        <v>0</v>
      </c>
      <c r="AG721" s="14">
        <v>0</v>
      </c>
      <c r="AH721" s="10">
        <f t="shared" si="103"/>
        <v>0</v>
      </c>
      <c r="AI721" s="16"/>
      <c r="AJ721" s="126">
        <v>6</v>
      </c>
      <c r="AK721" s="80">
        <f t="shared" si="107"/>
        <v>0</v>
      </c>
      <c r="AM721" s="85"/>
    </row>
    <row r="722" spans="1:39" hidden="1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01"/>
        <v>22667.23</v>
      </c>
      <c r="X722" s="18">
        <f t="shared" si="100"/>
        <v>0</v>
      </c>
      <c r="Y722" s="13">
        <f t="shared" si="104"/>
        <v>0</v>
      </c>
      <c r="Z722" s="14">
        <v>0</v>
      </c>
      <c r="AA722" s="4">
        <v>0</v>
      </c>
      <c r="AB722" s="4">
        <f t="shared" si="108"/>
        <v>0</v>
      </c>
      <c r="AC722" s="6">
        <f t="shared" si="105"/>
        <v>0</v>
      </c>
      <c r="AD722" s="18">
        <f t="shared" si="102"/>
        <v>0</v>
      </c>
      <c r="AE722" s="2">
        <v>7.0000000000000007E-2</v>
      </c>
      <c r="AF722" s="5">
        <f t="shared" si="106"/>
        <v>0</v>
      </c>
      <c r="AG722" s="14">
        <v>0</v>
      </c>
      <c r="AH722" s="10">
        <f t="shared" si="103"/>
        <v>0</v>
      </c>
      <c r="AI722" s="16"/>
      <c r="AJ722" s="126" t="e">
        <v>#N/A</v>
      </c>
      <c r="AK722" s="80">
        <f t="shared" si="107"/>
        <v>0</v>
      </c>
      <c r="AM722" s="85"/>
    </row>
    <row r="723" spans="1:39" hidden="1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01"/>
        <v>3016.8</v>
      </c>
      <c r="X723" s="18">
        <f t="shared" ref="X723:X786" si="109">IF(P723="折扣",V723*Q723,IF(P723="返现",V723,V723/(1+Q723)))</f>
        <v>0</v>
      </c>
      <c r="Y723" s="13">
        <f t="shared" si="104"/>
        <v>0</v>
      </c>
      <c r="Z723" s="14">
        <v>0</v>
      </c>
      <c r="AA723" s="4">
        <v>0</v>
      </c>
      <c r="AB723" s="4">
        <f t="shared" si="108"/>
        <v>0</v>
      </c>
      <c r="AC723" s="6">
        <f t="shared" si="105"/>
        <v>0</v>
      </c>
      <c r="AD723" s="18">
        <f t="shared" si="102"/>
        <v>0</v>
      </c>
      <c r="AE723" s="2">
        <v>7.0000000000000007E-2</v>
      </c>
      <c r="AF723" s="5">
        <f t="shared" si="106"/>
        <v>0</v>
      </c>
      <c r="AG723" s="14">
        <v>0</v>
      </c>
      <c r="AH723" s="10">
        <f t="shared" si="103"/>
        <v>0</v>
      </c>
      <c r="AI723" s="16"/>
      <c r="AJ723" s="126" t="e">
        <v>#N/A</v>
      </c>
      <c r="AK723" s="80">
        <f t="shared" si="107"/>
        <v>0</v>
      </c>
      <c r="AM723" s="85"/>
    </row>
    <row r="724" spans="1:39" hidden="1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10">T724+U724-V724</f>
        <v>396.2</v>
      </c>
      <c r="X724" s="18">
        <f t="shared" si="109"/>
        <v>0</v>
      </c>
      <c r="Y724" s="13">
        <f t="shared" si="104"/>
        <v>0</v>
      </c>
      <c r="Z724" s="14">
        <v>0</v>
      </c>
      <c r="AA724" s="4">
        <v>0</v>
      </c>
      <c r="AB724" s="4">
        <f t="shared" si="108"/>
        <v>0</v>
      </c>
      <c r="AC724" s="6">
        <f t="shared" si="105"/>
        <v>0</v>
      </c>
      <c r="AD724" s="18">
        <f t="shared" si="102"/>
        <v>0</v>
      </c>
      <c r="AE724" s="2">
        <v>0.12</v>
      </c>
      <c r="AF724" s="5">
        <f t="shared" si="106"/>
        <v>0</v>
      </c>
      <c r="AG724" s="14">
        <v>0</v>
      </c>
      <c r="AH724" s="10">
        <f t="shared" si="103"/>
        <v>0</v>
      </c>
      <c r="AI724" s="16"/>
      <c r="AJ724" s="126" t="e">
        <v>#N/A</v>
      </c>
      <c r="AK724" s="80">
        <f t="shared" si="107"/>
        <v>0</v>
      </c>
      <c r="AM724" s="85"/>
    </row>
    <row r="725" spans="1:39" hidden="1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10"/>
        <v>127.88</v>
      </c>
      <c r="X725" s="18">
        <f t="shared" si="109"/>
        <v>0</v>
      </c>
      <c r="Y725" s="13">
        <f t="shared" si="104"/>
        <v>0</v>
      </c>
      <c r="Z725" s="14">
        <v>0</v>
      </c>
      <c r="AA725" s="4">
        <v>0</v>
      </c>
      <c r="AB725" s="4"/>
      <c r="AC725" s="6">
        <f t="shared" si="105"/>
        <v>0</v>
      </c>
      <c r="AD725" s="18">
        <f t="shared" si="102"/>
        <v>0</v>
      </c>
      <c r="AE725" s="2">
        <v>0.12</v>
      </c>
      <c r="AF725" s="5">
        <f t="shared" si="106"/>
        <v>0</v>
      </c>
      <c r="AG725" s="14">
        <v>0</v>
      </c>
      <c r="AH725" s="10">
        <f t="shared" si="103"/>
        <v>0</v>
      </c>
      <c r="AI725" s="16"/>
      <c r="AJ725" s="126">
        <v>59</v>
      </c>
      <c r="AK725" s="80">
        <f t="shared" si="107"/>
        <v>0</v>
      </c>
      <c r="AM725" s="85"/>
    </row>
    <row r="726" spans="1:39" hidden="1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10"/>
        <v>1615.52</v>
      </c>
      <c r="X726" s="18">
        <f t="shared" si="109"/>
        <v>0</v>
      </c>
      <c r="Y726" s="13">
        <f t="shared" si="104"/>
        <v>0</v>
      </c>
      <c r="Z726" s="14">
        <v>0</v>
      </c>
      <c r="AA726" s="4">
        <v>0</v>
      </c>
      <c r="AB726" s="4">
        <f t="shared" si="108"/>
        <v>0</v>
      </c>
      <c r="AC726" s="6">
        <f t="shared" si="105"/>
        <v>0</v>
      </c>
      <c r="AD726" s="18">
        <f t="shared" si="102"/>
        <v>0</v>
      </c>
      <c r="AE726" s="2">
        <v>0.12</v>
      </c>
      <c r="AF726" s="5">
        <f t="shared" si="106"/>
        <v>0</v>
      </c>
      <c r="AG726" s="14">
        <v>0</v>
      </c>
      <c r="AH726" s="10">
        <f t="shared" si="103"/>
        <v>0</v>
      </c>
      <c r="AI726" s="16"/>
      <c r="AJ726" s="126" t="e">
        <v>#N/A</v>
      </c>
      <c r="AK726" s="80">
        <f t="shared" si="107"/>
        <v>0</v>
      </c>
      <c r="AM726" s="85"/>
    </row>
    <row r="727" spans="1:39" hidden="1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10"/>
        <v>160.54</v>
      </c>
      <c r="X727" s="18">
        <f t="shared" si="109"/>
        <v>0</v>
      </c>
      <c r="Y727" s="13">
        <f t="shared" si="104"/>
        <v>0</v>
      </c>
      <c r="Z727" s="14">
        <v>0</v>
      </c>
      <c r="AA727" s="4">
        <v>0</v>
      </c>
      <c r="AB727" s="4">
        <f t="shared" si="108"/>
        <v>0</v>
      </c>
      <c r="AC727" s="6">
        <f t="shared" si="105"/>
        <v>0</v>
      </c>
      <c r="AD727" s="18">
        <f t="shared" si="102"/>
        <v>0</v>
      </c>
      <c r="AE727" s="2">
        <v>0.12</v>
      </c>
      <c r="AF727" s="5">
        <f t="shared" si="106"/>
        <v>0</v>
      </c>
      <c r="AG727" s="14">
        <v>0</v>
      </c>
      <c r="AH727" s="10">
        <f t="shared" si="103"/>
        <v>0</v>
      </c>
      <c r="AI727" s="16"/>
      <c r="AJ727" s="126" t="e">
        <v>#N/A</v>
      </c>
      <c r="AK727" s="80">
        <f t="shared" si="107"/>
        <v>0</v>
      </c>
      <c r="AM727" s="85"/>
    </row>
    <row r="728" spans="1:39" hidden="1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10"/>
        <v>5.08</v>
      </c>
      <c r="X728" s="18">
        <f t="shared" si="109"/>
        <v>0</v>
      </c>
      <c r="Y728" s="13">
        <f t="shared" si="104"/>
        <v>0</v>
      </c>
      <c r="Z728" s="14">
        <v>0</v>
      </c>
      <c r="AA728" s="4">
        <v>0</v>
      </c>
      <c r="AB728" s="4">
        <f t="shared" si="108"/>
        <v>0</v>
      </c>
      <c r="AC728" s="6">
        <f t="shared" si="105"/>
        <v>0</v>
      </c>
      <c r="AD728" s="18">
        <f t="shared" si="102"/>
        <v>0</v>
      </c>
      <c r="AE728" s="2">
        <v>0.12</v>
      </c>
      <c r="AF728" s="5">
        <f t="shared" si="106"/>
        <v>0</v>
      </c>
      <c r="AG728" s="14">
        <v>0</v>
      </c>
      <c r="AH728" s="10">
        <f t="shared" si="103"/>
        <v>0</v>
      </c>
      <c r="AI728" s="16"/>
      <c r="AJ728" s="126" t="e">
        <v>#N/A</v>
      </c>
      <c r="AK728" s="80">
        <f t="shared" si="107"/>
        <v>0</v>
      </c>
      <c r="AM728" s="85"/>
    </row>
    <row r="729" spans="1:39" hidden="1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10"/>
        <v>580.39</v>
      </c>
      <c r="X729" s="18">
        <f t="shared" si="109"/>
        <v>0</v>
      </c>
      <c r="Y729" s="13">
        <f t="shared" si="104"/>
        <v>0</v>
      </c>
      <c r="Z729" s="14">
        <v>0</v>
      </c>
      <c r="AA729" s="4">
        <v>0</v>
      </c>
      <c r="AB729" s="4">
        <f t="shared" si="108"/>
        <v>0</v>
      </c>
      <c r="AC729" s="6">
        <f t="shared" si="105"/>
        <v>0</v>
      </c>
      <c r="AD729" s="18">
        <f t="shared" si="102"/>
        <v>0</v>
      </c>
      <c r="AE729" s="2">
        <v>0.12</v>
      </c>
      <c r="AF729" s="5">
        <f t="shared" si="106"/>
        <v>0</v>
      </c>
      <c r="AG729" s="14">
        <v>0</v>
      </c>
      <c r="AH729" s="10">
        <f t="shared" si="103"/>
        <v>0</v>
      </c>
      <c r="AI729" s="16"/>
      <c r="AJ729" s="126" t="e">
        <v>#N/A</v>
      </c>
      <c r="AK729" s="80">
        <f t="shared" si="107"/>
        <v>0</v>
      </c>
      <c r="AM729" s="85"/>
    </row>
    <row r="730" spans="1:39" hidden="1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10"/>
        <v>172.33</v>
      </c>
      <c r="X730" s="18">
        <f t="shared" si="109"/>
        <v>0</v>
      </c>
      <c r="Y730" s="13">
        <f t="shared" si="104"/>
        <v>0</v>
      </c>
      <c r="Z730" s="14">
        <v>0</v>
      </c>
      <c r="AA730" s="4">
        <v>0</v>
      </c>
      <c r="AB730" s="4">
        <f t="shared" si="108"/>
        <v>0</v>
      </c>
      <c r="AC730" s="6">
        <f t="shared" si="105"/>
        <v>0</v>
      </c>
      <c r="AD730" s="18">
        <f t="shared" si="102"/>
        <v>0</v>
      </c>
      <c r="AE730" s="2">
        <v>0.12</v>
      </c>
      <c r="AF730" s="5">
        <f t="shared" si="106"/>
        <v>0</v>
      </c>
      <c r="AG730" s="14">
        <v>0</v>
      </c>
      <c r="AH730" s="10">
        <f t="shared" si="103"/>
        <v>0</v>
      </c>
      <c r="AI730" s="16"/>
      <c r="AJ730" s="126" t="e">
        <v>#N/A</v>
      </c>
      <c r="AK730" s="80">
        <f t="shared" si="107"/>
        <v>0</v>
      </c>
      <c r="AM730" s="85"/>
    </row>
    <row r="731" spans="1:39" hidden="1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10"/>
        <v>68.290000000000006</v>
      </c>
      <c r="X731" s="18">
        <f t="shared" si="109"/>
        <v>0</v>
      </c>
      <c r="Y731" s="13">
        <f t="shared" si="104"/>
        <v>0</v>
      </c>
      <c r="Z731" s="14">
        <v>0</v>
      </c>
      <c r="AA731" s="4">
        <v>0</v>
      </c>
      <c r="AB731" s="4">
        <f t="shared" si="108"/>
        <v>0</v>
      </c>
      <c r="AC731" s="6">
        <f t="shared" si="105"/>
        <v>0</v>
      </c>
      <c r="AD731" s="18">
        <f t="shared" si="102"/>
        <v>0</v>
      </c>
      <c r="AE731" s="2">
        <v>0.12</v>
      </c>
      <c r="AF731" s="5">
        <f t="shared" si="106"/>
        <v>0</v>
      </c>
      <c r="AG731" s="14">
        <v>0</v>
      </c>
      <c r="AH731" s="10">
        <f t="shared" si="103"/>
        <v>0</v>
      </c>
      <c r="AI731" s="16"/>
      <c r="AJ731" s="126" t="e">
        <v>#N/A</v>
      </c>
      <c r="AK731" s="80">
        <f t="shared" si="107"/>
        <v>0</v>
      </c>
      <c r="AM731" s="85"/>
    </row>
    <row r="732" spans="1:39" hidden="1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10"/>
        <v>20.149999999999999</v>
      </c>
      <c r="X732" s="18">
        <f t="shared" si="109"/>
        <v>0</v>
      </c>
      <c r="Y732" s="13">
        <f t="shared" si="104"/>
        <v>0</v>
      </c>
      <c r="Z732" s="14">
        <v>0</v>
      </c>
      <c r="AA732" s="4">
        <v>0</v>
      </c>
      <c r="AB732" s="4">
        <f t="shared" si="108"/>
        <v>0</v>
      </c>
      <c r="AC732" s="6">
        <f t="shared" si="105"/>
        <v>0</v>
      </c>
      <c r="AD732" s="18">
        <f t="shared" si="102"/>
        <v>0</v>
      </c>
      <c r="AE732" s="2">
        <v>7.0000000000000007E-2</v>
      </c>
      <c r="AF732" s="5">
        <f t="shared" si="106"/>
        <v>0</v>
      </c>
      <c r="AG732" s="14">
        <v>0</v>
      </c>
      <c r="AH732" s="10">
        <f t="shared" si="103"/>
        <v>0</v>
      </c>
      <c r="AI732" s="16"/>
      <c r="AJ732" s="126" t="e">
        <v>#N/A</v>
      </c>
      <c r="AK732" s="80">
        <f t="shared" si="107"/>
        <v>0</v>
      </c>
      <c r="AM732" s="85"/>
    </row>
    <row r="733" spans="1:39" hidden="1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10"/>
        <v>12076.74</v>
      </c>
      <c r="X733" s="18">
        <f t="shared" si="109"/>
        <v>0</v>
      </c>
      <c r="Y733" s="13">
        <f t="shared" si="104"/>
        <v>0</v>
      </c>
      <c r="Z733" s="14">
        <v>0</v>
      </c>
      <c r="AA733" s="4">
        <v>0</v>
      </c>
      <c r="AB733" s="4">
        <f t="shared" si="108"/>
        <v>0</v>
      </c>
      <c r="AC733" s="6">
        <f t="shared" si="105"/>
        <v>0</v>
      </c>
      <c r="AD733" s="18">
        <f t="shared" si="102"/>
        <v>0</v>
      </c>
      <c r="AE733" s="2">
        <v>0.12</v>
      </c>
      <c r="AF733" s="5">
        <f t="shared" si="106"/>
        <v>0</v>
      </c>
      <c r="AG733" s="14">
        <v>0</v>
      </c>
      <c r="AH733" s="10">
        <f t="shared" si="103"/>
        <v>0</v>
      </c>
      <c r="AI733" s="16"/>
      <c r="AJ733" s="126" t="e">
        <v>#N/A</v>
      </c>
      <c r="AK733" s="80">
        <f t="shared" si="107"/>
        <v>0</v>
      </c>
      <c r="AM733" s="85"/>
    </row>
    <row r="734" spans="1:39" hidden="1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10"/>
        <v>9995.36</v>
      </c>
      <c r="X734" s="18">
        <f t="shared" si="109"/>
        <v>0</v>
      </c>
      <c r="Y734" s="13">
        <f t="shared" si="104"/>
        <v>0</v>
      </c>
      <c r="Z734" s="14">
        <v>0</v>
      </c>
      <c r="AA734" s="4">
        <v>0</v>
      </c>
      <c r="AB734" s="4">
        <f t="shared" si="108"/>
        <v>0</v>
      </c>
      <c r="AC734" s="6">
        <f t="shared" si="105"/>
        <v>0</v>
      </c>
      <c r="AD734" s="18">
        <f t="shared" si="102"/>
        <v>0</v>
      </c>
      <c r="AE734" s="2">
        <v>0.12</v>
      </c>
      <c r="AF734" s="5">
        <f t="shared" si="106"/>
        <v>0</v>
      </c>
      <c r="AG734" s="14">
        <v>0</v>
      </c>
      <c r="AH734" s="10">
        <f t="shared" si="103"/>
        <v>0</v>
      </c>
      <c r="AI734" s="16"/>
      <c r="AJ734" s="126" t="e">
        <v>#N/A</v>
      </c>
      <c r="AK734" s="80">
        <f t="shared" si="107"/>
        <v>0</v>
      </c>
      <c r="AM734" s="85"/>
    </row>
    <row r="735" spans="1:39" hidden="1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10"/>
        <v>5130.5</v>
      </c>
      <c r="X735" s="18">
        <f t="shared" si="109"/>
        <v>0</v>
      </c>
      <c r="Y735" s="13">
        <f t="shared" si="104"/>
        <v>0</v>
      </c>
      <c r="Z735" s="14">
        <v>0</v>
      </c>
      <c r="AA735" s="4">
        <v>0</v>
      </c>
      <c r="AB735" s="4">
        <f t="shared" si="108"/>
        <v>0</v>
      </c>
      <c r="AC735" s="6">
        <f t="shared" si="105"/>
        <v>0</v>
      </c>
      <c r="AD735" s="18">
        <f t="shared" si="102"/>
        <v>0</v>
      </c>
      <c r="AE735" s="2">
        <v>7.0000000000000007E-2</v>
      </c>
      <c r="AF735" s="5">
        <f t="shared" si="106"/>
        <v>0</v>
      </c>
      <c r="AG735" s="14">
        <v>0</v>
      </c>
      <c r="AH735" s="10">
        <f t="shared" si="103"/>
        <v>0</v>
      </c>
      <c r="AI735" s="16"/>
      <c r="AJ735" s="126" t="e">
        <v>#N/A</v>
      </c>
      <c r="AK735" s="80">
        <f t="shared" si="107"/>
        <v>0</v>
      </c>
      <c r="AM735" s="85"/>
    </row>
    <row r="736" spans="1:39" hidden="1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10"/>
        <v>646.35</v>
      </c>
      <c r="X736" s="18">
        <f t="shared" si="109"/>
        <v>0</v>
      </c>
      <c r="Y736" s="13">
        <f t="shared" si="104"/>
        <v>0</v>
      </c>
      <c r="Z736" s="14">
        <v>0</v>
      </c>
      <c r="AA736" s="4">
        <v>0</v>
      </c>
      <c r="AB736" s="4">
        <f t="shared" si="108"/>
        <v>0</v>
      </c>
      <c r="AC736" s="6">
        <f t="shared" si="105"/>
        <v>0</v>
      </c>
      <c r="AD736" s="18">
        <f t="shared" si="102"/>
        <v>0</v>
      </c>
      <c r="AE736" s="2">
        <v>0.12</v>
      </c>
      <c r="AF736" s="5">
        <f t="shared" si="106"/>
        <v>0</v>
      </c>
      <c r="AG736" s="14">
        <v>0</v>
      </c>
      <c r="AH736" s="10">
        <f t="shared" si="103"/>
        <v>0</v>
      </c>
      <c r="AI736" s="16"/>
      <c r="AJ736" s="126" t="e">
        <v>#N/A</v>
      </c>
      <c r="AK736" s="80">
        <f t="shared" si="107"/>
        <v>0</v>
      </c>
      <c r="AM736" s="85"/>
    </row>
    <row r="737" spans="1:39" hidden="1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10"/>
        <v>1682.6</v>
      </c>
      <c r="X737" s="18">
        <f t="shared" si="109"/>
        <v>0</v>
      </c>
      <c r="Y737" s="13">
        <f t="shared" si="104"/>
        <v>0</v>
      </c>
      <c r="Z737" s="14">
        <v>0</v>
      </c>
      <c r="AA737" s="4">
        <v>0</v>
      </c>
      <c r="AB737" s="4">
        <f t="shared" si="108"/>
        <v>0</v>
      </c>
      <c r="AC737" s="6">
        <f t="shared" si="105"/>
        <v>0</v>
      </c>
      <c r="AD737" s="18">
        <f t="shared" si="102"/>
        <v>0</v>
      </c>
      <c r="AE737" s="2">
        <v>7.0000000000000007E-2</v>
      </c>
      <c r="AF737" s="5">
        <f t="shared" si="106"/>
        <v>0</v>
      </c>
      <c r="AG737" s="14">
        <v>0</v>
      </c>
      <c r="AH737" s="10">
        <f t="shared" si="103"/>
        <v>0</v>
      </c>
      <c r="AI737" s="16"/>
      <c r="AJ737" s="126" t="e">
        <v>#N/A</v>
      </c>
      <c r="AK737" s="80">
        <f t="shared" si="107"/>
        <v>0</v>
      </c>
      <c r="AM737" s="85"/>
    </row>
    <row r="738" spans="1:39" hidden="1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10"/>
        <v>24807.5</v>
      </c>
      <c r="X738" s="18">
        <f t="shared" si="109"/>
        <v>0</v>
      </c>
      <c r="Y738" s="13">
        <f t="shared" si="104"/>
        <v>0</v>
      </c>
      <c r="Z738" s="14">
        <v>0</v>
      </c>
      <c r="AA738" s="4">
        <v>0</v>
      </c>
      <c r="AB738" s="4">
        <f t="shared" si="108"/>
        <v>0</v>
      </c>
      <c r="AC738" s="6">
        <f t="shared" si="105"/>
        <v>0</v>
      </c>
      <c r="AD738" s="18">
        <f t="shared" si="102"/>
        <v>0</v>
      </c>
      <c r="AE738" s="2">
        <v>7.0000000000000007E-2</v>
      </c>
      <c r="AF738" s="5">
        <f t="shared" si="106"/>
        <v>0</v>
      </c>
      <c r="AG738" s="14">
        <v>0</v>
      </c>
      <c r="AH738" s="10">
        <f t="shared" si="103"/>
        <v>0</v>
      </c>
      <c r="AI738" s="16"/>
      <c r="AJ738" s="126" t="e">
        <v>#N/A</v>
      </c>
      <c r="AK738" s="80">
        <f t="shared" si="107"/>
        <v>0</v>
      </c>
      <c r="AM738" s="85"/>
    </row>
    <row r="739" spans="1:39" hidden="1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10"/>
        <v>18920.45</v>
      </c>
      <c r="X739" s="18">
        <f t="shared" si="109"/>
        <v>0</v>
      </c>
      <c r="Y739" s="13">
        <f t="shared" si="104"/>
        <v>0</v>
      </c>
      <c r="Z739" s="14">
        <v>0</v>
      </c>
      <c r="AA739" s="4">
        <v>0</v>
      </c>
      <c r="AB739" s="4">
        <f t="shared" si="108"/>
        <v>0</v>
      </c>
      <c r="AC739" s="6">
        <f t="shared" si="105"/>
        <v>0</v>
      </c>
      <c r="AD739" s="18">
        <f t="shared" si="102"/>
        <v>0</v>
      </c>
      <c r="AE739" s="2">
        <v>7.0000000000000007E-2</v>
      </c>
      <c r="AF739" s="5">
        <f t="shared" si="106"/>
        <v>0</v>
      </c>
      <c r="AG739" s="14">
        <v>0</v>
      </c>
      <c r="AH739" s="10">
        <f t="shared" si="103"/>
        <v>0</v>
      </c>
      <c r="AI739" s="16"/>
      <c r="AJ739" s="126" t="e">
        <v>#N/A</v>
      </c>
      <c r="AK739" s="80">
        <f t="shared" si="107"/>
        <v>0</v>
      </c>
      <c r="AM739" s="85"/>
    </row>
    <row r="740" spans="1:39" hidden="1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10"/>
        <v>697.7</v>
      </c>
      <c r="X740" s="18">
        <f t="shared" si="109"/>
        <v>0</v>
      </c>
      <c r="Y740" s="13">
        <f t="shared" si="104"/>
        <v>0</v>
      </c>
      <c r="Z740" s="14">
        <v>0</v>
      </c>
      <c r="AA740" s="4">
        <v>0</v>
      </c>
      <c r="AB740" s="4">
        <f t="shared" si="108"/>
        <v>0</v>
      </c>
      <c r="AC740" s="6">
        <f t="shared" si="105"/>
        <v>0</v>
      </c>
      <c r="AD740" s="18">
        <f t="shared" si="102"/>
        <v>0</v>
      </c>
      <c r="AE740" s="2">
        <v>7.0000000000000007E-2</v>
      </c>
      <c r="AF740" s="5">
        <f t="shared" si="106"/>
        <v>0</v>
      </c>
      <c r="AG740" s="14">
        <v>0</v>
      </c>
      <c r="AH740" s="10">
        <f t="shared" si="103"/>
        <v>0</v>
      </c>
      <c r="AI740" s="16"/>
      <c r="AJ740" s="126" t="e">
        <v>#N/A</v>
      </c>
      <c r="AK740" s="80">
        <f t="shared" si="107"/>
        <v>0</v>
      </c>
      <c r="AM740" s="85"/>
    </row>
    <row r="741" spans="1:39" hidden="1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10"/>
        <v>2.4500000000000002</v>
      </c>
      <c r="X741" s="18">
        <f t="shared" si="109"/>
        <v>0</v>
      </c>
      <c r="Y741" s="13">
        <f t="shared" si="104"/>
        <v>0</v>
      </c>
      <c r="Z741" s="14">
        <v>0</v>
      </c>
      <c r="AA741" s="4">
        <v>0</v>
      </c>
      <c r="AB741" s="4">
        <f t="shared" si="108"/>
        <v>0</v>
      </c>
      <c r="AC741" s="6">
        <f t="shared" si="105"/>
        <v>0</v>
      </c>
      <c r="AD741" s="18">
        <f t="shared" si="102"/>
        <v>0</v>
      </c>
      <c r="AE741" s="2">
        <v>7.0000000000000007E-2</v>
      </c>
      <c r="AF741" s="5">
        <f t="shared" si="106"/>
        <v>0</v>
      </c>
      <c r="AG741" s="14">
        <v>0</v>
      </c>
      <c r="AH741" s="10">
        <f t="shared" si="103"/>
        <v>0</v>
      </c>
      <c r="AI741" s="16"/>
      <c r="AJ741" s="126" t="e">
        <v>#N/A</v>
      </c>
      <c r="AK741" s="80">
        <f t="shared" si="107"/>
        <v>0</v>
      </c>
      <c r="AM741" s="85"/>
    </row>
    <row r="742" spans="1:39" hidden="1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10"/>
        <v>1667.34</v>
      </c>
      <c r="X742" s="18">
        <f t="shared" si="109"/>
        <v>0</v>
      </c>
      <c r="Y742" s="13">
        <f t="shared" si="104"/>
        <v>0</v>
      </c>
      <c r="Z742" s="14">
        <v>0</v>
      </c>
      <c r="AA742" s="4">
        <v>0</v>
      </c>
      <c r="AB742" s="4">
        <f t="shared" si="108"/>
        <v>0</v>
      </c>
      <c r="AC742" s="6">
        <f t="shared" si="105"/>
        <v>0</v>
      </c>
      <c r="AD742" s="18">
        <f t="shared" si="102"/>
        <v>0</v>
      </c>
      <c r="AE742" s="2">
        <v>7.0000000000000007E-2</v>
      </c>
      <c r="AF742" s="5">
        <f t="shared" si="106"/>
        <v>0</v>
      </c>
      <c r="AG742" s="14">
        <v>0</v>
      </c>
      <c r="AH742" s="10">
        <f t="shared" si="103"/>
        <v>0</v>
      </c>
      <c r="AI742" s="16"/>
      <c r="AJ742" s="126" t="e">
        <v>#N/A</v>
      </c>
      <c r="AK742" s="80">
        <f t="shared" si="107"/>
        <v>0</v>
      </c>
      <c r="AM742" s="85"/>
    </row>
    <row r="743" spans="1:39" hidden="1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10"/>
        <v>2298.7800000000002</v>
      </c>
      <c r="X743" s="18">
        <f t="shared" si="109"/>
        <v>0</v>
      </c>
      <c r="Y743" s="13">
        <f t="shared" si="104"/>
        <v>0</v>
      </c>
      <c r="Z743" s="14">
        <v>0</v>
      </c>
      <c r="AA743" s="4">
        <v>0</v>
      </c>
      <c r="AB743" s="4">
        <f t="shared" si="108"/>
        <v>0</v>
      </c>
      <c r="AC743" s="6">
        <f t="shared" si="105"/>
        <v>0</v>
      </c>
      <c r="AD743" s="18">
        <f t="shared" si="102"/>
        <v>0</v>
      </c>
      <c r="AE743" s="2">
        <v>7.0000000000000007E-2</v>
      </c>
      <c r="AF743" s="5">
        <f t="shared" si="106"/>
        <v>0</v>
      </c>
      <c r="AG743" s="14">
        <v>0</v>
      </c>
      <c r="AH743" s="10">
        <f t="shared" si="103"/>
        <v>0</v>
      </c>
      <c r="AI743" s="16"/>
      <c r="AJ743" s="126" t="e">
        <v>#N/A</v>
      </c>
      <c r="AK743" s="80">
        <f t="shared" si="107"/>
        <v>0</v>
      </c>
      <c r="AM743" s="85"/>
    </row>
    <row r="744" spans="1:39" hidden="1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10"/>
        <v>9444.5</v>
      </c>
      <c r="X744" s="18">
        <f t="shared" si="109"/>
        <v>0</v>
      </c>
      <c r="Y744" s="13">
        <f t="shared" si="104"/>
        <v>0</v>
      </c>
      <c r="Z744" s="14">
        <v>0</v>
      </c>
      <c r="AA744" s="4">
        <v>0</v>
      </c>
      <c r="AB744" s="4">
        <f t="shared" si="108"/>
        <v>0</v>
      </c>
      <c r="AC744" s="6">
        <f t="shared" si="105"/>
        <v>0</v>
      </c>
      <c r="AD744" s="18">
        <f t="shared" si="102"/>
        <v>0</v>
      </c>
      <c r="AE744" s="2">
        <v>7.0000000000000007E-2</v>
      </c>
      <c r="AF744" s="5">
        <f t="shared" si="106"/>
        <v>0</v>
      </c>
      <c r="AG744" s="14">
        <v>0</v>
      </c>
      <c r="AH744" s="10">
        <f t="shared" si="103"/>
        <v>0</v>
      </c>
      <c r="AI744" s="16"/>
      <c r="AJ744" s="126" t="e">
        <v>#N/A</v>
      </c>
      <c r="AK744" s="80">
        <f t="shared" si="107"/>
        <v>0</v>
      </c>
      <c r="AM744" s="85"/>
    </row>
    <row r="745" spans="1:39" hidden="1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10"/>
        <v>2383.9499999999998</v>
      </c>
      <c r="X745" s="18">
        <f t="shared" si="109"/>
        <v>0</v>
      </c>
      <c r="Y745" s="13">
        <f t="shared" si="104"/>
        <v>0</v>
      </c>
      <c r="Z745" s="14">
        <v>0</v>
      </c>
      <c r="AA745" s="4">
        <v>0</v>
      </c>
      <c r="AB745" s="4">
        <f t="shared" si="108"/>
        <v>0</v>
      </c>
      <c r="AC745" s="6">
        <f t="shared" si="105"/>
        <v>0</v>
      </c>
      <c r="AD745" s="18">
        <f t="shared" si="102"/>
        <v>0</v>
      </c>
      <c r="AE745" s="2">
        <v>7.0000000000000007E-2</v>
      </c>
      <c r="AF745" s="5">
        <f t="shared" si="106"/>
        <v>0</v>
      </c>
      <c r="AG745" s="14">
        <v>0</v>
      </c>
      <c r="AH745" s="10">
        <f t="shared" si="103"/>
        <v>0</v>
      </c>
      <c r="AI745" s="16"/>
      <c r="AJ745" s="126" t="e">
        <v>#N/A</v>
      </c>
      <c r="AK745" s="80">
        <f t="shared" si="107"/>
        <v>0</v>
      </c>
      <c r="AM745" s="85"/>
    </row>
    <row r="746" spans="1:39" hidden="1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10"/>
        <v>5768.6</v>
      </c>
      <c r="X746" s="18">
        <f t="shared" si="109"/>
        <v>0</v>
      </c>
      <c r="Y746" s="13">
        <f t="shared" si="104"/>
        <v>0</v>
      </c>
      <c r="Z746" s="14">
        <v>0</v>
      </c>
      <c r="AA746" s="4">
        <v>0</v>
      </c>
      <c r="AB746" s="4">
        <f t="shared" si="108"/>
        <v>0</v>
      </c>
      <c r="AC746" s="6">
        <f t="shared" si="105"/>
        <v>0</v>
      </c>
      <c r="AD746" s="18">
        <f t="shared" si="102"/>
        <v>0</v>
      </c>
      <c r="AE746" s="2">
        <v>7.0000000000000007E-2</v>
      </c>
      <c r="AF746" s="5">
        <f t="shared" si="106"/>
        <v>0</v>
      </c>
      <c r="AG746" s="14">
        <v>0</v>
      </c>
      <c r="AH746" s="10">
        <f t="shared" si="103"/>
        <v>0</v>
      </c>
      <c r="AI746" s="16"/>
      <c r="AJ746" s="126" t="e">
        <v>#N/A</v>
      </c>
      <c r="AK746" s="80">
        <f t="shared" si="107"/>
        <v>0</v>
      </c>
      <c r="AM746" s="85"/>
    </row>
    <row r="747" spans="1:39" hidden="1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10"/>
        <v>6206</v>
      </c>
      <c r="X747" s="18">
        <f t="shared" si="109"/>
        <v>0</v>
      </c>
      <c r="Y747" s="13">
        <f t="shared" si="104"/>
        <v>0</v>
      </c>
      <c r="Z747" s="14">
        <v>0</v>
      </c>
      <c r="AA747" s="4">
        <v>0</v>
      </c>
      <c r="AB747" s="4">
        <f t="shared" si="108"/>
        <v>0</v>
      </c>
      <c r="AC747" s="6">
        <f t="shared" si="105"/>
        <v>0</v>
      </c>
      <c r="AD747" s="18">
        <f t="shared" si="102"/>
        <v>0</v>
      </c>
      <c r="AE747" s="2">
        <v>7.0000000000000007E-2</v>
      </c>
      <c r="AF747" s="5">
        <f t="shared" si="106"/>
        <v>0</v>
      </c>
      <c r="AG747" s="14">
        <v>0</v>
      </c>
      <c r="AH747" s="10">
        <f t="shared" si="103"/>
        <v>0</v>
      </c>
      <c r="AI747" s="16"/>
      <c r="AJ747" s="126" t="e">
        <v>#N/A</v>
      </c>
      <c r="AK747" s="80">
        <f t="shared" si="107"/>
        <v>0</v>
      </c>
      <c r="AM747" s="85"/>
    </row>
    <row r="748" spans="1:39" hidden="1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10"/>
        <v>46724.05</v>
      </c>
      <c r="X748" s="18">
        <f t="shared" si="109"/>
        <v>0</v>
      </c>
      <c r="Y748" s="13">
        <f t="shared" si="104"/>
        <v>0</v>
      </c>
      <c r="Z748" s="14">
        <v>0</v>
      </c>
      <c r="AA748" s="4">
        <v>0</v>
      </c>
      <c r="AB748" s="4">
        <f t="shared" si="108"/>
        <v>0</v>
      </c>
      <c r="AC748" s="6">
        <f t="shared" si="105"/>
        <v>0</v>
      </c>
      <c r="AD748" s="18">
        <f t="shared" si="102"/>
        <v>0</v>
      </c>
      <c r="AE748" s="2">
        <v>7.0000000000000007E-2</v>
      </c>
      <c r="AF748" s="5">
        <f t="shared" si="106"/>
        <v>0</v>
      </c>
      <c r="AG748" s="14">
        <v>0</v>
      </c>
      <c r="AH748" s="10">
        <f t="shared" si="103"/>
        <v>0</v>
      </c>
      <c r="AI748" s="16"/>
      <c r="AJ748" s="126" t="e">
        <v>#N/A</v>
      </c>
      <c r="AK748" s="80">
        <f t="shared" si="107"/>
        <v>0</v>
      </c>
      <c r="AM748" s="85"/>
    </row>
    <row r="749" spans="1:39" hidden="1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10"/>
        <v>59848.4</v>
      </c>
      <c r="X749" s="18">
        <f t="shared" si="109"/>
        <v>0</v>
      </c>
      <c r="Y749" s="13">
        <f t="shared" si="104"/>
        <v>0</v>
      </c>
      <c r="Z749" s="14">
        <v>0</v>
      </c>
      <c r="AA749" s="4">
        <v>0</v>
      </c>
      <c r="AB749" s="4">
        <f t="shared" si="108"/>
        <v>0</v>
      </c>
      <c r="AC749" s="6">
        <f t="shared" si="105"/>
        <v>0</v>
      </c>
      <c r="AD749" s="18">
        <f t="shared" si="102"/>
        <v>0</v>
      </c>
      <c r="AE749" s="2">
        <v>7.0000000000000007E-2</v>
      </c>
      <c r="AF749" s="5">
        <f t="shared" si="106"/>
        <v>0</v>
      </c>
      <c r="AG749" s="14">
        <v>0</v>
      </c>
      <c r="AH749" s="10">
        <f t="shared" si="103"/>
        <v>0</v>
      </c>
      <c r="AI749" s="16"/>
      <c r="AJ749" s="126" t="e">
        <v>#N/A</v>
      </c>
      <c r="AK749" s="80">
        <f t="shared" si="107"/>
        <v>0</v>
      </c>
      <c r="AM749" s="85"/>
    </row>
    <row r="750" spans="1:39" hidden="1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10"/>
        <v>200</v>
      </c>
      <c r="X750" s="18">
        <f t="shared" si="109"/>
        <v>0</v>
      </c>
      <c r="Y750" s="13">
        <f t="shared" si="104"/>
        <v>0</v>
      </c>
      <c r="Z750" s="14">
        <v>0</v>
      </c>
      <c r="AA750" s="4">
        <v>0</v>
      </c>
      <c r="AB750" s="4">
        <f t="shared" si="108"/>
        <v>0</v>
      </c>
      <c r="AC750" s="6">
        <f t="shared" si="105"/>
        <v>0</v>
      </c>
      <c r="AD750" s="18">
        <f t="shared" si="102"/>
        <v>0</v>
      </c>
      <c r="AE750" s="2">
        <v>7.0000000000000007E-2</v>
      </c>
      <c r="AF750" s="5">
        <f t="shared" si="106"/>
        <v>0</v>
      </c>
      <c r="AG750" s="14">
        <v>0</v>
      </c>
      <c r="AH750" s="10">
        <f t="shared" si="103"/>
        <v>0</v>
      </c>
      <c r="AI750" s="16"/>
      <c r="AJ750" s="126" t="e">
        <v>#N/A</v>
      </c>
      <c r="AK750" s="80">
        <f t="shared" si="107"/>
        <v>0</v>
      </c>
      <c r="AM750" s="85"/>
    </row>
    <row r="751" spans="1:39" hidden="1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10"/>
        <v>9963.2999999999993</v>
      </c>
      <c r="X751" s="18">
        <f t="shared" si="109"/>
        <v>0</v>
      </c>
      <c r="Y751" s="13">
        <f t="shared" si="104"/>
        <v>0</v>
      </c>
      <c r="Z751" s="14">
        <v>0</v>
      </c>
      <c r="AA751" s="4">
        <v>0</v>
      </c>
      <c r="AB751" s="4">
        <f t="shared" si="108"/>
        <v>0</v>
      </c>
      <c r="AC751" s="6">
        <f t="shared" si="105"/>
        <v>0</v>
      </c>
      <c r="AD751" s="18">
        <f t="shared" si="102"/>
        <v>0</v>
      </c>
      <c r="AE751" s="2">
        <v>7.0000000000000007E-2</v>
      </c>
      <c r="AF751" s="5">
        <f t="shared" si="106"/>
        <v>0</v>
      </c>
      <c r="AG751" s="14">
        <v>0</v>
      </c>
      <c r="AH751" s="10">
        <f t="shared" si="103"/>
        <v>0</v>
      </c>
      <c r="AI751" s="16"/>
      <c r="AJ751" s="126" t="e">
        <v>#N/A</v>
      </c>
      <c r="AK751" s="80">
        <f t="shared" si="107"/>
        <v>0</v>
      </c>
      <c r="AM751" s="85"/>
    </row>
    <row r="752" spans="1:39" hidden="1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10"/>
        <v>606.33000000000004</v>
      </c>
      <c r="X752" s="18">
        <f t="shared" si="109"/>
        <v>0</v>
      </c>
      <c r="Y752" s="13">
        <f t="shared" si="104"/>
        <v>0</v>
      </c>
      <c r="Z752" s="14">
        <v>0</v>
      </c>
      <c r="AA752" s="4">
        <v>0</v>
      </c>
      <c r="AB752" s="4">
        <f t="shared" si="108"/>
        <v>0</v>
      </c>
      <c r="AC752" s="6">
        <f t="shared" si="105"/>
        <v>0</v>
      </c>
      <c r="AD752" s="18">
        <f t="shared" si="102"/>
        <v>0</v>
      </c>
      <c r="AE752" s="2">
        <v>7.0000000000000007E-2</v>
      </c>
      <c r="AF752" s="5">
        <f t="shared" si="106"/>
        <v>0</v>
      </c>
      <c r="AG752" s="14">
        <v>0</v>
      </c>
      <c r="AH752" s="10">
        <f t="shared" si="103"/>
        <v>0</v>
      </c>
      <c r="AI752" s="16"/>
      <c r="AJ752" s="126" t="e">
        <v>#N/A</v>
      </c>
      <c r="AK752" s="80">
        <f t="shared" si="107"/>
        <v>0</v>
      </c>
      <c r="AM752" s="85"/>
    </row>
    <row r="753" spans="1:39" hidden="1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10"/>
        <v>9884.1</v>
      </c>
      <c r="X753" s="18">
        <f t="shared" si="109"/>
        <v>0</v>
      </c>
      <c r="Y753" s="13">
        <f t="shared" si="104"/>
        <v>0</v>
      </c>
      <c r="Z753" s="14">
        <v>0</v>
      </c>
      <c r="AA753" s="4">
        <v>0</v>
      </c>
      <c r="AB753" s="4">
        <f t="shared" si="108"/>
        <v>0</v>
      </c>
      <c r="AC753" s="6">
        <f t="shared" si="105"/>
        <v>0</v>
      </c>
      <c r="AD753" s="18">
        <f t="shared" si="102"/>
        <v>0</v>
      </c>
      <c r="AE753" s="2">
        <v>7.0000000000000007E-2</v>
      </c>
      <c r="AF753" s="5">
        <f t="shared" si="106"/>
        <v>0</v>
      </c>
      <c r="AG753" s="14">
        <v>0</v>
      </c>
      <c r="AH753" s="10">
        <f t="shared" si="103"/>
        <v>0</v>
      </c>
      <c r="AI753" s="16"/>
      <c r="AJ753" s="126" t="e">
        <v>#N/A</v>
      </c>
      <c r="AK753" s="80">
        <f t="shared" si="107"/>
        <v>0</v>
      </c>
      <c r="AM753" s="85"/>
    </row>
    <row r="754" spans="1:39" hidden="1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10"/>
        <v>2791.4</v>
      </c>
      <c r="X754" s="18">
        <f t="shared" si="109"/>
        <v>0</v>
      </c>
      <c r="Y754" s="13">
        <f t="shared" si="104"/>
        <v>0</v>
      </c>
      <c r="Z754" s="14">
        <v>0</v>
      </c>
      <c r="AA754" s="4">
        <v>0</v>
      </c>
      <c r="AB754" s="4">
        <f t="shared" si="108"/>
        <v>0</v>
      </c>
      <c r="AC754" s="6">
        <f t="shared" si="105"/>
        <v>0</v>
      </c>
      <c r="AD754" s="18">
        <f t="shared" si="102"/>
        <v>0</v>
      </c>
      <c r="AE754" s="2">
        <v>7.0000000000000007E-2</v>
      </c>
      <c r="AF754" s="5">
        <f t="shared" si="106"/>
        <v>0</v>
      </c>
      <c r="AG754" s="14">
        <v>0</v>
      </c>
      <c r="AH754" s="10">
        <f t="shared" si="103"/>
        <v>0</v>
      </c>
      <c r="AI754" s="16"/>
      <c r="AJ754" s="126" t="e">
        <v>#N/A</v>
      </c>
      <c r="AK754" s="80">
        <f t="shared" si="107"/>
        <v>0</v>
      </c>
      <c r="AM754" s="85"/>
    </row>
    <row r="755" spans="1:39" hidden="1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10"/>
        <v>237.5</v>
      </c>
      <c r="X755" s="18">
        <f t="shared" si="109"/>
        <v>0</v>
      </c>
      <c r="Y755" s="13">
        <f t="shared" si="104"/>
        <v>0</v>
      </c>
      <c r="Z755" s="14">
        <v>0</v>
      </c>
      <c r="AA755" s="4">
        <v>0</v>
      </c>
      <c r="AB755" s="4">
        <f t="shared" si="108"/>
        <v>0</v>
      </c>
      <c r="AC755" s="6">
        <f t="shared" si="105"/>
        <v>0</v>
      </c>
      <c r="AD755" s="18">
        <f t="shared" si="102"/>
        <v>0</v>
      </c>
      <c r="AE755" s="2">
        <v>7.0000000000000007E-2</v>
      </c>
      <c r="AF755" s="5">
        <f t="shared" si="106"/>
        <v>0</v>
      </c>
      <c r="AG755" s="14">
        <v>0</v>
      </c>
      <c r="AH755" s="10">
        <f t="shared" si="103"/>
        <v>0</v>
      </c>
      <c r="AI755" s="16"/>
      <c r="AJ755" s="126" t="e">
        <v>#N/A</v>
      </c>
      <c r="AK755" s="80">
        <f t="shared" si="107"/>
        <v>0</v>
      </c>
      <c r="AM755" s="85"/>
    </row>
    <row r="756" spans="1:39" hidden="1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10"/>
        <v>8891.23</v>
      </c>
      <c r="X756" s="18">
        <f t="shared" si="109"/>
        <v>0</v>
      </c>
      <c r="Y756" s="13">
        <f t="shared" si="104"/>
        <v>0</v>
      </c>
      <c r="Z756" s="14">
        <v>0</v>
      </c>
      <c r="AA756" s="4">
        <v>0</v>
      </c>
      <c r="AB756" s="4">
        <f t="shared" si="108"/>
        <v>0</v>
      </c>
      <c r="AC756" s="6">
        <f t="shared" si="105"/>
        <v>0</v>
      </c>
      <c r="AD756" s="18">
        <f t="shared" si="102"/>
        <v>0</v>
      </c>
      <c r="AE756" s="2">
        <v>7.0000000000000007E-2</v>
      </c>
      <c r="AF756" s="5">
        <f t="shared" si="106"/>
        <v>0</v>
      </c>
      <c r="AG756" s="14">
        <v>0</v>
      </c>
      <c r="AH756" s="10">
        <f t="shared" si="103"/>
        <v>0</v>
      </c>
      <c r="AI756" s="16"/>
      <c r="AJ756" s="126" t="e">
        <v>#N/A</v>
      </c>
      <c r="AK756" s="80">
        <f t="shared" si="107"/>
        <v>0</v>
      </c>
      <c r="AM756" s="85"/>
    </row>
    <row r="757" spans="1:39" hidden="1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10"/>
        <v>400</v>
      </c>
      <c r="X757" s="18">
        <f t="shared" si="109"/>
        <v>0</v>
      </c>
      <c r="Y757" s="13">
        <f t="shared" si="104"/>
        <v>0</v>
      </c>
      <c r="Z757" s="14">
        <v>0</v>
      </c>
      <c r="AA757" s="4">
        <v>0</v>
      </c>
      <c r="AB757" s="4">
        <f t="shared" si="108"/>
        <v>0</v>
      </c>
      <c r="AC757" s="6">
        <f t="shared" si="105"/>
        <v>0</v>
      </c>
      <c r="AD757" s="18">
        <f t="shared" ref="AD757:AD787" si="111">V757*0.547109961125019</f>
        <v>0</v>
      </c>
      <c r="AE757" s="2">
        <v>7.0000000000000007E-2</v>
      </c>
      <c r="AF757" s="5">
        <f t="shared" si="106"/>
        <v>0</v>
      </c>
      <c r="AG757" s="14">
        <v>0</v>
      </c>
      <c r="AH757" s="10">
        <f t="shared" ref="AH757:AH787" si="112">V757</f>
        <v>0</v>
      </c>
      <c r="AI757" s="16"/>
      <c r="AJ757" s="126" t="e">
        <v>#N/A</v>
      </c>
      <c r="AK757" s="80">
        <f t="shared" si="107"/>
        <v>0</v>
      </c>
      <c r="AM757" s="85"/>
    </row>
    <row r="758" spans="1:39" hidden="1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10"/>
        <v>2455.6</v>
      </c>
      <c r="X758" s="18">
        <f t="shared" si="109"/>
        <v>0</v>
      </c>
      <c r="Y758" s="13">
        <f t="shared" si="104"/>
        <v>0</v>
      </c>
      <c r="Z758" s="14">
        <v>0</v>
      </c>
      <c r="AA758" s="4">
        <v>0</v>
      </c>
      <c r="AB758" s="4">
        <f t="shared" si="108"/>
        <v>0</v>
      </c>
      <c r="AC758" s="6">
        <f t="shared" si="105"/>
        <v>0</v>
      </c>
      <c r="AD758" s="18">
        <f t="shared" si="111"/>
        <v>0</v>
      </c>
      <c r="AE758" s="2">
        <v>7.0000000000000007E-2</v>
      </c>
      <c r="AF758" s="5">
        <f t="shared" si="106"/>
        <v>0</v>
      </c>
      <c r="AG758" s="14">
        <v>0</v>
      </c>
      <c r="AH758" s="10">
        <f t="shared" si="112"/>
        <v>0</v>
      </c>
      <c r="AI758" s="16"/>
      <c r="AJ758" s="126" t="e">
        <v>#N/A</v>
      </c>
      <c r="AK758" s="80">
        <f t="shared" si="107"/>
        <v>0</v>
      </c>
      <c r="AM758" s="85"/>
    </row>
    <row r="759" spans="1:39" hidden="1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10"/>
        <v>3292</v>
      </c>
      <c r="X759" s="18">
        <f t="shared" si="109"/>
        <v>0</v>
      </c>
      <c r="Y759" s="13">
        <f t="shared" si="104"/>
        <v>0</v>
      </c>
      <c r="Z759" s="14">
        <v>0</v>
      </c>
      <c r="AA759" s="4">
        <v>0</v>
      </c>
      <c r="AB759" s="4">
        <f t="shared" si="108"/>
        <v>0</v>
      </c>
      <c r="AC759" s="6">
        <f t="shared" si="105"/>
        <v>0</v>
      </c>
      <c r="AD759" s="18">
        <f t="shared" si="111"/>
        <v>0</v>
      </c>
      <c r="AE759" s="2">
        <v>7.0000000000000007E-2</v>
      </c>
      <c r="AF759" s="5">
        <f t="shared" si="106"/>
        <v>0</v>
      </c>
      <c r="AG759" s="14">
        <v>0</v>
      </c>
      <c r="AH759" s="10">
        <f t="shared" si="112"/>
        <v>0</v>
      </c>
      <c r="AI759" s="16"/>
      <c r="AJ759" s="126" t="e">
        <v>#N/A</v>
      </c>
      <c r="AK759" s="80">
        <f t="shared" si="107"/>
        <v>0</v>
      </c>
      <c r="AM759" s="85"/>
    </row>
    <row r="760" spans="1:39" hidden="1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10"/>
        <v>10000</v>
      </c>
      <c r="X760" s="18">
        <f t="shared" si="109"/>
        <v>0</v>
      </c>
      <c r="Y760" s="13">
        <f t="shared" si="104"/>
        <v>0</v>
      </c>
      <c r="Z760" s="14">
        <v>0</v>
      </c>
      <c r="AA760" s="4">
        <v>0</v>
      </c>
      <c r="AB760" s="4">
        <f t="shared" si="108"/>
        <v>0</v>
      </c>
      <c r="AC760" s="6">
        <f t="shared" si="105"/>
        <v>0</v>
      </c>
      <c r="AD760" s="18">
        <f t="shared" si="111"/>
        <v>0</v>
      </c>
      <c r="AE760" s="2">
        <v>7.0000000000000007E-2</v>
      </c>
      <c r="AF760" s="5">
        <f t="shared" si="106"/>
        <v>0</v>
      </c>
      <c r="AG760" s="14">
        <v>0</v>
      </c>
      <c r="AH760" s="10">
        <f t="shared" si="112"/>
        <v>0</v>
      </c>
      <c r="AI760" s="16"/>
      <c r="AJ760" s="126" t="e">
        <v>#N/A</v>
      </c>
      <c r="AK760" s="80">
        <f t="shared" si="107"/>
        <v>0</v>
      </c>
      <c r="AM760" s="85"/>
    </row>
    <row r="761" spans="1:39" hidden="1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10"/>
        <v>272.5</v>
      </c>
      <c r="X761" s="18">
        <f t="shared" si="109"/>
        <v>0</v>
      </c>
      <c r="Y761" s="13">
        <f t="shared" si="104"/>
        <v>0</v>
      </c>
      <c r="Z761" s="14">
        <v>0</v>
      </c>
      <c r="AA761" s="4">
        <v>0</v>
      </c>
      <c r="AB761" s="4">
        <f t="shared" si="108"/>
        <v>0</v>
      </c>
      <c r="AC761" s="6">
        <f t="shared" si="105"/>
        <v>0</v>
      </c>
      <c r="AD761" s="18">
        <f t="shared" si="111"/>
        <v>0</v>
      </c>
      <c r="AE761" s="2">
        <v>7.0000000000000007E-2</v>
      </c>
      <c r="AF761" s="5">
        <f t="shared" si="106"/>
        <v>0</v>
      </c>
      <c r="AG761" s="14">
        <v>0</v>
      </c>
      <c r="AH761" s="10">
        <f t="shared" si="112"/>
        <v>0</v>
      </c>
      <c r="AI761" s="16"/>
      <c r="AJ761" s="126" t="e">
        <v>#N/A</v>
      </c>
      <c r="AK761" s="80">
        <f t="shared" si="107"/>
        <v>0</v>
      </c>
      <c r="AM761" s="85"/>
    </row>
    <row r="762" spans="1:39" hidden="1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10"/>
        <v>32.5</v>
      </c>
      <c r="X762" s="18">
        <f t="shared" si="109"/>
        <v>0</v>
      </c>
      <c r="Y762" s="13">
        <f t="shared" si="104"/>
        <v>0</v>
      </c>
      <c r="Z762" s="14">
        <v>0</v>
      </c>
      <c r="AA762" s="4">
        <v>0</v>
      </c>
      <c r="AB762" s="4">
        <f t="shared" si="108"/>
        <v>0</v>
      </c>
      <c r="AC762" s="6">
        <f t="shared" si="105"/>
        <v>0</v>
      </c>
      <c r="AD762" s="18">
        <f t="shared" si="111"/>
        <v>0</v>
      </c>
      <c r="AE762" s="2">
        <v>7.0000000000000007E-2</v>
      </c>
      <c r="AF762" s="5">
        <f t="shared" si="106"/>
        <v>0</v>
      </c>
      <c r="AG762" s="14">
        <v>0</v>
      </c>
      <c r="AH762" s="10">
        <f t="shared" si="112"/>
        <v>0</v>
      </c>
      <c r="AI762" s="16"/>
      <c r="AJ762" s="126" t="e">
        <v>#N/A</v>
      </c>
      <c r="AK762" s="80">
        <f t="shared" si="107"/>
        <v>0</v>
      </c>
      <c r="AM762" s="85"/>
    </row>
    <row r="763" spans="1:39" hidden="1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10"/>
        <v>14199.2</v>
      </c>
      <c r="X763" s="18">
        <f t="shared" si="109"/>
        <v>0</v>
      </c>
      <c r="Y763" s="13">
        <f t="shared" si="104"/>
        <v>0</v>
      </c>
      <c r="Z763" s="14">
        <v>0</v>
      </c>
      <c r="AA763" s="4">
        <v>0</v>
      </c>
      <c r="AB763" s="4">
        <f t="shared" si="108"/>
        <v>0</v>
      </c>
      <c r="AC763" s="6">
        <f t="shared" si="105"/>
        <v>0</v>
      </c>
      <c r="AD763" s="18">
        <f t="shared" si="111"/>
        <v>0</v>
      </c>
      <c r="AE763" s="2">
        <v>7.0000000000000007E-2</v>
      </c>
      <c r="AF763" s="5">
        <f t="shared" si="106"/>
        <v>0</v>
      </c>
      <c r="AG763" s="14">
        <v>0</v>
      </c>
      <c r="AH763" s="10">
        <f t="shared" si="112"/>
        <v>0</v>
      </c>
      <c r="AI763" s="16"/>
      <c r="AJ763" s="126" t="e">
        <v>#N/A</v>
      </c>
      <c r="AK763" s="80">
        <f t="shared" si="107"/>
        <v>0</v>
      </c>
      <c r="AM763" s="85"/>
    </row>
    <row r="764" spans="1:39" hidden="1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10"/>
        <v>-176.98</v>
      </c>
      <c r="X764" s="18">
        <f t="shared" si="109"/>
        <v>0</v>
      </c>
      <c r="Y764" s="13">
        <f t="shared" si="104"/>
        <v>0</v>
      </c>
      <c r="Z764" s="14">
        <v>0</v>
      </c>
      <c r="AA764" s="4">
        <v>0</v>
      </c>
      <c r="AB764" s="4">
        <f t="shared" si="108"/>
        <v>0</v>
      </c>
      <c r="AC764" s="6">
        <f t="shared" si="105"/>
        <v>0</v>
      </c>
      <c r="AD764" s="18">
        <f t="shared" si="111"/>
        <v>0</v>
      </c>
      <c r="AE764" s="2">
        <v>0.12</v>
      </c>
      <c r="AF764" s="5">
        <f t="shared" si="106"/>
        <v>0</v>
      </c>
      <c r="AG764" s="14">
        <v>0</v>
      </c>
      <c r="AH764" s="10">
        <f t="shared" si="112"/>
        <v>0</v>
      </c>
      <c r="AI764" s="16"/>
      <c r="AJ764" s="126" t="e">
        <v>#N/A</v>
      </c>
      <c r="AK764" s="80">
        <f t="shared" si="107"/>
        <v>0</v>
      </c>
      <c r="AM764" s="85"/>
    </row>
    <row r="765" spans="1:39" hidden="1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10"/>
        <v>-2771.54</v>
      </c>
      <c r="X765" s="18">
        <f t="shared" si="109"/>
        <v>0</v>
      </c>
      <c r="Y765" s="13">
        <f t="shared" si="104"/>
        <v>0</v>
      </c>
      <c r="Z765" s="14">
        <v>0</v>
      </c>
      <c r="AA765" s="4">
        <v>0</v>
      </c>
      <c r="AB765" s="4">
        <f t="shared" si="108"/>
        <v>0</v>
      </c>
      <c r="AC765" s="6">
        <f t="shared" si="105"/>
        <v>0</v>
      </c>
      <c r="AD765" s="18">
        <f t="shared" si="111"/>
        <v>0</v>
      </c>
      <c r="AE765" s="2">
        <v>0.12</v>
      </c>
      <c r="AF765" s="5">
        <f t="shared" si="106"/>
        <v>0</v>
      </c>
      <c r="AG765" s="14">
        <v>0</v>
      </c>
      <c r="AH765" s="10">
        <f t="shared" si="112"/>
        <v>0</v>
      </c>
      <c r="AI765" s="16"/>
      <c r="AJ765" s="126" t="e">
        <v>#N/A</v>
      </c>
      <c r="AK765" s="80">
        <f t="shared" si="107"/>
        <v>0</v>
      </c>
      <c r="AM765" s="85"/>
    </row>
    <row r="766" spans="1:39" hidden="1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09"/>
        <v>0</v>
      </c>
      <c r="Y766" s="13">
        <f t="shared" si="104"/>
        <v>0</v>
      </c>
      <c r="Z766" s="14">
        <v>0</v>
      </c>
      <c r="AA766" s="4">
        <v>0</v>
      </c>
      <c r="AB766" s="4"/>
      <c r="AC766" s="6">
        <f t="shared" si="105"/>
        <v>0</v>
      </c>
      <c r="AD766" s="18">
        <f t="shared" si="111"/>
        <v>0</v>
      </c>
      <c r="AE766" s="2">
        <v>0.12</v>
      </c>
      <c r="AF766" s="5">
        <f t="shared" si="106"/>
        <v>0</v>
      </c>
      <c r="AG766" s="14">
        <v>0</v>
      </c>
      <c r="AH766" s="10">
        <f t="shared" si="112"/>
        <v>0</v>
      </c>
      <c r="AI766" s="16"/>
      <c r="AJ766" s="126" t="s">
        <v>4216</v>
      </c>
      <c r="AK766" s="80">
        <f t="shared" si="107"/>
        <v>0</v>
      </c>
      <c r="AM766" s="85"/>
    </row>
    <row r="767" spans="1:39" hidden="1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10"/>
        <v>-444.86</v>
      </c>
      <c r="X767" s="18">
        <f t="shared" si="109"/>
        <v>0</v>
      </c>
      <c r="Y767" s="13">
        <f t="shared" si="104"/>
        <v>0</v>
      </c>
      <c r="Z767" s="14">
        <v>0</v>
      </c>
      <c r="AA767" s="4">
        <v>0</v>
      </c>
      <c r="AB767" s="4"/>
      <c r="AC767" s="6">
        <f t="shared" si="105"/>
        <v>0</v>
      </c>
      <c r="AD767" s="18">
        <f t="shared" si="111"/>
        <v>0</v>
      </c>
      <c r="AE767" s="2">
        <v>0.12</v>
      </c>
      <c r="AF767" s="5">
        <f t="shared" si="106"/>
        <v>0</v>
      </c>
      <c r="AG767" s="14">
        <v>0</v>
      </c>
      <c r="AH767" s="10">
        <f t="shared" si="112"/>
        <v>0</v>
      </c>
      <c r="AI767" s="16"/>
      <c r="AJ767" s="126">
        <v>112</v>
      </c>
      <c r="AK767" s="80">
        <f t="shared" si="107"/>
        <v>0</v>
      </c>
      <c r="AM767" s="85"/>
    </row>
    <row r="768" spans="1:39" hidden="1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10"/>
        <v>-536.15</v>
      </c>
      <c r="X768" s="18">
        <f t="shared" si="109"/>
        <v>0</v>
      </c>
      <c r="Y768" s="13">
        <f t="shared" si="104"/>
        <v>0</v>
      </c>
      <c r="Z768" s="14">
        <v>0</v>
      </c>
      <c r="AA768" s="4">
        <v>0</v>
      </c>
      <c r="AB768" s="4"/>
      <c r="AC768" s="6">
        <f t="shared" si="105"/>
        <v>0</v>
      </c>
      <c r="AD768" s="18">
        <f t="shared" si="111"/>
        <v>0</v>
      </c>
      <c r="AE768" s="2">
        <v>0.12</v>
      </c>
      <c r="AF768" s="5">
        <f t="shared" si="106"/>
        <v>0</v>
      </c>
      <c r="AG768" s="14">
        <v>0</v>
      </c>
      <c r="AH768" s="10">
        <f t="shared" si="112"/>
        <v>0</v>
      </c>
      <c r="AI768" s="16"/>
      <c r="AJ768" s="126">
        <v>112</v>
      </c>
      <c r="AK768" s="80">
        <f t="shared" si="107"/>
        <v>0</v>
      </c>
      <c r="AM768" s="85"/>
    </row>
    <row r="769" spans="1:39" hidden="1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10"/>
        <v>-1373724.18</v>
      </c>
      <c r="X769" s="18">
        <f t="shared" si="109"/>
        <v>1373724.18</v>
      </c>
      <c r="Y769" s="13">
        <f t="shared" si="104"/>
        <v>622145.99728370144</v>
      </c>
      <c r="Z769" s="14">
        <v>0</v>
      </c>
      <c r="AA769" s="4">
        <v>0</v>
      </c>
      <c r="AB769" s="4">
        <f t="shared" si="108"/>
        <v>1373724.18</v>
      </c>
      <c r="AC769" s="6">
        <f t="shared" si="105"/>
        <v>0</v>
      </c>
      <c r="AD769" s="18">
        <f t="shared" si="111"/>
        <v>751578.1827162985</v>
      </c>
      <c r="AE769" s="2">
        <v>0.12</v>
      </c>
      <c r="AF769" s="5">
        <f t="shared" si="106"/>
        <v>90189.381925955822</v>
      </c>
      <c r="AG769" s="14">
        <v>0</v>
      </c>
      <c r="AH769" s="10">
        <f t="shared" si="112"/>
        <v>1373724.18</v>
      </c>
      <c r="AI769" s="16"/>
      <c r="AJ769" s="126" t="e">
        <v>#N/A</v>
      </c>
      <c r="AK769" s="80">
        <f t="shared" si="107"/>
        <v>0</v>
      </c>
      <c r="AM769" s="85"/>
    </row>
    <row r="770" spans="1:39" hidden="1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10"/>
        <v>-77142.669999999984</v>
      </c>
      <c r="X770" s="18">
        <f t="shared" si="109"/>
        <v>75630.068627450964</v>
      </c>
      <c r="Y770" s="13">
        <f t="shared" si="104"/>
        <v>33424.545442670809</v>
      </c>
      <c r="Z770" s="14">
        <v>0</v>
      </c>
      <c r="AA770" s="4">
        <v>0</v>
      </c>
      <c r="AB770" s="4">
        <f t="shared" si="108"/>
        <v>75630.068627450964</v>
      </c>
      <c r="AC770" s="6">
        <f t="shared" si="105"/>
        <v>1512.6013725490193</v>
      </c>
      <c r="AD770" s="18">
        <f t="shared" si="111"/>
        <v>42205.523184780155</v>
      </c>
      <c r="AE770" s="2">
        <v>0.12</v>
      </c>
      <c r="AF770" s="5">
        <f t="shared" si="106"/>
        <v>5064.6627821736183</v>
      </c>
      <c r="AG770" s="14">
        <v>0</v>
      </c>
      <c r="AH770" s="10">
        <f t="shared" si="112"/>
        <v>77142.669999999984</v>
      </c>
      <c r="AI770" s="16"/>
      <c r="AJ770" s="126" t="e">
        <v>#N/A</v>
      </c>
      <c r="AK770" s="80">
        <f t="shared" si="107"/>
        <v>0</v>
      </c>
      <c r="AM770" s="85"/>
    </row>
    <row r="771" spans="1:39" hidden="1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10"/>
        <v>-3014.99</v>
      </c>
      <c r="X771" s="18">
        <f t="shared" si="109"/>
        <v>3014.99</v>
      </c>
      <c r="Y771" s="13">
        <f t="shared" ref="Y771:Y834" si="11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14">X771+AA771</f>
        <v>3014.99</v>
      </c>
      <c r="AC771" s="6">
        <f t="shared" ref="AC771:AC834" si="115">IF(P771="返现",X771*Q771,V771-X771)</f>
        <v>0</v>
      </c>
      <c r="AD771" s="18">
        <f t="shared" si="111"/>
        <v>1649.5310616923209</v>
      </c>
      <c r="AE771" s="2">
        <v>0.12</v>
      </c>
      <c r="AF771" s="5">
        <f t="shared" ref="AF771:AF834" si="116">AD771*AE771</f>
        <v>197.9437274030785</v>
      </c>
      <c r="AG771" s="14">
        <v>0</v>
      </c>
      <c r="AH771" s="10">
        <f t="shared" si="112"/>
        <v>3014.99</v>
      </c>
      <c r="AI771" s="16"/>
      <c r="AJ771" s="126" t="e">
        <v>#N/A</v>
      </c>
      <c r="AK771" s="80">
        <f t="shared" ref="AK771:AK834" si="117">X771+AA771-AB771</f>
        <v>0</v>
      </c>
      <c r="AM771" s="85"/>
    </row>
    <row r="772" spans="1:39" hidden="1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10"/>
        <v>-312412.7099999999</v>
      </c>
      <c r="X772" s="18">
        <f t="shared" si="109"/>
        <v>310858.41791044769</v>
      </c>
      <c r="Y772" s="13">
        <f t="shared" si="113"/>
        <v>139934.31228738592</v>
      </c>
      <c r="Z772" s="14">
        <v>0</v>
      </c>
      <c r="AA772" s="4">
        <v>0</v>
      </c>
      <c r="AB772" s="4">
        <f t="shared" si="114"/>
        <v>310858.41791044769</v>
      </c>
      <c r="AC772" s="6">
        <f t="shared" si="115"/>
        <v>1554.2920895522111</v>
      </c>
      <c r="AD772" s="18">
        <f t="shared" si="111"/>
        <v>170924.10562306177</v>
      </c>
      <c r="AE772" s="2">
        <v>0.12</v>
      </c>
      <c r="AF772" s="5">
        <f t="shared" si="116"/>
        <v>20510.892674767412</v>
      </c>
      <c r="AG772" s="14">
        <v>0</v>
      </c>
      <c r="AH772" s="10">
        <f t="shared" si="112"/>
        <v>312412.7099999999</v>
      </c>
      <c r="AI772" s="16"/>
      <c r="AJ772" s="126" t="e">
        <v>#N/A</v>
      </c>
      <c r="AK772" s="80">
        <f t="shared" si="117"/>
        <v>0</v>
      </c>
      <c r="AM772" s="85"/>
    </row>
    <row r="773" spans="1:39" hidden="1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10"/>
        <v>-52630.080000000002</v>
      </c>
      <c r="X773" s="18">
        <f t="shared" si="109"/>
        <v>51598.117647058825</v>
      </c>
      <c r="Y773" s="13">
        <f t="shared" si="113"/>
        <v>22803.676624252184</v>
      </c>
      <c r="Z773" s="14">
        <v>0</v>
      </c>
      <c r="AA773" s="4">
        <v>0</v>
      </c>
      <c r="AB773" s="4">
        <f t="shared" si="114"/>
        <v>51598.117647058825</v>
      </c>
      <c r="AC773" s="6">
        <f t="shared" si="115"/>
        <v>1031.9623529411765</v>
      </c>
      <c r="AD773" s="18">
        <f t="shared" si="111"/>
        <v>28794.441022806641</v>
      </c>
      <c r="AE773" s="2">
        <v>0.12</v>
      </c>
      <c r="AF773" s="5">
        <f t="shared" si="116"/>
        <v>3455.3329227367967</v>
      </c>
      <c r="AG773" s="14">
        <v>0</v>
      </c>
      <c r="AH773" s="10">
        <f t="shared" si="112"/>
        <v>52630.080000000002</v>
      </c>
      <c r="AI773" s="16"/>
      <c r="AJ773" s="126" t="e">
        <v>#N/A</v>
      </c>
      <c r="AK773" s="80">
        <f t="shared" si="117"/>
        <v>0</v>
      </c>
      <c r="AM773" s="85"/>
    </row>
    <row r="774" spans="1:39" hidden="1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10"/>
        <v>-297000.25</v>
      </c>
      <c r="X774" s="18">
        <f t="shared" si="109"/>
        <v>297000.25</v>
      </c>
      <c r="Y774" s="13">
        <f t="shared" si="113"/>
        <v>134508.45476837907</v>
      </c>
      <c r="Z774" s="14">
        <v>0</v>
      </c>
      <c r="AA774" s="4">
        <v>0</v>
      </c>
      <c r="AB774" s="4">
        <f t="shared" si="114"/>
        <v>297000.25</v>
      </c>
      <c r="AC774" s="6">
        <f t="shared" si="115"/>
        <v>0</v>
      </c>
      <c r="AD774" s="18">
        <f t="shared" si="111"/>
        <v>162491.79523162093</v>
      </c>
      <c r="AE774" s="2">
        <v>0.12</v>
      </c>
      <c r="AF774" s="5">
        <f t="shared" si="116"/>
        <v>19499.015427794511</v>
      </c>
      <c r="AG774" s="14">
        <v>0</v>
      </c>
      <c r="AH774" s="10">
        <f t="shared" si="112"/>
        <v>297000.25</v>
      </c>
      <c r="AI774" s="16"/>
      <c r="AJ774" s="126" t="e">
        <v>#N/A</v>
      </c>
      <c r="AK774" s="80">
        <f t="shared" si="117"/>
        <v>0</v>
      </c>
      <c r="AM774" s="85"/>
    </row>
    <row r="775" spans="1:39" hidden="1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10"/>
        <v>-2154.2400000000002</v>
      </c>
      <c r="X775" s="18">
        <f t="shared" si="109"/>
        <v>2154.2400000000002</v>
      </c>
      <c r="Y775" s="13">
        <f t="shared" si="113"/>
        <v>975.63383734603917</v>
      </c>
      <c r="Z775" s="14">
        <v>0</v>
      </c>
      <c r="AA775" s="4">
        <v>0</v>
      </c>
      <c r="AB775" s="4">
        <f t="shared" si="114"/>
        <v>2154.2400000000002</v>
      </c>
      <c r="AC775" s="6">
        <f t="shared" si="115"/>
        <v>0</v>
      </c>
      <c r="AD775" s="18">
        <f t="shared" si="111"/>
        <v>1178.6061626539611</v>
      </c>
      <c r="AE775" s="2">
        <v>0.12</v>
      </c>
      <c r="AF775" s="5">
        <f t="shared" si="116"/>
        <v>141.43273951847533</v>
      </c>
      <c r="AG775" s="14">
        <v>0</v>
      </c>
      <c r="AH775" s="10">
        <f t="shared" si="112"/>
        <v>2154.2400000000002</v>
      </c>
      <c r="AI775" s="16"/>
      <c r="AJ775" s="126" t="e">
        <v>#N/A</v>
      </c>
      <c r="AK775" s="80">
        <f t="shared" si="117"/>
        <v>0</v>
      </c>
      <c r="AM775" s="85"/>
    </row>
    <row r="776" spans="1:39" hidden="1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10"/>
        <v>-6197.4100000000008</v>
      </c>
      <c r="X776" s="18">
        <f t="shared" si="109"/>
        <v>5959.0480769230771</v>
      </c>
      <c r="Y776" s="13">
        <f t="shared" si="113"/>
        <v>2568.383332747273</v>
      </c>
      <c r="Z776" s="14">
        <v>0</v>
      </c>
      <c r="AA776" s="4">
        <v>0</v>
      </c>
      <c r="AB776" s="4">
        <f t="shared" si="114"/>
        <v>5959.0480769230771</v>
      </c>
      <c r="AC776" s="6">
        <f t="shared" si="115"/>
        <v>238.36192307692363</v>
      </c>
      <c r="AD776" s="18">
        <f t="shared" si="111"/>
        <v>3390.6647441758041</v>
      </c>
      <c r="AE776" s="2">
        <v>0.12</v>
      </c>
      <c r="AF776" s="5">
        <f t="shared" si="116"/>
        <v>406.87976930109647</v>
      </c>
      <c r="AG776" s="14">
        <v>0</v>
      </c>
      <c r="AH776" s="10">
        <f t="shared" si="112"/>
        <v>6197.4100000000008</v>
      </c>
      <c r="AI776" s="16"/>
      <c r="AJ776" s="126" t="e">
        <v>#N/A</v>
      </c>
      <c r="AK776" s="80">
        <f t="shared" si="117"/>
        <v>0</v>
      </c>
      <c r="AM776" s="85"/>
    </row>
    <row r="777" spans="1:39" hidden="1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10"/>
        <v>-461833.13000000006</v>
      </c>
      <c r="X777" s="18">
        <f t="shared" si="109"/>
        <v>444070.31730769237</v>
      </c>
      <c r="Y777" s="13">
        <f t="shared" si="113"/>
        <v>191396.81150714651</v>
      </c>
      <c r="Z777" s="14">
        <v>0</v>
      </c>
      <c r="AA777" s="4">
        <v>0</v>
      </c>
      <c r="AB777" s="4">
        <f t="shared" si="114"/>
        <v>444070.31730769237</v>
      </c>
      <c r="AC777" s="6">
        <f t="shared" si="115"/>
        <v>17762.812692307692</v>
      </c>
      <c r="AD777" s="18">
        <f t="shared" si="111"/>
        <v>252673.50580054586</v>
      </c>
      <c r="AE777" s="2">
        <v>0.12</v>
      </c>
      <c r="AF777" s="5">
        <f t="shared" si="116"/>
        <v>30320.820696065501</v>
      </c>
      <c r="AG777" s="14">
        <v>0</v>
      </c>
      <c r="AH777" s="10">
        <f t="shared" si="112"/>
        <v>461833.13000000006</v>
      </c>
      <c r="AI777" s="16"/>
      <c r="AJ777" s="126" t="e">
        <v>#N/A</v>
      </c>
      <c r="AK777" s="80">
        <f t="shared" si="117"/>
        <v>0</v>
      </c>
      <c r="AM777" s="85"/>
    </row>
    <row r="778" spans="1:39" hidden="1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10"/>
        <v>-130683.49</v>
      </c>
      <c r="X778" s="18">
        <f t="shared" si="109"/>
        <v>125657.20192307692</v>
      </c>
      <c r="Y778" s="13">
        <f t="shared" si="113"/>
        <v>54158.962789495112</v>
      </c>
      <c r="Z778" s="14">
        <v>0</v>
      </c>
      <c r="AA778" s="4">
        <v>0</v>
      </c>
      <c r="AB778" s="4">
        <f t="shared" si="114"/>
        <v>125657.20192307692</v>
      </c>
      <c r="AC778" s="6">
        <f t="shared" si="115"/>
        <v>5026.2880769230833</v>
      </c>
      <c r="AD778" s="18">
        <f t="shared" si="111"/>
        <v>71498.23913358181</v>
      </c>
      <c r="AE778" s="2">
        <v>0.12</v>
      </c>
      <c r="AF778" s="5">
        <f t="shared" si="116"/>
        <v>8579.7886960298165</v>
      </c>
      <c r="AG778" s="14">
        <v>0</v>
      </c>
      <c r="AH778" s="10">
        <f t="shared" si="112"/>
        <v>130683.49</v>
      </c>
      <c r="AI778" s="16"/>
      <c r="AJ778" s="126" t="e">
        <v>#N/A</v>
      </c>
      <c r="AK778" s="80">
        <f t="shared" si="117"/>
        <v>0</v>
      </c>
      <c r="AM778" s="85"/>
    </row>
    <row r="779" spans="1:39" hidden="1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10"/>
        <v>-28969.369999999988</v>
      </c>
      <c r="X779" s="18">
        <f t="shared" si="109"/>
        <v>27855.16346153845</v>
      </c>
      <c r="Y779" s="13">
        <f t="shared" si="113"/>
        <v>12005.732567022165</v>
      </c>
      <c r="Z779" s="14">
        <v>0</v>
      </c>
      <c r="AA779" s="4">
        <v>0</v>
      </c>
      <c r="AB779" s="4">
        <f t="shared" si="114"/>
        <v>27855.16346153845</v>
      </c>
      <c r="AC779" s="6">
        <f t="shared" si="115"/>
        <v>1114.206538461538</v>
      </c>
      <c r="AD779" s="18">
        <f t="shared" si="111"/>
        <v>15849.430894516285</v>
      </c>
      <c r="AE779" s="2">
        <v>0.12</v>
      </c>
      <c r="AF779" s="5">
        <f t="shared" si="116"/>
        <v>1901.9317073419541</v>
      </c>
      <c r="AG779" s="14">
        <v>0</v>
      </c>
      <c r="AH779" s="10">
        <f t="shared" si="112"/>
        <v>28969.369999999988</v>
      </c>
      <c r="AI779" s="16"/>
      <c r="AJ779" s="126" t="e">
        <v>#N/A</v>
      </c>
      <c r="AK779" s="80">
        <f t="shared" si="117"/>
        <v>0</v>
      </c>
      <c r="AM779" s="85"/>
    </row>
    <row r="780" spans="1:39" hidden="1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10"/>
        <v>-153648.74</v>
      </c>
      <c r="X780" s="18">
        <f t="shared" si="109"/>
        <v>153648.74</v>
      </c>
      <c r="Y780" s="13">
        <f t="shared" si="113"/>
        <v>69585.983831691847</v>
      </c>
      <c r="Z780" s="14">
        <v>0</v>
      </c>
      <c r="AA780" s="4">
        <v>0</v>
      </c>
      <c r="AB780" s="4">
        <f t="shared" si="114"/>
        <v>153648.74</v>
      </c>
      <c r="AC780" s="6">
        <f t="shared" si="115"/>
        <v>0</v>
      </c>
      <c r="AD780" s="18">
        <f t="shared" si="111"/>
        <v>84062.756168308144</v>
      </c>
      <c r="AE780" s="2">
        <v>0.12</v>
      </c>
      <c r="AF780" s="5">
        <f t="shared" si="116"/>
        <v>10087.530740196977</v>
      </c>
      <c r="AG780" s="14">
        <v>0</v>
      </c>
      <c r="AH780" s="10">
        <f t="shared" si="112"/>
        <v>153648.74</v>
      </c>
      <c r="AI780" s="16"/>
      <c r="AJ780" s="126" t="e">
        <v>#N/A</v>
      </c>
      <c r="AK780" s="80">
        <f t="shared" si="117"/>
        <v>0</v>
      </c>
      <c r="AM780" s="85"/>
    </row>
    <row r="781" spans="1:39" hidden="1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10"/>
        <v>-32847.320000000007</v>
      </c>
      <c r="X781" s="18">
        <f t="shared" si="109"/>
        <v>31583.961538461543</v>
      </c>
      <c r="Y781" s="13">
        <f t="shared" si="113"/>
        <v>13612.86557020048</v>
      </c>
      <c r="Z781" s="14">
        <v>0</v>
      </c>
      <c r="AA781" s="4">
        <v>0</v>
      </c>
      <c r="AB781" s="4">
        <f t="shared" si="114"/>
        <v>31583.961538461543</v>
      </c>
      <c r="AC781" s="6">
        <f t="shared" si="115"/>
        <v>1263.3584615384643</v>
      </c>
      <c r="AD781" s="18">
        <f t="shared" si="111"/>
        <v>17971.095968261063</v>
      </c>
      <c r="AE781" s="2">
        <v>0.12</v>
      </c>
      <c r="AF781" s="5">
        <f t="shared" si="116"/>
        <v>2156.5315161913277</v>
      </c>
      <c r="AG781" s="14">
        <v>0</v>
      </c>
      <c r="AH781" s="10">
        <f t="shared" si="112"/>
        <v>32847.320000000007</v>
      </c>
      <c r="AI781" s="16"/>
      <c r="AJ781" s="126" t="e">
        <v>#N/A</v>
      </c>
      <c r="AK781" s="80">
        <f t="shared" si="117"/>
        <v>0</v>
      </c>
      <c r="AM781" s="85"/>
    </row>
    <row r="782" spans="1:39" hidden="1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10"/>
        <v>-157896.64999999997</v>
      </c>
      <c r="X782" s="18">
        <f t="shared" si="109"/>
        <v>151823.70192307688</v>
      </c>
      <c r="Y782" s="13">
        <f t="shared" si="113"/>
        <v>65436.871879806175</v>
      </c>
      <c r="Z782" s="14">
        <v>0</v>
      </c>
      <c r="AA782" s="4">
        <v>0</v>
      </c>
      <c r="AB782" s="4">
        <f t="shared" si="114"/>
        <v>151823.70192307688</v>
      </c>
      <c r="AC782" s="6">
        <f t="shared" si="115"/>
        <v>6072.9480769230868</v>
      </c>
      <c r="AD782" s="18">
        <f t="shared" si="111"/>
        <v>86386.830043270704</v>
      </c>
      <c r="AE782" s="2">
        <v>0.12</v>
      </c>
      <c r="AF782" s="5">
        <f t="shared" si="116"/>
        <v>10366.419605192485</v>
      </c>
      <c r="AG782" s="14">
        <v>0</v>
      </c>
      <c r="AH782" s="10">
        <f t="shared" si="112"/>
        <v>157896.64999999997</v>
      </c>
      <c r="AI782" s="16"/>
      <c r="AJ782" s="126" t="e">
        <v>#N/A</v>
      </c>
      <c r="AK782" s="80">
        <f t="shared" si="117"/>
        <v>0</v>
      </c>
      <c r="AM782" s="85"/>
    </row>
    <row r="783" spans="1:39" hidden="1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10"/>
        <v>-45991.64</v>
      </c>
      <c r="X783" s="18">
        <f t="shared" si="109"/>
        <v>44222.730769230766</v>
      </c>
      <c r="Y783" s="13">
        <f t="shared" si="113"/>
        <v>19060.246396754897</v>
      </c>
      <c r="Z783" s="14">
        <v>0</v>
      </c>
      <c r="AA783" s="4">
        <v>0</v>
      </c>
      <c r="AB783" s="4">
        <f t="shared" si="114"/>
        <v>44222.730769230766</v>
      </c>
      <c r="AC783" s="6">
        <f t="shared" si="115"/>
        <v>1768.9092307692335</v>
      </c>
      <c r="AD783" s="18">
        <f t="shared" si="111"/>
        <v>25162.484372475868</v>
      </c>
      <c r="AE783" s="2">
        <v>0.12</v>
      </c>
      <c r="AF783" s="5">
        <f t="shared" si="116"/>
        <v>3019.4981246971042</v>
      </c>
      <c r="AG783" s="14">
        <v>0</v>
      </c>
      <c r="AH783" s="10">
        <f t="shared" si="112"/>
        <v>45991.64</v>
      </c>
      <c r="AI783" s="16"/>
      <c r="AJ783" s="126" t="e">
        <v>#N/A</v>
      </c>
      <c r="AK783" s="80">
        <f t="shared" si="117"/>
        <v>0</v>
      </c>
      <c r="AM783" s="85"/>
    </row>
    <row r="784" spans="1:39" hidden="1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10"/>
        <v>-139862.71</v>
      </c>
      <c r="X784" s="18">
        <f t="shared" si="109"/>
        <v>134483.375</v>
      </c>
      <c r="Y784" s="13">
        <f t="shared" si="113"/>
        <v>57963.093169060201</v>
      </c>
      <c r="Z784" s="14">
        <v>0</v>
      </c>
      <c r="AA784" s="4">
        <v>0</v>
      </c>
      <c r="AB784" s="4">
        <f t="shared" si="114"/>
        <v>134483.375</v>
      </c>
      <c r="AC784" s="6">
        <f t="shared" si="115"/>
        <v>5379.3349999999919</v>
      </c>
      <c r="AD784" s="18">
        <f t="shared" si="111"/>
        <v>76520.281830939799</v>
      </c>
      <c r="AE784" s="2">
        <v>0.12</v>
      </c>
      <c r="AF784" s="5">
        <f t="shared" si="116"/>
        <v>9182.4338197127763</v>
      </c>
      <c r="AG784" s="14">
        <v>0</v>
      </c>
      <c r="AH784" s="10">
        <f t="shared" si="112"/>
        <v>139862.71</v>
      </c>
      <c r="AI784" s="16"/>
      <c r="AJ784" s="126" t="e">
        <v>#N/A</v>
      </c>
      <c r="AK784" s="80">
        <f t="shared" si="117"/>
        <v>0</v>
      </c>
      <c r="AM784" s="85"/>
    </row>
    <row r="785" spans="1:39" hidden="1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10"/>
        <v>-3888.9</v>
      </c>
      <c r="X785" s="18">
        <f t="shared" si="109"/>
        <v>3812.6470588235293</v>
      </c>
      <c r="Y785" s="13">
        <f t="shared" si="113"/>
        <v>1684.9911310044431</v>
      </c>
      <c r="Z785" s="14">
        <v>0</v>
      </c>
      <c r="AA785" s="4">
        <v>0</v>
      </c>
      <c r="AB785" s="4">
        <f t="shared" si="114"/>
        <v>3812.6470588235293</v>
      </c>
      <c r="AC785" s="6">
        <f t="shared" si="115"/>
        <v>76.252941176470813</v>
      </c>
      <c r="AD785" s="18">
        <f t="shared" si="111"/>
        <v>2127.6559278190862</v>
      </c>
      <c r="AE785" s="2">
        <v>0.12</v>
      </c>
      <c r="AF785" s="5">
        <f t="shared" si="116"/>
        <v>255.31871133829034</v>
      </c>
      <c r="AG785" s="14">
        <v>0</v>
      </c>
      <c r="AH785" s="10">
        <f t="shared" si="112"/>
        <v>3888.9</v>
      </c>
      <c r="AI785" s="16"/>
      <c r="AJ785" s="126" t="e">
        <v>#N/A</v>
      </c>
      <c r="AK785" s="80">
        <f t="shared" si="117"/>
        <v>0</v>
      </c>
      <c r="AM785" s="85"/>
    </row>
    <row r="786" spans="1:39" hidden="1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10"/>
        <v>-120.58</v>
      </c>
      <c r="X786" s="18">
        <f t="shared" si="109"/>
        <v>120.58</v>
      </c>
      <c r="Y786" s="13">
        <f t="shared" si="113"/>
        <v>54.609480887545217</v>
      </c>
      <c r="Z786" s="14">
        <v>0</v>
      </c>
      <c r="AA786" s="4">
        <v>0</v>
      </c>
      <c r="AB786" s="4">
        <f t="shared" si="114"/>
        <v>120.58</v>
      </c>
      <c r="AC786" s="6">
        <f t="shared" si="115"/>
        <v>0</v>
      </c>
      <c r="AD786" s="18">
        <f t="shared" si="111"/>
        <v>65.970519112454781</v>
      </c>
      <c r="AE786" s="2">
        <v>0.12</v>
      </c>
      <c r="AF786" s="5">
        <f t="shared" si="116"/>
        <v>7.9164622934945736</v>
      </c>
      <c r="AG786" s="14">
        <v>0</v>
      </c>
      <c r="AH786" s="10">
        <f t="shared" si="112"/>
        <v>120.58</v>
      </c>
      <c r="AI786" s="16"/>
      <c r="AJ786" s="126" t="e">
        <v>#N/A</v>
      </c>
      <c r="AK786" s="80">
        <f t="shared" si="117"/>
        <v>0</v>
      </c>
      <c r="AM786" s="85"/>
    </row>
    <row r="787" spans="1:39" hidden="1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10"/>
        <v>-94324.159999999989</v>
      </c>
      <c r="X787" s="18">
        <f t="shared" ref="X787:X846" si="118">IF(P787="折扣",V787*Q787,IF(P787="返现",V787,V787/(1+Q787)))</f>
        <v>92474.666666666657</v>
      </c>
      <c r="Y787" s="13">
        <f t="shared" si="113"/>
        <v>40868.979155916597</v>
      </c>
      <c r="Z787" s="14">
        <v>0</v>
      </c>
      <c r="AA787" s="4">
        <v>0</v>
      </c>
      <c r="AB787" s="4">
        <f t="shared" si="114"/>
        <v>92474.666666666657</v>
      </c>
      <c r="AC787" s="6">
        <f t="shared" si="115"/>
        <v>1849.493333333332</v>
      </c>
      <c r="AD787" s="18">
        <f t="shared" si="111"/>
        <v>51605.68751075006</v>
      </c>
      <c r="AE787" s="2">
        <v>0.12</v>
      </c>
      <c r="AF787" s="5">
        <f t="shared" si="116"/>
        <v>6192.6825012900072</v>
      </c>
      <c r="AG787" s="14">
        <v>0</v>
      </c>
      <c r="AH787" s="10">
        <f t="shared" si="112"/>
        <v>94324.159999999989</v>
      </c>
      <c r="AI787" s="16"/>
      <c r="AJ787" s="126" t="e">
        <v>#N/A</v>
      </c>
      <c r="AK787" s="80">
        <f t="shared" si="117"/>
        <v>0</v>
      </c>
      <c r="AM787" s="85"/>
    </row>
    <row r="788" spans="1:39" hidden="1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18"/>
        <v>0</v>
      </c>
      <c r="Y788" s="13">
        <f t="shared" si="113"/>
        <v>0</v>
      </c>
      <c r="Z788" s="14">
        <v>0</v>
      </c>
      <c r="AA788" s="4">
        <v>0</v>
      </c>
      <c r="AB788" s="4">
        <f t="shared" si="114"/>
        <v>0</v>
      </c>
      <c r="AC788" s="6">
        <f t="shared" si="115"/>
        <v>0</v>
      </c>
      <c r="AD788" s="6">
        <f>V788*0.598955254612663</f>
        <v>0</v>
      </c>
      <c r="AE788" s="2">
        <v>7.0000000000000007E-2</v>
      </c>
      <c r="AF788" s="5">
        <f t="shared" si="11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17"/>
        <v>0</v>
      </c>
      <c r="AM788" s="85"/>
    </row>
    <row r="789" spans="1:39" hidden="1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19">T789+U789-V789</f>
        <v>4961</v>
      </c>
      <c r="X789" s="18">
        <f t="shared" si="118"/>
        <v>31165.784313725489</v>
      </c>
      <c r="Y789" s="13">
        <f t="shared" si="113"/>
        <v>12125.535829318087</v>
      </c>
      <c r="Z789" s="14">
        <v>0</v>
      </c>
      <c r="AA789" s="4">
        <v>0</v>
      </c>
      <c r="AB789" s="4">
        <f t="shared" si="114"/>
        <v>31165.784313725489</v>
      </c>
      <c r="AC789" s="6">
        <f t="shared" si="115"/>
        <v>623.31568627450906</v>
      </c>
      <c r="AD789" s="6">
        <f t="shared" ref="AD789:AD852" si="120">V789*0.598955254612663</f>
        <v>19040.248484407402</v>
      </c>
      <c r="AE789" s="2">
        <v>7.0000000000000007E-2</v>
      </c>
      <c r="AF789" s="5">
        <f t="shared" si="116"/>
        <v>1332.8173939085184</v>
      </c>
      <c r="AG789" s="14">
        <v>0</v>
      </c>
      <c r="AH789" s="19">
        <f t="shared" ref="AH789:AH852" si="121">V789</f>
        <v>31789.1</v>
      </c>
      <c r="AJ789" s="126" t="e">
        <v>#N/A</v>
      </c>
      <c r="AK789" s="80">
        <f t="shared" si="117"/>
        <v>0</v>
      </c>
      <c r="AM789" s="85"/>
    </row>
    <row r="790" spans="1:39" hidden="1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19"/>
        <v>7229.6600000000035</v>
      </c>
      <c r="X790" s="18">
        <f t="shared" si="118"/>
        <v>71343.470588235286</v>
      </c>
      <c r="Y790" s="13">
        <f t="shared" si="113"/>
        <v>27757.293065285237</v>
      </c>
      <c r="Z790" s="14">
        <v>0</v>
      </c>
      <c r="AA790" s="4">
        <v>0</v>
      </c>
      <c r="AB790" s="4">
        <f t="shared" si="114"/>
        <v>71343.470588235286</v>
      </c>
      <c r="AC790" s="6">
        <f t="shared" si="115"/>
        <v>1426.8694117647101</v>
      </c>
      <c r="AD790" s="6">
        <f t="shared" si="120"/>
        <v>43586.177522950049</v>
      </c>
      <c r="AE790" s="2">
        <v>7.0000000000000007E-2</v>
      </c>
      <c r="AF790" s="5">
        <f t="shared" si="116"/>
        <v>3051.0324266065036</v>
      </c>
      <c r="AG790" s="14">
        <v>0</v>
      </c>
      <c r="AH790" s="19">
        <f t="shared" si="121"/>
        <v>72770.34</v>
      </c>
      <c r="AJ790" s="126" t="e">
        <v>#N/A</v>
      </c>
      <c r="AK790" s="80">
        <f t="shared" si="117"/>
        <v>0</v>
      </c>
      <c r="AM790" s="85"/>
    </row>
    <row r="791" spans="1:39" hidden="1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19"/>
        <v>42713.2</v>
      </c>
      <c r="X791" s="18">
        <f t="shared" si="118"/>
        <v>20869.411764705881</v>
      </c>
      <c r="Y791" s="13">
        <f t="shared" si="11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15"/>
        <v>417.3882352941182</v>
      </c>
      <c r="AD791" s="6">
        <f t="shared" si="120"/>
        <v>12749.840713888834</v>
      </c>
      <c r="AE791" s="2">
        <v>7.0000000000000007E-2</v>
      </c>
      <c r="AF791" s="5">
        <f t="shared" si="116"/>
        <v>892.48884997221853</v>
      </c>
      <c r="AG791" s="14">
        <v>0</v>
      </c>
      <c r="AH791" s="19">
        <f t="shared" si="121"/>
        <v>21286.799999999999</v>
      </c>
      <c r="AJ791" s="126">
        <v>34</v>
      </c>
      <c r="AK791" s="80">
        <f t="shared" si="117"/>
        <v>0</v>
      </c>
      <c r="AM791" s="85"/>
    </row>
    <row r="792" spans="1:39" hidden="1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19"/>
        <v>109509.4</v>
      </c>
      <c r="X792" s="18">
        <f t="shared" si="118"/>
        <v>480.98039215686276</v>
      </c>
      <c r="Y792" s="13">
        <f t="shared" si="113"/>
        <v>187.13294424389028</v>
      </c>
      <c r="Z792" s="14">
        <v>0</v>
      </c>
      <c r="AA792" s="4">
        <v>0</v>
      </c>
      <c r="AB792" s="4">
        <f t="shared" si="114"/>
        <v>480.98039215686276</v>
      </c>
      <c r="AC792" s="6">
        <f t="shared" si="115"/>
        <v>9.6196078431372598</v>
      </c>
      <c r="AD792" s="6">
        <f t="shared" si="120"/>
        <v>293.84744791297248</v>
      </c>
      <c r="AE792" s="2">
        <v>7.0000000000000007E-2</v>
      </c>
      <c r="AF792" s="5">
        <f t="shared" si="116"/>
        <v>20.569321353908077</v>
      </c>
      <c r="AG792" s="14">
        <v>0</v>
      </c>
      <c r="AH792" s="19">
        <f t="shared" si="121"/>
        <v>490.6</v>
      </c>
      <c r="AJ792" s="126" t="e">
        <v>#N/A</v>
      </c>
      <c r="AK792" s="80">
        <f t="shared" si="117"/>
        <v>0</v>
      </c>
      <c r="AM792" s="85"/>
    </row>
    <row r="793" spans="1:39" hidden="1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19"/>
        <v>3970.3999999999996</v>
      </c>
      <c r="X793" s="18">
        <f t="shared" si="118"/>
        <v>11029.6</v>
      </c>
      <c r="Y793" s="13">
        <f t="shared" si="113"/>
        <v>4423.3631237241725</v>
      </c>
      <c r="Z793" s="14">
        <v>0</v>
      </c>
      <c r="AA793" s="4">
        <v>0</v>
      </c>
      <c r="AB793" s="4">
        <f t="shared" si="114"/>
        <v>11029.6</v>
      </c>
      <c r="AC793" s="6">
        <f t="shared" si="115"/>
        <v>0</v>
      </c>
      <c r="AD793" s="6">
        <f t="shared" si="120"/>
        <v>6606.2368762758279</v>
      </c>
      <c r="AE793" s="2">
        <v>7.0000000000000007E-2</v>
      </c>
      <c r="AF793" s="5">
        <f t="shared" si="116"/>
        <v>462.43658133930802</v>
      </c>
      <c r="AG793" s="14">
        <v>0</v>
      </c>
      <c r="AH793" s="19">
        <f t="shared" si="121"/>
        <v>11029.6</v>
      </c>
      <c r="AJ793" s="126" t="e">
        <v>#N/A</v>
      </c>
      <c r="AK793" s="80">
        <f t="shared" si="117"/>
        <v>0</v>
      </c>
      <c r="AM793" s="85"/>
    </row>
    <row r="794" spans="1:39" hidden="1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19"/>
        <v>44680.179999999993</v>
      </c>
      <c r="X794" s="18">
        <f t="shared" si="118"/>
        <v>45007.352941176468</v>
      </c>
      <c r="Y794" s="13">
        <f t="shared" si="113"/>
        <v>17510.814590045644</v>
      </c>
      <c r="Z794" s="14">
        <v>0</v>
      </c>
      <c r="AA794" s="4">
        <v>0</v>
      </c>
      <c r="AB794" s="4">
        <f t="shared" si="114"/>
        <v>45007.352941176468</v>
      </c>
      <c r="AC794" s="6">
        <f t="shared" si="115"/>
        <v>900.14705882353155</v>
      </c>
      <c r="AD794" s="6">
        <f t="shared" si="120"/>
        <v>27496.538351130825</v>
      </c>
      <c r="AE794" s="2">
        <v>7.0000000000000007E-2</v>
      </c>
      <c r="AF794" s="5">
        <f t="shared" si="116"/>
        <v>1924.757684579158</v>
      </c>
      <c r="AG794" s="14">
        <v>0</v>
      </c>
      <c r="AH794" s="19">
        <f t="shared" si="121"/>
        <v>45907.5</v>
      </c>
      <c r="AJ794" s="126" t="e">
        <v>#N/A</v>
      </c>
      <c r="AK794" s="80">
        <f t="shared" si="117"/>
        <v>0</v>
      </c>
      <c r="AM794" s="85"/>
    </row>
    <row r="795" spans="1:39" hidden="1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19"/>
        <v>23055.1</v>
      </c>
      <c r="X795" s="18">
        <f t="shared" si="118"/>
        <v>43083.23529411765</v>
      </c>
      <c r="Y795" s="13">
        <f t="shared" si="113"/>
        <v>16762.206525689639</v>
      </c>
      <c r="Z795" s="14">
        <v>0</v>
      </c>
      <c r="AA795" s="4">
        <v>0</v>
      </c>
      <c r="AB795" s="4">
        <f t="shared" si="114"/>
        <v>43083.23529411765</v>
      </c>
      <c r="AC795" s="6">
        <f t="shared" si="115"/>
        <v>861.66470588235097</v>
      </c>
      <c r="AD795" s="6">
        <f t="shared" si="120"/>
        <v>26321.028768428012</v>
      </c>
      <c r="AE795" s="2">
        <v>7.0000000000000007E-2</v>
      </c>
      <c r="AF795" s="5">
        <f t="shared" si="116"/>
        <v>1842.472013789961</v>
      </c>
      <c r="AG795" s="14">
        <v>0</v>
      </c>
      <c r="AH795" s="19">
        <f t="shared" si="121"/>
        <v>43944.9</v>
      </c>
      <c r="AJ795" s="126" t="e">
        <v>#N/A</v>
      </c>
      <c r="AK795" s="80">
        <f t="shared" si="117"/>
        <v>0</v>
      </c>
      <c r="AM795" s="85"/>
    </row>
    <row r="796" spans="1:39" hidden="1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19"/>
        <v>2131129.0605500001</v>
      </c>
      <c r="X796" s="18">
        <f t="shared" si="118"/>
        <v>28785.724950980395</v>
      </c>
      <c r="Y796" s="13">
        <f t="shared" si="113"/>
        <v>11199.536509411355</v>
      </c>
      <c r="Z796" s="14">
        <v>0</v>
      </c>
      <c r="AA796" s="4">
        <v>0</v>
      </c>
      <c r="AB796" s="4">
        <f t="shared" si="114"/>
        <v>28785.724950980395</v>
      </c>
      <c r="AC796" s="6">
        <f t="shared" si="115"/>
        <v>575.71449901961023</v>
      </c>
      <c r="AD796" s="6">
        <f t="shared" si="120"/>
        <v>17586.18844156904</v>
      </c>
      <c r="AE796" s="2">
        <v>7.0000000000000007E-2</v>
      </c>
      <c r="AF796" s="5">
        <f t="shared" si="116"/>
        <v>1231.0331909098329</v>
      </c>
      <c r="AG796" s="14">
        <v>0</v>
      </c>
      <c r="AH796" s="19">
        <f t="shared" si="121"/>
        <v>29361.439450000005</v>
      </c>
      <c r="AJ796" s="126" t="e">
        <v>#N/A</v>
      </c>
      <c r="AK796" s="80">
        <f t="shared" si="117"/>
        <v>0</v>
      </c>
      <c r="AM796" s="85"/>
    </row>
    <row r="797" spans="1:39" hidden="1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19"/>
        <v>15000</v>
      </c>
      <c r="X797" s="18">
        <f t="shared" si="118"/>
        <v>0</v>
      </c>
      <c r="Y797" s="13">
        <f t="shared" si="113"/>
        <v>0</v>
      </c>
      <c r="Z797" s="14">
        <v>0</v>
      </c>
      <c r="AA797" s="4">
        <v>0</v>
      </c>
      <c r="AB797" s="4">
        <f t="shared" si="114"/>
        <v>0</v>
      </c>
      <c r="AC797" s="6">
        <f t="shared" si="115"/>
        <v>0</v>
      </c>
      <c r="AD797" s="6">
        <f t="shared" si="120"/>
        <v>0</v>
      </c>
      <c r="AE797" s="2">
        <v>7.0000000000000007E-2</v>
      </c>
      <c r="AF797" s="5">
        <f t="shared" si="116"/>
        <v>0</v>
      </c>
      <c r="AG797" s="14">
        <v>0</v>
      </c>
      <c r="AH797" s="19">
        <f t="shared" si="121"/>
        <v>0</v>
      </c>
      <c r="AJ797" s="126" t="e">
        <v>#N/A</v>
      </c>
      <c r="AK797" s="80">
        <f t="shared" si="117"/>
        <v>0</v>
      </c>
      <c r="AM797" s="85"/>
    </row>
    <row r="798" spans="1:39" hidden="1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19"/>
        <v>381</v>
      </c>
      <c r="X798" s="18">
        <f t="shared" si="118"/>
        <v>9430.3921568627447</v>
      </c>
      <c r="Y798" s="13">
        <f t="shared" si="113"/>
        <v>3669.0415627435395</v>
      </c>
      <c r="Z798" s="14">
        <v>0</v>
      </c>
      <c r="AA798" s="4">
        <v>0</v>
      </c>
      <c r="AB798" s="4">
        <f t="shared" si="114"/>
        <v>9430.3921568627447</v>
      </c>
      <c r="AC798" s="6">
        <f t="shared" si="115"/>
        <v>188.60784313725526</v>
      </c>
      <c r="AD798" s="6">
        <f t="shared" si="120"/>
        <v>5761.3505941192052</v>
      </c>
      <c r="AE798" s="2">
        <v>7.0000000000000007E-2</v>
      </c>
      <c r="AF798" s="5">
        <f t="shared" si="116"/>
        <v>403.29454158834443</v>
      </c>
      <c r="AG798" s="14">
        <v>0</v>
      </c>
      <c r="AH798" s="19">
        <f t="shared" si="121"/>
        <v>9619</v>
      </c>
      <c r="AJ798" s="126" t="e">
        <v>#N/A</v>
      </c>
      <c r="AK798" s="80">
        <f t="shared" si="117"/>
        <v>0</v>
      </c>
      <c r="AM798" s="85"/>
    </row>
    <row r="799" spans="1:39" hidden="1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19"/>
        <v>20000</v>
      </c>
      <c r="X799" s="18">
        <f t="shared" si="118"/>
        <v>0</v>
      </c>
      <c r="Y799" s="13">
        <f t="shared" si="113"/>
        <v>0</v>
      </c>
      <c r="Z799" s="14">
        <v>0</v>
      </c>
      <c r="AA799" s="4">
        <v>0</v>
      </c>
      <c r="AB799" s="4">
        <f t="shared" si="114"/>
        <v>0</v>
      </c>
      <c r="AC799" s="6">
        <f t="shared" si="115"/>
        <v>0</v>
      </c>
      <c r="AD799" s="6">
        <f t="shared" si="120"/>
        <v>0</v>
      </c>
      <c r="AE799" s="2">
        <v>7.0000000000000007E-2</v>
      </c>
      <c r="AF799" s="5">
        <f t="shared" si="116"/>
        <v>0</v>
      </c>
      <c r="AG799" s="14">
        <v>0</v>
      </c>
      <c r="AH799" s="19">
        <f t="shared" si="121"/>
        <v>0</v>
      </c>
      <c r="AJ799" s="126" t="e">
        <v>#N/A</v>
      </c>
      <c r="AK799" s="80">
        <f t="shared" si="117"/>
        <v>0</v>
      </c>
      <c r="AM799" s="85"/>
    </row>
    <row r="800" spans="1:39" hidden="1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19"/>
        <v>11957.600000000006</v>
      </c>
      <c r="X800" s="18">
        <f t="shared" si="118"/>
        <v>72093.899999999994</v>
      </c>
      <c r="Y800" s="13">
        <f t="shared" si="113"/>
        <v>28912.879769480132</v>
      </c>
      <c r="Z800" s="14">
        <v>0</v>
      </c>
      <c r="AA800" s="4">
        <v>0</v>
      </c>
      <c r="AB800" s="4">
        <f t="shared" si="114"/>
        <v>72093.899999999994</v>
      </c>
      <c r="AC800" s="6">
        <f t="shared" si="115"/>
        <v>0</v>
      </c>
      <c r="AD800" s="6">
        <f t="shared" si="120"/>
        <v>43181.020230519862</v>
      </c>
      <c r="AE800" s="2">
        <v>7.0000000000000007E-2</v>
      </c>
      <c r="AF800" s="5">
        <f t="shared" si="116"/>
        <v>3022.6714161363907</v>
      </c>
      <c r="AG800" s="14">
        <v>0</v>
      </c>
      <c r="AH800" s="19">
        <f t="shared" si="121"/>
        <v>72093.899999999994</v>
      </c>
      <c r="AJ800" s="126" t="e">
        <v>#N/A</v>
      </c>
      <c r="AK800" s="80">
        <f t="shared" si="117"/>
        <v>0</v>
      </c>
      <c r="AM800" s="85"/>
    </row>
    <row r="801" spans="1:39" hidden="1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19"/>
        <v>7598.3000000000029</v>
      </c>
      <c r="X801" s="18">
        <f t="shared" si="118"/>
        <v>68601.7</v>
      </c>
      <c r="Y801" s="13">
        <f t="shared" si="113"/>
        <v>27512.351309638478</v>
      </c>
      <c r="Z801" s="14">
        <v>0</v>
      </c>
      <c r="AA801" s="4">
        <v>0</v>
      </c>
      <c r="AB801" s="4">
        <f t="shared" si="114"/>
        <v>68601.7</v>
      </c>
      <c r="AC801" s="6">
        <f t="shared" si="115"/>
        <v>0</v>
      </c>
      <c r="AD801" s="6">
        <f t="shared" si="120"/>
        <v>41089.348690361519</v>
      </c>
      <c r="AE801" s="2">
        <v>7.0000000000000007E-2</v>
      </c>
      <c r="AF801" s="5">
        <f t="shared" si="116"/>
        <v>2876.2544083253065</v>
      </c>
      <c r="AG801" s="14">
        <v>0</v>
      </c>
      <c r="AH801" s="19">
        <f t="shared" si="121"/>
        <v>68601.7</v>
      </c>
      <c r="AJ801" s="126" t="e">
        <v>#N/A</v>
      </c>
      <c r="AK801" s="80">
        <f t="shared" si="117"/>
        <v>0</v>
      </c>
      <c r="AM801" s="85"/>
    </row>
    <row r="802" spans="1:39" hidden="1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19"/>
        <v>26783.199999999997</v>
      </c>
      <c r="X802" s="18">
        <f t="shared" si="118"/>
        <v>117216.8</v>
      </c>
      <c r="Y802" s="13">
        <f t="shared" si="113"/>
        <v>47009.181711118406</v>
      </c>
      <c r="Z802" s="14">
        <v>0</v>
      </c>
      <c r="AA802" s="4">
        <v>0</v>
      </c>
      <c r="AB802" s="4">
        <f t="shared" si="114"/>
        <v>117216.8</v>
      </c>
      <c r="AC802" s="6">
        <f t="shared" si="115"/>
        <v>0</v>
      </c>
      <c r="AD802" s="6">
        <f t="shared" si="120"/>
        <v>70207.618288881597</v>
      </c>
      <c r="AE802" s="2">
        <v>7.0000000000000007E-2</v>
      </c>
      <c r="AF802" s="5">
        <f t="shared" si="116"/>
        <v>4914.5332802217126</v>
      </c>
      <c r="AG802" s="14">
        <v>0</v>
      </c>
      <c r="AH802" s="19">
        <f t="shared" si="121"/>
        <v>117216.8</v>
      </c>
      <c r="AJ802" s="126" t="e">
        <v>#N/A</v>
      </c>
      <c r="AK802" s="80">
        <f t="shared" si="117"/>
        <v>0</v>
      </c>
      <c r="AM802" s="85"/>
    </row>
    <row r="803" spans="1:39" hidden="1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19"/>
        <v>0</v>
      </c>
      <c r="X803" s="18">
        <f t="shared" si="118"/>
        <v>28198.5</v>
      </c>
      <c r="Y803" s="13">
        <f t="shared" si="113"/>
        <v>11308.860252804825</v>
      </c>
      <c r="Z803" s="14">
        <v>0</v>
      </c>
      <c r="AA803" s="4">
        <v>0</v>
      </c>
      <c r="AB803" s="4">
        <f t="shared" si="114"/>
        <v>28198.5</v>
      </c>
      <c r="AC803" s="6">
        <f t="shared" si="115"/>
        <v>0</v>
      </c>
      <c r="AD803" s="6">
        <f t="shared" si="120"/>
        <v>16889.639747195175</v>
      </c>
      <c r="AE803" s="2">
        <v>7.0000000000000007E-2</v>
      </c>
      <c r="AF803" s="5">
        <f t="shared" si="116"/>
        <v>1182.2747823036623</v>
      </c>
      <c r="AG803" s="14">
        <v>0</v>
      </c>
      <c r="AH803" s="19">
        <f t="shared" si="121"/>
        <v>28198.5</v>
      </c>
      <c r="AJ803" s="126" t="e">
        <v>#N/A</v>
      </c>
      <c r="AK803" s="80">
        <f t="shared" si="117"/>
        <v>0</v>
      </c>
      <c r="AM803" s="85"/>
    </row>
    <row r="804" spans="1:39" hidden="1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19"/>
        <v>14216.96</v>
      </c>
      <c r="X804" s="18">
        <f t="shared" si="118"/>
        <v>7919.1176470588234</v>
      </c>
      <c r="Y804" s="13">
        <f t="shared" si="113"/>
        <v>3081.0565779250383</v>
      </c>
      <c r="Z804" s="14">
        <v>0</v>
      </c>
      <c r="AA804" s="4">
        <v>0</v>
      </c>
      <c r="AB804" s="4">
        <f t="shared" si="114"/>
        <v>7919.1176470588234</v>
      </c>
      <c r="AC804" s="6">
        <f t="shared" si="115"/>
        <v>158.38235294117658</v>
      </c>
      <c r="AD804" s="6">
        <f t="shared" si="120"/>
        <v>4838.0610691337852</v>
      </c>
      <c r="AE804" s="2">
        <v>7.0000000000000007E-2</v>
      </c>
      <c r="AF804" s="5">
        <f t="shared" si="116"/>
        <v>338.66427483936502</v>
      </c>
      <c r="AG804" s="14">
        <v>0</v>
      </c>
      <c r="AH804" s="19">
        <f t="shared" si="121"/>
        <v>8077.5</v>
      </c>
      <c r="AJ804" s="126" t="e">
        <v>#N/A</v>
      </c>
      <c r="AK804" s="80">
        <f t="shared" si="117"/>
        <v>0</v>
      </c>
      <c r="AM804" s="85"/>
    </row>
    <row r="805" spans="1:39" hidden="1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19"/>
        <v>1</v>
      </c>
      <c r="X805" s="18">
        <f t="shared" si="118"/>
        <v>19999</v>
      </c>
      <c r="Y805" s="13">
        <f t="shared" si="113"/>
        <v>8020.493863001353</v>
      </c>
      <c r="Z805" s="14">
        <v>0</v>
      </c>
      <c r="AA805" s="4">
        <v>0</v>
      </c>
      <c r="AB805" s="4">
        <f t="shared" si="114"/>
        <v>19999</v>
      </c>
      <c r="AC805" s="6">
        <f t="shared" si="115"/>
        <v>0</v>
      </c>
      <c r="AD805" s="6">
        <f t="shared" si="120"/>
        <v>11978.506136998647</v>
      </c>
      <c r="AE805" s="2">
        <v>7.0000000000000007E-2</v>
      </c>
      <c r="AF805" s="5">
        <f t="shared" si="116"/>
        <v>838.49542958990537</v>
      </c>
      <c r="AG805" s="14">
        <v>0</v>
      </c>
      <c r="AH805" s="19">
        <f t="shared" si="121"/>
        <v>19999</v>
      </c>
      <c r="AJ805" s="126" t="e">
        <v>#N/A</v>
      </c>
      <c r="AK805" s="80">
        <f t="shared" si="117"/>
        <v>0</v>
      </c>
      <c r="AM805" s="85"/>
    </row>
    <row r="806" spans="1:39" hidden="1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19"/>
        <v>8869.1</v>
      </c>
      <c r="X806" s="18">
        <f t="shared" si="118"/>
        <v>10912.64705882353</v>
      </c>
      <c r="Y806" s="13">
        <f t="shared" si="113"/>
        <v>4245.7360152554393</v>
      </c>
      <c r="Z806" s="14">
        <v>0</v>
      </c>
      <c r="AA806" s="4">
        <v>0</v>
      </c>
      <c r="AB806" s="4">
        <f t="shared" si="114"/>
        <v>10912.64705882353</v>
      </c>
      <c r="AC806" s="6">
        <f t="shared" si="115"/>
        <v>218.2529411764699</v>
      </c>
      <c r="AD806" s="6">
        <f t="shared" si="120"/>
        <v>6666.9110435680905</v>
      </c>
      <c r="AE806" s="2">
        <v>7.0000000000000007E-2</v>
      </c>
      <c r="AF806" s="5">
        <f t="shared" si="116"/>
        <v>466.68377304976639</v>
      </c>
      <c r="AG806" s="14">
        <v>0</v>
      </c>
      <c r="AH806" s="19">
        <f t="shared" si="121"/>
        <v>11130.9</v>
      </c>
      <c r="AJ806" s="126" t="e">
        <v>#N/A</v>
      </c>
      <c r="AK806" s="80">
        <f t="shared" si="117"/>
        <v>0</v>
      </c>
      <c r="AM806" s="85"/>
    </row>
    <row r="807" spans="1:39" hidden="1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19"/>
        <v>19966.900000000038</v>
      </c>
      <c r="X807" s="18">
        <f t="shared" si="118"/>
        <v>108206.2</v>
      </c>
      <c r="Y807" s="13">
        <f t="shared" si="113"/>
        <v>43395.52792833127</v>
      </c>
      <c r="Z807" s="14">
        <v>0</v>
      </c>
      <c r="AA807" s="4">
        <v>0</v>
      </c>
      <c r="AB807" s="4">
        <f t="shared" si="114"/>
        <v>108206.2</v>
      </c>
      <c r="AC807" s="6">
        <f t="shared" si="115"/>
        <v>0</v>
      </c>
      <c r="AD807" s="6">
        <f t="shared" si="120"/>
        <v>64810.672071668727</v>
      </c>
      <c r="AE807" s="2">
        <v>7.0000000000000007E-2</v>
      </c>
      <c r="AF807" s="5">
        <f t="shared" si="116"/>
        <v>4536.7470450168112</v>
      </c>
      <c r="AG807" s="14">
        <v>0</v>
      </c>
      <c r="AH807" s="19">
        <f t="shared" si="121"/>
        <v>108206.2</v>
      </c>
      <c r="AJ807" s="126" t="e">
        <v>#N/A</v>
      </c>
      <c r="AK807" s="80">
        <f t="shared" si="117"/>
        <v>0</v>
      </c>
      <c r="AM807" s="85"/>
    </row>
    <row r="808" spans="1:39" hidden="1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19"/>
        <v>1</v>
      </c>
      <c r="X808" s="18">
        <f t="shared" si="118"/>
        <v>19999</v>
      </c>
      <c r="Y808" s="13">
        <f t="shared" si="113"/>
        <v>8020.493863001353</v>
      </c>
      <c r="Z808" s="14">
        <v>0</v>
      </c>
      <c r="AA808" s="4">
        <v>0</v>
      </c>
      <c r="AB808" s="4">
        <f t="shared" si="114"/>
        <v>19999</v>
      </c>
      <c r="AC808" s="6">
        <f t="shared" si="115"/>
        <v>0</v>
      </c>
      <c r="AD808" s="6">
        <f t="shared" si="120"/>
        <v>11978.506136998647</v>
      </c>
      <c r="AE808" s="2">
        <v>7.0000000000000007E-2</v>
      </c>
      <c r="AF808" s="5">
        <f t="shared" si="116"/>
        <v>838.49542958990537</v>
      </c>
      <c r="AG808" s="14">
        <v>0</v>
      </c>
      <c r="AH808" s="19">
        <f t="shared" si="121"/>
        <v>19999</v>
      </c>
      <c r="AJ808" s="126" t="e">
        <v>#N/A</v>
      </c>
      <c r="AK808" s="80">
        <f t="shared" si="117"/>
        <v>0</v>
      </c>
      <c r="AM808" s="85"/>
    </row>
    <row r="809" spans="1:39" hidden="1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19"/>
        <v>13496.260000000009</v>
      </c>
      <c r="X809" s="18">
        <f t="shared" si="118"/>
        <v>92690.939999999988</v>
      </c>
      <c r="Y809" s="13">
        <f t="shared" si="113"/>
        <v>37173.21443201293</v>
      </c>
      <c r="Z809" s="14">
        <v>0</v>
      </c>
      <c r="AA809" s="4">
        <v>0</v>
      </c>
      <c r="AB809" s="4">
        <f t="shared" si="114"/>
        <v>92690.939999999988</v>
      </c>
      <c r="AC809" s="6">
        <f t="shared" si="115"/>
        <v>0</v>
      </c>
      <c r="AD809" s="6">
        <f t="shared" si="120"/>
        <v>55517.725567987058</v>
      </c>
      <c r="AE809" s="2">
        <v>7.0000000000000007E-2</v>
      </c>
      <c r="AF809" s="5">
        <f t="shared" si="116"/>
        <v>3886.2407897590942</v>
      </c>
      <c r="AG809" s="14">
        <v>0</v>
      </c>
      <c r="AH809" s="19">
        <f t="shared" si="121"/>
        <v>92690.939999999988</v>
      </c>
      <c r="AJ809" s="126" t="e">
        <v>#N/A</v>
      </c>
      <c r="AK809" s="80">
        <f t="shared" si="117"/>
        <v>0</v>
      </c>
      <c r="AM809" s="85"/>
    </row>
    <row r="810" spans="1:39" hidden="1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19"/>
        <v>0</v>
      </c>
      <c r="X810" s="18">
        <f t="shared" si="118"/>
        <v>1055.1568627451072</v>
      </c>
      <c r="Y810" s="13">
        <f t="shared" si="113"/>
        <v>410.525280415677</v>
      </c>
      <c r="Z810" s="14">
        <v>0</v>
      </c>
      <c r="AA810" s="4">
        <v>0</v>
      </c>
      <c r="AB810" s="4">
        <f t="shared" si="114"/>
        <v>1055.1568627451072</v>
      </c>
      <c r="AC810" s="6">
        <f t="shared" si="115"/>
        <v>21.103137254902094</v>
      </c>
      <c r="AD810" s="6">
        <f t="shared" si="120"/>
        <v>644.63158232943022</v>
      </c>
      <c r="AE810" s="2">
        <v>7.0000000000000007E-2</v>
      </c>
      <c r="AF810" s="5">
        <f t="shared" si="116"/>
        <v>45.12421076306012</v>
      </c>
      <c r="AG810" s="14">
        <v>0</v>
      </c>
      <c r="AH810" s="19">
        <f t="shared" si="121"/>
        <v>1076.2600000000093</v>
      </c>
      <c r="AJ810" s="126" t="e">
        <v>#N/A</v>
      </c>
      <c r="AK810" s="80">
        <f t="shared" si="117"/>
        <v>0</v>
      </c>
      <c r="AM810" s="85"/>
    </row>
    <row r="811" spans="1:39" hidden="1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19"/>
        <v>5315.5</v>
      </c>
      <c r="X811" s="18">
        <f t="shared" si="118"/>
        <v>4684.5</v>
      </c>
      <c r="Y811" s="13">
        <f t="shared" si="113"/>
        <v>1878.6941097669805</v>
      </c>
      <c r="Z811" s="14">
        <v>0</v>
      </c>
      <c r="AA811" s="4">
        <v>0</v>
      </c>
      <c r="AB811" s="4">
        <f t="shared" si="114"/>
        <v>4684.5</v>
      </c>
      <c r="AC811" s="6">
        <f t="shared" si="115"/>
        <v>0</v>
      </c>
      <c r="AD811" s="6">
        <f t="shared" si="120"/>
        <v>2805.8058902330195</v>
      </c>
      <c r="AE811" s="2">
        <v>7.0000000000000007E-2</v>
      </c>
      <c r="AF811" s="5">
        <f t="shared" si="116"/>
        <v>196.40641231631139</v>
      </c>
      <c r="AG811" s="14">
        <v>0</v>
      </c>
      <c r="AH811" s="19">
        <f t="shared" si="121"/>
        <v>4684.5</v>
      </c>
      <c r="AJ811" s="126" t="e">
        <v>#N/A</v>
      </c>
      <c r="AK811" s="80">
        <f t="shared" si="117"/>
        <v>0</v>
      </c>
      <c r="AM811" s="85"/>
    </row>
    <row r="812" spans="1:39" hidden="1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19"/>
        <v>1745.3000000000029</v>
      </c>
      <c r="X812" s="18">
        <f t="shared" si="118"/>
        <v>33254.699999999997</v>
      </c>
      <c r="Y812" s="13">
        <f t="shared" si="113"/>
        <v>13336.622694432277</v>
      </c>
      <c r="Z812" s="14">
        <v>0</v>
      </c>
      <c r="AA812" s="4">
        <v>0</v>
      </c>
      <c r="AB812" s="4">
        <f t="shared" si="114"/>
        <v>33254.699999999997</v>
      </c>
      <c r="AC812" s="6">
        <f t="shared" si="115"/>
        <v>0</v>
      </c>
      <c r="AD812" s="6">
        <f t="shared" si="120"/>
        <v>19918.07730556772</v>
      </c>
      <c r="AE812" s="2">
        <v>7.0000000000000007E-2</v>
      </c>
      <c r="AF812" s="5">
        <f t="shared" si="116"/>
        <v>1394.2654113897406</v>
      </c>
      <c r="AG812" s="14">
        <v>0</v>
      </c>
      <c r="AH812" s="19">
        <f t="shared" si="121"/>
        <v>33254.699999999997</v>
      </c>
      <c r="AJ812" s="126" t="e">
        <v>#N/A</v>
      </c>
      <c r="AK812" s="80">
        <f t="shared" si="117"/>
        <v>0</v>
      </c>
      <c r="AM812" s="85"/>
    </row>
    <row r="813" spans="1:39" hidden="1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19"/>
        <v>6502</v>
      </c>
      <c r="X813" s="18">
        <f t="shared" si="118"/>
        <v>0</v>
      </c>
      <c r="Y813" s="13">
        <f t="shared" si="113"/>
        <v>0</v>
      </c>
      <c r="Z813" s="14">
        <v>0</v>
      </c>
      <c r="AA813" s="4">
        <v>0</v>
      </c>
      <c r="AB813" s="4">
        <f t="shared" si="114"/>
        <v>0</v>
      </c>
      <c r="AC813" s="6">
        <f t="shared" si="115"/>
        <v>0</v>
      </c>
      <c r="AD813" s="6">
        <f t="shared" si="120"/>
        <v>0</v>
      </c>
      <c r="AE813" s="2">
        <v>7.0000000000000007E-2</v>
      </c>
      <c r="AF813" s="5">
        <f t="shared" si="116"/>
        <v>0</v>
      </c>
      <c r="AG813" s="14">
        <v>0</v>
      </c>
      <c r="AH813" s="19">
        <f t="shared" si="121"/>
        <v>0</v>
      </c>
      <c r="AJ813" s="126" t="e">
        <v>#N/A</v>
      </c>
      <c r="AK813" s="80">
        <f t="shared" si="117"/>
        <v>0</v>
      </c>
      <c r="AM813" s="85"/>
    </row>
    <row r="814" spans="1:39" hidden="1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19"/>
        <v>0</v>
      </c>
      <c r="X814" s="18">
        <f t="shared" si="118"/>
        <v>3498</v>
      </c>
      <c r="Y814" s="13">
        <f t="shared" si="113"/>
        <v>1402.8545193649047</v>
      </c>
      <c r="Z814" s="14">
        <v>0</v>
      </c>
      <c r="AA814" s="4">
        <v>0</v>
      </c>
      <c r="AB814" s="4">
        <f t="shared" si="114"/>
        <v>3498</v>
      </c>
      <c r="AC814" s="6">
        <f t="shared" si="115"/>
        <v>0</v>
      </c>
      <c r="AD814" s="6">
        <f t="shared" si="120"/>
        <v>2095.1454806350953</v>
      </c>
      <c r="AE814" s="2">
        <v>7.0000000000000007E-2</v>
      </c>
      <c r="AF814" s="5">
        <f t="shared" si="116"/>
        <v>146.66018364445668</v>
      </c>
      <c r="AG814" s="14">
        <v>0</v>
      </c>
      <c r="AH814" s="19">
        <f t="shared" si="121"/>
        <v>3498</v>
      </c>
      <c r="AJ814" s="126" t="e">
        <v>#N/A</v>
      </c>
      <c r="AK814" s="80">
        <f t="shared" si="117"/>
        <v>0</v>
      </c>
      <c r="AM814" s="85"/>
    </row>
    <row r="815" spans="1:39" hidden="1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19"/>
        <v>0</v>
      </c>
      <c r="X815" s="18">
        <f t="shared" si="118"/>
        <v>0</v>
      </c>
      <c r="Y815" s="13">
        <f t="shared" si="113"/>
        <v>0</v>
      </c>
      <c r="Z815" s="14">
        <v>0</v>
      </c>
      <c r="AA815" s="4">
        <v>0</v>
      </c>
      <c r="AB815" s="4">
        <f t="shared" si="114"/>
        <v>0</v>
      </c>
      <c r="AC815" s="6">
        <f t="shared" si="115"/>
        <v>0</v>
      </c>
      <c r="AD815" s="6">
        <f t="shared" si="120"/>
        <v>0</v>
      </c>
      <c r="AE815" s="2">
        <v>7.0000000000000007E-2</v>
      </c>
      <c r="AF815" s="5">
        <f t="shared" si="116"/>
        <v>0</v>
      </c>
      <c r="AG815" s="14">
        <v>0</v>
      </c>
      <c r="AH815" s="19">
        <f t="shared" si="121"/>
        <v>0</v>
      </c>
      <c r="AJ815" s="126" t="e">
        <v>#N/A</v>
      </c>
      <c r="AK815" s="80">
        <f t="shared" si="117"/>
        <v>0</v>
      </c>
      <c r="AM815" s="85"/>
    </row>
    <row r="816" spans="1:39" hidden="1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19"/>
        <v>7849.1</v>
      </c>
      <c r="X816" s="18">
        <f t="shared" si="118"/>
        <v>2150.9</v>
      </c>
      <c r="Y816" s="13">
        <f t="shared" si="113"/>
        <v>862.60714285362315</v>
      </c>
      <c r="Z816" s="14">
        <v>0</v>
      </c>
      <c r="AA816" s="4">
        <v>0</v>
      </c>
      <c r="AB816" s="4">
        <f t="shared" si="114"/>
        <v>2150.9</v>
      </c>
      <c r="AC816" s="6">
        <f t="shared" si="115"/>
        <v>0</v>
      </c>
      <c r="AD816" s="6">
        <f t="shared" si="120"/>
        <v>1288.2928571463769</v>
      </c>
      <c r="AE816" s="2">
        <v>7.0000000000000007E-2</v>
      </c>
      <c r="AF816" s="5">
        <f t="shared" si="116"/>
        <v>90.180500000246397</v>
      </c>
      <c r="AG816" s="14">
        <v>0</v>
      </c>
      <c r="AH816" s="19">
        <f t="shared" si="121"/>
        <v>2150.9</v>
      </c>
      <c r="AJ816" s="126" t="e">
        <v>#N/A</v>
      </c>
      <c r="AK816" s="80">
        <f t="shared" si="117"/>
        <v>0</v>
      </c>
      <c r="AM816" s="85"/>
    </row>
    <row r="817" spans="1:39" hidden="1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19"/>
        <v>2177.5</v>
      </c>
      <c r="X817" s="18">
        <f t="shared" si="118"/>
        <v>2822.5</v>
      </c>
      <c r="Y817" s="13">
        <f t="shared" si="113"/>
        <v>1131.9487938557588</v>
      </c>
      <c r="Z817" s="14">
        <v>0</v>
      </c>
      <c r="AA817" s="4">
        <v>0</v>
      </c>
      <c r="AB817" s="4">
        <f t="shared" si="114"/>
        <v>2822.5</v>
      </c>
      <c r="AC817" s="6">
        <f t="shared" si="115"/>
        <v>0</v>
      </c>
      <c r="AD817" s="6">
        <f t="shared" si="120"/>
        <v>1690.5512061442412</v>
      </c>
      <c r="AE817" s="2">
        <v>7.0000000000000007E-2</v>
      </c>
      <c r="AF817" s="5">
        <f t="shared" si="116"/>
        <v>118.33858443009689</v>
      </c>
      <c r="AG817" s="14">
        <v>0</v>
      </c>
      <c r="AH817" s="19">
        <f t="shared" si="121"/>
        <v>2822.5</v>
      </c>
      <c r="AJ817" s="126" t="e">
        <v>#N/A</v>
      </c>
      <c r="AK817" s="80">
        <f t="shared" si="117"/>
        <v>0</v>
      </c>
      <c r="AM817" s="85"/>
    </row>
    <row r="818" spans="1:39" hidden="1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19"/>
        <v>7189.4000000000015</v>
      </c>
      <c r="X818" s="18">
        <f t="shared" si="118"/>
        <v>22810.6</v>
      </c>
      <c r="Y818" s="13">
        <f t="shared" si="113"/>
        <v>9148.0712691323897</v>
      </c>
      <c r="Z818" s="14">
        <v>0</v>
      </c>
      <c r="AA818" s="4">
        <v>0</v>
      </c>
      <c r="AB818" s="4">
        <f t="shared" si="114"/>
        <v>22810.6</v>
      </c>
      <c r="AC818" s="6">
        <f t="shared" si="115"/>
        <v>0</v>
      </c>
      <c r="AD818" s="6">
        <f t="shared" si="120"/>
        <v>13662.528730867609</v>
      </c>
      <c r="AE818" s="2">
        <v>7.0000000000000007E-2</v>
      </c>
      <c r="AF818" s="5">
        <f t="shared" si="116"/>
        <v>956.37701116073276</v>
      </c>
      <c r="AG818" s="14">
        <v>0</v>
      </c>
      <c r="AH818" s="19">
        <f t="shared" si="121"/>
        <v>22810.6</v>
      </c>
      <c r="AJ818" s="126" t="e">
        <v>#N/A</v>
      </c>
      <c r="AK818" s="80">
        <f t="shared" si="117"/>
        <v>0</v>
      </c>
      <c r="AM818" s="85"/>
    </row>
    <row r="819" spans="1:39" hidden="1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19"/>
        <v>6018.4</v>
      </c>
      <c r="X819" s="18">
        <f t="shared" si="118"/>
        <v>3981.6</v>
      </c>
      <c r="Y819" s="13">
        <f t="shared" si="113"/>
        <v>1596.7997582342209</v>
      </c>
      <c r="Z819" s="14">
        <v>0</v>
      </c>
      <c r="AA819" s="4">
        <v>0</v>
      </c>
      <c r="AB819" s="4">
        <f t="shared" si="114"/>
        <v>3981.6</v>
      </c>
      <c r="AC819" s="6">
        <f t="shared" si="115"/>
        <v>0</v>
      </c>
      <c r="AD819" s="6">
        <f t="shared" si="120"/>
        <v>2384.800241765779</v>
      </c>
      <c r="AE819" s="2">
        <v>7.0000000000000007E-2</v>
      </c>
      <c r="AF819" s="5">
        <f t="shared" si="116"/>
        <v>166.93601692360454</v>
      </c>
      <c r="AG819" s="14">
        <v>0</v>
      </c>
      <c r="AH819" s="19">
        <f t="shared" si="121"/>
        <v>3981.6</v>
      </c>
      <c r="AJ819" s="126" t="e">
        <v>#N/A</v>
      </c>
      <c r="AK819" s="80">
        <f t="shared" si="117"/>
        <v>0</v>
      </c>
      <c r="AM819" s="85"/>
    </row>
    <row r="820" spans="1:39" hidden="1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19"/>
        <v>9455.9</v>
      </c>
      <c r="X820" s="18">
        <f t="shared" si="118"/>
        <v>3010.5</v>
      </c>
      <c r="Y820" s="13">
        <f t="shared" si="113"/>
        <v>1207.3452059885781</v>
      </c>
      <c r="Z820" s="14">
        <v>0</v>
      </c>
      <c r="AA820" s="4">
        <v>0</v>
      </c>
      <c r="AB820" s="4">
        <f t="shared" si="114"/>
        <v>3010.5</v>
      </c>
      <c r="AC820" s="6">
        <f t="shared" si="115"/>
        <v>0</v>
      </c>
      <c r="AD820" s="6">
        <f t="shared" si="120"/>
        <v>1803.1547940114219</v>
      </c>
      <c r="AE820" s="2">
        <v>7.0000000000000007E-2</v>
      </c>
      <c r="AF820" s="5">
        <f t="shared" si="116"/>
        <v>126.22083558079954</v>
      </c>
      <c r="AG820" s="14">
        <v>0</v>
      </c>
      <c r="AH820" s="19">
        <f t="shared" si="121"/>
        <v>3010.5</v>
      </c>
      <c r="AJ820" s="126" t="e">
        <v>#N/A</v>
      </c>
      <c r="AK820" s="80">
        <f t="shared" si="117"/>
        <v>0</v>
      </c>
      <c r="AM820" s="85"/>
    </row>
    <row r="821" spans="1:39" hidden="1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19"/>
        <v>8110.2999999999993</v>
      </c>
      <c r="X821" s="18">
        <f t="shared" si="118"/>
        <v>29427.200000000001</v>
      </c>
      <c r="Y821" s="13">
        <f t="shared" si="113"/>
        <v>11801.623931462243</v>
      </c>
      <c r="Z821" s="14">
        <v>0</v>
      </c>
      <c r="AA821" s="4">
        <v>0</v>
      </c>
      <c r="AB821" s="4">
        <f t="shared" si="114"/>
        <v>29427.200000000001</v>
      </c>
      <c r="AC821" s="6">
        <f t="shared" si="115"/>
        <v>0</v>
      </c>
      <c r="AD821" s="6">
        <f t="shared" si="120"/>
        <v>17625.576068537757</v>
      </c>
      <c r="AE821" s="2">
        <v>7.0000000000000007E-2</v>
      </c>
      <c r="AF821" s="5">
        <f t="shared" si="116"/>
        <v>1233.7903247976431</v>
      </c>
      <c r="AG821" s="14">
        <v>0</v>
      </c>
      <c r="AH821" s="19">
        <f t="shared" si="121"/>
        <v>29427.200000000001</v>
      </c>
      <c r="AJ821" s="126" t="e">
        <v>#N/A</v>
      </c>
      <c r="AK821" s="80">
        <f t="shared" si="117"/>
        <v>0</v>
      </c>
      <c r="AM821" s="85"/>
    </row>
    <row r="822" spans="1:39" hidden="1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19"/>
        <v>5187.1000000000004</v>
      </c>
      <c r="X822" s="18">
        <f t="shared" si="118"/>
        <v>4718.5294117647054</v>
      </c>
      <c r="Y822" s="13">
        <f t="shared" si="113"/>
        <v>1835.8176668394199</v>
      </c>
      <c r="Z822" s="14">
        <v>0</v>
      </c>
      <c r="AA822" s="4">
        <v>0</v>
      </c>
      <c r="AB822" s="4">
        <f t="shared" si="114"/>
        <v>4718.5294117647054</v>
      </c>
      <c r="AC822" s="6">
        <f t="shared" si="115"/>
        <v>94.370588235294235</v>
      </c>
      <c r="AD822" s="6">
        <f t="shared" si="120"/>
        <v>2882.7117449252855</v>
      </c>
      <c r="AE822" s="2">
        <v>7.0000000000000007E-2</v>
      </c>
      <c r="AF822" s="5">
        <f t="shared" si="116"/>
        <v>201.78982214477</v>
      </c>
      <c r="AG822" s="14">
        <v>0</v>
      </c>
      <c r="AH822" s="19">
        <f t="shared" si="121"/>
        <v>4812.8999999999996</v>
      </c>
      <c r="AJ822" s="126" t="e">
        <v>#N/A</v>
      </c>
      <c r="AK822" s="80">
        <f t="shared" si="117"/>
        <v>0</v>
      </c>
      <c r="AM822" s="85"/>
    </row>
    <row r="823" spans="1:39" hidden="1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19"/>
        <v>0</v>
      </c>
      <c r="X823" s="18">
        <f t="shared" si="118"/>
        <v>0</v>
      </c>
      <c r="Y823" s="13">
        <f t="shared" si="113"/>
        <v>0</v>
      </c>
      <c r="Z823" s="14">
        <v>0</v>
      </c>
      <c r="AA823" s="4">
        <v>0</v>
      </c>
      <c r="AB823" s="4">
        <f t="shared" si="114"/>
        <v>0</v>
      </c>
      <c r="AC823" s="6">
        <f t="shared" si="115"/>
        <v>0</v>
      </c>
      <c r="AD823" s="6">
        <f t="shared" si="120"/>
        <v>0</v>
      </c>
      <c r="AE823" s="2">
        <v>7.0000000000000007E-2</v>
      </c>
      <c r="AF823" s="5">
        <f t="shared" si="116"/>
        <v>0</v>
      </c>
      <c r="AG823" s="14">
        <v>0</v>
      </c>
      <c r="AH823" s="19">
        <f t="shared" si="121"/>
        <v>0</v>
      </c>
      <c r="AJ823" s="126" t="e">
        <v>#N/A</v>
      </c>
      <c r="AK823" s="80">
        <f t="shared" si="117"/>
        <v>0</v>
      </c>
      <c r="AM823" s="85"/>
    </row>
    <row r="824" spans="1:39" hidden="1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19"/>
        <v>5551.8999999999942</v>
      </c>
      <c r="X824" s="18">
        <f t="shared" si="118"/>
        <v>33580.800000000003</v>
      </c>
      <c r="Y824" s="13">
        <f t="shared" si="113"/>
        <v>13467.40338590309</v>
      </c>
      <c r="Z824" s="14">
        <v>0</v>
      </c>
      <c r="AA824" s="4">
        <v>0</v>
      </c>
      <c r="AB824" s="4">
        <f t="shared" si="114"/>
        <v>33580.800000000003</v>
      </c>
      <c r="AC824" s="6">
        <f t="shared" si="115"/>
        <v>0</v>
      </c>
      <c r="AD824" s="6">
        <f t="shared" si="120"/>
        <v>20113.396614096913</v>
      </c>
      <c r="AE824" s="2">
        <v>7.0000000000000007E-2</v>
      </c>
      <c r="AF824" s="5">
        <f t="shared" si="116"/>
        <v>1407.937762986784</v>
      </c>
      <c r="AG824" s="14">
        <v>0</v>
      </c>
      <c r="AH824" s="19">
        <f t="shared" si="121"/>
        <v>33580.800000000003</v>
      </c>
      <c r="AJ824" s="126" t="e">
        <v>#N/A</v>
      </c>
      <c r="AK824" s="80">
        <f t="shared" si="117"/>
        <v>0</v>
      </c>
      <c r="AM824" s="85"/>
    </row>
    <row r="825" spans="1:39" hidden="1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19"/>
        <v>8409.2199999999975</v>
      </c>
      <c r="X825" s="18">
        <f t="shared" si="118"/>
        <v>8889.7999999999993</v>
      </c>
      <c r="Y825" s="13">
        <f t="shared" si="113"/>
        <v>3565.2075775443482</v>
      </c>
      <c r="Z825" s="14">
        <v>0</v>
      </c>
      <c r="AA825" s="4">
        <v>0</v>
      </c>
      <c r="AB825" s="4">
        <f t="shared" si="114"/>
        <v>8889.7999999999993</v>
      </c>
      <c r="AC825" s="6">
        <f t="shared" si="115"/>
        <v>0</v>
      </c>
      <c r="AD825" s="6">
        <f t="shared" si="120"/>
        <v>5324.5924224556511</v>
      </c>
      <c r="AE825" s="2">
        <v>7.0000000000000007E-2</v>
      </c>
      <c r="AF825" s="5">
        <f t="shared" si="116"/>
        <v>372.72146957189562</v>
      </c>
      <c r="AG825" s="14">
        <v>0</v>
      </c>
      <c r="AH825" s="19">
        <f t="shared" si="121"/>
        <v>8889.7999999999993</v>
      </c>
      <c r="AJ825" s="126" t="e">
        <v>#N/A</v>
      </c>
      <c r="AK825" s="80">
        <f t="shared" si="117"/>
        <v>0</v>
      </c>
      <c r="AM825" s="85"/>
    </row>
    <row r="826" spans="1:39" hidden="1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19"/>
        <v>0</v>
      </c>
      <c r="X826" s="18">
        <f t="shared" si="118"/>
        <v>417</v>
      </c>
      <c r="Y826" s="13">
        <f t="shared" si="113"/>
        <v>167.23565882651954</v>
      </c>
      <c r="Z826" s="14">
        <v>0</v>
      </c>
      <c r="AA826" s="4">
        <v>0</v>
      </c>
      <c r="AB826" s="4">
        <f t="shared" si="114"/>
        <v>417</v>
      </c>
      <c r="AC826" s="6">
        <f t="shared" si="115"/>
        <v>0</v>
      </c>
      <c r="AD826" s="6">
        <f t="shared" si="120"/>
        <v>249.76434117348046</v>
      </c>
      <c r="AE826" s="2">
        <v>7.0000000000000007E-2</v>
      </c>
      <c r="AF826" s="5">
        <f t="shared" si="116"/>
        <v>17.483503882143633</v>
      </c>
      <c r="AG826" s="14">
        <v>0</v>
      </c>
      <c r="AH826" s="19">
        <f t="shared" si="121"/>
        <v>417</v>
      </c>
      <c r="AJ826" s="126" t="e">
        <v>#N/A</v>
      </c>
      <c r="AK826" s="80">
        <f t="shared" si="117"/>
        <v>0</v>
      </c>
      <c r="AM826" s="85"/>
    </row>
    <row r="827" spans="1:39" hidden="1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19"/>
        <v>9920.1</v>
      </c>
      <c r="X827" s="18">
        <f t="shared" si="118"/>
        <v>9882.2549019607832</v>
      </c>
      <c r="Y827" s="13">
        <f t="shared" si="113"/>
        <v>3844.8458309906018</v>
      </c>
      <c r="Z827" s="14">
        <v>0</v>
      </c>
      <c r="AA827" s="4">
        <v>0</v>
      </c>
      <c r="AB827" s="4">
        <f t="shared" si="114"/>
        <v>9882.2549019607832</v>
      </c>
      <c r="AC827" s="6">
        <f t="shared" si="115"/>
        <v>197.64509803921646</v>
      </c>
      <c r="AD827" s="6">
        <f t="shared" si="120"/>
        <v>6037.4090709701813</v>
      </c>
      <c r="AE827" s="2">
        <v>7.0000000000000007E-2</v>
      </c>
      <c r="AF827" s="5">
        <f t="shared" si="116"/>
        <v>422.61863496791273</v>
      </c>
      <c r="AG827" s="14">
        <v>0</v>
      </c>
      <c r="AH827" s="19">
        <f t="shared" si="121"/>
        <v>10079.9</v>
      </c>
      <c r="AJ827" s="126" t="e">
        <v>#N/A</v>
      </c>
      <c r="AK827" s="80">
        <f t="shared" si="117"/>
        <v>0</v>
      </c>
      <c r="AM827" s="85"/>
    </row>
    <row r="828" spans="1:39" hidden="1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19"/>
        <v>14385.5</v>
      </c>
      <c r="X828" s="18">
        <f t="shared" si="118"/>
        <v>35614.5</v>
      </c>
      <c r="Y828" s="13">
        <f t="shared" si="113"/>
        <v>14283.008084597313</v>
      </c>
      <c r="Z828" s="14">
        <v>0</v>
      </c>
      <c r="AA828" s="4">
        <v>0</v>
      </c>
      <c r="AB828" s="4">
        <f t="shared" si="114"/>
        <v>35614.5</v>
      </c>
      <c r="AC828" s="6">
        <f t="shared" si="115"/>
        <v>0</v>
      </c>
      <c r="AD828" s="6">
        <f t="shared" si="120"/>
        <v>21331.491915402687</v>
      </c>
      <c r="AE828" s="2">
        <v>7.0000000000000007E-2</v>
      </c>
      <c r="AF828" s="5">
        <f t="shared" si="116"/>
        <v>1493.2044340781881</v>
      </c>
      <c r="AG828" s="14">
        <v>0</v>
      </c>
      <c r="AH828" s="19">
        <f t="shared" si="121"/>
        <v>35614.5</v>
      </c>
      <c r="AJ828" s="126" t="e">
        <v>#N/A</v>
      </c>
      <c r="AK828" s="80">
        <f t="shared" si="117"/>
        <v>0</v>
      </c>
      <c r="AM828" s="85"/>
    </row>
    <row r="829" spans="1:39" hidden="1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19"/>
        <v>81706.900000000023</v>
      </c>
      <c r="X829" s="18">
        <f t="shared" si="118"/>
        <v>268293.09999999998</v>
      </c>
      <c r="Y829" s="13">
        <f t="shared" si="113"/>
        <v>107597.53797867935</v>
      </c>
      <c r="Z829" s="14">
        <v>0</v>
      </c>
      <c r="AA829" s="4">
        <v>0</v>
      </c>
      <c r="AB829" s="4">
        <f t="shared" si="114"/>
        <v>268293.09999999998</v>
      </c>
      <c r="AC829" s="6">
        <f t="shared" si="115"/>
        <v>0</v>
      </c>
      <c r="AD829" s="6">
        <f t="shared" si="120"/>
        <v>160695.56202132063</v>
      </c>
      <c r="AE829" s="2">
        <v>7.0000000000000007E-2</v>
      </c>
      <c r="AF829" s="5">
        <f t="shared" si="116"/>
        <v>11248.689341492445</v>
      </c>
      <c r="AG829" s="14">
        <v>0</v>
      </c>
      <c r="AH829" s="19">
        <f t="shared" si="121"/>
        <v>268293.09999999998</v>
      </c>
      <c r="AJ829" s="126" t="e">
        <v>#N/A</v>
      </c>
      <c r="AK829" s="80">
        <f t="shared" si="117"/>
        <v>0</v>
      </c>
      <c r="AM829" s="85"/>
    </row>
    <row r="830" spans="1:39" hidden="1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19"/>
        <v>31832.800000000047</v>
      </c>
      <c r="X830" s="18">
        <f t="shared" si="118"/>
        <v>1008086.3366336633</v>
      </c>
      <c r="Y830" s="13">
        <f t="shared" si="113"/>
        <v>398249.74211940111</v>
      </c>
      <c r="Z830" s="14">
        <v>0</v>
      </c>
      <c r="AA830" s="4">
        <v>0</v>
      </c>
      <c r="AB830" s="4">
        <f t="shared" si="114"/>
        <v>1008086.3366336633</v>
      </c>
      <c r="AC830" s="6">
        <f t="shared" si="115"/>
        <v>10080.863366336678</v>
      </c>
      <c r="AD830" s="6">
        <f t="shared" si="120"/>
        <v>609836.59451426216</v>
      </c>
      <c r="AE830" s="2">
        <v>7.0000000000000007E-2</v>
      </c>
      <c r="AF830" s="5">
        <f t="shared" si="116"/>
        <v>42688.561615998355</v>
      </c>
      <c r="AG830" s="14">
        <v>0</v>
      </c>
      <c r="AH830" s="19">
        <f t="shared" si="121"/>
        <v>1018167.2</v>
      </c>
      <c r="AJ830" s="126" t="e">
        <v>#N/A</v>
      </c>
      <c r="AK830" s="80">
        <f t="shared" si="117"/>
        <v>0</v>
      </c>
      <c r="AM830" s="85"/>
    </row>
    <row r="831" spans="1:39" hidden="1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19"/>
        <v>4220.5</v>
      </c>
      <c r="X831" s="18">
        <f t="shared" si="118"/>
        <v>5779.5</v>
      </c>
      <c r="Y831" s="13">
        <f t="shared" si="113"/>
        <v>2317.8381059661142</v>
      </c>
      <c r="Z831" s="14">
        <v>0</v>
      </c>
      <c r="AA831" s="4">
        <v>0</v>
      </c>
      <c r="AB831" s="4">
        <f t="shared" si="114"/>
        <v>5779.5</v>
      </c>
      <c r="AC831" s="6">
        <f t="shared" si="115"/>
        <v>0</v>
      </c>
      <c r="AD831" s="6">
        <f t="shared" si="120"/>
        <v>3461.6618940338858</v>
      </c>
      <c r="AE831" s="2">
        <v>7.0000000000000007E-2</v>
      </c>
      <c r="AF831" s="5">
        <f t="shared" si="116"/>
        <v>242.31633258237204</v>
      </c>
      <c r="AG831" s="14">
        <v>0</v>
      </c>
      <c r="AH831" s="19">
        <f t="shared" si="121"/>
        <v>5779.5</v>
      </c>
      <c r="AJ831" s="126" t="e">
        <v>#N/A</v>
      </c>
      <c r="AK831" s="80">
        <f t="shared" si="117"/>
        <v>0</v>
      </c>
      <c r="AM831" s="85"/>
    </row>
    <row r="832" spans="1:39" hidden="1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19"/>
        <v>4396.5600100000011</v>
      </c>
      <c r="X832" s="18">
        <f t="shared" si="118"/>
        <v>79603.439989999999</v>
      </c>
      <c r="Y832" s="13">
        <f t="shared" si="113"/>
        <v>31924.54132274571</v>
      </c>
      <c r="Z832" s="14">
        <v>0</v>
      </c>
      <c r="AA832" s="4">
        <v>0</v>
      </c>
      <c r="AB832" s="4">
        <f t="shared" si="114"/>
        <v>79603.439989999999</v>
      </c>
      <c r="AC832" s="6">
        <f t="shared" si="115"/>
        <v>0</v>
      </c>
      <c r="AD832" s="6">
        <f t="shared" si="120"/>
        <v>47678.898667254289</v>
      </c>
      <c r="AE832" s="2">
        <v>7.0000000000000007E-2</v>
      </c>
      <c r="AF832" s="5">
        <f t="shared" si="116"/>
        <v>3337.5229067078003</v>
      </c>
      <c r="AG832" s="14">
        <v>0</v>
      </c>
      <c r="AH832" s="19">
        <f t="shared" si="121"/>
        <v>79603.439989999999</v>
      </c>
      <c r="AJ832" s="126" t="e">
        <v>#N/A</v>
      </c>
      <c r="AK832" s="80">
        <f t="shared" si="117"/>
        <v>0</v>
      </c>
      <c r="AM832" s="85"/>
    </row>
    <row r="833" spans="1:39" hidden="1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19"/>
        <v>4696</v>
      </c>
      <c r="X833" s="18">
        <f t="shared" si="118"/>
        <v>74304</v>
      </c>
      <c r="Y833" s="13">
        <f t="shared" si="113"/>
        <v>29799.228761260689</v>
      </c>
      <c r="Z833" s="14">
        <v>0</v>
      </c>
      <c r="AA833" s="4">
        <v>0</v>
      </c>
      <c r="AB833" s="4">
        <f t="shared" si="114"/>
        <v>74304</v>
      </c>
      <c r="AC833" s="6">
        <f t="shared" si="115"/>
        <v>0</v>
      </c>
      <c r="AD833" s="6">
        <f t="shared" si="120"/>
        <v>44504.771238739311</v>
      </c>
      <c r="AE833" s="2">
        <v>7.0000000000000007E-2</v>
      </c>
      <c r="AF833" s="5">
        <f t="shared" si="116"/>
        <v>3115.333986711752</v>
      </c>
      <c r="AG833" s="14">
        <v>0</v>
      </c>
      <c r="AH833" s="19">
        <f t="shared" si="121"/>
        <v>74304</v>
      </c>
      <c r="AJ833" s="126" t="e">
        <v>#N/A</v>
      </c>
      <c r="AK833" s="80">
        <f t="shared" si="117"/>
        <v>0</v>
      </c>
      <c r="AM833" s="85"/>
    </row>
    <row r="834" spans="1:39" hidden="1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19"/>
        <v>6309.6500000000233</v>
      </c>
      <c r="X834" s="18">
        <f t="shared" si="118"/>
        <v>128690.34999999998</v>
      </c>
      <c r="Y834" s="13">
        <f t="shared" si="113"/>
        <v>51610.588649557278</v>
      </c>
      <c r="Z834" s="14">
        <v>0</v>
      </c>
      <c r="AA834" s="4">
        <v>0</v>
      </c>
      <c r="AB834" s="4">
        <f t="shared" si="114"/>
        <v>128690.34999999998</v>
      </c>
      <c r="AC834" s="6">
        <f t="shared" si="115"/>
        <v>0</v>
      </c>
      <c r="AD834" s="6">
        <f t="shared" si="120"/>
        <v>77079.761350442699</v>
      </c>
      <c r="AE834" s="2">
        <v>7.0000000000000007E-2</v>
      </c>
      <c r="AF834" s="5">
        <f t="shared" si="116"/>
        <v>5395.5832945309894</v>
      </c>
      <c r="AG834" s="14">
        <v>0</v>
      </c>
      <c r="AH834" s="19">
        <f t="shared" si="121"/>
        <v>128690.34999999998</v>
      </c>
      <c r="AJ834" s="126" t="e">
        <v>#N/A</v>
      </c>
      <c r="AK834" s="80">
        <f t="shared" si="117"/>
        <v>0</v>
      </c>
      <c r="AM834" s="85"/>
    </row>
    <row r="835" spans="1:39" hidden="1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19"/>
        <v>19224.64</v>
      </c>
      <c r="X835" s="18">
        <f t="shared" si="118"/>
        <v>20368</v>
      </c>
      <c r="Y835" s="13">
        <f t="shared" ref="Y835:Y898" si="12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23">X835+AA835</f>
        <v>20368</v>
      </c>
      <c r="AC835" s="6">
        <f t="shared" ref="AC835:AC898" si="124">IF(P835="返现",X835*Q835,V835-X835)</f>
        <v>407.36000000000058</v>
      </c>
      <c r="AD835" s="6">
        <f t="shared" si="120"/>
        <v>12443.511038469735</v>
      </c>
      <c r="AE835" s="2">
        <v>7.0000000000000007E-2</v>
      </c>
      <c r="AF835" s="5">
        <f t="shared" ref="AF835:AF898" si="125">AD835*AE835</f>
        <v>871.04577269288154</v>
      </c>
      <c r="AG835" s="14">
        <v>0</v>
      </c>
      <c r="AH835" s="19">
        <f t="shared" si="121"/>
        <v>20775.36</v>
      </c>
      <c r="AJ835" s="126" t="e">
        <v>#N/A</v>
      </c>
      <c r="AK835" s="80">
        <f t="shared" ref="AK835:AK898" si="126">X835+AA835-AB835</f>
        <v>0</v>
      </c>
      <c r="AM835" s="85"/>
    </row>
    <row r="836" spans="1:39" hidden="1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19"/>
        <v>49192.799999999988</v>
      </c>
      <c r="X836" s="18">
        <f t="shared" si="118"/>
        <v>147850.19607843139</v>
      </c>
      <c r="Y836" s="13">
        <f t="shared" si="122"/>
        <v>57523.431205008586</v>
      </c>
      <c r="Z836" s="14">
        <v>0</v>
      </c>
      <c r="AA836" s="4">
        <v>0</v>
      </c>
      <c r="AB836" s="4">
        <f t="shared" si="123"/>
        <v>147850.19607843139</v>
      </c>
      <c r="AC836" s="6">
        <f t="shared" si="124"/>
        <v>2957.0039215686265</v>
      </c>
      <c r="AD836" s="6">
        <f t="shared" si="120"/>
        <v>90326.764873422799</v>
      </c>
      <c r="AE836" s="2">
        <v>7.0000000000000007E-2</v>
      </c>
      <c r="AF836" s="5">
        <f t="shared" si="125"/>
        <v>6322.8735411395965</v>
      </c>
      <c r="AG836" s="14">
        <v>0</v>
      </c>
      <c r="AH836" s="19">
        <f t="shared" si="121"/>
        <v>150807.20000000001</v>
      </c>
      <c r="AJ836" s="126" t="e">
        <v>#N/A</v>
      </c>
      <c r="AK836" s="80">
        <f t="shared" si="126"/>
        <v>0</v>
      </c>
      <c r="AM836" s="85"/>
    </row>
    <row r="837" spans="1:39" hidden="1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19"/>
        <v>25633.600000000006</v>
      </c>
      <c r="X837" s="18">
        <f t="shared" si="118"/>
        <v>121927.84313725489</v>
      </c>
      <c r="Y837" s="13">
        <f t="shared" si="122"/>
        <v>47437.934359994615</v>
      </c>
      <c r="Z837" s="14">
        <v>0</v>
      </c>
      <c r="AA837" s="4">
        <v>0</v>
      </c>
      <c r="AB837" s="4">
        <f t="shared" si="123"/>
        <v>121927.84313725489</v>
      </c>
      <c r="AC837" s="6">
        <f t="shared" si="124"/>
        <v>2438.5568627450994</v>
      </c>
      <c r="AD837" s="6">
        <f t="shared" si="120"/>
        <v>74489.90877726028</v>
      </c>
      <c r="AE837" s="2">
        <v>7.0000000000000007E-2</v>
      </c>
      <c r="AF837" s="5">
        <f t="shared" si="125"/>
        <v>5214.2936144082205</v>
      </c>
      <c r="AG837" s="14">
        <v>0</v>
      </c>
      <c r="AH837" s="19">
        <f t="shared" si="121"/>
        <v>124366.39999999999</v>
      </c>
      <c r="AJ837" s="126" t="e">
        <v>#N/A</v>
      </c>
      <c r="AK837" s="80">
        <f t="shared" si="126"/>
        <v>0</v>
      </c>
      <c r="AM837" s="85"/>
    </row>
    <row r="838" spans="1:39" hidden="1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19"/>
        <v>436579.0517500001</v>
      </c>
      <c r="X838" s="18">
        <f t="shared" si="118"/>
        <v>1777863.6747549018</v>
      </c>
      <c r="Y838" s="13">
        <f t="shared" si="122"/>
        <v>691705.66897588642</v>
      </c>
      <c r="Z838" s="14">
        <v>0</v>
      </c>
      <c r="AA838" s="4">
        <v>0</v>
      </c>
      <c r="AB838" s="4">
        <f t="shared" si="123"/>
        <v>1777863.6747549018</v>
      </c>
      <c r="AC838" s="6">
        <f t="shared" si="124"/>
        <v>35557.27349509811</v>
      </c>
      <c r="AD838" s="6">
        <f t="shared" si="120"/>
        <v>1086158.0057790154</v>
      </c>
      <c r="AE838" s="2">
        <v>7.0000000000000007E-2</v>
      </c>
      <c r="AF838" s="5">
        <f t="shared" si="125"/>
        <v>76031.060404531076</v>
      </c>
      <c r="AG838" s="14">
        <v>0</v>
      </c>
      <c r="AH838" s="19">
        <f t="shared" si="121"/>
        <v>1813420.9482499999</v>
      </c>
      <c r="AJ838" s="126" t="e">
        <v>#N/A</v>
      </c>
      <c r="AK838" s="80">
        <f t="shared" si="126"/>
        <v>0</v>
      </c>
      <c r="AM838" s="85"/>
    </row>
    <row r="839" spans="1:39" hidden="1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19"/>
        <v>425408.83018999989</v>
      </c>
      <c r="X839" s="18">
        <f t="shared" si="118"/>
        <v>1690775.6566764708</v>
      </c>
      <c r="Y839" s="13">
        <f t="shared" si="122"/>
        <v>657822.71346017183</v>
      </c>
      <c r="Z839" s="14">
        <v>0</v>
      </c>
      <c r="AA839" s="4">
        <v>0</v>
      </c>
      <c r="AB839" s="4">
        <f t="shared" si="123"/>
        <v>1690775.6566764708</v>
      </c>
      <c r="AC839" s="6">
        <f t="shared" si="124"/>
        <v>33815.513133529341</v>
      </c>
      <c r="AD839" s="6">
        <f t="shared" si="120"/>
        <v>1032952.9432162989</v>
      </c>
      <c r="AE839" s="2">
        <v>7.0000000000000007E-2</v>
      </c>
      <c r="AF839" s="5">
        <f t="shared" si="125"/>
        <v>72306.706025140928</v>
      </c>
      <c r="AG839" s="14">
        <v>0</v>
      </c>
      <c r="AH839" s="19">
        <f t="shared" si="121"/>
        <v>1724591.1698100001</v>
      </c>
      <c r="AJ839" s="126" t="e">
        <v>#N/A</v>
      </c>
      <c r="AK839" s="80">
        <f t="shared" si="126"/>
        <v>0</v>
      </c>
      <c r="AM839" s="85"/>
    </row>
    <row r="840" spans="1:39" hidden="1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19"/>
        <v>1761.9199999999983</v>
      </c>
      <c r="X840" s="18">
        <f t="shared" si="118"/>
        <v>35237.199999999997</v>
      </c>
      <c r="Y840" s="13">
        <f t="shared" si="122"/>
        <v>14131.693902162671</v>
      </c>
      <c r="Z840" s="14">
        <v>0</v>
      </c>
      <c r="AA840" s="4">
        <v>0</v>
      </c>
      <c r="AB840" s="4">
        <f t="shared" si="123"/>
        <v>35237.199999999997</v>
      </c>
      <c r="AC840" s="6">
        <f t="shared" si="124"/>
        <v>0</v>
      </c>
      <c r="AD840" s="6">
        <f t="shared" si="120"/>
        <v>21105.506097837326</v>
      </c>
      <c r="AE840" s="2">
        <v>7.0000000000000007E-2</v>
      </c>
      <c r="AF840" s="5">
        <f t="shared" si="125"/>
        <v>1477.385426848613</v>
      </c>
      <c r="AG840" s="14">
        <v>0</v>
      </c>
      <c r="AH840" s="19">
        <f t="shared" si="121"/>
        <v>35237.199999999997</v>
      </c>
      <c r="AJ840" s="126" t="e">
        <v>#N/A</v>
      </c>
      <c r="AK840" s="80">
        <f t="shared" si="126"/>
        <v>0</v>
      </c>
      <c r="AM840" s="85"/>
    </row>
    <row r="841" spans="1:39" hidden="1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19"/>
        <v>-20.800000000000182</v>
      </c>
      <c r="X841" s="18">
        <f t="shared" si="118"/>
        <v>0</v>
      </c>
      <c r="Y841" s="13">
        <f t="shared" si="122"/>
        <v>0</v>
      </c>
      <c r="Z841" s="14">
        <v>0</v>
      </c>
      <c r="AA841" s="4">
        <v>0</v>
      </c>
      <c r="AB841" s="4">
        <f t="shared" si="123"/>
        <v>0</v>
      </c>
      <c r="AC841" s="6">
        <f t="shared" si="124"/>
        <v>0</v>
      </c>
      <c r="AD841" s="6">
        <f t="shared" si="120"/>
        <v>0</v>
      </c>
      <c r="AE841" s="2">
        <v>7.0000000000000007E-2</v>
      </c>
      <c r="AF841" s="5">
        <f t="shared" si="125"/>
        <v>0</v>
      </c>
      <c r="AG841" s="14">
        <v>0</v>
      </c>
      <c r="AH841" s="19">
        <f t="shared" si="121"/>
        <v>0</v>
      </c>
      <c r="AJ841" s="126" t="e">
        <v>#N/A</v>
      </c>
      <c r="AK841" s="80">
        <f t="shared" si="126"/>
        <v>0</v>
      </c>
      <c r="AM841" s="85"/>
    </row>
    <row r="842" spans="1:39" hidden="1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19"/>
        <v>0</v>
      </c>
      <c r="X842" s="18">
        <f t="shared" si="118"/>
        <v>7054.0600100000011</v>
      </c>
      <c r="Y842" s="13">
        <f t="shared" si="122"/>
        <v>2828.9937006574464</v>
      </c>
      <c r="Z842" s="14">
        <v>0</v>
      </c>
      <c r="AA842" s="4">
        <v>0</v>
      </c>
      <c r="AB842" s="4">
        <f t="shared" si="123"/>
        <v>7054.0600100000011</v>
      </c>
      <c r="AC842" s="6">
        <f t="shared" si="124"/>
        <v>0</v>
      </c>
      <c r="AD842" s="6">
        <f t="shared" si="120"/>
        <v>4225.0663093425546</v>
      </c>
      <c r="AE842" s="2">
        <v>7.0000000000000007E-2</v>
      </c>
      <c r="AF842" s="5">
        <f t="shared" si="125"/>
        <v>295.75464165397887</v>
      </c>
      <c r="AG842" s="14">
        <v>0</v>
      </c>
      <c r="AH842" s="19">
        <f t="shared" si="121"/>
        <v>7054.0600100000011</v>
      </c>
      <c r="AJ842" s="126" t="e">
        <v>#N/A</v>
      </c>
      <c r="AK842" s="80">
        <f t="shared" si="126"/>
        <v>0</v>
      </c>
      <c r="AM842" s="85"/>
    </row>
    <row r="843" spans="1:39" hidden="1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19"/>
        <v>0</v>
      </c>
      <c r="X843" s="18">
        <f t="shared" si="118"/>
        <v>8855.9000000000015</v>
      </c>
      <c r="Y843" s="13">
        <f t="shared" si="122"/>
        <v>3551.6121606757188</v>
      </c>
      <c r="Z843" s="14">
        <v>0</v>
      </c>
      <c r="AA843" s="4">
        <v>0</v>
      </c>
      <c r="AB843" s="4">
        <f t="shared" si="123"/>
        <v>8855.9000000000015</v>
      </c>
      <c r="AC843" s="6">
        <f t="shared" si="124"/>
        <v>0</v>
      </c>
      <c r="AD843" s="6">
        <f t="shared" si="120"/>
        <v>5304.2878393242827</v>
      </c>
      <c r="AE843" s="2">
        <v>7.0000000000000007E-2</v>
      </c>
      <c r="AF843" s="5">
        <f t="shared" si="125"/>
        <v>371.30014875269984</v>
      </c>
      <c r="AG843" s="14">
        <v>0</v>
      </c>
      <c r="AH843" s="19">
        <f t="shared" si="121"/>
        <v>8855.9000000000015</v>
      </c>
      <c r="AJ843" s="126" t="e">
        <v>#N/A</v>
      </c>
      <c r="AK843" s="80">
        <f t="shared" si="126"/>
        <v>0</v>
      </c>
      <c r="AM843" s="85"/>
    </row>
    <row r="844" spans="1:39" hidden="1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19"/>
        <v>0</v>
      </c>
      <c r="X844" s="18">
        <f t="shared" si="118"/>
        <v>15621.050000000017</v>
      </c>
      <c r="Y844" s="13">
        <f t="shared" si="122"/>
        <v>6264.7400199328677</v>
      </c>
      <c r="Z844" s="14">
        <v>0</v>
      </c>
      <c r="AA844" s="4">
        <v>0</v>
      </c>
      <c r="AB844" s="4">
        <f t="shared" si="123"/>
        <v>15621.050000000017</v>
      </c>
      <c r="AC844" s="6">
        <f t="shared" si="124"/>
        <v>0</v>
      </c>
      <c r="AD844" s="6">
        <f t="shared" si="120"/>
        <v>9356.3099800671498</v>
      </c>
      <c r="AE844" s="2">
        <v>7.0000000000000007E-2</v>
      </c>
      <c r="AF844" s="5">
        <f t="shared" si="125"/>
        <v>654.9416986047006</v>
      </c>
      <c r="AG844" s="14">
        <v>0</v>
      </c>
      <c r="AH844" s="19">
        <f t="shared" si="121"/>
        <v>15621.050000000017</v>
      </c>
      <c r="AJ844" s="126" t="e">
        <v>#N/A</v>
      </c>
      <c r="AK844" s="80">
        <f t="shared" si="126"/>
        <v>0</v>
      </c>
      <c r="AM844" s="85"/>
    </row>
    <row r="845" spans="1:39" hidden="1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19"/>
        <v>3560</v>
      </c>
      <c r="X845" s="18">
        <f t="shared" si="118"/>
        <v>11440</v>
      </c>
      <c r="Y845" s="13">
        <f t="shared" si="122"/>
        <v>4587.9518872311355</v>
      </c>
      <c r="Z845" s="14">
        <v>0</v>
      </c>
      <c r="AA845" s="4">
        <v>0</v>
      </c>
      <c r="AB845" s="4">
        <f t="shared" si="123"/>
        <v>11440</v>
      </c>
      <c r="AC845" s="6">
        <f t="shared" si="124"/>
        <v>0</v>
      </c>
      <c r="AD845" s="6">
        <f t="shared" si="120"/>
        <v>6852.0481127688645</v>
      </c>
      <c r="AE845" s="2">
        <v>7.0000000000000007E-2</v>
      </c>
      <c r="AF845" s="5">
        <f t="shared" si="125"/>
        <v>479.64336789382054</v>
      </c>
      <c r="AG845" s="14">
        <v>0</v>
      </c>
      <c r="AH845" s="19">
        <f t="shared" si="121"/>
        <v>11440</v>
      </c>
      <c r="AJ845" s="126" t="e">
        <v>#N/A</v>
      </c>
      <c r="AK845" s="80">
        <f t="shared" si="126"/>
        <v>0</v>
      </c>
      <c r="AM845" s="85"/>
    </row>
    <row r="846" spans="1:39" hidden="1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19"/>
        <v>11081.979999999996</v>
      </c>
      <c r="X846" s="18">
        <f t="shared" si="118"/>
        <v>58679.630000000005</v>
      </c>
      <c r="Y846" s="13">
        <f t="shared" si="122"/>
        <v>23533.157272773147</v>
      </c>
      <c r="Z846" s="14">
        <v>0</v>
      </c>
      <c r="AA846" s="4">
        <v>0</v>
      </c>
      <c r="AB846" s="4">
        <f t="shared" si="123"/>
        <v>58679.630000000005</v>
      </c>
      <c r="AC846" s="6">
        <f t="shared" si="124"/>
        <v>0</v>
      </c>
      <c r="AD846" s="6">
        <f t="shared" si="120"/>
        <v>35146.472727226857</v>
      </c>
      <c r="AE846" s="2">
        <v>7.0000000000000007E-2</v>
      </c>
      <c r="AF846" s="5">
        <f t="shared" si="125"/>
        <v>2460.2530909058801</v>
      </c>
      <c r="AG846" s="14">
        <v>0</v>
      </c>
      <c r="AH846" s="19">
        <f t="shared" si="121"/>
        <v>58679.630000000005</v>
      </c>
      <c r="AJ846" s="126" t="e">
        <v>#N/A</v>
      </c>
      <c r="AK846" s="80">
        <f t="shared" si="126"/>
        <v>0</v>
      </c>
      <c r="AM846" s="85"/>
    </row>
    <row r="847" spans="1:39" hidden="1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19"/>
        <v>0</v>
      </c>
      <c r="X847" s="18">
        <v>0</v>
      </c>
      <c r="Y847" s="13">
        <f t="shared" si="122"/>
        <v>0</v>
      </c>
      <c r="Z847" s="14">
        <v>0</v>
      </c>
      <c r="AA847" s="4">
        <v>0</v>
      </c>
      <c r="AB847" s="4">
        <f t="shared" si="123"/>
        <v>0</v>
      </c>
      <c r="AC847" s="6">
        <f t="shared" si="124"/>
        <v>104.77</v>
      </c>
      <c r="AD847" s="6">
        <f t="shared" si="120"/>
        <v>62.752542025768697</v>
      </c>
      <c r="AE847" s="2">
        <v>7.0000000000000007E-2</v>
      </c>
      <c r="AF847" s="5">
        <f t="shared" si="125"/>
        <v>4.3926779418038091</v>
      </c>
      <c r="AG847" s="14">
        <v>0</v>
      </c>
      <c r="AH847" s="19">
        <f t="shared" si="121"/>
        <v>104.77</v>
      </c>
      <c r="AJ847" s="126" t="e">
        <v>#N/A</v>
      </c>
      <c r="AK847" s="80">
        <f t="shared" si="126"/>
        <v>0</v>
      </c>
      <c r="AM847" s="85"/>
    </row>
    <row r="848" spans="1:39" hidden="1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19"/>
        <v>2941.7999999999993</v>
      </c>
      <c r="X848" s="18">
        <f t="shared" ref="X848:X863" si="127">IF(P848="折扣",V848*Q848,IF(P848="返现",V848,V848/(1+Q848)))</f>
        <v>17058.2</v>
      </c>
      <c r="Y848" s="13">
        <f t="shared" si="122"/>
        <v>6841.1014757662724</v>
      </c>
      <c r="Z848" s="14">
        <v>0</v>
      </c>
      <c r="AA848" s="4">
        <v>0</v>
      </c>
      <c r="AB848" s="4">
        <f t="shared" si="123"/>
        <v>17058.2</v>
      </c>
      <c r="AC848" s="6">
        <f t="shared" si="124"/>
        <v>0</v>
      </c>
      <c r="AD848" s="6">
        <f t="shared" si="120"/>
        <v>10217.098524233728</v>
      </c>
      <c r="AE848" s="2">
        <v>7.0000000000000007E-2</v>
      </c>
      <c r="AF848" s="5">
        <f t="shared" si="125"/>
        <v>715.19689669636102</v>
      </c>
      <c r="AG848" s="14">
        <v>0</v>
      </c>
      <c r="AH848" s="19">
        <f t="shared" si="121"/>
        <v>17058.2</v>
      </c>
      <c r="AJ848" s="126" t="e">
        <v>#N/A</v>
      </c>
      <c r="AK848" s="80">
        <f t="shared" si="126"/>
        <v>0</v>
      </c>
      <c r="AM848" s="85"/>
    </row>
    <row r="849" spans="1:39" hidden="1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19"/>
        <v>29301.100000000006</v>
      </c>
      <c r="X849" s="18">
        <f t="shared" si="127"/>
        <v>90698.9</v>
      </c>
      <c r="Y849" s="13">
        <f t="shared" si="122"/>
        <v>36374.317257411538</v>
      </c>
      <c r="Z849" s="14">
        <v>0</v>
      </c>
      <c r="AA849" s="4">
        <v>0</v>
      </c>
      <c r="AB849" s="4">
        <f t="shared" si="123"/>
        <v>90698.9</v>
      </c>
      <c r="AC849" s="6">
        <f t="shared" si="124"/>
        <v>0</v>
      </c>
      <c r="AD849" s="6">
        <f t="shared" si="120"/>
        <v>54324.582742588456</v>
      </c>
      <c r="AE849" s="2">
        <v>7.0000000000000007E-2</v>
      </c>
      <c r="AF849" s="5">
        <f t="shared" si="125"/>
        <v>3802.7207919811922</v>
      </c>
      <c r="AG849" s="14">
        <v>0</v>
      </c>
      <c r="AH849" s="19">
        <f t="shared" si="121"/>
        <v>90698.9</v>
      </c>
      <c r="AJ849" s="126" t="e">
        <v>#N/A</v>
      </c>
      <c r="AK849" s="80">
        <f t="shared" si="126"/>
        <v>0</v>
      </c>
      <c r="AM849" s="85"/>
    </row>
    <row r="850" spans="1:39" hidden="1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19"/>
        <v>0.2000000000007276</v>
      </c>
      <c r="X850" s="18">
        <f t="shared" si="127"/>
        <v>19999.8</v>
      </c>
      <c r="Y850" s="13">
        <f t="shared" si="122"/>
        <v>8020.8146987976634</v>
      </c>
      <c r="Z850" s="14">
        <v>0</v>
      </c>
      <c r="AA850" s="4">
        <v>0</v>
      </c>
      <c r="AB850" s="4">
        <f t="shared" si="123"/>
        <v>19999.8</v>
      </c>
      <c r="AC850" s="6">
        <f t="shared" si="124"/>
        <v>0</v>
      </c>
      <c r="AD850" s="6">
        <f t="shared" si="120"/>
        <v>11978.985301202336</v>
      </c>
      <c r="AE850" s="2">
        <v>7.0000000000000007E-2</v>
      </c>
      <c r="AF850" s="5">
        <f t="shared" si="125"/>
        <v>838.52897108416357</v>
      </c>
      <c r="AG850" s="14">
        <v>0</v>
      </c>
      <c r="AH850" s="19">
        <f t="shared" si="121"/>
        <v>19999.8</v>
      </c>
      <c r="AJ850" s="126" t="s">
        <v>4221</v>
      </c>
      <c r="AK850" s="80">
        <f t="shared" si="126"/>
        <v>0</v>
      </c>
      <c r="AL850" s="150"/>
      <c r="AM850" s="85"/>
    </row>
    <row r="851" spans="1:39" hidden="1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19"/>
        <v>1.3899999999994179</v>
      </c>
      <c r="X851" s="18">
        <f t="shared" si="127"/>
        <v>29998.61</v>
      </c>
      <c r="Y851" s="13">
        <f t="shared" si="12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24"/>
        <v>0</v>
      </c>
      <c r="AD851" s="6">
        <f t="shared" si="120"/>
        <v>17967.825090575978</v>
      </c>
      <c r="AE851" s="2">
        <v>7.0000000000000007E-2</v>
      </c>
      <c r="AF851" s="5">
        <f t="shared" si="125"/>
        <v>1257.7477563403186</v>
      </c>
      <c r="AG851" s="14">
        <v>0</v>
      </c>
      <c r="AH851" s="19">
        <f t="shared" si="121"/>
        <v>29998.61</v>
      </c>
      <c r="AJ851" s="126" t="s">
        <v>4221</v>
      </c>
      <c r="AK851" s="80">
        <f t="shared" si="126"/>
        <v>20000</v>
      </c>
      <c r="AL851" s="150"/>
      <c r="AM851" s="85"/>
    </row>
    <row r="852" spans="1:39" hidden="1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19"/>
        <v>0</v>
      </c>
      <c r="X852" s="18">
        <f t="shared" si="127"/>
        <v>8068.7</v>
      </c>
      <c r="Y852" s="13">
        <f t="shared" si="122"/>
        <v>3235.9097371068065</v>
      </c>
      <c r="Z852" s="14">
        <v>0</v>
      </c>
      <c r="AA852" s="4">
        <v>0</v>
      </c>
      <c r="AB852" s="4">
        <f t="shared" si="123"/>
        <v>8068.7</v>
      </c>
      <c r="AC852" s="6">
        <f t="shared" si="124"/>
        <v>0</v>
      </c>
      <c r="AD852" s="6">
        <f t="shared" si="120"/>
        <v>4832.7902628931934</v>
      </c>
      <c r="AE852" s="2">
        <v>7.0000000000000007E-2</v>
      </c>
      <c r="AF852" s="5">
        <f t="shared" si="125"/>
        <v>338.29531840252355</v>
      </c>
      <c r="AG852" s="14">
        <v>0</v>
      </c>
      <c r="AH852" s="19">
        <f t="shared" si="121"/>
        <v>8068.7</v>
      </c>
      <c r="AJ852" s="126" t="s">
        <v>4221</v>
      </c>
      <c r="AK852" s="80">
        <f t="shared" si="126"/>
        <v>0</v>
      </c>
      <c r="AL852" s="150"/>
      <c r="AM852" s="85"/>
    </row>
    <row r="853" spans="1:39" hidden="1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28">T853+U853-V853</f>
        <v>2679.0999999999985</v>
      </c>
      <c r="X853" s="18">
        <f t="shared" si="127"/>
        <v>27320.9</v>
      </c>
      <c r="Y853" s="13">
        <f t="shared" si="122"/>
        <v>10956.903384252897</v>
      </c>
      <c r="Z853" s="14">
        <v>0</v>
      </c>
      <c r="AA853" s="4">
        <v>0</v>
      </c>
      <c r="AB853" s="4">
        <f t="shared" si="123"/>
        <v>27320.9</v>
      </c>
      <c r="AC853" s="6">
        <f t="shared" si="124"/>
        <v>0</v>
      </c>
      <c r="AD853" s="6">
        <f t="shared" ref="AD853:AD916" si="129">V853*0.598955254612663</f>
        <v>16363.996615747104</v>
      </c>
      <c r="AE853" s="2">
        <v>7.0000000000000007E-2</v>
      </c>
      <c r="AF853" s="5">
        <f t="shared" si="125"/>
        <v>1145.4797631022975</v>
      </c>
      <c r="AG853" s="14">
        <v>0</v>
      </c>
      <c r="AH853" s="19">
        <f t="shared" ref="AH853:AH916" si="130">V853</f>
        <v>27320.9</v>
      </c>
      <c r="AJ853" s="126" t="s">
        <v>4221</v>
      </c>
      <c r="AK853" s="80">
        <f t="shared" si="126"/>
        <v>0</v>
      </c>
      <c r="AL853" s="150"/>
      <c r="AM853" s="85"/>
    </row>
    <row r="854" spans="1:39" hidden="1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28"/>
        <v>2183.4000000000015</v>
      </c>
      <c r="X854" s="18">
        <f t="shared" si="127"/>
        <v>39747.9</v>
      </c>
      <c r="Y854" s="13">
        <f t="shared" si="122"/>
        <v>15940.686435181335</v>
      </c>
      <c r="Z854" s="14">
        <v>0</v>
      </c>
      <c r="AA854" s="4">
        <v>0</v>
      </c>
      <c r="AB854" s="4">
        <f t="shared" si="123"/>
        <v>39747.9</v>
      </c>
      <c r="AC854" s="6">
        <f t="shared" si="124"/>
        <v>0</v>
      </c>
      <c r="AD854" s="6">
        <f t="shared" si="129"/>
        <v>23807.213564818667</v>
      </c>
      <c r="AE854" s="2">
        <v>7.0000000000000007E-2</v>
      </c>
      <c r="AF854" s="5">
        <f t="shared" si="125"/>
        <v>1666.5049495373069</v>
      </c>
      <c r="AG854" s="14">
        <v>0</v>
      </c>
      <c r="AH854" s="19">
        <f t="shared" si="130"/>
        <v>39747.9</v>
      </c>
      <c r="AJ854" s="126" t="s">
        <v>4221</v>
      </c>
      <c r="AK854" s="80">
        <f t="shared" si="126"/>
        <v>0</v>
      </c>
      <c r="AL854" s="150"/>
      <c r="AM854" s="85"/>
    </row>
    <row r="855" spans="1:39" hidden="1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28"/>
        <v>9940.6000000000058</v>
      </c>
      <c r="X855" s="18">
        <f t="shared" si="127"/>
        <v>29245.42</v>
      </c>
      <c r="Y855" s="13">
        <f t="shared" si="122"/>
        <v>11728.722017645734</v>
      </c>
      <c r="Z855" s="14">
        <v>0</v>
      </c>
      <c r="AA855" s="4">
        <v>0</v>
      </c>
      <c r="AB855" s="4">
        <f t="shared" si="123"/>
        <v>29245.42</v>
      </c>
      <c r="AC855" s="6">
        <f t="shared" si="124"/>
        <v>0</v>
      </c>
      <c r="AD855" s="6">
        <f t="shared" si="129"/>
        <v>17516.697982354264</v>
      </c>
      <c r="AE855" s="2">
        <v>7.0000000000000007E-2</v>
      </c>
      <c r="AF855" s="5">
        <f t="shared" si="125"/>
        <v>1226.1688587647986</v>
      </c>
      <c r="AG855" s="14">
        <v>0</v>
      </c>
      <c r="AH855" s="19">
        <f t="shared" si="130"/>
        <v>29245.42</v>
      </c>
      <c r="AJ855" s="126" t="e">
        <v>#N/A</v>
      </c>
      <c r="AK855" s="80">
        <f t="shared" si="126"/>
        <v>0</v>
      </c>
      <c r="AM855" s="85"/>
    </row>
    <row r="856" spans="1:39" hidden="1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28"/>
        <v>0</v>
      </c>
      <c r="X856" s="18">
        <f t="shared" si="127"/>
        <v>1388.5098039215693</v>
      </c>
      <c r="Y856" s="13">
        <f t="shared" si="122"/>
        <v>540.22145591874664</v>
      </c>
      <c r="Z856" s="14">
        <v>0</v>
      </c>
      <c r="AA856" s="4">
        <v>0</v>
      </c>
      <c r="AB856" s="4">
        <f t="shared" si="123"/>
        <v>1388.5098039215693</v>
      </c>
      <c r="AC856" s="6">
        <f t="shared" si="124"/>
        <v>27.770196078431354</v>
      </c>
      <c r="AD856" s="6">
        <f t="shared" si="129"/>
        <v>848.28834800282266</v>
      </c>
      <c r="AE856" s="2">
        <v>7.0000000000000007E-2</v>
      </c>
      <c r="AF856" s="5">
        <f t="shared" si="125"/>
        <v>59.380184360197589</v>
      </c>
      <c r="AG856" s="14">
        <v>0</v>
      </c>
      <c r="AH856" s="19">
        <f t="shared" si="130"/>
        <v>1416.2800000000007</v>
      </c>
      <c r="AJ856" s="126" t="e">
        <v>#N/A</v>
      </c>
      <c r="AK856" s="80">
        <f t="shared" si="126"/>
        <v>0</v>
      </c>
      <c r="AM856" s="85"/>
    </row>
    <row r="857" spans="1:39" hidden="1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28"/>
        <v>3493.8000000000029</v>
      </c>
      <c r="X857" s="18">
        <f t="shared" si="127"/>
        <v>46506.2</v>
      </c>
      <c r="Y857" s="13">
        <f t="shared" si="122"/>
        <v>18651.067137932572</v>
      </c>
      <c r="Z857" s="14">
        <v>0</v>
      </c>
      <c r="AA857" s="4">
        <v>0</v>
      </c>
      <c r="AB857" s="4">
        <f t="shared" si="123"/>
        <v>46506.2</v>
      </c>
      <c r="AC857" s="6">
        <f t="shared" si="124"/>
        <v>0</v>
      </c>
      <c r="AD857" s="6">
        <f t="shared" si="129"/>
        <v>27855.132862067425</v>
      </c>
      <c r="AE857" s="2">
        <v>7.0000000000000007E-2</v>
      </c>
      <c r="AF857" s="5">
        <f t="shared" si="125"/>
        <v>1949.8593003447199</v>
      </c>
      <c r="AG857" s="14">
        <v>0</v>
      </c>
      <c r="AH857" s="19">
        <f t="shared" si="130"/>
        <v>46506.2</v>
      </c>
      <c r="AJ857" s="126" t="e">
        <v>#N/A</v>
      </c>
      <c r="AK857" s="80">
        <f t="shared" si="126"/>
        <v>0</v>
      </c>
      <c r="AM857" s="85"/>
    </row>
    <row r="858" spans="1:39" hidden="1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28"/>
        <v>14520.699999999997</v>
      </c>
      <c r="X858" s="18">
        <f t="shared" si="127"/>
        <v>45479.3</v>
      </c>
      <c r="Y858" s="13">
        <f t="shared" si="122"/>
        <v>18239.234288894317</v>
      </c>
      <c r="Z858" s="14">
        <v>0</v>
      </c>
      <c r="AA858" s="4">
        <v>0</v>
      </c>
      <c r="AB858" s="4">
        <f t="shared" si="123"/>
        <v>45479.3</v>
      </c>
      <c r="AC858" s="6">
        <f t="shared" si="124"/>
        <v>0</v>
      </c>
      <c r="AD858" s="6">
        <f t="shared" si="129"/>
        <v>27240.065711105686</v>
      </c>
      <c r="AE858" s="2">
        <v>7.0000000000000007E-2</v>
      </c>
      <c r="AF858" s="5">
        <f t="shared" si="125"/>
        <v>1906.8045997773982</v>
      </c>
      <c r="AG858" s="14">
        <v>0</v>
      </c>
      <c r="AH858" s="19">
        <f t="shared" si="130"/>
        <v>45479.3</v>
      </c>
      <c r="AJ858" s="126" t="e">
        <v>#N/A</v>
      </c>
      <c r="AK858" s="80">
        <f t="shared" si="126"/>
        <v>0</v>
      </c>
      <c r="AM858" s="85"/>
    </row>
    <row r="859" spans="1:39" hidden="1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28"/>
        <v>0</v>
      </c>
      <c r="X859" s="18">
        <f t="shared" si="127"/>
        <v>0</v>
      </c>
      <c r="Y859" s="13">
        <f t="shared" si="122"/>
        <v>0</v>
      </c>
      <c r="Z859" s="14">
        <v>0</v>
      </c>
      <c r="AA859" s="4">
        <v>0</v>
      </c>
      <c r="AB859" s="4">
        <f t="shared" si="123"/>
        <v>0</v>
      </c>
      <c r="AC859" s="6">
        <f t="shared" si="124"/>
        <v>0</v>
      </c>
      <c r="AD859" s="6">
        <f t="shared" si="129"/>
        <v>0</v>
      </c>
      <c r="AE859" s="2">
        <v>7.0000000000000007E-2</v>
      </c>
      <c r="AF859" s="5">
        <f t="shared" si="125"/>
        <v>0</v>
      </c>
      <c r="AG859" s="14">
        <v>0</v>
      </c>
      <c r="AH859" s="19">
        <f t="shared" si="130"/>
        <v>0</v>
      </c>
      <c r="AJ859" s="126" t="e">
        <v>#N/A</v>
      </c>
      <c r="AK859" s="80">
        <f t="shared" si="126"/>
        <v>0</v>
      </c>
      <c r="AM859" s="85"/>
    </row>
    <row r="860" spans="1:39" hidden="1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28"/>
        <v>10000</v>
      </c>
      <c r="X860" s="18">
        <f t="shared" si="127"/>
        <v>0</v>
      </c>
      <c r="Y860" s="13">
        <f t="shared" si="122"/>
        <v>0</v>
      </c>
      <c r="Z860" s="14">
        <v>0</v>
      </c>
      <c r="AA860" s="4">
        <v>0</v>
      </c>
      <c r="AB860" s="4">
        <f t="shared" si="123"/>
        <v>0</v>
      </c>
      <c r="AC860" s="6">
        <f t="shared" si="124"/>
        <v>0</v>
      </c>
      <c r="AD860" s="6">
        <f t="shared" si="129"/>
        <v>0</v>
      </c>
      <c r="AE860" s="2">
        <v>0.12</v>
      </c>
      <c r="AF860" s="5">
        <f t="shared" si="125"/>
        <v>0</v>
      </c>
      <c r="AG860" s="14">
        <v>0</v>
      </c>
      <c r="AH860" s="19">
        <f t="shared" si="130"/>
        <v>0</v>
      </c>
      <c r="AJ860" s="126" t="e">
        <v>#N/A</v>
      </c>
      <c r="AK860" s="80">
        <f t="shared" si="126"/>
        <v>0</v>
      </c>
      <c r="AM860" s="85"/>
    </row>
    <row r="861" spans="1:39" hidden="1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28"/>
        <v>112943.86639</v>
      </c>
      <c r="X861" s="18">
        <f t="shared" si="127"/>
        <v>13515.513086538462</v>
      </c>
      <c r="Y861" s="13">
        <f t="shared" si="122"/>
        <v>5096.5180012913024</v>
      </c>
      <c r="Z861" s="14">
        <v>0</v>
      </c>
      <c r="AA861" s="4">
        <v>0</v>
      </c>
      <c r="AB861" s="4">
        <f t="shared" si="123"/>
        <v>13515.513086538462</v>
      </c>
      <c r="AC861" s="6">
        <f t="shared" si="124"/>
        <v>540.62052346153905</v>
      </c>
      <c r="AD861" s="6">
        <f t="shared" si="129"/>
        <v>8418.9950852471593</v>
      </c>
      <c r="AE861" s="2">
        <v>0.12</v>
      </c>
      <c r="AF861" s="5">
        <f t="shared" si="125"/>
        <v>1010.2794102296591</v>
      </c>
      <c r="AG861" s="14">
        <v>0</v>
      </c>
      <c r="AH861" s="19">
        <f t="shared" si="130"/>
        <v>14056.133610000001</v>
      </c>
      <c r="AJ861" s="126" t="e">
        <v>#N/A</v>
      </c>
      <c r="AK861" s="80">
        <f t="shared" si="126"/>
        <v>0</v>
      </c>
      <c r="AM861" s="85"/>
    </row>
    <row r="862" spans="1:39" hidden="1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28"/>
        <v>37579.599999999999</v>
      </c>
      <c r="X862" s="18">
        <f t="shared" si="127"/>
        <v>24680</v>
      </c>
      <c r="Y862" s="13">
        <f t="shared" si="122"/>
        <v>9454.317845644262</v>
      </c>
      <c r="Z862" s="14">
        <v>0</v>
      </c>
      <c r="AA862" s="4">
        <v>0</v>
      </c>
      <c r="AB862" s="4">
        <f t="shared" si="123"/>
        <v>24680</v>
      </c>
      <c r="AC862" s="6">
        <f t="shared" si="124"/>
        <v>740.40000000000146</v>
      </c>
      <c r="AD862" s="6">
        <f t="shared" si="129"/>
        <v>15225.682154355738</v>
      </c>
      <c r="AE862" s="2">
        <v>7.0000000000000007E-2</v>
      </c>
      <c r="AF862" s="5">
        <f t="shared" si="125"/>
        <v>1065.7977508049019</v>
      </c>
      <c r="AG862" s="14">
        <v>0</v>
      </c>
      <c r="AH862" s="19">
        <f t="shared" si="130"/>
        <v>25420.400000000001</v>
      </c>
      <c r="AJ862" s="126" t="e">
        <v>#N/A</v>
      </c>
      <c r="AK862" s="80">
        <f t="shared" si="126"/>
        <v>0</v>
      </c>
      <c r="AM862" s="85"/>
    </row>
    <row r="863" spans="1:39" hidden="1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28"/>
        <v>25670.979999999981</v>
      </c>
      <c r="X863" s="18">
        <f t="shared" si="127"/>
        <v>99037.37</v>
      </c>
      <c r="Y863" s="13">
        <f t="shared" si="122"/>
        <v>39718.41683548149</v>
      </c>
      <c r="Z863" s="14">
        <v>0</v>
      </c>
      <c r="AA863" s="4">
        <v>0</v>
      </c>
      <c r="AB863" s="4">
        <f t="shared" si="123"/>
        <v>99037.37</v>
      </c>
      <c r="AC863" s="6">
        <f t="shared" si="124"/>
        <v>0</v>
      </c>
      <c r="AD863" s="6">
        <f t="shared" si="129"/>
        <v>59318.953164518505</v>
      </c>
      <c r="AE863" s="2">
        <v>7.0000000000000007E-2</v>
      </c>
      <c r="AF863" s="5">
        <f t="shared" si="125"/>
        <v>4152.3267215162959</v>
      </c>
      <c r="AG863" s="14">
        <v>0</v>
      </c>
      <c r="AH863" s="19">
        <f t="shared" si="130"/>
        <v>99037.37</v>
      </c>
      <c r="AJ863" s="126" t="e">
        <v>#N/A</v>
      </c>
      <c r="AK863" s="80">
        <f t="shared" si="126"/>
        <v>0</v>
      </c>
      <c r="AM863" s="85"/>
    </row>
    <row r="864" spans="1:39" hidden="1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28"/>
        <v>0</v>
      </c>
      <c r="X864" s="18">
        <v>0</v>
      </c>
      <c r="Y864" s="13">
        <f t="shared" si="122"/>
        <v>0</v>
      </c>
      <c r="Z864" s="14">
        <v>0</v>
      </c>
      <c r="AA864" s="4">
        <v>0</v>
      </c>
      <c r="AB864" s="4">
        <f t="shared" si="123"/>
        <v>0</v>
      </c>
      <c r="AC864" s="6">
        <f t="shared" si="124"/>
        <v>27.61</v>
      </c>
      <c r="AD864" s="6">
        <f t="shared" si="129"/>
        <v>16.537154579855624</v>
      </c>
      <c r="AE864" s="2">
        <v>7.0000000000000007E-2</v>
      </c>
      <c r="AF864" s="5">
        <f t="shared" si="125"/>
        <v>1.1576008205898938</v>
      </c>
      <c r="AG864" s="14">
        <v>0</v>
      </c>
      <c r="AH864" s="19">
        <f t="shared" si="130"/>
        <v>27.61</v>
      </c>
      <c r="AJ864" s="126" t="e">
        <v>#N/A</v>
      </c>
      <c r="AK864" s="80">
        <f t="shared" si="126"/>
        <v>0</v>
      </c>
      <c r="AM864" s="85"/>
    </row>
    <row r="865" spans="1:39" hidden="1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28"/>
        <v>-787.71024</v>
      </c>
      <c r="X865" s="18">
        <f t="shared" ref="X865:X887" si="131">IF(P865="折扣",V865*Q865,IF(P865="返现",V865,V865/(1+Q865)))</f>
        <v>787.71024</v>
      </c>
      <c r="Y865" s="13">
        <f t="shared" si="122"/>
        <v>315.90705263979817</v>
      </c>
      <c r="Z865" s="14">
        <v>0</v>
      </c>
      <c r="AA865" s="4">
        <v>0</v>
      </c>
      <c r="AB865" s="4">
        <f t="shared" si="123"/>
        <v>787.71024</v>
      </c>
      <c r="AC865" s="6">
        <f t="shared" si="124"/>
        <v>0</v>
      </c>
      <c r="AD865" s="6">
        <f t="shared" si="129"/>
        <v>471.80318736020183</v>
      </c>
      <c r="AE865" s="2">
        <v>0.12</v>
      </c>
      <c r="AF865" s="5">
        <f t="shared" si="125"/>
        <v>56.616382483224221</v>
      </c>
      <c r="AG865" s="14">
        <v>0</v>
      </c>
      <c r="AH865" s="19">
        <f t="shared" si="130"/>
        <v>787.71024</v>
      </c>
      <c r="AJ865" s="126" t="e">
        <v>#N/A</v>
      </c>
      <c r="AK865" s="80">
        <f t="shared" si="126"/>
        <v>0</v>
      </c>
      <c r="AM865" s="85"/>
    </row>
    <row r="866" spans="1:39" hidden="1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28"/>
        <v>0</v>
      </c>
      <c r="X866" s="18">
        <f t="shared" si="131"/>
        <v>303.64705882352945</v>
      </c>
      <c r="Y866" s="13">
        <f t="shared" si="122"/>
        <v>118.13863736489546</v>
      </c>
      <c r="Z866" s="14">
        <v>0</v>
      </c>
      <c r="AA866" s="4">
        <v>0</v>
      </c>
      <c r="AB866" s="4">
        <f t="shared" si="123"/>
        <v>303.64705882352945</v>
      </c>
      <c r="AC866" s="6">
        <f t="shared" si="124"/>
        <v>6.0729411764705787</v>
      </c>
      <c r="AD866" s="6">
        <f t="shared" si="129"/>
        <v>185.50842145863399</v>
      </c>
      <c r="AE866" s="2">
        <v>7.0000000000000007E-2</v>
      </c>
      <c r="AF866" s="5">
        <f t="shared" si="125"/>
        <v>12.98558950210438</v>
      </c>
      <c r="AG866" s="14">
        <v>0</v>
      </c>
      <c r="AH866" s="19">
        <f t="shared" si="130"/>
        <v>309.72000000000003</v>
      </c>
      <c r="AJ866" s="126" t="e">
        <v>#N/A</v>
      </c>
      <c r="AK866" s="80">
        <f t="shared" si="126"/>
        <v>0</v>
      </c>
      <c r="AM866" s="85"/>
    </row>
    <row r="867" spans="1:39" hidden="1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28"/>
        <v>8412.8999999999978</v>
      </c>
      <c r="X867" s="18">
        <f t="shared" si="131"/>
        <v>19555.7</v>
      </c>
      <c r="Y867" s="13">
        <f t="shared" si="122"/>
        <v>7842.7107273711463</v>
      </c>
      <c r="Z867" s="14">
        <v>0</v>
      </c>
      <c r="AA867" s="4">
        <v>0</v>
      </c>
      <c r="AB867" s="4">
        <f t="shared" si="123"/>
        <v>19555.7</v>
      </c>
      <c r="AC867" s="6">
        <f t="shared" si="124"/>
        <v>0</v>
      </c>
      <c r="AD867" s="6">
        <f t="shared" si="129"/>
        <v>11712.989272628854</v>
      </c>
      <c r="AE867" s="2">
        <v>7.0000000000000007E-2</v>
      </c>
      <c r="AF867" s="5">
        <f t="shared" si="125"/>
        <v>819.90924908401985</v>
      </c>
      <c r="AG867" s="14">
        <v>0</v>
      </c>
      <c r="AH867" s="19">
        <f t="shared" si="130"/>
        <v>19555.7</v>
      </c>
      <c r="AJ867" s="126" t="e">
        <v>#N/A</v>
      </c>
      <c r="AK867" s="80">
        <f t="shared" si="126"/>
        <v>0</v>
      </c>
      <c r="AM867" s="85"/>
    </row>
    <row r="868" spans="1:39" hidden="1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28"/>
        <v>38819.300000000003</v>
      </c>
      <c r="X868" s="18">
        <f t="shared" si="131"/>
        <v>59981.078431372545</v>
      </c>
      <c r="Y868" s="13">
        <f t="shared" si="122"/>
        <v>23336.5766854916</v>
      </c>
      <c r="Z868" s="14">
        <v>0</v>
      </c>
      <c r="AA868" s="4">
        <v>0</v>
      </c>
      <c r="AB868" s="4">
        <f t="shared" si="123"/>
        <v>59981.078431372545</v>
      </c>
      <c r="AC868" s="6">
        <f t="shared" si="124"/>
        <v>1199.6215686274518</v>
      </c>
      <c r="AD868" s="6">
        <f t="shared" si="129"/>
        <v>36644.501745880945</v>
      </c>
      <c r="AE868" s="2">
        <v>7.0000000000000007E-2</v>
      </c>
      <c r="AF868" s="5">
        <f t="shared" si="125"/>
        <v>2565.1151222116664</v>
      </c>
      <c r="AG868" s="14">
        <v>0</v>
      </c>
      <c r="AH868" s="19">
        <f t="shared" si="130"/>
        <v>61180.7</v>
      </c>
      <c r="AJ868" s="126" t="e">
        <v>#N/A</v>
      </c>
      <c r="AK868" s="80">
        <f t="shared" si="126"/>
        <v>0</v>
      </c>
      <c r="AM868" s="85"/>
    </row>
    <row r="869" spans="1:39" hidden="1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28"/>
        <v>-0.01</v>
      </c>
      <c r="X869" s="18">
        <f t="shared" si="131"/>
        <v>0</v>
      </c>
      <c r="Y869" s="13">
        <f t="shared" si="122"/>
        <v>0</v>
      </c>
      <c r="Z869" s="14">
        <v>0</v>
      </c>
      <c r="AA869" s="4">
        <v>0</v>
      </c>
      <c r="AB869" s="4">
        <f t="shared" si="123"/>
        <v>0</v>
      </c>
      <c r="AC869" s="6">
        <f t="shared" si="124"/>
        <v>0</v>
      </c>
      <c r="AD869" s="6">
        <f t="shared" si="129"/>
        <v>0</v>
      </c>
      <c r="AE869" s="2">
        <v>0.12</v>
      </c>
      <c r="AF869" s="5">
        <f t="shared" si="125"/>
        <v>0</v>
      </c>
      <c r="AG869" s="14">
        <v>0</v>
      </c>
      <c r="AH869" s="19">
        <f t="shared" si="130"/>
        <v>0</v>
      </c>
      <c r="AJ869" s="126" t="e">
        <v>#N/A</v>
      </c>
      <c r="AK869" s="80">
        <f t="shared" si="126"/>
        <v>0</v>
      </c>
      <c r="AM869" s="85"/>
    </row>
    <row r="870" spans="1:39" hidden="1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28"/>
        <v>0</v>
      </c>
      <c r="X870" s="18">
        <f t="shared" si="131"/>
        <v>0</v>
      </c>
      <c r="Y870" s="13">
        <f t="shared" si="122"/>
        <v>0</v>
      </c>
      <c r="Z870" s="14">
        <v>0</v>
      </c>
      <c r="AA870" s="4">
        <v>0</v>
      </c>
      <c r="AB870" s="4">
        <f t="shared" si="123"/>
        <v>0</v>
      </c>
      <c r="AC870" s="6">
        <f t="shared" si="124"/>
        <v>0</v>
      </c>
      <c r="AD870" s="6">
        <f t="shared" si="129"/>
        <v>0</v>
      </c>
      <c r="AE870" s="2">
        <v>0.12</v>
      </c>
      <c r="AF870" s="5">
        <f t="shared" si="125"/>
        <v>0</v>
      </c>
      <c r="AG870" s="14">
        <v>0</v>
      </c>
      <c r="AH870" s="19">
        <f t="shared" si="130"/>
        <v>0</v>
      </c>
      <c r="AJ870" s="126" t="e">
        <v>#N/A</v>
      </c>
      <c r="AK870" s="80">
        <f t="shared" si="126"/>
        <v>0</v>
      </c>
      <c r="AM870" s="85"/>
    </row>
    <row r="871" spans="1:39" hidden="1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28"/>
        <v>5.7999999999992724</v>
      </c>
      <c r="X871" s="18">
        <f t="shared" si="131"/>
        <v>18988</v>
      </c>
      <c r="Y871" s="13">
        <f t="shared" si="122"/>
        <v>7615.0376254147559</v>
      </c>
      <c r="Z871" s="14">
        <v>0</v>
      </c>
      <c r="AA871" s="4">
        <v>0</v>
      </c>
      <c r="AB871" s="4">
        <f t="shared" si="123"/>
        <v>18988</v>
      </c>
      <c r="AC871" s="6">
        <f t="shared" si="124"/>
        <v>0</v>
      </c>
      <c r="AD871" s="6">
        <f t="shared" si="129"/>
        <v>11372.962374585244</v>
      </c>
      <c r="AE871" s="2">
        <v>7.0000000000000007E-2</v>
      </c>
      <c r="AF871" s="5">
        <f t="shared" si="125"/>
        <v>796.10736622096715</v>
      </c>
      <c r="AG871" s="14">
        <v>0</v>
      </c>
      <c r="AH871" s="19">
        <f t="shared" si="130"/>
        <v>18988</v>
      </c>
      <c r="AJ871" s="126" t="e">
        <v>#N/A</v>
      </c>
      <c r="AK871" s="80">
        <f t="shared" si="126"/>
        <v>0</v>
      </c>
      <c r="AM871" s="85"/>
    </row>
    <row r="872" spans="1:39" hidden="1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28"/>
        <v>0.2999999999992724</v>
      </c>
      <c r="X872" s="18">
        <f t="shared" si="131"/>
        <v>24999.7</v>
      </c>
      <c r="Y872" s="13">
        <f t="shared" si="122"/>
        <v>10025.998321259809</v>
      </c>
      <c r="Z872" s="14">
        <v>0</v>
      </c>
      <c r="AA872" s="4">
        <v>0</v>
      </c>
      <c r="AB872" s="4">
        <f t="shared" si="123"/>
        <v>24999.7</v>
      </c>
      <c r="AC872" s="6">
        <f t="shared" si="124"/>
        <v>0</v>
      </c>
      <c r="AD872" s="6">
        <f t="shared" si="129"/>
        <v>14973.701678740192</v>
      </c>
      <c r="AE872" s="2">
        <v>7.0000000000000007E-2</v>
      </c>
      <c r="AF872" s="5">
        <f t="shared" si="125"/>
        <v>1048.1591175118135</v>
      </c>
      <c r="AG872" s="14">
        <v>0</v>
      </c>
      <c r="AH872" s="19">
        <f t="shared" si="130"/>
        <v>24999.7</v>
      </c>
      <c r="AJ872" s="126" t="e">
        <v>#N/A</v>
      </c>
      <c r="AK872" s="80">
        <f t="shared" si="126"/>
        <v>0</v>
      </c>
      <c r="AM872" s="85"/>
    </row>
    <row r="873" spans="1:39" hidden="1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28"/>
        <v>56496.099999999991</v>
      </c>
      <c r="X873" s="18">
        <f t="shared" si="131"/>
        <v>51165.5</v>
      </c>
      <c r="Y873" s="13">
        <f t="shared" si="122"/>
        <v>20519.654920115794</v>
      </c>
      <c r="Z873" s="14">
        <v>0</v>
      </c>
      <c r="AA873" s="4">
        <v>0</v>
      </c>
      <c r="AB873" s="4">
        <f t="shared" si="123"/>
        <v>51165.5</v>
      </c>
      <c r="AC873" s="6">
        <f t="shared" si="124"/>
        <v>0</v>
      </c>
      <c r="AD873" s="6">
        <f t="shared" si="129"/>
        <v>30645.845079884206</v>
      </c>
      <c r="AE873" s="2">
        <v>7.0000000000000007E-2</v>
      </c>
      <c r="AF873" s="5">
        <f t="shared" si="125"/>
        <v>2145.2091555918946</v>
      </c>
      <c r="AG873" s="14">
        <v>0</v>
      </c>
      <c r="AH873" s="19">
        <f t="shared" si="130"/>
        <v>51165.5</v>
      </c>
      <c r="AJ873" s="126" t="e">
        <v>#N/A</v>
      </c>
      <c r="AK873" s="80">
        <f t="shared" si="126"/>
        <v>0</v>
      </c>
      <c r="AM873" s="85"/>
    </row>
    <row r="874" spans="1:39" hidden="1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28"/>
        <v>172399.2</v>
      </c>
      <c r="X874" s="18">
        <f t="shared" si="131"/>
        <v>127600.8</v>
      </c>
      <c r="Y874" s="13">
        <f t="shared" si="122"/>
        <v>51173.630347220518</v>
      </c>
      <c r="Z874" s="14">
        <v>0</v>
      </c>
      <c r="AA874" s="4">
        <v>0</v>
      </c>
      <c r="AB874" s="4">
        <f t="shared" si="123"/>
        <v>127600.8</v>
      </c>
      <c r="AC874" s="6">
        <f t="shared" si="124"/>
        <v>0</v>
      </c>
      <c r="AD874" s="6">
        <f t="shared" si="129"/>
        <v>76427.169652779485</v>
      </c>
      <c r="AE874" s="2">
        <v>7.0000000000000007E-2</v>
      </c>
      <c r="AF874" s="5">
        <f t="shared" si="125"/>
        <v>5349.9018756945643</v>
      </c>
      <c r="AG874" s="14">
        <v>0</v>
      </c>
      <c r="AH874" s="19">
        <f t="shared" si="130"/>
        <v>127600.8</v>
      </c>
      <c r="AJ874" s="126" t="e">
        <v>#N/A</v>
      </c>
      <c r="AK874" s="80">
        <f t="shared" si="126"/>
        <v>0</v>
      </c>
      <c r="AM874" s="85"/>
    </row>
    <row r="875" spans="1:39" hidden="1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28"/>
        <v>61910.100000000006</v>
      </c>
      <c r="X875" s="18">
        <f t="shared" si="131"/>
        <v>138089.9</v>
      </c>
      <c r="Y875" s="13">
        <f t="shared" si="122"/>
        <v>55380.228786062828</v>
      </c>
      <c r="Z875" s="14">
        <v>0</v>
      </c>
      <c r="AA875" s="4">
        <v>0</v>
      </c>
      <c r="AB875" s="4">
        <f t="shared" si="123"/>
        <v>138089.9</v>
      </c>
      <c r="AC875" s="6">
        <f t="shared" si="124"/>
        <v>0</v>
      </c>
      <c r="AD875" s="6">
        <f t="shared" si="129"/>
        <v>82709.671213937167</v>
      </c>
      <c r="AE875" s="2">
        <v>7.0000000000000007E-2</v>
      </c>
      <c r="AF875" s="5">
        <f t="shared" si="125"/>
        <v>5789.676984975602</v>
      </c>
      <c r="AG875" s="14">
        <v>0</v>
      </c>
      <c r="AH875" s="19">
        <f t="shared" si="130"/>
        <v>138089.9</v>
      </c>
      <c r="AJ875" s="126" t="e">
        <v>#N/A</v>
      </c>
      <c r="AK875" s="80">
        <f t="shared" si="126"/>
        <v>0</v>
      </c>
      <c r="AM875" s="85"/>
    </row>
    <row r="876" spans="1:39" hidden="1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28"/>
        <v>59377.5</v>
      </c>
      <c r="X876" s="18">
        <f t="shared" si="131"/>
        <v>340622.5</v>
      </c>
      <c r="Y876" s="13">
        <f t="shared" si="122"/>
        <v>136604.86378569819</v>
      </c>
      <c r="Z876" s="14">
        <v>0</v>
      </c>
      <c r="AA876" s="4">
        <v>0</v>
      </c>
      <c r="AB876" s="4">
        <f t="shared" si="123"/>
        <v>340622.5</v>
      </c>
      <c r="AC876" s="6">
        <f t="shared" si="124"/>
        <v>0</v>
      </c>
      <c r="AD876" s="6">
        <f t="shared" si="129"/>
        <v>204017.63621430181</v>
      </c>
      <c r="AE876" s="2">
        <v>7.0000000000000007E-2</v>
      </c>
      <c r="AF876" s="5">
        <f t="shared" si="125"/>
        <v>14281.234535001127</v>
      </c>
      <c r="AG876" s="14">
        <v>0</v>
      </c>
      <c r="AH876" s="19">
        <f t="shared" si="130"/>
        <v>340622.5</v>
      </c>
      <c r="AJ876" s="126" t="e">
        <v>#N/A</v>
      </c>
      <c r="AK876" s="80">
        <f t="shared" si="126"/>
        <v>0</v>
      </c>
      <c r="AM876" s="85"/>
    </row>
    <row r="877" spans="1:39" hidden="1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28"/>
        <v>64716.234999999986</v>
      </c>
      <c r="X877" s="18">
        <f t="shared" si="131"/>
        <v>430974.02475247526</v>
      </c>
      <c r="Y877" s="13">
        <f t="shared" si="122"/>
        <v>170258.52645814171</v>
      </c>
      <c r="Z877" s="14">
        <v>0</v>
      </c>
      <c r="AA877" s="4">
        <v>0</v>
      </c>
      <c r="AB877" s="4">
        <f t="shared" si="123"/>
        <v>430974.02475247526</v>
      </c>
      <c r="AC877" s="6">
        <f t="shared" si="124"/>
        <v>4309.7402475247509</v>
      </c>
      <c r="AD877" s="6">
        <f t="shared" si="129"/>
        <v>260715.49829433355</v>
      </c>
      <c r="AE877" s="2">
        <v>7.0000000000000007E-2</v>
      </c>
      <c r="AF877" s="5">
        <f t="shared" si="125"/>
        <v>18250.08488060335</v>
      </c>
      <c r="AG877" s="14">
        <v>0</v>
      </c>
      <c r="AH877" s="19">
        <f t="shared" si="130"/>
        <v>435283.76500000001</v>
      </c>
      <c r="AJ877" s="126" t="e">
        <v>#N/A</v>
      </c>
      <c r="AK877" s="80">
        <f t="shared" si="126"/>
        <v>0</v>
      </c>
      <c r="AM877" s="85"/>
    </row>
    <row r="878" spans="1:39" hidden="1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28"/>
        <v>43942.7</v>
      </c>
      <c r="X878" s="18">
        <f t="shared" si="131"/>
        <v>54958.137254901965</v>
      </c>
      <c r="Y878" s="13">
        <f t="shared" si="122"/>
        <v>21382.322860503533</v>
      </c>
      <c r="Z878" s="14">
        <v>0</v>
      </c>
      <c r="AA878" s="4">
        <v>0</v>
      </c>
      <c r="AB878" s="4">
        <f t="shared" si="123"/>
        <v>54958.137254901965</v>
      </c>
      <c r="AC878" s="6">
        <f t="shared" si="124"/>
        <v>1099.1627450980377</v>
      </c>
      <c r="AD878" s="6">
        <f t="shared" si="129"/>
        <v>33575.814394398432</v>
      </c>
      <c r="AE878" s="2">
        <v>7.0000000000000007E-2</v>
      </c>
      <c r="AF878" s="5">
        <f t="shared" si="125"/>
        <v>2350.3070076078907</v>
      </c>
      <c r="AG878" s="14">
        <v>0</v>
      </c>
      <c r="AH878" s="19">
        <f t="shared" si="130"/>
        <v>56057.3</v>
      </c>
      <c r="AJ878" s="126" t="e">
        <v>#N/A</v>
      </c>
      <c r="AK878" s="80">
        <f t="shared" si="126"/>
        <v>0</v>
      </c>
      <c r="AM878" s="85"/>
    </row>
    <row r="879" spans="1:39" hidden="1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28"/>
        <v>2354.9000000000015</v>
      </c>
      <c r="X879" s="18">
        <f t="shared" si="131"/>
        <v>37645.1</v>
      </c>
      <c r="Y879" s="13">
        <f t="shared" si="122"/>
        <v>15097.369544580841</v>
      </c>
      <c r="Z879" s="14">
        <v>0</v>
      </c>
      <c r="AA879" s="4">
        <v>0</v>
      </c>
      <c r="AB879" s="4">
        <f t="shared" si="123"/>
        <v>37645.1</v>
      </c>
      <c r="AC879" s="6">
        <f t="shared" si="124"/>
        <v>0</v>
      </c>
      <c r="AD879" s="6">
        <f t="shared" si="129"/>
        <v>22547.730455419158</v>
      </c>
      <c r="AE879" s="2">
        <v>7.0000000000000007E-2</v>
      </c>
      <c r="AF879" s="5">
        <f t="shared" si="125"/>
        <v>1578.3411318793412</v>
      </c>
      <c r="AG879" s="14">
        <v>0</v>
      </c>
      <c r="AH879" s="19">
        <f t="shared" si="130"/>
        <v>37645.1</v>
      </c>
      <c r="AJ879" s="126" t="e">
        <v>#N/A</v>
      </c>
      <c r="AK879" s="80">
        <f t="shared" si="126"/>
        <v>0</v>
      </c>
      <c r="AM879" s="85"/>
    </row>
    <row r="880" spans="1:39" hidden="1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28"/>
        <v>0</v>
      </c>
      <c r="X880" s="18">
        <f t="shared" si="131"/>
        <v>0</v>
      </c>
      <c r="Y880" s="13">
        <f t="shared" si="122"/>
        <v>0</v>
      </c>
      <c r="Z880" s="14">
        <v>0</v>
      </c>
      <c r="AA880" s="4">
        <v>0</v>
      </c>
      <c r="AB880" s="4">
        <f t="shared" si="123"/>
        <v>0</v>
      </c>
      <c r="AC880" s="6">
        <f t="shared" si="124"/>
        <v>0</v>
      </c>
      <c r="AD880" s="6">
        <f t="shared" si="129"/>
        <v>0</v>
      </c>
      <c r="AE880" s="2">
        <v>0.12</v>
      </c>
      <c r="AF880" s="5">
        <f t="shared" si="125"/>
        <v>0</v>
      </c>
      <c r="AG880" s="14">
        <v>0</v>
      </c>
      <c r="AH880" s="19">
        <f t="shared" si="130"/>
        <v>0</v>
      </c>
      <c r="AJ880" s="126" t="e">
        <v>#N/A</v>
      </c>
      <c r="AK880" s="80">
        <f t="shared" si="126"/>
        <v>0</v>
      </c>
      <c r="AM880" s="85"/>
    </row>
    <row r="881" spans="1:39" hidden="1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28"/>
        <v>43652.600000000006</v>
      </c>
      <c r="X881" s="18">
        <f t="shared" si="131"/>
        <v>34971.76470588235</v>
      </c>
      <c r="Y881" s="13">
        <f t="shared" si="122"/>
        <v>13606.312027543128</v>
      </c>
      <c r="Z881" s="14">
        <v>0</v>
      </c>
      <c r="AA881" s="4">
        <v>0</v>
      </c>
      <c r="AB881" s="4">
        <f t="shared" si="123"/>
        <v>34971.76470588235</v>
      </c>
      <c r="AC881" s="6">
        <f t="shared" si="124"/>
        <v>699.43529411764757</v>
      </c>
      <c r="AD881" s="6">
        <f t="shared" si="129"/>
        <v>21365.452678339221</v>
      </c>
      <c r="AE881" s="2">
        <v>7.0000000000000007E-2</v>
      </c>
      <c r="AF881" s="5">
        <f t="shared" si="125"/>
        <v>1495.5816874837456</v>
      </c>
      <c r="AG881" s="14">
        <v>0</v>
      </c>
      <c r="AH881" s="19">
        <f t="shared" si="130"/>
        <v>35671.199999999997</v>
      </c>
      <c r="AJ881" s="126" t="e">
        <v>#N/A</v>
      </c>
      <c r="AK881" s="80">
        <f t="shared" si="126"/>
        <v>0</v>
      </c>
      <c r="AM881" s="85"/>
    </row>
    <row r="882" spans="1:39" hidden="1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28"/>
        <v>12080.899999999994</v>
      </c>
      <c r="X882" s="18">
        <f t="shared" si="131"/>
        <v>161599.50980392157</v>
      </c>
      <c r="Y882" s="13">
        <f t="shared" si="122"/>
        <v>62872.816753234409</v>
      </c>
      <c r="Z882" s="14">
        <v>0</v>
      </c>
      <c r="AA882" s="4">
        <v>0</v>
      </c>
      <c r="AB882" s="4">
        <f t="shared" si="123"/>
        <v>161599.50980392157</v>
      </c>
      <c r="AC882" s="6">
        <f t="shared" si="124"/>
        <v>3231.9901960784337</v>
      </c>
      <c r="AD882" s="6">
        <f t="shared" si="129"/>
        <v>98726.693050687158</v>
      </c>
      <c r="AE882" s="2">
        <v>7.0000000000000007E-2</v>
      </c>
      <c r="AF882" s="5">
        <f t="shared" si="125"/>
        <v>6910.8685135481019</v>
      </c>
      <c r="AG882" s="14">
        <v>0</v>
      </c>
      <c r="AH882" s="19">
        <f t="shared" si="130"/>
        <v>164831.5</v>
      </c>
      <c r="AJ882" s="126" t="e">
        <v>#N/A</v>
      </c>
      <c r="AK882" s="80">
        <f t="shared" si="126"/>
        <v>0</v>
      </c>
      <c r="AM882" s="85"/>
    </row>
    <row r="883" spans="1:39" hidden="1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28"/>
        <v>10000</v>
      </c>
      <c r="X883" s="18">
        <f t="shared" si="131"/>
        <v>0</v>
      </c>
      <c r="Y883" s="13">
        <f t="shared" si="122"/>
        <v>0</v>
      </c>
      <c r="Z883" s="14">
        <v>0</v>
      </c>
      <c r="AA883" s="4">
        <v>0</v>
      </c>
      <c r="AB883" s="4">
        <f t="shared" si="123"/>
        <v>0</v>
      </c>
      <c r="AC883" s="6">
        <f t="shared" si="124"/>
        <v>0</v>
      </c>
      <c r="AD883" s="6">
        <f t="shared" si="129"/>
        <v>0</v>
      </c>
      <c r="AE883" s="2">
        <v>7.0000000000000007E-2</v>
      </c>
      <c r="AF883" s="5">
        <f t="shared" si="125"/>
        <v>0</v>
      </c>
      <c r="AG883" s="14">
        <v>0</v>
      </c>
      <c r="AH883" s="19">
        <f t="shared" si="130"/>
        <v>0</v>
      </c>
      <c r="AJ883" s="126" t="e">
        <v>#N/A</v>
      </c>
      <c r="AK883" s="80">
        <f t="shared" si="126"/>
        <v>0</v>
      </c>
      <c r="AM883" s="85"/>
    </row>
    <row r="884" spans="1:39" hidden="1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28"/>
        <v>37394.199999999997</v>
      </c>
      <c r="X884" s="18">
        <f t="shared" si="131"/>
        <v>22605.8</v>
      </c>
      <c r="Y884" s="13">
        <f t="shared" si="122"/>
        <v>9065.9373052770625</v>
      </c>
      <c r="Z884" s="14">
        <v>0</v>
      </c>
      <c r="AA884" s="4">
        <v>0</v>
      </c>
      <c r="AB884" s="4">
        <f t="shared" si="123"/>
        <v>22605.8</v>
      </c>
      <c r="AC884" s="6">
        <f t="shared" si="124"/>
        <v>0</v>
      </c>
      <c r="AD884" s="6">
        <f t="shared" si="129"/>
        <v>13539.862694722937</v>
      </c>
      <c r="AE884" s="2">
        <v>7.0000000000000007E-2</v>
      </c>
      <c r="AF884" s="5">
        <f t="shared" si="125"/>
        <v>947.79038863060566</v>
      </c>
      <c r="AG884" s="14">
        <v>0</v>
      </c>
      <c r="AH884" s="19">
        <f t="shared" si="130"/>
        <v>22605.8</v>
      </c>
      <c r="AJ884" s="126" t="e">
        <v>#N/A</v>
      </c>
      <c r="AK884" s="80">
        <f t="shared" si="126"/>
        <v>0</v>
      </c>
      <c r="AM884" s="85"/>
    </row>
    <row r="885" spans="1:39" hidden="1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28"/>
        <v>456.5</v>
      </c>
      <c r="X885" s="18">
        <f t="shared" si="131"/>
        <v>1543.5</v>
      </c>
      <c r="Y885" s="13">
        <f t="shared" si="122"/>
        <v>619.0125645053547</v>
      </c>
      <c r="Z885" s="14">
        <v>0</v>
      </c>
      <c r="AA885" s="4">
        <v>0</v>
      </c>
      <c r="AB885" s="4">
        <f t="shared" si="123"/>
        <v>1543.5</v>
      </c>
      <c r="AC885" s="6">
        <f t="shared" si="124"/>
        <v>0</v>
      </c>
      <c r="AD885" s="6">
        <f t="shared" si="129"/>
        <v>924.4874354946453</v>
      </c>
      <c r="AE885" s="2">
        <v>7.0000000000000007E-2</v>
      </c>
      <c r="AF885" s="5">
        <f t="shared" si="125"/>
        <v>64.714120484625184</v>
      </c>
      <c r="AG885" s="14">
        <v>0</v>
      </c>
      <c r="AH885" s="19">
        <f t="shared" si="130"/>
        <v>1543.5</v>
      </c>
      <c r="AJ885" s="126" t="e">
        <v>#N/A</v>
      </c>
      <c r="AK885" s="80">
        <f t="shared" si="126"/>
        <v>0</v>
      </c>
      <c r="AM885" s="85"/>
    </row>
    <row r="886" spans="1:39" hidden="1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28"/>
        <v>1796.1999999999971</v>
      </c>
      <c r="X886" s="18">
        <f t="shared" si="131"/>
        <v>48203.8</v>
      </c>
      <c r="Y886" s="13">
        <f t="shared" si="122"/>
        <v>19331.88069770212</v>
      </c>
      <c r="Z886" s="14">
        <v>0</v>
      </c>
      <c r="AA886" s="4">
        <v>0</v>
      </c>
      <c r="AB886" s="4">
        <f t="shared" si="123"/>
        <v>48203.8</v>
      </c>
      <c r="AC886" s="6">
        <f t="shared" si="124"/>
        <v>0</v>
      </c>
      <c r="AD886" s="6">
        <f t="shared" si="129"/>
        <v>28871.919302297883</v>
      </c>
      <c r="AE886" s="2">
        <v>7.0000000000000007E-2</v>
      </c>
      <c r="AF886" s="5">
        <f t="shared" si="125"/>
        <v>2021.0343511608521</v>
      </c>
      <c r="AG886" s="14">
        <v>0</v>
      </c>
      <c r="AH886" s="19">
        <f t="shared" si="130"/>
        <v>48203.8</v>
      </c>
      <c r="AJ886" s="126" t="e">
        <v>#N/A</v>
      </c>
      <c r="AK886" s="80">
        <f t="shared" si="126"/>
        <v>0</v>
      </c>
      <c r="AM886" s="85"/>
    </row>
    <row r="887" spans="1:39" hidden="1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28"/>
        <v>17050.380000000005</v>
      </c>
      <c r="X887" s="18">
        <f t="shared" si="131"/>
        <v>76229.62</v>
      </c>
      <c r="Y887" s="13">
        <f t="shared" si="122"/>
        <v>30571.488543873456</v>
      </c>
      <c r="Z887" s="14">
        <v>0</v>
      </c>
      <c r="AA887" s="4">
        <v>0</v>
      </c>
      <c r="AB887" s="4">
        <f t="shared" si="123"/>
        <v>76229.62</v>
      </c>
      <c r="AC887" s="6">
        <f t="shared" si="124"/>
        <v>0</v>
      </c>
      <c r="AD887" s="6">
        <f t="shared" si="129"/>
        <v>45658.131456126539</v>
      </c>
      <c r="AE887" s="2">
        <v>7.0000000000000007E-2</v>
      </c>
      <c r="AF887" s="5">
        <f t="shared" si="125"/>
        <v>3196.0692019288581</v>
      </c>
      <c r="AG887" s="14">
        <v>0</v>
      </c>
      <c r="AH887" s="19">
        <f t="shared" si="130"/>
        <v>76229.62</v>
      </c>
      <c r="AJ887" s="126" t="e">
        <v>#N/A</v>
      </c>
      <c r="AK887" s="80">
        <f t="shared" si="126"/>
        <v>0</v>
      </c>
      <c r="AM887" s="85"/>
    </row>
    <row r="888" spans="1:39" hidden="1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28"/>
        <v>24564.87000000001</v>
      </c>
      <c r="X888" s="18">
        <f>IF(P888="折扣",V888*Q888,IF(P888="返现",V888,V888/(1+Q888)))-U888</f>
        <v>6886.92</v>
      </c>
      <c r="Y888" s="13">
        <f t="shared" si="122"/>
        <v>2633.5590504190968</v>
      </c>
      <c r="Z888" s="14">
        <v>0</v>
      </c>
      <c r="AA888" s="4">
        <v>0</v>
      </c>
      <c r="AB888" s="4">
        <f t="shared" si="123"/>
        <v>6886.92</v>
      </c>
      <c r="AC888" s="6">
        <f t="shared" si="124"/>
        <v>214.38000000000011</v>
      </c>
      <c r="AD888" s="6">
        <f t="shared" si="129"/>
        <v>4253.3609495809033</v>
      </c>
      <c r="AE888" s="2">
        <v>7.0000000000000007E-2</v>
      </c>
      <c r="AF888" s="5">
        <f t="shared" si="125"/>
        <v>297.73526647066325</v>
      </c>
      <c r="AG888" s="14">
        <v>0</v>
      </c>
      <c r="AH888" s="19">
        <f t="shared" si="130"/>
        <v>7101.3</v>
      </c>
      <c r="AJ888" s="126" t="e">
        <v>#N/A</v>
      </c>
      <c r="AK888" s="80">
        <f t="shared" si="126"/>
        <v>0</v>
      </c>
      <c r="AM888" s="85"/>
    </row>
    <row r="889" spans="1:39" hidden="1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28"/>
        <v>3684.7999999999993</v>
      </c>
      <c r="X889" s="18">
        <f t="shared" ref="X889:X952" si="132">IF(P889="折扣",V889*Q889,IF(P889="返现",V889,V889/(1+Q889)))</f>
        <v>25315.200000000001</v>
      </c>
      <c r="Y889" s="13">
        <f t="shared" si="122"/>
        <v>10152.527938429515</v>
      </c>
      <c r="Z889" s="14">
        <v>0</v>
      </c>
      <c r="AA889" s="4">
        <v>0</v>
      </c>
      <c r="AB889" s="4">
        <f t="shared" si="123"/>
        <v>25315.200000000001</v>
      </c>
      <c r="AC889" s="6">
        <f t="shared" si="124"/>
        <v>0</v>
      </c>
      <c r="AD889" s="6">
        <f t="shared" si="129"/>
        <v>15162.672061570485</v>
      </c>
      <c r="AE889" s="2">
        <v>7.0000000000000007E-2</v>
      </c>
      <c r="AF889" s="5">
        <f t="shared" si="125"/>
        <v>1061.387044309934</v>
      </c>
      <c r="AG889" s="14">
        <v>0</v>
      </c>
      <c r="AH889" s="19">
        <f t="shared" si="130"/>
        <v>25315.200000000001</v>
      </c>
      <c r="AJ889" s="126" t="e">
        <v>#N/A</v>
      </c>
      <c r="AK889" s="80">
        <f t="shared" si="126"/>
        <v>0</v>
      </c>
      <c r="AM889" s="85"/>
    </row>
    <row r="890" spans="1:39" hidden="1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28"/>
        <v>9396.5</v>
      </c>
      <c r="X890" s="18">
        <f t="shared" si="132"/>
        <v>1603.5</v>
      </c>
      <c r="Y890" s="13">
        <f t="shared" si="122"/>
        <v>643.07524922859488</v>
      </c>
      <c r="Z890" s="14">
        <v>0</v>
      </c>
      <c r="AA890" s="4">
        <v>0</v>
      </c>
      <c r="AB890" s="4">
        <f t="shared" si="123"/>
        <v>1603.5</v>
      </c>
      <c r="AC890" s="6">
        <f t="shared" si="124"/>
        <v>0</v>
      </c>
      <c r="AD890" s="6">
        <f t="shared" si="129"/>
        <v>960.42475077140512</v>
      </c>
      <c r="AE890" s="2">
        <v>7.0000000000000007E-2</v>
      </c>
      <c r="AF890" s="5">
        <f t="shared" si="125"/>
        <v>67.22973255399836</v>
      </c>
      <c r="AG890" s="14">
        <v>0</v>
      </c>
      <c r="AH890" s="19">
        <f t="shared" si="130"/>
        <v>1603.5</v>
      </c>
      <c r="AJ890" s="126" t="e">
        <v>#N/A</v>
      </c>
      <c r="AK890" s="80">
        <f t="shared" si="126"/>
        <v>0</v>
      </c>
      <c r="AM890" s="85"/>
    </row>
    <row r="891" spans="1:39" hidden="1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28"/>
        <v>10000</v>
      </c>
      <c r="X891" s="18">
        <f t="shared" si="132"/>
        <v>0</v>
      </c>
      <c r="Y891" s="13">
        <f t="shared" si="122"/>
        <v>0</v>
      </c>
      <c r="Z891" s="14">
        <v>0</v>
      </c>
      <c r="AA891" s="4">
        <v>0</v>
      </c>
      <c r="AB891" s="4">
        <f t="shared" si="123"/>
        <v>0</v>
      </c>
      <c r="AC891" s="6">
        <f t="shared" si="124"/>
        <v>0</v>
      </c>
      <c r="AD891" s="6">
        <f t="shared" si="129"/>
        <v>0</v>
      </c>
      <c r="AE891" s="2">
        <v>7.0000000000000007E-2</v>
      </c>
      <c r="AF891" s="5">
        <f t="shared" si="125"/>
        <v>0</v>
      </c>
      <c r="AG891" s="14">
        <v>0</v>
      </c>
      <c r="AH891" s="19">
        <f t="shared" si="130"/>
        <v>0</v>
      </c>
      <c r="AJ891" s="126" t="e">
        <v>#N/A</v>
      </c>
      <c r="AK891" s="80">
        <f t="shared" si="126"/>
        <v>0</v>
      </c>
      <c r="AM891" s="85"/>
    </row>
    <row r="892" spans="1:39" hidden="1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28"/>
        <v>8562.1</v>
      </c>
      <c r="X892" s="18">
        <f t="shared" si="132"/>
        <v>11437.9</v>
      </c>
      <c r="Y892" s="13">
        <f t="shared" si="122"/>
        <v>4587.109693265822</v>
      </c>
      <c r="Z892" s="14">
        <v>0</v>
      </c>
      <c r="AA892" s="4">
        <v>0</v>
      </c>
      <c r="AB892" s="4">
        <f t="shared" si="123"/>
        <v>11437.9</v>
      </c>
      <c r="AC892" s="6">
        <f t="shared" si="124"/>
        <v>0</v>
      </c>
      <c r="AD892" s="6">
        <f t="shared" si="129"/>
        <v>6850.7903067341776</v>
      </c>
      <c r="AE892" s="2">
        <v>7.0000000000000007E-2</v>
      </c>
      <c r="AF892" s="5">
        <f t="shared" si="125"/>
        <v>479.55532147139246</v>
      </c>
      <c r="AG892" s="14">
        <v>0</v>
      </c>
      <c r="AH892" s="19">
        <f t="shared" si="130"/>
        <v>11437.9</v>
      </c>
      <c r="AJ892" s="126" t="e">
        <v>#N/A</v>
      </c>
      <c r="AK892" s="80">
        <f t="shared" si="126"/>
        <v>0</v>
      </c>
      <c r="AM892" s="85"/>
    </row>
    <row r="893" spans="1:39" hidden="1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28"/>
        <v>20111.2</v>
      </c>
      <c r="X893" s="18">
        <f t="shared" si="132"/>
        <v>19888.8</v>
      </c>
      <c r="Y893" s="13">
        <f t="shared" si="122"/>
        <v>7976.2987320596676</v>
      </c>
      <c r="Z893" s="14">
        <v>0</v>
      </c>
      <c r="AA893" s="4">
        <v>0</v>
      </c>
      <c r="AB893" s="4">
        <f t="shared" si="123"/>
        <v>19888.8</v>
      </c>
      <c r="AC893" s="6">
        <f t="shared" si="124"/>
        <v>0</v>
      </c>
      <c r="AD893" s="6">
        <f t="shared" si="129"/>
        <v>11912.501267940332</v>
      </c>
      <c r="AE893" s="2">
        <v>7.0000000000000007E-2</v>
      </c>
      <c r="AF893" s="5">
        <f t="shared" si="125"/>
        <v>833.8750887558233</v>
      </c>
      <c r="AG893" s="14">
        <v>0</v>
      </c>
      <c r="AH893" s="19">
        <f t="shared" si="130"/>
        <v>19888.8</v>
      </c>
      <c r="AJ893" s="126" t="e">
        <v>#N/A</v>
      </c>
      <c r="AK893" s="80">
        <f t="shared" si="126"/>
        <v>0</v>
      </c>
      <c r="AM893" s="85"/>
    </row>
    <row r="894" spans="1:39" hidden="1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28"/>
        <v>7640.5</v>
      </c>
      <c r="X894" s="18">
        <f t="shared" si="132"/>
        <v>2359.5</v>
      </c>
      <c r="Y894" s="13">
        <f t="shared" si="122"/>
        <v>946.26507674142181</v>
      </c>
      <c r="Z894" s="14">
        <v>0</v>
      </c>
      <c r="AA894" s="4">
        <v>0</v>
      </c>
      <c r="AB894" s="4">
        <f t="shared" si="123"/>
        <v>2359.5</v>
      </c>
      <c r="AC894" s="6">
        <f t="shared" si="124"/>
        <v>0</v>
      </c>
      <c r="AD894" s="6">
        <f t="shared" si="129"/>
        <v>1413.2349232585782</v>
      </c>
      <c r="AE894" s="2">
        <v>7.0000000000000007E-2</v>
      </c>
      <c r="AF894" s="5">
        <f t="shared" si="125"/>
        <v>98.926444628100484</v>
      </c>
      <c r="AG894" s="14">
        <v>0</v>
      </c>
      <c r="AH894" s="19">
        <f t="shared" si="130"/>
        <v>2359.5</v>
      </c>
      <c r="AJ894" s="126" t="e">
        <v>#N/A</v>
      </c>
      <c r="AK894" s="80">
        <f t="shared" si="126"/>
        <v>0</v>
      </c>
      <c r="AM894" s="85"/>
    </row>
    <row r="895" spans="1:39" hidden="1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28"/>
        <v>68578.350000000006</v>
      </c>
      <c r="X895" s="18">
        <f t="shared" si="132"/>
        <v>101877.6</v>
      </c>
      <c r="Y895" s="13">
        <f t="shared" si="122"/>
        <v>40857.476152672971</v>
      </c>
      <c r="Z895" s="14">
        <v>0</v>
      </c>
      <c r="AA895" s="4">
        <v>0</v>
      </c>
      <c r="AB895" s="4">
        <f t="shared" si="123"/>
        <v>101877.6</v>
      </c>
      <c r="AC895" s="6">
        <f t="shared" si="124"/>
        <v>0</v>
      </c>
      <c r="AD895" s="6">
        <f t="shared" si="129"/>
        <v>61020.123847327035</v>
      </c>
      <c r="AE895" s="2">
        <v>7.0000000000000007E-2</v>
      </c>
      <c r="AF895" s="5">
        <f t="shared" si="125"/>
        <v>4271.4086693128929</v>
      </c>
      <c r="AG895" s="14">
        <v>0</v>
      </c>
      <c r="AH895" s="19">
        <f t="shared" si="130"/>
        <v>101877.6</v>
      </c>
      <c r="AJ895" s="126" t="e">
        <v>#N/A</v>
      </c>
      <c r="AK895" s="80">
        <f t="shared" si="126"/>
        <v>0</v>
      </c>
      <c r="AM895" s="85"/>
    </row>
    <row r="896" spans="1:39" hidden="1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28"/>
        <v>-4004.1947100000002</v>
      </c>
      <c r="X896" s="18">
        <f t="shared" si="132"/>
        <v>3925.6810882352943</v>
      </c>
      <c r="Y896" s="13">
        <f t="shared" si="122"/>
        <v>1527.3476261885662</v>
      </c>
      <c r="Z896" s="14">
        <v>0</v>
      </c>
      <c r="AA896" s="4">
        <v>0</v>
      </c>
      <c r="AB896" s="4">
        <f t="shared" si="123"/>
        <v>3925.6810882352943</v>
      </c>
      <c r="AC896" s="6">
        <f t="shared" si="124"/>
        <v>78.513621764705931</v>
      </c>
      <c r="AD896" s="6">
        <f t="shared" si="129"/>
        <v>2398.3334620467281</v>
      </c>
      <c r="AE896" s="2">
        <v>0.12</v>
      </c>
      <c r="AF896" s="5">
        <f t="shared" si="125"/>
        <v>287.80001544560736</v>
      </c>
      <c r="AG896" s="14">
        <v>0</v>
      </c>
      <c r="AH896" s="19">
        <f t="shared" si="130"/>
        <v>4004.1947100000002</v>
      </c>
      <c r="AJ896" s="126" t="e">
        <v>#N/A</v>
      </c>
      <c r="AK896" s="80">
        <f t="shared" si="126"/>
        <v>0</v>
      </c>
      <c r="AM896" s="85"/>
    </row>
    <row r="897" spans="1:39" hidden="1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28"/>
        <v>10000</v>
      </c>
      <c r="X897" s="18">
        <f t="shared" si="132"/>
        <v>0</v>
      </c>
      <c r="Y897" s="13">
        <f t="shared" si="122"/>
        <v>0</v>
      </c>
      <c r="Z897" s="14">
        <v>0</v>
      </c>
      <c r="AA897" s="4">
        <v>0</v>
      </c>
      <c r="AB897" s="4">
        <f t="shared" si="123"/>
        <v>0</v>
      </c>
      <c r="AC897" s="6">
        <f t="shared" si="124"/>
        <v>0</v>
      </c>
      <c r="AD897" s="6">
        <f t="shared" si="129"/>
        <v>0</v>
      </c>
      <c r="AE897" s="2">
        <v>7.0000000000000007E-2</v>
      </c>
      <c r="AF897" s="5">
        <f t="shared" si="125"/>
        <v>0</v>
      </c>
      <c r="AG897" s="14">
        <v>0</v>
      </c>
      <c r="AH897" s="19">
        <f t="shared" si="130"/>
        <v>0</v>
      </c>
      <c r="AJ897" s="126" t="e">
        <v>#N/A</v>
      </c>
      <c r="AK897" s="80">
        <f t="shared" si="126"/>
        <v>0</v>
      </c>
      <c r="AM897" s="85"/>
    </row>
    <row r="898" spans="1:39" hidden="1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28"/>
        <v>27714.299920000001</v>
      </c>
      <c r="X898" s="18">
        <f t="shared" si="132"/>
        <v>2285.7000800000001</v>
      </c>
      <c r="Y898" s="13">
        <f t="shared" si="122"/>
        <v>916.66800661541583</v>
      </c>
      <c r="Z898" s="14">
        <v>0</v>
      </c>
      <c r="AA898" s="4">
        <v>0</v>
      </c>
      <c r="AB898" s="4">
        <f t="shared" si="123"/>
        <v>2285.7000800000001</v>
      </c>
      <c r="AC898" s="6">
        <f t="shared" si="124"/>
        <v>0</v>
      </c>
      <c r="AD898" s="6">
        <f t="shared" si="129"/>
        <v>1369.0320733845842</v>
      </c>
      <c r="AE898" s="2">
        <v>0.12</v>
      </c>
      <c r="AF898" s="5">
        <f t="shared" si="125"/>
        <v>164.2838488061501</v>
      </c>
      <c r="AG898" s="14">
        <v>0</v>
      </c>
      <c r="AH898" s="19">
        <f t="shared" si="130"/>
        <v>2285.7000800000001</v>
      </c>
      <c r="AJ898" s="126" t="e">
        <v>#N/A</v>
      </c>
      <c r="AK898" s="80">
        <f t="shared" si="126"/>
        <v>0</v>
      </c>
      <c r="AM898" s="85"/>
    </row>
    <row r="899" spans="1:39" hidden="1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28"/>
        <v>38784.707439999998</v>
      </c>
      <c r="X899" s="18">
        <f t="shared" si="132"/>
        <v>31215.292560000002</v>
      </c>
      <c r="Y899" s="13">
        <f t="shared" ref="Y899:Y962" si="13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34">X899+AA899</f>
        <v>31215.292560000002</v>
      </c>
      <c r="AC899" s="6">
        <f t="shared" ref="AC899:AC962" si="135">IF(P899="返现",X899*Q899,V899-X899)</f>
        <v>0</v>
      </c>
      <c r="AD899" s="6">
        <f t="shared" si="129"/>
        <v>18696.563503083566</v>
      </c>
      <c r="AE899" s="2">
        <v>0.12</v>
      </c>
      <c r="AF899" s="5">
        <f t="shared" ref="AF899:AF962" si="136">AD899*AE899</f>
        <v>2243.5876203700277</v>
      </c>
      <c r="AG899" s="14">
        <v>0</v>
      </c>
      <c r="AH899" s="19">
        <f t="shared" si="130"/>
        <v>31215.292560000002</v>
      </c>
      <c r="AJ899" s="126" t="e">
        <v>#N/A</v>
      </c>
      <c r="AK899" s="80">
        <f t="shared" ref="AK899:AK962" si="137">X899+AA899-AB899</f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28"/>
        <v>56998.99338</v>
      </c>
      <c r="X900" s="18">
        <f t="shared" si="132"/>
        <v>13001.00662</v>
      </c>
      <c r="Y900" s="13">
        <f t="shared" si="133"/>
        <v>5213.9853896969835</v>
      </c>
      <c r="Z900" s="14">
        <v>0</v>
      </c>
      <c r="AA900" s="4">
        <v>0</v>
      </c>
      <c r="AB900" s="4">
        <f t="shared" si="134"/>
        <v>13001.00662</v>
      </c>
      <c r="AC900" s="6">
        <f t="shared" si="135"/>
        <v>0</v>
      </c>
      <c r="AD900" s="6">
        <f t="shared" si="129"/>
        <v>7787.0212303030166</v>
      </c>
      <c r="AE900" s="2">
        <v>0.12</v>
      </c>
      <c r="AF900" s="5">
        <f t="shared" si="136"/>
        <v>934.44254763636195</v>
      </c>
      <c r="AG900" s="14">
        <v>0</v>
      </c>
      <c r="AH900" s="19">
        <f t="shared" si="130"/>
        <v>13001.00662</v>
      </c>
      <c r="AJ900" s="126" t="e">
        <v>#N/A</v>
      </c>
      <c r="AK900" s="80">
        <f t="shared" si="137"/>
        <v>0</v>
      </c>
      <c r="AM900" s="85"/>
    </row>
    <row r="901" spans="1:39" hidden="1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28"/>
        <v>526047.58449000004</v>
      </c>
      <c r="X901" s="18">
        <f t="shared" si="132"/>
        <v>573952.41550999996</v>
      </c>
      <c r="Y901" s="13">
        <f t="shared" si="133"/>
        <v>230180.60034265503</v>
      </c>
      <c r="Z901" s="14">
        <v>0</v>
      </c>
      <c r="AA901" s="4">
        <v>0</v>
      </c>
      <c r="AB901" s="4">
        <f t="shared" si="134"/>
        <v>573952.41550999996</v>
      </c>
      <c r="AC901" s="6">
        <f t="shared" si="135"/>
        <v>0</v>
      </c>
      <c r="AD901" s="6">
        <f t="shared" si="129"/>
        <v>343771.81516734493</v>
      </c>
      <c r="AE901" s="2">
        <v>0.12</v>
      </c>
      <c r="AF901" s="5">
        <f t="shared" si="136"/>
        <v>41252.617820081388</v>
      </c>
      <c r="AG901" s="14">
        <v>0</v>
      </c>
      <c r="AH901" s="19">
        <f t="shared" si="130"/>
        <v>573952.41550999996</v>
      </c>
      <c r="AJ901" s="126" t="e">
        <v>#N/A</v>
      </c>
      <c r="AK901" s="80">
        <f t="shared" si="137"/>
        <v>0</v>
      </c>
      <c r="AM901" s="85"/>
    </row>
    <row r="902" spans="1:39" hidden="1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28"/>
        <v>50000</v>
      </c>
      <c r="X902" s="18">
        <f t="shared" si="132"/>
        <v>0</v>
      </c>
      <c r="Y902" s="13">
        <f t="shared" si="133"/>
        <v>0</v>
      </c>
      <c r="Z902" s="14">
        <v>0</v>
      </c>
      <c r="AA902" s="4">
        <v>0</v>
      </c>
      <c r="AB902" s="4">
        <f t="shared" si="134"/>
        <v>0</v>
      </c>
      <c r="AC902" s="6">
        <f t="shared" si="135"/>
        <v>0</v>
      </c>
      <c r="AD902" s="6">
        <f t="shared" si="129"/>
        <v>0</v>
      </c>
      <c r="AE902" s="2">
        <v>0.12</v>
      </c>
      <c r="AF902" s="5">
        <f t="shared" si="136"/>
        <v>0</v>
      </c>
      <c r="AG902" s="14">
        <v>0</v>
      </c>
      <c r="AH902" s="19">
        <f t="shared" si="130"/>
        <v>0</v>
      </c>
      <c r="AJ902" s="126" t="e">
        <v>#N/A</v>
      </c>
      <c r="AK902" s="80">
        <f t="shared" si="137"/>
        <v>0</v>
      </c>
      <c r="AM902" s="85"/>
    </row>
    <row r="903" spans="1:39" hidden="1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28"/>
        <v>29487.399999999994</v>
      </c>
      <c r="X903" s="18">
        <f t="shared" si="132"/>
        <v>78933.921568627455</v>
      </c>
      <c r="Y903" s="13">
        <f t="shared" si="133"/>
        <v>30710.476736099961</v>
      </c>
      <c r="Z903" s="14">
        <v>0</v>
      </c>
      <c r="AA903" s="4">
        <v>0</v>
      </c>
      <c r="AB903" s="4">
        <f t="shared" si="134"/>
        <v>78933.921568627455</v>
      </c>
      <c r="AC903" s="6">
        <f t="shared" si="135"/>
        <v>1578.6784313725511</v>
      </c>
      <c r="AD903" s="6">
        <f t="shared" si="129"/>
        <v>48223.444832527493</v>
      </c>
      <c r="AE903" s="2">
        <v>7.0000000000000007E-2</v>
      </c>
      <c r="AF903" s="5">
        <f t="shared" si="136"/>
        <v>3375.6411382769247</v>
      </c>
      <c r="AG903" s="14">
        <v>0</v>
      </c>
      <c r="AH903" s="19">
        <f t="shared" si="130"/>
        <v>80512.600000000006</v>
      </c>
      <c r="AJ903" s="126" t="e">
        <v>#N/A</v>
      </c>
      <c r="AK903" s="80">
        <f t="shared" si="137"/>
        <v>0</v>
      </c>
      <c r="AM903" s="85"/>
    </row>
    <row r="904" spans="1:39" hidden="1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28"/>
        <v>26780.400000000001</v>
      </c>
      <c r="X904" s="18">
        <f t="shared" si="132"/>
        <v>12960.392156862745</v>
      </c>
      <c r="Y904" s="13">
        <f t="shared" si="133"/>
        <v>5042.4432729851851</v>
      </c>
      <c r="Z904" s="14">
        <v>0</v>
      </c>
      <c r="AA904" s="4">
        <v>0</v>
      </c>
      <c r="AB904" s="4">
        <f t="shared" si="134"/>
        <v>12960.392156862745</v>
      </c>
      <c r="AC904" s="6">
        <f t="shared" si="135"/>
        <v>259.20784313725562</v>
      </c>
      <c r="AD904" s="6">
        <f t="shared" si="129"/>
        <v>7917.9488838775596</v>
      </c>
      <c r="AE904" s="2">
        <v>7.0000000000000007E-2</v>
      </c>
      <c r="AF904" s="5">
        <f t="shared" si="136"/>
        <v>554.25642187142921</v>
      </c>
      <c r="AG904" s="14">
        <v>0</v>
      </c>
      <c r="AH904" s="19">
        <f t="shared" si="130"/>
        <v>13219.6</v>
      </c>
      <c r="AJ904" s="126" t="e">
        <v>#N/A</v>
      </c>
      <c r="AK904" s="80">
        <f t="shared" si="137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28"/>
        <v>161578.34</v>
      </c>
      <c r="X905" s="18">
        <f t="shared" si="132"/>
        <v>211589.86274509804</v>
      </c>
      <c r="Y905" s="13">
        <f t="shared" si="133"/>
        <v>82322.345428870467</v>
      </c>
      <c r="Z905" s="14">
        <v>0</v>
      </c>
      <c r="AA905" s="4">
        <v>0</v>
      </c>
      <c r="AB905" s="4">
        <f t="shared" si="134"/>
        <v>211589.86274509804</v>
      </c>
      <c r="AC905" s="6">
        <f t="shared" si="135"/>
        <v>4231.7972549019614</v>
      </c>
      <c r="AD905" s="6">
        <f t="shared" si="129"/>
        <v>129267.51731622758</v>
      </c>
      <c r="AE905" s="2">
        <v>7.0000000000000007E-2</v>
      </c>
      <c r="AF905" s="5">
        <f t="shared" si="136"/>
        <v>9048.7262121359308</v>
      </c>
      <c r="AG905" s="14">
        <v>0</v>
      </c>
      <c r="AH905" s="19">
        <f t="shared" si="130"/>
        <v>215821.66</v>
      </c>
      <c r="AJ905" s="126" t="e">
        <v>#N/A</v>
      </c>
      <c r="AK905" s="80">
        <f t="shared" si="137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28"/>
        <v>111320.09999999998</v>
      </c>
      <c r="X906" s="18">
        <f t="shared" si="132"/>
        <v>288791.98019801982</v>
      </c>
      <c r="Y906" s="13">
        <f t="shared" si="133"/>
        <v>114088.77142812373</v>
      </c>
      <c r="Z906" s="14">
        <v>0</v>
      </c>
      <c r="AA906" s="4">
        <v>0</v>
      </c>
      <c r="AB906" s="4">
        <f t="shared" si="134"/>
        <v>288791.98019801982</v>
      </c>
      <c r="AC906" s="6">
        <f t="shared" si="135"/>
        <v>2887.9198019801988</v>
      </c>
      <c r="AD906" s="6">
        <f t="shared" si="129"/>
        <v>174703.2087698961</v>
      </c>
      <c r="AE906" s="2">
        <v>7.0000000000000007E-2</v>
      </c>
      <c r="AF906" s="5">
        <f t="shared" si="136"/>
        <v>12229.224613892728</v>
      </c>
      <c r="AG906" s="14">
        <v>0</v>
      </c>
      <c r="AH906" s="19">
        <f t="shared" si="130"/>
        <v>291679.90000000002</v>
      </c>
      <c r="AJ906" s="126" t="e">
        <v>#N/A</v>
      </c>
      <c r="AK906" s="80">
        <f t="shared" si="137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28"/>
        <v>0</v>
      </c>
      <c r="X907" s="18">
        <f t="shared" si="132"/>
        <v>0</v>
      </c>
      <c r="Y907" s="13">
        <f t="shared" si="133"/>
        <v>0</v>
      </c>
      <c r="Z907" s="14">
        <v>0</v>
      </c>
      <c r="AA907" s="4">
        <v>0</v>
      </c>
      <c r="AB907" s="4">
        <f t="shared" si="134"/>
        <v>0</v>
      </c>
      <c r="AC907" s="6">
        <f t="shared" si="135"/>
        <v>0</v>
      </c>
      <c r="AD907" s="6">
        <f t="shared" si="129"/>
        <v>0</v>
      </c>
      <c r="AE907" s="2">
        <v>7.0000000000000007E-2</v>
      </c>
      <c r="AF907" s="5">
        <f t="shared" si="136"/>
        <v>0</v>
      </c>
      <c r="AG907" s="14">
        <v>0</v>
      </c>
      <c r="AH907" s="19">
        <f t="shared" si="130"/>
        <v>0</v>
      </c>
      <c r="AJ907" s="126" t="e">
        <v>#N/A</v>
      </c>
      <c r="AK907" s="80">
        <f t="shared" si="137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28"/>
        <v>-3.8000000000104706</v>
      </c>
      <c r="X908" s="18">
        <f t="shared" si="132"/>
        <v>0</v>
      </c>
      <c r="Y908" s="13">
        <f t="shared" si="133"/>
        <v>0</v>
      </c>
      <c r="Z908" s="14">
        <v>0</v>
      </c>
      <c r="AA908" s="4">
        <v>0</v>
      </c>
      <c r="AB908" s="4">
        <f t="shared" si="134"/>
        <v>0</v>
      </c>
      <c r="AC908" s="6">
        <f t="shared" si="135"/>
        <v>0</v>
      </c>
      <c r="AD908" s="6">
        <f t="shared" si="129"/>
        <v>0</v>
      </c>
      <c r="AE908" s="2">
        <v>7.0000000000000007E-2</v>
      </c>
      <c r="AF908" s="5">
        <f t="shared" si="136"/>
        <v>0</v>
      </c>
      <c r="AG908" s="14">
        <v>0</v>
      </c>
      <c r="AH908" s="19">
        <f t="shared" si="130"/>
        <v>0</v>
      </c>
      <c r="AJ908" s="126" t="e">
        <v>#N/A</v>
      </c>
      <c r="AK908" s="80">
        <f t="shared" si="137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28"/>
        <v>0.7000000000007276</v>
      </c>
      <c r="X909" s="18">
        <f t="shared" si="132"/>
        <v>15999.3</v>
      </c>
      <c r="Y909" s="13">
        <f t="shared" si="133"/>
        <v>6416.4351948756212</v>
      </c>
      <c r="Z909" s="14">
        <v>0</v>
      </c>
      <c r="AA909" s="4">
        <v>0</v>
      </c>
      <c r="AB909" s="4">
        <f t="shared" si="134"/>
        <v>15999.3</v>
      </c>
      <c r="AC909" s="6">
        <f t="shared" si="135"/>
        <v>0</v>
      </c>
      <c r="AD909" s="6">
        <f t="shared" si="129"/>
        <v>9582.8648051243781</v>
      </c>
      <c r="AE909" s="2">
        <v>7.0000000000000007E-2</v>
      </c>
      <c r="AF909" s="5">
        <f t="shared" si="136"/>
        <v>670.80053635870649</v>
      </c>
      <c r="AG909" s="14">
        <v>0</v>
      </c>
      <c r="AH909" s="19">
        <f t="shared" si="130"/>
        <v>15999.3</v>
      </c>
      <c r="AJ909" s="126" t="e">
        <v>#N/A</v>
      </c>
      <c r="AK909" s="80">
        <f t="shared" si="137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28"/>
        <v>27932.800000000003</v>
      </c>
      <c r="X910" s="18">
        <f t="shared" si="132"/>
        <v>126317.2</v>
      </c>
      <c r="Y910" s="13">
        <f t="shared" si="133"/>
        <v>50658.849312041333</v>
      </c>
      <c r="Z910" s="14">
        <v>0</v>
      </c>
      <c r="AA910" s="4">
        <v>0</v>
      </c>
      <c r="AB910" s="4">
        <f t="shared" si="134"/>
        <v>126317.2</v>
      </c>
      <c r="AC910" s="6">
        <f t="shared" si="135"/>
        <v>0</v>
      </c>
      <c r="AD910" s="6">
        <f t="shared" si="129"/>
        <v>75658.350687958664</v>
      </c>
      <c r="AE910" s="2">
        <v>7.0000000000000007E-2</v>
      </c>
      <c r="AF910" s="5">
        <f t="shared" si="136"/>
        <v>5296.0845481571068</v>
      </c>
      <c r="AG910" s="14">
        <v>0</v>
      </c>
      <c r="AH910" s="19">
        <f t="shared" si="130"/>
        <v>126317.2</v>
      </c>
      <c r="AJ910" s="126" t="e">
        <v>#N/A</v>
      </c>
      <c r="AK910" s="80">
        <f t="shared" si="137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28"/>
        <v>2668.7999999999993</v>
      </c>
      <c r="X911" s="18">
        <f t="shared" si="132"/>
        <v>17159.603960396042</v>
      </c>
      <c r="Y911" s="13">
        <f t="shared" si="133"/>
        <v>6778.9906516530573</v>
      </c>
      <c r="Z911" s="14">
        <v>0</v>
      </c>
      <c r="AA911" s="4">
        <v>0</v>
      </c>
      <c r="AB911" s="4">
        <f t="shared" si="134"/>
        <v>17159.603960396042</v>
      </c>
      <c r="AC911" s="6">
        <f t="shared" si="135"/>
        <v>171.59603960395907</v>
      </c>
      <c r="AD911" s="6">
        <f t="shared" si="129"/>
        <v>10380.613308742984</v>
      </c>
      <c r="AE911" s="2">
        <v>7.0000000000000007E-2</v>
      </c>
      <c r="AF911" s="5">
        <f t="shared" si="136"/>
        <v>726.64293161200897</v>
      </c>
      <c r="AG911" s="14">
        <v>0</v>
      </c>
      <c r="AH911" s="19">
        <f t="shared" si="130"/>
        <v>17331.2</v>
      </c>
      <c r="AJ911" s="126" t="e">
        <v>#N/A</v>
      </c>
      <c r="AK911" s="80">
        <f t="shared" si="137"/>
        <v>0</v>
      </c>
      <c r="AM911" s="85"/>
    </row>
    <row r="912" spans="1:39" hidden="1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28"/>
        <v>6140.8</v>
      </c>
      <c r="X912" s="18">
        <f t="shared" si="132"/>
        <v>3859.2</v>
      </c>
      <c r="Y912" s="13">
        <f t="shared" si="133"/>
        <v>1547.7118813988109</v>
      </c>
      <c r="Z912" s="14">
        <v>0</v>
      </c>
      <c r="AA912" s="4">
        <v>0</v>
      </c>
      <c r="AB912" s="4">
        <f t="shared" si="134"/>
        <v>3859.2</v>
      </c>
      <c r="AC912" s="6">
        <f t="shared" si="135"/>
        <v>0</v>
      </c>
      <c r="AD912" s="6">
        <f t="shared" si="129"/>
        <v>2311.4881186011889</v>
      </c>
      <c r="AE912" s="2">
        <v>7.0000000000000007E-2</v>
      </c>
      <c r="AF912" s="5">
        <f t="shared" si="136"/>
        <v>161.80416830208324</v>
      </c>
      <c r="AG912" s="14">
        <v>0</v>
      </c>
      <c r="AH912" s="19">
        <f t="shared" si="130"/>
        <v>3859.2</v>
      </c>
      <c r="AJ912" s="126" t="e">
        <v>#N/A</v>
      </c>
      <c r="AK912" s="80">
        <f t="shared" si="137"/>
        <v>0</v>
      </c>
      <c r="AM912" s="85"/>
    </row>
    <row r="913" spans="1:39" hidden="1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28"/>
        <v>5021.5999999999985</v>
      </c>
      <c r="X913" s="18">
        <f t="shared" si="132"/>
        <v>14978.400000000001</v>
      </c>
      <c r="Y913" s="13">
        <f t="shared" si="133"/>
        <v>6007.0086143096887</v>
      </c>
      <c r="Z913" s="14">
        <v>0</v>
      </c>
      <c r="AA913" s="4">
        <v>0</v>
      </c>
      <c r="AB913" s="4">
        <f t="shared" si="134"/>
        <v>14978.400000000001</v>
      </c>
      <c r="AC913" s="6">
        <f t="shared" si="135"/>
        <v>0</v>
      </c>
      <c r="AD913" s="6">
        <f t="shared" si="129"/>
        <v>8971.3913856903127</v>
      </c>
      <c r="AE913" s="2">
        <v>7.0000000000000007E-2</v>
      </c>
      <c r="AF913" s="5">
        <f t="shared" si="136"/>
        <v>627.99739699832196</v>
      </c>
      <c r="AG913" s="14">
        <v>0</v>
      </c>
      <c r="AH913" s="19">
        <f t="shared" si="130"/>
        <v>14978.400000000001</v>
      </c>
      <c r="AJ913" s="126" t="e">
        <v>#N/A</v>
      </c>
      <c r="AK913" s="80">
        <f t="shared" si="137"/>
        <v>0</v>
      </c>
      <c r="AM913" s="85"/>
    </row>
    <row r="914" spans="1:39" hidden="1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28"/>
        <v>18961.479999999996</v>
      </c>
      <c r="X914" s="18">
        <f t="shared" si="132"/>
        <v>20840.5</v>
      </c>
      <c r="Y914" s="13">
        <f t="shared" si="133"/>
        <v>8357.9730162447977</v>
      </c>
      <c r="Z914" s="14">
        <v>0</v>
      </c>
      <c r="AA914" s="4">
        <v>0</v>
      </c>
      <c r="AB914" s="4">
        <f t="shared" si="134"/>
        <v>20840.5</v>
      </c>
      <c r="AC914" s="6">
        <f t="shared" si="135"/>
        <v>0</v>
      </c>
      <c r="AD914" s="6">
        <f t="shared" si="129"/>
        <v>12482.526983755202</v>
      </c>
      <c r="AE914" s="2">
        <v>7.0000000000000007E-2</v>
      </c>
      <c r="AF914" s="5">
        <f t="shared" si="136"/>
        <v>873.77688886286421</v>
      </c>
      <c r="AG914" s="14">
        <v>0</v>
      </c>
      <c r="AH914" s="19">
        <f t="shared" si="130"/>
        <v>20840.5</v>
      </c>
      <c r="AJ914" s="126" t="e">
        <v>#N/A</v>
      </c>
      <c r="AK914" s="80">
        <f t="shared" si="137"/>
        <v>0</v>
      </c>
      <c r="AM914" s="85"/>
    </row>
    <row r="915" spans="1:39" hidden="1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28"/>
        <v>10000</v>
      </c>
      <c r="X915" s="18">
        <f t="shared" si="132"/>
        <v>0</v>
      </c>
      <c r="Y915" s="13">
        <f t="shared" si="133"/>
        <v>0</v>
      </c>
      <c r="Z915" s="14">
        <v>0</v>
      </c>
      <c r="AA915" s="4">
        <v>0</v>
      </c>
      <c r="AB915" s="4">
        <f t="shared" si="134"/>
        <v>0</v>
      </c>
      <c r="AC915" s="6">
        <f t="shared" si="135"/>
        <v>0</v>
      </c>
      <c r="AD915" s="6">
        <f t="shared" si="129"/>
        <v>0</v>
      </c>
      <c r="AE915" s="2">
        <v>7.0000000000000007E-2</v>
      </c>
      <c r="AF915" s="5">
        <f t="shared" si="136"/>
        <v>0</v>
      </c>
      <c r="AG915" s="14">
        <v>0</v>
      </c>
      <c r="AH915" s="19">
        <f t="shared" si="130"/>
        <v>0</v>
      </c>
      <c r="AJ915" s="126" t="e">
        <v>#N/A</v>
      </c>
      <c r="AK915" s="80">
        <f t="shared" si="137"/>
        <v>0</v>
      </c>
      <c r="AM915" s="85"/>
    </row>
    <row r="916" spans="1:39" hidden="1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28"/>
        <v>148812.20000000001</v>
      </c>
      <c r="X916" s="18">
        <f t="shared" si="132"/>
        <v>101187.8</v>
      </c>
      <c r="Y916" s="13">
        <f t="shared" si="133"/>
        <v>40580.835487304787</v>
      </c>
      <c r="Z916" s="14">
        <v>0</v>
      </c>
      <c r="AA916" s="4">
        <v>0</v>
      </c>
      <c r="AB916" s="4">
        <f t="shared" si="134"/>
        <v>101187.8</v>
      </c>
      <c r="AC916" s="6">
        <f t="shared" si="135"/>
        <v>0</v>
      </c>
      <c r="AD916" s="6">
        <f t="shared" si="129"/>
        <v>60606.964512695216</v>
      </c>
      <c r="AE916" s="2">
        <v>7.0000000000000007E-2</v>
      </c>
      <c r="AF916" s="5">
        <f t="shared" si="136"/>
        <v>4242.4875158886653</v>
      </c>
      <c r="AG916" s="14">
        <v>0</v>
      </c>
      <c r="AH916" s="19">
        <f t="shared" si="130"/>
        <v>101187.8</v>
      </c>
      <c r="AJ916" s="126" t="e">
        <v>#N/A</v>
      </c>
      <c r="AK916" s="80">
        <f t="shared" si="137"/>
        <v>0</v>
      </c>
      <c r="AM916" s="85"/>
    </row>
    <row r="917" spans="1:39" hidden="1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38">T917+U917-V917</f>
        <v>0</v>
      </c>
      <c r="X917" s="18">
        <f t="shared" si="132"/>
        <v>20000</v>
      </c>
      <c r="Y917" s="13">
        <f t="shared" si="133"/>
        <v>8020.8949077467405</v>
      </c>
      <c r="Z917" s="14">
        <v>0</v>
      </c>
      <c r="AA917" s="4">
        <v>0</v>
      </c>
      <c r="AB917" s="4">
        <f t="shared" si="134"/>
        <v>20000</v>
      </c>
      <c r="AC917" s="6">
        <f t="shared" si="135"/>
        <v>0</v>
      </c>
      <c r="AD917" s="6">
        <f t="shared" ref="AD917:AD980" si="139">V917*0.598955254612663</f>
        <v>11979.105092253259</v>
      </c>
      <c r="AE917" s="2">
        <v>7.0000000000000007E-2</v>
      </c>
      <c r="AF917" s="5">
        <f t="shared" si="136"/>
        <v>838.53735645772827</v>
      </c>
      <c r="AG917" s="14">
        <v>0</v>
      </c>
      <c r="AH917" s="19">
        <f t="shared" ref="AH917:AH980" si="140">V917</f>
        <v>20000</v>
      </c>
      <c r="AJ917" s="126" t="e">
        <v>#N/A</v>
      </c>
      <c r="AK917" s="80">
        <f t="shared" si="137"/>
        <v>0</v>
      </c>
      <c r="AM917" s="85"/>
    </row>
    <row r="918" spans="1:39" hidden="1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38"/>
        <v>11952</v>
      </c>
      <c r="X918" s="18">
        <f t="shared" si="132"/>
        <v>54048</v>
      </c>
      <c r="Y918" s="13">
        <f t="shared" si="133"/>
        <v>21675.666398694793</v>
      </c>
      <c r="Z918" s="14">
        <v>0</v>
      </c>
      <c r="AA918" s="4">
        <v>0</v>
      </c>
      <c r="AB918" s="4">
        <f t="shared" si="134"/>
        <v>54048</v>
      </c>
      <c r="AC918" s="6">
        <f t="shared" si="135"/>
        <v>0</v>
      </c>
      <c r="AD918" s="6">
        <f t="shared" si="139"/>
        <v>32372.333601305207</v>
      </c>
      <c r="AE918" s="2">
        <v>7.0000000000000007E-2</v>
      </c>
      <c r="AF918" s="5">
        <f t="shared" si="136"/>
        <v>2266.0633520913648</v>
      </c>
      <c r="AG918" s="14">
        <v>0</v>
      </c>
      <c r="AH918" s="19">
        <f t="shared" si="140"/>
        <v>54048</v>
      </c>
      <c r="AJ918" s="126" t="e">
        <v>#N/A</v>
      </c>
      <c r="AK918" s="80">
        <f t="shared" si="137"/>
        <v>0</v>
      </c>
      <c r="AM918" s="85"/>
    </row>
    <row r="919" spans="1:39" hidden="1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38"/>
        <v>192.40000000000146</v>
      </c>
      <c r="X919" s="18">
        <f t="shared" si="132"/>
        <v>54807.6</v>
      </c>
      <c r="Y919" s="13">
        <f t="shared" si="133"/>
        <v>21980.299987291015</v>
      </c>
      <c r="Z919" s="14">
        <v>0</v>
      </c>
      <c r="AA919" s="4">
        <v>0</v>
      </c>
      <c r="AB919" s="4">
        <f t="shared" si="134"/>
        <v>54807.6</v>
      </c>
      <c r="AC919" s="6">
        <f t="shared" si="135"/>
        <v>0</v>
      </c>
      <c r="AD919" s="6">
        <f t="shared" si="139"/>
        <v>32827.300012708984</v>
      </c>
      <c r="AE919" s="2">
        <v>7.0000000000000007E-2</v>
      </c>
      <c r="AF919" s="5">
        <f t="shared" si="136"/>
        <v>2297.9110008896291</v>
      </c>
      <c r="AG919" s="14">
        <v>0</v>
      </c>
      <c r="AH919" s="19">
        <f t="shared" si="140"/>
        <v>54807.6</v>
      </c>
      <c r="AJ919" s="126" t="e">
        <v>#N/A</v>
      </c>
      <c r="AK919" s="80">
        <f t="shared" si="137"/>
        <v>0</v>
      </c>
      <c r="AM919" s="85"/>
    </row>
    <row r="920" spans="1:39" hidden="1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38"/>
        <v>9081.239999999998</v>
      </c>
      <c r="X920" s="18">
        <f t="shared" si="132"/>
        <v>13627</v>
      </c>
      <c r="Y920" s="13">
        <f t="shared" si="133"/>
        <v>5465.0367453932413</v>
      </c>
      <c r="Z920" s="14">
        <v>0</v>
      </c>
      <c r="AA920" s="4">
        <v>0</v>
      </c>
      <c r="AB920" s="4">
        <f t="shared" si="134"/>
        <v>13627</v>
      </c>
      <c r="AC920" s="6">
        <f t="shared" si="135"/>
        <v>0</v>
      </c>
      <c r="AD920" s="6">
        <f t="shared" si="139"/>
        <v>8161.9632546067587</v>
      </c>
      <c r="AE920" s="2">
        <v>7.0000000000000007E-2</v>
      </c>
      <c r="AF920" s="5">
        <f t="shared" si="136"/>
        <v>571.33742782247316</v>
      </c>
      <c r="AG920" s="14">
        <v>0</v>
      </c>
      <c r="AH920" s="19">
        <f t="shared" si="140"/>
        <v>13627</v>
      </c>
      <c r="AJ920" s="126" t="e">
        <v>#N/A</v>
      </c>
      <c r="AK920" s="80">
        <f t="shared" si="137"/>
        <v>0</v>
      </c>
      <c r="AM920" s="85"/>
    </row>
    <row r="921" spans="1:39" hidden="1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38"/>
        <v>175200.76280000014</v>
      </c>
      <c r="X921" s="18">
        <f t="shared" si="132"/>
        <v>3224799.2371999999</v>
      </c>
      <c r="Y921" s="13">
        <f t="shared" si="133"/>
        <v>1293288.7890081527</v>
      </c>
      <c r="Z921" s="14">
        <v>0</v>
      </c>
      <c r="AA921" s="4">
        <v>0</v>
      </c>
      <c r="AB921" s="4">
        <f t="shared" si="134"/>
        <v>3224799.2371999999</v>
      </c>
      <c r="AC921" s="6">
        <f t="shared" si="135"/>
        <v>0</v>
      </c>
      <c r="AD921" s="6">
        <f t="shared" si="139"/>
        <v>1931510.4481918472</v>
      </c>
      <c r="AE921" s="2">
        <v>7.0000000000000007E-2</v>
      </c>
      <c r="AF921" s="5">
        <f t="shared" si="136"/>
        <v>135205.73137342933</v>
      </c>
      <c r="AG921" s="14">
        <v>0</v>
      </c>
      <c r="AH921" s="19">
        <f t="shared" si="140"/>
        <v>3224799.2371999999</v>
      </c>
      <c r="AJ921" s="126" t="e">
        <v>#N/A</v>
      </c>
      <c r="AK921" s="80">
        <f t="shared" si="137"/>
        <v>0</v>
      </c>
      <c r="AM921" s="85"/>
    </row>
    <row r="922" spans="1:39" hidden="1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38"/>
        <v>21986</v>
      </c>
      <c r="X922" s="18">
        <f t="shared" si="132"/>
        <v>773.22</v>
      </c>
      <c r="Y922" s="13">
        <f t="shared" si="133"/>
        <v>300.64430411060897</v>
      </c>
      <c r="Z922" s="14">
        <v>0</v>
      </c>
      <c r="AA922" s="4">
        <v>0</v>
      </c>
      <c r="AB922" s="4">
        <f t="shared" si="134"/>
        <v>773.22</v>
      </c>
      <c r="AC922" s="6">
        <f t="shared" si="135"/>
        <v>15.779999999999973</v>
      </c>
      <c r="AD922" s="6">
        <f t="shared" si="139"/>
        <v>472.57569588939106</v>
      </c>
      <c r="AE922" s="2">
        <v>7.0000000000000007E-2</v>
      </c>
      <c r="AF922" s="5">
        <f t="shared" si="136"/>
        <v>33.080298712257374</v>
      </c>
      <c r="AG922" s="14">
        <v>0</v>
      </c>
      <c r="AH922" s="19">
        <f t="shared" si="140"/>
        <v>789</v>
      </c>
      <c r="AJ922" s="126" t="e">
        <v>#N/A</v>
      </c>
      <c r="AK922" s="80">
        <f t="shared" si="137"/>
        <v>0</v>
      </c>
      <c r="AM922" s="85"/>
    </row>
    <row r="923" spans="1:39" hidden="1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38"/>
        <v>7619.570000000007</v>
      </c>
      <c r="X923" s="18">
        <f t="shared" si="132"/>
        <v>72380.429999999993</v>
      </c>
      <c r="Y923" s="13">
        <f t="shared" si="133"/>
        <v>29027.791120375965</v>
      </c>
      <c r="Z923" s="14">
        <v>0</v>
      </c>
      <c r="AA923" s="4">
        <v>0</v>
      </c>
      <c r="AB923" s="4">
        <f t="shared" si="134"/>
        <v>72380.429999999993</v>
      </c>
      <c r="AC923" s="6">
        <f t="shared" si="135"/>
        <v>0</v>
      </c>
      <c r="AD923" s="6">
        <f t="shared" si="139"/>
        <v>43352.638879624028</v>
      </c>
      <c r="AE923" s="2">
        <v>7.0000000000000007E-2</v>
      </c>
      <c r="AF923" s="5">
        <f t="shared" si="136"/>
        <v>3034.6847215736821</v>
      </c>
      <c r="AG923" s="14">
        <v>0</v>
      </c>
      <c r="AH923" s="19">
        <f t="shared" si="140"/>
        <v>72380.429999999993</v>
      </c>
      <c r="AJ923" s="126" t="e">
        <v>#N/A</v>
      </c>
      <c r="AK923" s="80">
        <f t="shared" si="137"/>
        <v>0</v>
      </c>
      <c r="AM923" s="85"/>
    </row>
    <row r="924" spans="1:39" hidden="1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38"/>
        <v>0</v>
      </c>
      <c r="X924" s="18">
        <f t="shared" si="132"/>
        <v>16629.97</v>
      </c>
      <c r="Y924" s="13">
        <f t="shared" si="133"/>
        <v>6669.3620844490542</v>
      </c>
      <c r="Z924" s="14">
        <v>0</v>
      </c>
      <c r="AA924" s="4">
        <v>0</v>
      </c>
      <c r="AB924" s="4">
        <f t="shared" si="134"/>
        <v>16629.97</v>
      </c>
      <c r="AC924" s="6">
        <f t="shared" si="135"/>
        <v>0</v>
      </c>
      <c r="AD924" s="6">
        <f t="shared" si="139"/>
        <v>9960.6079155509469</v>
      </c>
      <c r="AE924" s="2">
        <v>7.0000000000000007E-2</v>
      </c>
      <c r="AF924" s="5">
        <f t="shared" si="136"/>
        <v>697.24255408856641</v>
      </c>
      <c r="AG924" s="14">
        <v>0</v>
      </c>
      <c r="AH924" s="19">
        <f t="shared" si="140"/>
        <v>16629.97</v>
      </c>
      <c r="AJ924" s="126" t="e">
        <v>#N/A</v>
      </c>
      <c r="AK924" s="80">
        <f t="shared" si="137"/>
        <v>0</v>
      </c>
      <c r="AM924" s="85"/>
    </row>
    <row r="925" spans="1:39" hidden="1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38"/>
        <v>0</v>
      </c>
      <c r="X925" s="18">
        <f t="shared" si="132"/>
        <v>0</v>
      </c>
      <c r="Y925" s="13">
        <f t="shared" si="133"/>
        <v>0</v>
      </c>
      <c r="Z925" s="14">
        <v>0</v>
      </c>
      <c r="AA925" s="4">
        <v>0</v>
      </c>
      <c r="AB925" s="4">
        <f t="shared" si="134"/>
        <v>0</v>
      </c>
      <c r="AC925" s="6">
        <f t="shared" si="135"/>
        <v>0</v>
      </c>
      <c r="AD925" s="6">
        <f t="shared" si="139"/>
        <v>0</v>
      </c>
      <c r="AE925" s="2">
        <v>7.0000000000000007E-2</v>
      </c>
      <c r="AF925" s="5">
        <f t="shared" si="136"/>
        <v>0</v>
      </c>
      <c r="AG925" s="14">
        <v>0</v>
      </c>
      <c r="AH925" s="19">
        <f t="shared" si="140"/>
        <v>0</v>
      </c>
      <c r="AJ925" s="126" t="e">
        <v>#N/A</v>
      </c>
      <c r="AK925" s="80">
        <f t="shared" si="137"/>
        <v>0</v>
      </c>
      <c r="AM925" s="85"/>
    </row>
    <row r="926" spans="1:39" hidden="1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38"/>
        <v>430.45007000000624</v>
      </c>
      <c r="X926" s="18">
        <f t="shared" si="132"/>
        <v>25925.999970000001</v>
      </c>
      <c r="Y926" s="13">
        <f t="shared" si="133"/>
        <v>10397.486056880758</v>
      </c>
      <c r="Z926" s="14">
        <v>0</v>
      </c>
      <c r="AA926" s="4">
        <v>0</v>
      </c>
      <c r="AB926" s="4">
        <f t="shared" si="134"/>
        <v>25925.999970000001</v>
      </c>
      <c r="AC926" s="6">
        <f t="shared" si="135"/>
        <v>0</v>
      </c>
      <c r="AD926" s="6">
        <f t="shared" si="139"/>
        <v>15528.513913119243</v>
      </c>
      <c r="AE926" s="2">
        <v>7.0000000000000007E-2</v>
      </c>
      <c r="AF926" s="5">
        <f t="shared" si="136"/>
        <v>1086.9959739183471</v>
      </c>
      <c r="AG926" s="14">
        <v>0</v>
      </c>
      <c r="AH926" s="19">
        <f t="shared" si="140"/>
        <v>25925.999970000001</v>
      </c>
      <c r="AJ926" s="126" t="e">
        <v>#N/A</v>
      </c>
      <c r="AK926" s="80">
        <f t="shared" si="137"/>
        <v>0</v>
      </c>
      <c r="AM926" s="85"/>
    </row>
    <row r="927" spans="1:39" hidden="1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38"/>
        <v>36961.9</v>
      </c>
      <c r="X927" s="18">
        <f t="shared" si="132"/>
        <v>64191.274509803916</v>
      </c>
      <c r="Y927" s="13">
        <f t="shared" si="133"/>
        <v>24974.619318514349</v>
      </c>
      <c r="Z927" s="14">
        <v>0</v>
      </c>
      <c r="AA927" s="4">
        <v>0</v>
      </c>
      <c r="AB927" s="4">
        <f t="shared" si="134"/>
        <v>64191.274509803916</v>
      </c>
      <c r="AC927" s="6">
        <f t="shared" si="135"/>
        <v>1283.8254901960827</v>
      </c>
      <c r="AD927" s="6">
        <f t="shared" si="139"/>
        <v>39216.655191289567</v>
      </c>
      <c r="AE927" s="2">
        <v>7.0000000000000007E-2</v>
      </c>
      <c r="AF927" s="5">
        <f t="shared" si="136"/>
        <v>2745.1658633902698</v>
      </c>
      <c r="AG927" s="14">
        <v>0</v>
      </c>
      <c r="AH927" s="19">
        <f t="shared" si="140"/>
        <v>65475.1</v>
      </c>
      <c r="AJ927" s="126" t="e">
        <v>#N/A</v>
      </c>
      <c r="AK927" s="80">
        <f t="shared" si="137"/>
        <v>0</v>
      </c>
      <c r="AM927" s="85"/>
    </row>
    <row r="928" spans="1:39" hidden="1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38"/>
        <v>930860.17</v>
      </c>
      <c r="X928" s="18">
        <f t="shared" si="132"/>
        <v>69139.83</v>
      </c>
      <c r="Y928" s="13">
        <f t="shared" si="133"/>
        <v>27728.165518473768</v>
      </c>
      <c r="Z928" s="14">
        <v>0</v>
      </c>
      <c r="AA928" s="4">
        <v>0</v>
      </c>
      <c r="AB928" s="4">
        <f t="shared" si="134"/>
        <v>69139.83</v>
      </c>
      <c r="AC928" s="6">
        <f t="shared" si="135"/>
        <v>0</v>
      </c>
      <c r="AD928" s="6">
        <f t="shared" si="139"/>
        <v>41411.664481526233</v>
      </c>
      <c r="AE928" s="2">
        <v>7.0000000000000007E-2</v>
      </c>
      <c r="AF928" s="5">
        <f t="shared" si="136"/>
        <v>2898.8165137068368</v>
      </c>
      <c r="AG928" s="14">
        <v>0</v>
      </c>
      <c r="AH928" s="19">
        <f t="shared" si="140"/>
        <v>69139.83</v>
      </c>
      <c r="AJ928" s="126" t="e">
        <v>#N/A</v>
      </c>
      <c r="AK928" s="80">
        <f t="shared" si="137"/>
        <v>0</v>
      </c>
      <c r="AM928" s="85"/>
    </row>
    <row r="929" spans="1:39" hidden="1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38"/>
        <v>4193.6300000000047</v>
      </c>
      <c r="X929" s="18">
        <f t="shared" si="132"/>
        <v>15363.3</v>
      </c>
      <c r="Y929" s="13">
        <f t="shared" si="133"/>
        <v>6161.3707368092746</v>
      </c>
      <c r="Z929" s="14">
        <v>0</v>
      </c>
      <c r="AA929" s="4">
        <v>0</v>
      </c>
      <c r="AB929" s="4">
        <f t="shared" si="134"/>
        <v>15363.3</v>
      </c>
      <c r="AC929" s="6">
        <f t="shared" si="135"/>
        <v>0</v>
      </c>
      <c r="AD929" s="6">
        <f t="shared" si="139"/>
        <v>9201.9292631907247</v>
      </c>
      <c r="AE929" s="2">
        <v>7.0000000000000007E-2</v>
      </c>
      <c r="AF929" s="5">
        <f t="shared" si="136"/>
        <v>644.13504842335078</v>
      </c>
      <c r="AG929" s="14">
        <v>0</v>
      </c>
      <c r="AH929" s="19">
        <f t="shared" si="140"/>
        <v>15363.3</v>
      </c>
      <c r="AJ929" s="126" t="e">
        <v>#N/A</v>
      </c>
      <c r="AK929" s="80">
        <f t="shared" si="137"/>
        <v>0</v>
      </c>
      <c r="AM929" s="85"/>
    </row>
    <row r="930" spans="1:39" hidden="1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38"/>
        <v>250000</v>
      </c>
      <c r="X930" s="18">
        <f t="shared" si="132"/>
        <v>0</v>
      </c>
      <c r="Y930" s="13">
        <f t="shared" si="133"/>
        <v>0</v>
      </c>
      <c r="Z930" s="14">
        <v>0</v>
      </c>
      <c r="AA930" s="4">
        <v>0</v>
      </c>
      <c r="AB930" s="4">
        <f t="shared" si="134"/>
        <v>0</v>
      </c>
      <c r="AC930" s="6">
        <f t="shared" si="135"/>
        <v>0</v>
      </c>
      <c r="AD930" s="6">
        <f t="shared" si="139"/>
        <v>0</v>
      </c>
      <c r="AE930" s="2">
        <v>0.12</v>
      </c>
      <c r="AF930" s="5">
        <f t="shared" si="136"/>
        <v>0</v>
      </c>
      <c r="AG930" s="14">
        <v>0</v>
      </c>
      <c r="AH930" s="19">
        <f t="shared" si="140"/>
        <v>0</v>
      </c>
      <c r="AJ930" s="126" t="e">
        <v>#N/A</v>
      </c>
      <c r="AK930" s="80">
        <f t="shared" si="137"/>
        <v>0</v>
      </c>
      <c r="AM930" s="85"/>
    </row>
    <row r="931" spans="1:39" hidden="1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38"/>
        <v>1254605.8</v>
      </c>
      <c r="X931" s="18">
        <f t="shared" si="132"/>
        <v>45394.2</v>
      </c>
      <c r="Y931" s="13">
        <f t="shared" si="133"/>
        <v>18205.105381061854</v>
      </c>
      <c r="Z931" s="14">
        <v>0</v>
      </c>
      <c r="AA931" s="4">
        <v>0</v>
      </c>
      <c r="AB931" s="4">
        <f t="shared" si="134"/>
        <v>45394.2</v>
      </c>
      <c r="AC931" s="6">
        <f t="shared" si="135"/>
        <v>0</v>
      </c>
      <c r="AD931" s="6">
        <f t="shared" si="139"/>
        <v>27189.094618938143</v>
      </c>
      <c r="AE931" s="2">
        <v>0.12</v>
      </c>
      <c r="AF931" s="5">
        <f t="shared" si="136"/>
        <v>3262.691354272577</v>
      </c>
      <c r="AG931" s="14">
        <v>0</v>
      </c>
      <c r="AH931" s="19">
        <f t="shared" si="140"/>
        <v>45394.2</v>
      </c>
      <c r="AJ931" s="126" t="e">
        <v>#N/A</v>
      </c>
      <c r="AK931" s="80">
        <f t="shared" si="137"/>
        <v>0</v>
      </c>
      <c r="AM931" s="85"/>
    </row>
    <row r="932" spans="1:39" hidden="1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38"/>
        <v>46474.600000000006</v>
      </c>
      <c r="X932" s="18">
        <f t="shared" si="132"/>
        <v>153525.4</v>
      </c>
      <c r="Y932" s="13">
        <f t="shared" si="133"/>
        <v>61570.554953489074</v>
      </c>
      <c r="Z932" s="14">
        <v>0</v>
      </c>
      <c r="AA932" s="4">
        <v>0</v>
      </c>
      <c r="AB932" s="4">
        <f t="shared" si="134"/>
        <v>153525.4</v>
      </c>
      <c r="AC932" s="6">
        <f t="shared" si="135"/>
        <v>0</v>
      </c>
      <c r="AD932" s="6">
        <f t="shared" si="139"/>
        <v>91954.84504651092</v>
      </c>
      <c r="AE932" s="2">
        <v>7.0000000000000007E-2</v>
      </c>
      <c r="AF932" s="5">
        <f t="shared" si="136"/>
        <v>6436.8391532557653</v>
      </c>
      <c r="AG932" s="14">
        <v>0</v>
      </c>
      <c r="AH932" s="19">
        <f t="shared" si="140"/>
        <v>153525.4</v>
      </c>
      <c r="AJ932" s="126" t="e">
        <v>#N/A</v>
      </c>
      <c r="AK932" s="80">
        <f t="shared" si="137"/>
        <v>0</v>
      </c>
      <c r="AM932" s="85"/>
    </row>
    <row r="933" spans="1:39" hidden="1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38"/>
        <v>600000</v>
      </c>
      <c r="X933" s="18">
        <f t="shared" si="132"/>
        <v>0</v>
      </c>
      <c r="Y933" s="13">
        <f t="shared" si="133"/>
        <v>0</v>
      </c>
      <c r="Z933" s="14">
        <v>0</v>
      </c>
      <c r="AA933" s="4">
        <v>0</v>
      </c>
      <c r="AB933" s="4">
        <f t="shared" si="134"/>
        <v>0</v>
      </c>
      <c r="AC933" s="6">
        <f t="shared" si="135"/>
        <v>0</v>
      </c>
      <c r="AD933" s="6">
        <f t="shared" si="139"/>
        <v>0</v>
      </c>
      <c r="AE933" s="2">
        <v>7.0000000000000007E-2</v>
      </c>
      <c r="AF933" s="5">
        <f t="shared" si="136"/>
        <v>0</v>
      </c>
      <c r="AG933" s="14">
        <v>0</v>
      </c>
      <c r="AH933" s="19">
        <f t="shared" si="140"/>
        <v>0</v>
      </c>
      <c r="AJ933" s="126" t="e">
        <v>#N/A</v>
      </c>
      <c r="AK933" s="80">
        <f t="shared" si="137"/>
        <v>0</v>
      </c>
      <c r="AM933" s="85"/>
    </row>
    <row r="934" spans="1:39" hidden="1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38"/>
        <v>40640.799999999988</v>
      </c>
      <c r="X934" s="18">
        <f t="shared" si="132"/>
        <v>219359.2</v>
      </c>
      <c r="Y934" s="13">
        <f t="shared" si="133"/>
        <v>87972.854512369959</v>
      </c>
      <c r="Z934" s="14">
        <v>0</v>
      </c>
      <c r="AA934" s="4">
        <v>0</v>
      </c>
      <c r="AB934" s="4">
        <f t="shared" si="134"/>
        <v>219359.2</v>
      </c>
      <c r="AC934" s="6">
        <f t="shared" si="135"/>
        <v>0</v>
      </c>
      <c r="AD934" s="6">
        <f t="shared" si="139"/>
        <v>131386.34548763005</v>
      </c>
      <c r="AE934" s="2">
        <v>7.0000000000000007E-2</v>
      </c>
      <c r="AF934" s="5">
        <f t="shared" si="136"/>
        <v>9197.0441841341053</v>
      </c>
      <c r="AG934" s="14">
        <v>0</v>
      </c>
      <c r="AH934" s="19">
        <f t="shared" si="140"/>
        <v>219359.2</v>
      </c>
      <c r="AJ934" s="126" t="e">
        <v>#N/A</v>
      </c>
      <c r="AK934" s="80">
        <f t="shared" si="137"/>
        <v>0</v>
      </c>
      <c r="AM934" s="85"/>
    </row>
    <row r="935" spans="1:39" hidden="1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38"/>
        <v>37058.829999999987</v>
      </c>
      <c r="X935" s="18">
        <f t="shared" si="132"/>
        <v>0</v>
      </c>
      <c r="Y935" s="13">
        <f t="shared" si="133"/>
        <v>0</v>
      </c>
      <c r="Z935" s="14">
        <v>0</v>
      </c>
      <c r="AA935" s="4">
        <v>0</v>
      </c>
      <c r="AB935" s="4">
        <f t="shared" si="134"/>
        <v>0</v>
      </c>
      <c r="AC935" s="6">
        <f t="shared" si="135"/>
        <v>0</v>
      </c>
      <c r="AD935" s="6">
        <f t="shared" si="139"/>
        <v>0</v>
      </c>
      <c r="AE935" s="2">
        <v>0.12</v>
      </c>
      <c r="AF935" s="5">
        <f t="shared" si="136"/>
        <v>0</v>
      </c>
      <c r="AG935" s="14">
        <v>0</v>
      </c>
      <c r="AH935" s="19">
        <f t="shared" si="140"/>
        <v>0</v>
      </c>
      <c r="AJ935" s="126" t="e">
        <v>#N/A</v>
      </c>
      <c r="AK935" s="80">
        <f t="shared" si="137"/>
        <v>0</v>
      </c>
      <c r="AM935" s="85"/>
    </row>
    <row r="936" spans="1:39" hidden="1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38"/>
        <v>10000</v>
      </c>
      <c r="X936" s="18">
        <f t="shared" si="132"/>
        <v>0</v>
      </c>
      <c r="Y936" s="13">
        <f t="shared" si="133"/>
        <v>0</v>
      </c>
      <c r="Z936" s="14">
        <v>0</v>
      </c>
      <c r="AA936" s="4">
        <v>0</v>
      </c>
      <c r="AB936" s="4">
        <f t="shared" si="134"/>
        <v>0</v>
      </c>
      <c r="AC936" s="6">
        <f t="shared" si="135"/>
        <v>0</v>
      </c>
      <c r="AD936" s="6">
        <f t="shared" si="139"/>
        <v>0</v>
      </c>
      <c r="AE936" s="2">
        <v>0.12</v>
      </c>
      <c r="AF936" s="5">
        <f t="shared" si="136"/>
        <v>0</v>
      </c>
      <c r="AG936" s="14">
        <v>0</v>
      </c>
      <c r="AH936" s="19">
        <f t="shared" si="140"/>
        <v>0</v>
      </c>
      <c r="AJ936" s="126" t="e">
        <v>#N/A</v>
      </c>
      <c r="AK936" s="80">
        <f t="shared" si="137"/>
        <v>0</v>
      </c>
      <c r="AM936" s="85"/>
    </row>
    <row r="937" spans="1:39" hidden="1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38"/>
        <v>658067.68136999989</v>
      </c>
      <c r="X937" s="18">
        <f t="shared" si="132"/>
        <v>1270371.0476764706</v>
      </c>
      <c r="Y937" s="13">
        <f t="shared" si="133"/>
        <v>494257.7250765824</v>
      </c>
      <c r="Z937" s="14">
        <v>0</v>
      </c>
      <c r="AA937" s="4">
        <v>0</v>
      </c>
      <c r="AB937" s="4">
        <f t="shared" si="134"/>
        <v>1270371.0476764706</v>
      </c>
      <c r="AC937" s="6">
        <f t="shared" si="135"/>
        <v>25407.420953529421</v>
      </c>
      <c r="AD937" s="6">
        <f t="shared" si="139"/>
        <v>776113.3225998882</v>
      </c>
      <c r="AE937" s="2">
        <v>7.0000000000000007E-2</v>
      </c>
      <c r="AF937" s="5">
        <f t="shared" si="136"/>
        <v>54327.93258199218</v>
      </c>
      <c r="AG937" s="14">
        <v>0</v>
      </c>
      <c r="AH937" s="19">
        <f t="shared" si="140"/>
        <v>1295778.46863</v>
      </c>
      <c r="AJ937" s="126" t="e">
        <v>#N/A</v>
      </c>
      <c r="AK937" s="80">
        <f t="shared" si="137"/>
        <v>0</v>
      </c>
      <c r="AM937" s="85"/>
    </row>
    <row r="938" spans="1:39" hidden="1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38"/>
        <v>81201.899999999994</v>
      </c>
      <c r="X938" s="18">
        <f t="shared" si="132"/>
        <v>116468.72549019608</v>
      </c>
      <c r="Y938" s="13">
        <f t="shared" si="133"/>
        <v>45313.979257195489</v>
      </c>
      <c r="Z938" s="14">
        <v>0</v>
      </c>
      <c r="AA938" s="4">
        <v>0</v>
      </c>
      <c r="AB938" s="4">
        <f t="shared" si="134"/>
        <v>116468.72549019608</v>
      </c>
      <c r="AC938" s="6">
        <f t="shared" si="135"/>
        <v>2329.3745098039217</v>
      </c>
      <c r="AD938" s="6">
        <f t="shared" si="139"/>
        <v>71154.746233000595</v>
      </c>
      <c r="AE938" s="2">
        <v>7.0000000000000007E-2</v>
      </c>
      <c r="AF938" s="5">
        <f t="shared" si="136"/>
        <v>4980.8322363100424</v>
      </c>
      <c r="AG938" s="14">
        <v>0</v>
      </c>
      <c r="AH938" s="19">
        <f t="shared" si="140"/>
        <v>118798.1</v>
      </c>
      <c r="AJ938" s="126" t="e">
        <v>#N/A</v>
      </c>
      <c r="AK938" s="80">
        <f t="shared" si="137"/>
        <v>0</v>
      </c>
      <c r="AM938" s="85"/>
    </row>
    <row r="939" spans="1:39" hidden="1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38"/>
        <v>23919.400000000023</v>
      </c>
      <c r="X939" s="18">
        <f t="shared" si="132"/>
        <v>276080.59999999998</v>
      </c>
      <c r="Y939" s="13">
        <f t="shared" si="133"/>
        <v>110720.67393338322</v>
      </c>
      <c r="Z939" s="14">
        <v>0</v>
      </c>
      <c r="AA939" s="4">
        <v>0</v>
      </c>
      <c r="AB939" s="4">
        <f t="shared" si="134"/>
        <v>276080.59999999998</v>
      </c>
      <c r="AC939" s="6">
        <f t="shared" si="135"/>
        <v>0</v>
      </c>
      <c r="AD939" s="6">
        <f t="shared" si="139"/>
        <v>165359.92606661675</v>
      </c>
      <c r="AE939" s="2">
        <v>7.0000000000000007E-2</v>
      </c>
      <c r="AF939" s="5">
        <f t="shared" si="136"/>
        <v>11575.194824663175</v>
      </c>
      <c r="AG939" s="14">
        <v>0</v>
      </c>
      <c r="AH939" s="19">
        <f t="shared" si="140"/>
        <v>276080.59999999998</v>
      </c>
      <c r="AJ939" s="126" t="e">
        <v>#N/A</v>
      </c>
      <c r="AK939" s="80">
        <f t="shared" si="137"/>
        <v>0</v>
      </c>
      <c r="AM939" s="85"/>
    </row>
    <row r="940" spans="1:39" hidden="1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38"/>
        <v>160692.69999999995</v>
      </c>
      <c r="X940" s="18">
        <f t="shared" si="132"/>
        <v>789307.3</v>
      </c>
      <c r="Y940" s="13">
        <f t="shared" si="133"/>
        <v>316547.54516086646</v>
      </c>
      <c r="Z940" s="14">
        <v>0</v>
      </c>
      <c r="AA940" s="4">
        <v>0</v>
      </c>
      <c r="AB940" s="4">
        <f t="shared" si="134"/>
        <v>789307.3</v>
      </c>
      <c r="AC940" s="6">
        <f t="shared" si="135"/>
        <v>0</v>
      </c>
      <c r="AD940" s="6">
        <f t="shared" si="139"/>
        <v>472759.75483913359</v>
      </c>
      <c r="AE940" s="2">
        <v>7.0000000000000007E-2</v>
      </c>
      <c r="AF940" s="5">
        <f t="shared" si="136"/>
        <v>33093.182838739354</v>
      </c>
      <c r="AG940" s="14">
        <v>0</v>
      </c>
      <c r="AH940" s="19">
        <f t="shared" si="140"/>
        <v>789307.3</v>
      </c>
      <c r="AJ940" s="126" t="e">
        <v>#N/A</v>
      </c>
      <c r="AK940" s="80">
        <f t="shared" si="137"/>
        <v>0</v>
      </c>
      <c r="AM940" s="85"/>
    </row>
    <row r="941" spans="1:39" hidden="1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38"/>
        <v>37145.1</v>
      </c>
      <c r="X941" s="18">
        <f t="shared" si="132"/>
        <v>12854.9</v>
      </c>
      <c r="Y941" s="13">
        <f t="shared" si="133"/>
        <v>5155.3900974796788</v>
      </c>
      <c r="Z941" s="14">
        <v>0</v>
      </c>
      <c r="AA941" s="4">
        <v>0</v>
      </c>
      <c r="AB941" s="4">
        <f t="shared" si="134"/>
        <v>12854.9</v>
      </c>
      <c r="AC941" s="6">
        <f t="shared" si="135"/>
        <v>0</v>
      </c>
      <c r="AD941" s="6">
        <f t="shared" si="139"/>
        <v>7699.5099025203208</v>
      </c>
      <c r="AE941" s="2">
        <v>7.0000000000000007E-2</v>
      </c>
      <c r="AF941" s="5">
        <f t="shared" si="136"/>
        <v>538.96569317642252</v>
      </c>
      <c r="AG941" s="14">
        <v>0</v>
      </c>
      <c r="AH941" s="19">
        <f t="shared" si="140"/>
        <v>12854.9</v>
      </c>
      <c r="AJ941" s="126" t="e">
        <v>#N/A</v>
      </c>
      <c r="AK941" s="80">
        <f t="shared" si="137"/>
        <v>0</v>
      </c>
      <c r="AM941" s="85"/>
    </row>
    <row r="942" spans="1:39" hidden="1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38"/>
        <v>14654.400000000001</v>
      </c>
      <c r="X942" s="18">
        <f t="shared" si="132"/>
        <v>35345.599999999999</v>
      </c>
      <c r="Y942" s="13">
        <f t="shared" si="133"/>
        <v>14175.167152562659</v>
      </c>
      <c r="Z942" s="14">
        <v>0</v>
      </c>
      <c r="AA942" s="4">
        <v>0</v>
      </c>
      <c r="AB942" s="4">
        <f t="shared" si="134"/>
        <v>35345.599999999999</v>
      </c>
      <c r="AC942" s="6">
        <f t="shared" si="135"/>
        <v>0</v>
      </c>
      <c r="AD942" s="6">
        <f t="shared" si="139"/>
        <v>21170.43284743734</v>
      </c>
      <c r="AE942" s="2">
        <v>7.0000000000000007E-2</v>
      </c>
      <c r="AF942" s="5">
        <f t="shared" si="136"/>
        <v>1481.9302993206138</v>
      </c>
      <c r="AG942" s="14">
        <v>0</v>
      </c>
      <c r="AH942" s="19">
        <f t="shared" si="140"/>
        <v>35345.599999999999</v>
      </c>
      <c r="AJ942" s="126" t="e">
        <v>#N/A</v>
      </c>
      <c r="AK942" s="80">
        <f t="shared" si="137"/>
        <v>0</v>
      </c>
      <c r="AM942" s="85"/>
    </row>
    <row r="943" spans="1:39" hidden="1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38"/>
        <v>9963.7000300000072</v>
      </c>
      <c r="X943" s="18">
        <f t="shared" si="132"/>
        <v>83368.921539215677</v>
      </c>
      <c r="Y943" s="13">
        <f t="shared" si="133"/>
        <v>32435.982839365548</v>
      </c>
      <c r="Z943" s="14">
        <v>0</v>
      </c>
      <c r="AA943" s="4">
        <v>0</v>
      </c>
      <c r="AB943" s="4">
        <f t="shared" si="134"/>
        <v>83368.921539215677</v>
      </c>
      <c r="AC943" s="6">
        <f t="shared" si="135"/>
        <v>1667.3784307843162</v>
      </c>
      <c r="AD943" s="6">
        <f t="shared" si="139"/>
        <v>50932.938699850129</v>
      </c>
      <c r="AE943" s="2">
        <v>7.0000000000000007E-2</v>
      </c>
      <c r="AF943" s="5">
        <f t="shared" si="136"/>
        <v>3565.3057089895092</v>
      </c>
      <c r="AG943" s="14">
        <v>0</v>
      </c>
      <c r="AH943" s="19">
        <f t="shared" si="140"/>
        <v>85036.299969999993</v>
      </c>
      <c r="AJ943" s="126" t="e">
        <v>#N/A</v>
      </c>
      <c r="AK943" s="80">
        <f t="shared" si="137"/>
        <v>0</v>
      </c>
      <c r="AM943" s="85"/>
    </row>
    <row r="944" spans="1:39" hidden="1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38"/>
        <v>0</v>
      </c>
      <c r="X944" s="18">
        <f t="shared" si="132"/>
        <v>0</v>
      </c>
      <c r="Y944" s="13">
        <f t="shared" si="133"/>
        <v>0</v>
      </c>
      <c r="Z944" s="14">
        <v>0</v>
      </c>
      <c r="AA944" s="4">
        <v>0</v>
      </c>
      <c r="AB944" s="4">
        <f t="shared" si="134"/>
        <v>0</v>
      </c>
      <c r="AC944" s="6">
        <f t="shared" si="135"/>
        <v>0</v>
      </c>
      <c r="AD944" s="6">
        <f t="shared" si="139"/>
        <v>0</v>
      </c>
      <c r="AE944" s="2">
        <v>7.0000000000000007E-2</v>
      </c>
      <c r="AF944" s="5">
        <f t="shared" si="136"/>
        <v>0</v>
      </c>
      <c r="AG944" s="14">
        <v>0</v>
      </c>
      <c r="AH944" s="19">
        <f t="shared" si="140"/>
        <v>0</v>
      </c>
      <c r="AJ944" s="126" t="e">
        <v>#N/A</v>
      </c>
      <c r="AK944" s="80">
        <f t="shared" si="137"/>
        <v>0</v>
      </c>
      <c r="AM944" s="85"/>
    </row>
    <row r="945" spans="1:39" hidden="1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38"/>
        <v>27561.51999999999</v>
      </c>
      <c r="X945" s="18">
        <f t="shared" si="132"/>
        <v>22129.411764705881</v>
      </c>
      <c r="Y945" s="13">
        <f t="shared" si="133"/>
        <v>8609.7937575888518</v>
      </c>
      <c r="Z945" s="14">
        <v>0</v>
      </c>
      <c r="AA945" s="4">
        <v>0</v>
      </c>
      <c r="AB945" s="4">
        <f t="shared" si="134"/>
        <v>22129.411764705881</v>
      </c>
      <c r="AC945" s="6">
        <f t="shared" si="135"/>
        <v>442.58823529411893</v>
      </c>
      <c r="AD945" s="6">
        <f t="shared" si="139"/>
        <v>13519.618007117029</v>
      </c>
      <c r="AE945" s="2">
        <v>7.0000000000000007E-2</v>
      </c>
      <c r="AF945" s="5">
        <f t="shared" si="136"/>
        <v>946.37326049819217</v>
      </c>
      <c r="AG945" s="14">
        <v>0</v>
      </c>
      <c r="AH945" s="19">
        <f t="shared" si="140"/>
        <v>22572</v>
      </c>
      <c r="AJ945" s="126" t="e">
        <v>#N/A</v>
      </c>
      <c r="AK945" s="80">
        <f t="shared" si="137"/>
        <v>0</v>
      </c>
      <c r="AM945" s="85"/>
    </row>
    <row r="946" spans="1:39" hidden="1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38"/>
        <v>49626.100000000006</v>
      </c>
      <c r="X946" s="18">
        <f t="shared" si="132"/>
        <v>150373.9</v>
      </c>
      <c r="Y946" s="13">
        <f t="shared" si="133"/>
        <v>60306.662438400876</v>
      </c>
      <c r="Z946" s="14">
        <v>0</v>
      </c>
      <c r="AA946" s="4">
        <v>0</v>
      </c>
      <c r="AB946" s="4">
        <f t="shared" si="134"/>
        <v>150373.9</v>
      </c>
      <c r="AC946" s="6">
        <f t="shared" si="135"/>
        <v>0</v>
      </c>
      <c r="AD946" s="6">
        <f t="shared" si="139"/>
        <v>90067.237561599119</v>
      </c>
      <c r="AE946" s="2">
        <v>7.0000000000000007E-2</v>
      </c>
      <c r="AF946" s="5">
        <f t="shared" si="136"/>
        <v>6304.7066293119387</v>
      </c>
      <c r="AG946" s="14">
        <v>0</v>
      </c>
      <c r="AH946" s="19">
        <f t="shared" si="140"/>
        <v>150373.9</v>
      </c>
      <c r="AJ946" s="126" t="e">
        <v>#N/A</v>
      </c>
      <c r="AK946" s="80">
        <f t="shared" si="137"/>
        <v>0</v>
      </c>
      <c r="AM946" s="85"/>
    </row>
    <row r="947" spans="1:39" hidden="1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38"/>
        <v>33372.799999999988</v>
      </c>
      <c r="X947" s="18">
        <f t="shared" si="132"/>
        <v>166627.20000000001</v>
      </c>
      <c r="Y947" s="13">
        <f t="shared" si="133"/>
        <v>66824.962998604897</v>
      </c>
      <c r="Z947" s="14">
        <v>0</v>
      </c>
      <c r="AA947" s="4">
        <v>0</v>
      </c>
      <c r="AB947" s="4">
        <f t="shared" si="134"/>
        <v>166627.20000000001</v>
      </c>
      <c r="AC947" s="6">
        <f t="shared" si="135"/>
        <v>0</v>
      </c>
      <c r="AD947" s="6">
        <f t="shared" si="139"/>
        <v>99802.237001395115</v>
      </c>
      <c r="AE947" s="2">
        <v>7.0000000000000007E-2</v>
      </c>
      <c r="AF947" s="5">
        <f t="shared" si="136"/>
        <v>6986.1565900976584</v>
      </c>
      <c r="AG947" s="14">
        <v>0</v>
      </c>
      <c r="AH947" s="19">
        <f t="shared" si="140"/>
        <v>166627.20000000001</v>
      </c>
      <c r="AJ947" s="126" t="e">
        <v>#N/A</v>
      </c>
      <c r="AK947" s="80">
        <f t="shared" si="137"/>
        <v>0</v>
      </c>
      <c r="AM947" s="85"/>
    </row>
    <row r="948" spans="1:39" hidden="1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38"/>
        <v>360615.29971000005</v>
      </c>
      <c r="X948" s="18">
        <f t="shared" si="132"/>
        <v>665134.70028999995</v>
      </c>
      <c r="Y948" s="13">
        <f t="shared" si="133"/>
        <v>266748.77652608574</v>
      </c>
      <c r="Z948" s="14">
        <v>0</v>
      </c>
      <c r="AA948" s="4">
        <v>0</v>
      </c>
      <c r="AB948" s="4">
        <f t="shared" si="134"/>
        <v>665134.70028999995</v>
      </c>
      <c r="AC948" s="6">
        <f t="shared" si="135"/>
        <v>0</v>
      </c>
      <c r="AD948" s="6">
        <f t="shared" si="139"/>
        <v>398385.92376391421</v>
      </c>
      <c r="AE948" s="2">
        <v>7.0000000000000007E-2</v>
      </c>
      <c r="AF948" s="5">
        <f t="shared" si="136"/>
        <v>27887.014663473998</v>
      </c>
      <c r="AG948" s="14">
        <v>0</v>
      </c>
      <c r="AH948" s="19">
        <f t="shared" si="140"/>
        <v>665134.70028999995</v>
      </c>
      <c r="AJ948" s="126" t="e">
        <v>#N/A</v>
      </c>
      <c r="AK948" s="80">
        <f t="shared" si="137"/>
        <v>0</v>
      </c>
      <c r="AM948" s="85"/>
    </row>
    <row r="949" spans="1:39" hidden="1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38"/>
        <v>4250</v>
      </c>
      <c r="X949" s="18">
        <f t="shared" si="132"/>
        <v>0</v>
      </c>
      <c r="Y949" s="13">
        <f t="shared" si="133"/>
        <v>0</v>
      </c>
      <c r="Z949" s="14">
        <v>0</v>
      </c>
      <c r="AA949" s="4">
        <v>0</v>
      </c>
      <c r="AB949" s="4">
        <f t="shared" si="134"/>
        <v>0</v>
      </c>
      <c r="AC949" s="6">
        <f t="shared" si="135"/>
        <v>0</v>
      </c>
      <c r="AD949" s="6">
        <f t="shared" si="139"/>
        <v>0</v>
      </c>
      <c r="AE949" s="2">
        <v>7.0000000000000007E-2</v>
      </c>
      <c r="AF949" s="5">
        <f t="shared" si="136"/>
        <v>0</v>
      </c>
      <c r="AG949" s="14">
        <v>0</v>
      </c>
      <c r="AH949" s="19">
        <f t="shared" si="140"/>
        <v>0</v>
      </c>
      <c r="AJ949" s="126" t="e">
        <v>#N/A</v>
      </c>
      <c r="AK949" s="80">
        <f t="shared" si="137"/>
        <v>0</v>
      </c>
      <c r="AM949" s="85"/>
    </row>
    <row r="950" spans="1:39" hidden="1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38"/>
        <v>45402.7</v>
      </c>
      <c r="X950" s="18">
        <f t="shared" si="132"/>
        <v>24597.3</v>
      </c>
      <c r="Y950" s="13">
        <f t="shared" si="133"/>
        <v>9864.617915715944</v>
      </c>
      <c r="Z950" s="14">
        <v>0</v>
      </c>
      <c r="AA950" s="4">
        <v>0</v>
      </c>
      <c r="AB950" s="4">
        <f t="shared" si="134"/>
        <v>24597.3</v>
      </c>
      <c r="AC950" s="6">
        <f t="shared" si="135"/>
        <v>0</v>
      </c>
      <c r="AD950" s="6">
        <f t="shared" si="139"/>
        <v>14732.682084284055</v>
      </c>
      <c r="AE950" s="2">
        <v>7.0000000000000007E-2</v>
      </c>
      <c r="AF950" s="5">
        <f t="shared" si="136"/>
        <v>1031.2877458998839</v>
      </c>
      <c r="AG950" s="14">
        <v>0</v>
      </c>
      <c r="AH950" s="19">
        <f t="shared" si="140"/>
        <v>24597.3</v>
      </c>
      <c r="AJ950" s="126" t="e">
        <v>#N/A</v>
      </c>
      <c r="AK950" s="80">
        <f t="shared" si="137"/>
        <v>0</v>
      </c>
      <c r="AM950" s="85"/>
    </row>
    <row r="951" spans="1:39" hidden="1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38"/>
        <v>38794.9</v>
      </c>
      <c r="X951" s="18">
        <f t="shared" si="132"/>
        <v>11205.1</v>
      </c>
      <c r="Y951" s="13">
        <f t="shared" si="133"/>
        <v>4493.7464765396508</v>
      </c>
      <c r="Z951" s="14">
        <v>0</v>
      </c>
      <c r="AA951" s="4">
        <v>0</v>
      </c>
      <c r="AB951" s="4">
        <f t="shared" si="134"/>
        <v>11205.1</v>
      </c>
      <c r="AC951" s="6">
        <f t="shared" si="135"/>
        <v>0</v>
      </c>
      <c r="AD951" s="6">
        <f t="shared" si="139"/>
        <v>6711.3535234603496</v>
      </c>
      <c r="AE951" s="2">
        <v>7.0000000000000007E-2</v>
      </c>
      <c r="AF951" s="5">
        <f t="shared" si="136"/>
        <v>469.79474664222454</v>
      </c>
      <c r="AG951" s="14">
        <v>0</v>
      </c>
      <c r="AH951" s="19">
        <f t="shared" si="140"/>
        <v>11205.1</v>
      </c>
      <c r="AJ951" s="126" t="e">
        <v>#N/A</v>
      </c>
      <c r="AK951" s="80">
        <f t="shared" si="137"/>
        <v>0</v>
      </c>
      <c r="AM951" s="85"/>
    </row>
    <row r="952" spans="1:39" hidden="1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38"/>
        <v>9422.5</v>
      </c>
      <c r="X952" s="18">
        <f t="shared" si="132"/>
        <v>566.17647058823525</v>
      </c>
      <c r="Y952" s="13">
        <f t="shared" si="133"/>
        <v>220.27981104942239</v>
      </c>
      <c r="Z952" s="14">
        <v>0</v>
      </c>
      <c r="AA952" s="4">
        <v>0</v>
      </c>
      <c r="AB952" s="4">
        <f t="shared" si="134"/>
        <v>566.17647058823525</v>
      </c>
      <c r="AC952" s="6">
        <f t="shared" si="135"/>
        <v>11.323529411764753</v>
      </c>
      <c r="AD952" s="6">
        <f t="shared" si="139"/>
        <v>345.89665953881286</v>
      </c>
      <c r="AE952" s="2">
        <v>7.0000000000000007E-2</v>
      </c>
      <c r="AF952" s="5">
        <f t="shared" si="136"/>
        <v>24.212766167716904</v>
      </c>
      <c r="AG952" s="14">
        <v>0</v>
      </c>
      <c r="AH952" s="19">
        <f t="shared" si="140"/>
        <v>577.5</v>
      </c>
      <c r="AJ952" s="126" t="e">
        <v>#N/A</v>
      </c>
      <c r="AK952" s="80">
        <f t="shared" si="137"/>
        <v>0</v>
      </c>
      <c r="AM952" s="85"/>
    </row>
    <row r="953" spans="1:39" hidden="1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38"/>
        <v>7174.5999999999985</v>
      </c>
      <c r="X953" s="18">
        <f t="shared" ref="X953:X1016" si="141">IF(P953="折扣",V953*Q953,IF(P953="返现",V953,V953/(1+Q953)))</f>
        <v>37083.725490196077</v>
      </c>
      <c r="Y953" s="13">
        <f t="shared" si="133"/>
        <v>14428.003402370254</v>
      </c>
      <c r="Z953" s="14">
        <v>0</v>
      </c>
      <c r="AA953" s="4">
        <v>0</v>
      </c>
      <c r="AB953" s="4">
        <f t="shared" si="134"/>
        <v>37083.725490196077</v>
      </c>
      <c r="AC953" s="6">
        <f t="shared" si="135"/>
        <v>741.67450980392459</v>
      </c>
      <c r="AD953" s="6">
        <f t="shared" si="139"/>
        <v>22655.722087825823</v>
      </c>
      <c r="AE953" s="2">
        <v>7.0000000000000007E-2</v>
      </c>
      <c r="AF953" s="5">
        <f t="shared" si="136"/>
        <v>1585.9005461478077</v>
      </c>
      <c r="AG953" s="14">
        <v>0</v>
      </c>
      <c r="AH953" s="19">
        <f t="shared" si="140"/>
        <v>37825.4</v>
      </c>
      <c r="AJ953" s="126" t="e">
        <v>#N/A</v>
      </c>
      <c r="AK953" s="80">
        <f t="shared" si="137"/>
        <v>0</v>
      </c>
      <c r="AM953" s="85"/>
    </row>
    <row r="954" spans="1:39" hidden="1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38"/>
        <v>0.90000000000145519</v>
      </c>
      <c r="X954" s="18">
        <f t="shared" si="141"/>
        <v>29046.1</v>
      </c>
      <c r="Y954" s="13">
        <f t="shared" si="133"/>
        <v>11648.78577899513</v>
      </c>
      <c r="Z954" s="14">
        <v>0</v>
      </c>
      <c r="AA954" s="4">
        <v>0</v>
      </c>
      <c r="AB954" s="4">
        <f t="shared" si="134"/>
        <v>29046.1</v>
      </c>
      <c r="AC954" s="6">
        <f t="shared" si="135"/>
        <v>0</v>
      </c>
      <c r="AD954" s="6">
        <f t="shared" si="139"/>
        <v>17397.314221004868</v>
      </c>
      <c r="AE954" s="2">
        <v>7.0000000000000007E-2</v>
      </c>
      <c r="AF954" s="5">
        <f t="shared" si="136"/>
        <v>1217.8119954703409</v>
      </c>
      <c r="AG954" s="14">
        <v>0</v>
      </c>
      <c r="AH954" s="19">
        <f t="shared" si="140"/>
        <v>29046.1</v>
      </c>
      <c r="AJ954" s="126" t="e">
        <v>#N/A</v>
      </c>
      <c r="AK954" s="80">
        <f t="shared" si="137"/>
        <v>0</v>
      </c>
      <c r="AM954" s="85"/>
    </row>
    <row r="955" spans="1:39" hidden="1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38"/>
        <v>16686.099999999999</v>
      </c>
      <c r="X955" s="18">
        <f t="shared" si="141"/>
        <v>53313.9</v>
      </c>
      <c r="Y955" s="13">
        <f t="shared" si="133"/>
        <v>21381.259451105947</v>
      </c>
      <c r="Z955" s="14">
        <v>0</v>
      </c>
      <c r="AA955" s="4">
        <v>0</v>
      </c>
      <c r="AB955" s="4">
        <f t="shared" si="134"/>
        <v>53313.9</v>
      </c>
      <c r="AC955" s="6">
        <f t="shared" si="135"/>
        <v>0</v>
      </c>
      <c r="AD955" s="6">
        <f t="shared" si="139"/>
        <v>31932.640548894055</v>
      </c>
      <c r="AE955" s="2">
        <v>7.0000000000000007E-2</v>
      </c>
      <c r="AF955" s="5">
        <f t="shared" si="136"/>
        <v>2235.284838422584</v>
      </c>
      <c r="AG955" s="14">
        <v>0</v>
      </c>
      <c r="AH955" s="19">
        <f t="shared" si="140"/>
        <v>53313.9</v>
      </c>
      <c r="AJ955" s="126" t="e">
        <v>#N/A</v>
      </c>
      <c r="AK955" s="80">
        <f t="shared" si="137"/>
        <v>0</v>
      </c>
      <c r="AM955" s="85"/>
    </row>
    <row r="956" spans="1:39" hidden="1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38"/>
        <v>13239.300050000005</v>
      </c>
      <c r="X956" s="18">
        <f t="shared" si="141"/>
        <v>76760.699949999995</v>
      </c>
      <c r="Y956" s="13">
        <f t="shared" si="133"/>
        <v>30784.475367201521</v>
      </c>
      <c r="Z956" s="14">
        <v>0</v>
      </c>
      <c r="AA956" s="4">
        <v>0</v>
      </c>
      <c r="AB956" s="4">
        <f t="shared" si="134"/>
        <v>76760.699949999995</v>
      </c>
      <c r="AC956" s="6">
        <f t="shared" si="135"/>
        <v>0</v>
      </c>
      <c r="AD956" s="6">
        <f t="shared" si="139"/>
        <v>45976.224582798473</v>
      </c>
      <c r="AE956" s="2">
        <v>7.0000000000000007E-2</v>
      </c>
      <c r="AF956" s="5">
        <f t="shared" si="136"/>
        <v>3218.3357207958934</v>
      </c>
      <c r="AG956" s="14">
        <v>0</v>
      </c>
      <c r="AH956" s="19">
        <f t="shared" si="140"/>
        <v>76760.699949999995</v>
      </c>
      <c r="AJ956" s="126" t="e">
        <v>#N/A</v>
      </c>
      <c r="AK956" s="80">
        <f t="shared" si="137"/>
        <v>0</v>
      </c>
      <c r="AM956" s="85"/>
    </row>
    <row r="957" spans="1:39" hidden="1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38"/>
        <v>120974.40000000002</v>
      </c>
      <c r="X957" s="18">
        <f t="shared" si="141"/>
        <v>419025.6</v>
      </c>
      <c r="Y957" s="13">
        <f t="shared" si="133"/>
        <v>168048.01506277613</v>
      </c>
      <c r="Z957" s="14">
        <v>0</v>
      </c>
      <c r="AA957" s="4">
        <v>0</v>
      </c>
      <c r="AB957" s="4">
        <f t="shared" si="134"/>
        <v>419025.6</v>
      </c>
      <c r="AC957" s="6">
        <f t="shared" si="135"/>
        <v>0</v>
      </c>
      <c r="AD957" s="6">
        <f t="shared" si="139"/>
        <v>250977.58493722384</v>
      </c>
      <c r="AE957" s="2">
        <v>7.0000000000000007E-2</v>
      </c>
      <c r="AF957" s="5">
        <f t="shared" si="136"/>
        <v>17568.430945605669</v>
      </c>
      <c r="AG957" s="14">
        <v>0</v>
      </c>
      <c r="AH957" s="19">
        <f t="shared" si="140"/>
        <v>419025.6</v>
      </c>
      <c r="AJ957" s="126" t="e">
        <v>#N/A</v>
      </c>
      <c r="AK957" s="80">
        <f t="shared" si="137"/>
        <v>0</v>
      </c>
      <c r="AM957" s="85"/>
    </row>
    <row r="958" spans="1:39" hidden="1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38"/>
        <v>173630.30000000005</v>
      </c>
      <c r="X958" s="18">
        <f t="shared" si="141"/>
        <v>626369.69999999995</v>
      </c>
      <c r="Y958" s="13">
        <f t="shared" si="133"/>
        <v>251202.27685484267</v>
      </c>
      <c r="Z958" s="14">
        <v>0</v>
      </c>
      <c r="AA958" s="4">
        <v>0</v>
      </c>
      <c r="AB958" s="4">
        <f t="shared" si="134"/>
        <v>626369.69999999995</v>
      </c>
      <c r="AC958" s="6">
        <f t="shared" si="135"/>
        <v>0</v>
      </c>
      <c r="AD958" s="6">
        <f t="shared" si="139"/>
        <v>375167.42314515729</v>
      </c>
      <c r="AE958" s="2">
        <v>7.0000000000000007E-2</v>
      </c>
      <c r="AF958" s="5">
        <f t="shared" si="136"/>
        <v>26261.719620161013</v>
      </c>
      <c r="AG958" s="14">
        <v>0</v>
      </c>
      <c r="AH958" s="19">
        <f t="shared" si="140"/>
        <v>626369.69999999995</v>
      </c>
      <c r="AJ958" s="126" t="e">
        <v>#N/A</v>
      </c>
      <c r="AK958" s="80">
        <f t="shared" si="137"/>
        <v>0</v>
      </c>
      <c r="AM958" s="85"/>
    </row>
    <row r="959" spans="1:39" hidden="1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38"/>
        <v>11995.59</v>
      </c>
      <c r="X959" s="18">
        <f t="shared" si="141"/>
        <v>7005</v>
      </c>
      <c r="Y959" s="13">
        <f t="shared" si="133"/>
        <v>2809.3184414382958</v>
      </c>
      <c r="Z959" s="14">
        <v>0</v>
      </c>
      <c r="AA959" s="4">
        <v>0</v>
      </c>
      <c r="AB959" s="4">
        <f t="shared" si="134"/>
        <v>7005</v>
      </c>
      <c r="AC959" s="6">
        <f t="shared" si="135"/>
        <v>0</v>
      </c>
      <c r="AD959" s="6">
        <f t="shared" si="139"/>
        <v>4195.6815585617042</v>
      </c>
      <c r="AE959" s="2">
        <v>7.0000000000000007E-2</v>
      </c>
      <c r="AF959" s="5">
        <f t="shared" si="136"/>
        <v>293.6977090993193</v>
      </c>
      <c r="AG959" s="14">
        <v>0</v>
      </c>
      <c r="AH959" s="19">
        <f t="shared" si="140"/>
        <v>7005</v>
      </c>
      <c r="AJ959" s="126" t="e">
        <v>#N/A</v>
      </c>
      <c r="AK959" s="80">
        <f t="shared" si="137"/>
        <v>0</v>
      </c>
      <c r="AM959" s="85"/>
    </row>
    <row r="960" spans="1:39" hidden="1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38"/>
        <v>10670.899999999998</v>
      </c>
      <c r="X960" s="18">
        <f t="shared" si="141"/>
        <v>28347.352941176468</v>
      </c>
      <c r="Y960" s="13">
        <f t="shared" si="133"/>
        <v>11028.981022729549</v>
      </c>
      <c r="Z960" s="14">
        <v>0</v>
      </c>
      <c r="AA960" s="4">
        <v>0</v>
      </c>
      <c r="AB960" s="4">
        <f t="shared" si="134"/>
        <v>28347.352941176468</v>
      </c>
      <c r="AC960" s="6">
        <f t="shared" si="135"/>
        <v>566.94705882353082</v>
      </c>
      <c r="AD960" s="6">
        <f t="shared" si="139"/>
        <v>17318.371918446919</v>
      </c>
      <c r="AE960" s="2">
        <v>7.0000000000000007E-2</v>
      </c>
      <c r="AF960" s="5">
        <f t="shared" si="136"/>
        <v>1212.2860342912845</v>
      </c>
      <c r="AG960" s="14">
        <v>0</v>
      </c>
      <c r="AH960" s="19">
        <f t="shared" si="140"/>
        <v>28914.3</v>
      </c>
      <c r="AJ960" s="126" t="e">
        <v>#N/A</v>
      </c>
      <c r="AK960" s="80">
        <f t="shared" si="137"/>
        <v>0</v>
      </c>
      <c r="AM960" s="85"/>
    </row>
    <row r="961" spans="1:39" hidden="1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38"/>
        <v>13666.5</v>
      </c>
      <c r="X961" s="18">
        <f t="shared" si="141"/>
        <v>2263.3000000000002</v>
      </c>
      <c r="Y961" s="13">
        <f t="shared" si="133"/>
        <v>907.68457223515998</v>
      </c>
      <c r="Z961" s="14">
        <v>0</v>
      </c>
      <c r="AA961" s="4">
        <v>0</v>
      </c>
      <c r="AB961" s="4">
        <f t="shared" si="134"/>
        <v>2263.3000000000002</v>
      </c>
      <c r="AC961" s="6">
        <f t="shared" si="135"/>
        <v>0</v>
      </c>
      <c r="AD961" s="6">
        <f t="shared" si="139"/>
        <v>1355.6154277648402</v>
      </c>
      <c r="AE961" s="2">
        <v>7.0000000000000007E-2</v>
      </c>
      <c r="AF961" s="5">
        <f t="shared" si="136"/>
        <v>94.893079943538822</v>
      </c>
      <c r="AG961" s="14">
        <v>0</v>
      </c>
      <c r="AH961" s="19">
        <f t="shared" si="140"/>
        <v>2263.3000000000002</v>
      </c>
      <c r="AJ961" s="126" t="e">
        <v>#N/A</v>
      </c>
      <c r="AK961" s="80">
        <f t="shared" si="137"/>
        <v>0</v>
      </c>
      <c r="AM961" s="85"/>
    </row>
    <row r="962" spans="1:39" hidden="1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38"/>
        <v>18222.599999999999</v>
      </c>
      <c r="X962" s="18">
        <f t="shared" si="141"/>
        <v>10773.9</v>
      </c>
      <c r="Y962" s="13">
        <f t="shared" si="133"/>
        <v>4320.8159823286305</v>
      </c>
      <c r="Z962" s="14">
        <v>0</v>
      </c>
      <c r="AA962" s="4">
        <v>0</v>
      </c>
      <c r="AB962" s="4">
        <f t="shared" si="134"/>
        <v>10773.9</v>
      </c>
      <c r="AC962" s="6">
        <f t="shared" si="135"/>
        <v>0</v>
      </c>
      <c r="AD962" s="6">
        <f t="shared" si="139"/>
        <v>6453.0840176713691</v>
      </c>
      <c r="AE962" s="2">
        <v>7.0000000000000007E-2</v>
      </c>
      <c r="AF962" s="5">
        <f t="shared" si="136"/>
        <v>451.71588123699587</v>
      </c>
      <c r="AG962" s="14">
        <v>0</v>
      </c>
      <c r="AH962" s="19">
        <f t="shared" si="140"/>
        <v>10773.9</v>
      </c>
      <c r="AJ962" s="126" t="e">
        <v>#N/A</v>
      </c>
      <c r="AK962" s="80">
        <f t="shared" si="137"/>
        <v>0</v>
      </c>
      <c r="AM962" s="85"/>
    </row>
    <row r="963" spans="1:39" hidden="1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38"/>
        <v>310981.59999999998</v>
      </c>
      <c r="X963" s="18">
        <f t="shared" si="141"/>
        <v>454127.12871287129</v>
      </c>
      <c r="Y963" s="13">
        <f t="shared" ref="Y963:Y1026" si="14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43">X963+AA963</f>
        <v>454127.12871287129</v>
      </c>
      <c r="AC963" s="6">
        <f t="shared" ref="AC963:AC1026" si="144">IF(P963="返现",X963*Q963,V963-X963)</f>
        <v>4541.2712871287367</v>
      </c>
      <c r="AD963" s="6">
        <f t="shared" si="139"/>
        <v>274721.84830478276</v>
      </c>
      <c r="AE963" s="2">
        <v>7.0000000000000007E-2</v>
      </c>
      <c r="AF963" s="5">
        <f t="shared" ref="AF963:AF1026" si="145">AD963*AE963</f>
        <v>19230.529381334796</v>
      </c>
      <c r="AG963" s="14">
        <v>0</v>
      </c>
      <c r="AH963" s="19">
        <f t="shared" si="140"/>
        <v>458668.4</v>
      </c>
      <c r="AJ963" s="126" t="e">
        <v>#N/A</v>
      </c>
      <c r="AK963" s="80">
        <f t="shared" ref="AK963:AK1026" si="146">X963+AA963-AB963</f>
        <v>0</v>
      </c>
      <c r="AM963" s="85"/>
    </row>
    <row r="964" spans="1:39" hidden="1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38"/>
        <v>29239.110000000015</v>
      </c>
      <c r="X964" s="18">
        <f t="shared" si="141"/>
        <v>46289.215686274511</v>
      </c>
      <c r="Y964" s="13">
        <f t="shared" si="142"/>
        <v>18009.543339737629</v>
      </c>
      <c r="Z964" s="14">
        <v>0</v>
      </c>
      <c r="AA964" s="4">
        <v>0</v>
      </c>
      <c r="AB964" s="4">
        <f t="shared" si="143"/>
        <v>46289.215686274511</v>
      </c>
      <c r="AC964" s="6">
        <f t="shared" si="144"/>
        <v>925.78431372548948</v>
      </c>
      <c r="AD964" s="6">
        <f t="shared" si="139"/>
        <v>28279.672346536881</v>
      </c>
      <c r="AE964" s="2">
        <v>7.0000000000000007E-2</v>
      </c>
      <c r="AF964" s="5">
        <f t="shared" si="145"/>
        <v>1979.5770642575819</v>
      </c>
      <c r="AG964" s="14">
        <v>0</v>
      </c>
      <c r="AH964" s="19">
        <f t="shared" si="140"/>
        <v>47215</v>
      </c>
      <c r="AJ964" s="126" t="e">
        <v>#N/A</v>
      </c>
      <c r="AK964" s="80">
        <f t="shared" si="146"/>
        <v>0</v>
      </c>
      <c r="AM964" s="85"/>
    </row>
    <row r="965" spans="1:39" hidden="1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38"/>
        <v>63010.999999999985</v>
      </c>
      <c r="X965" s="18">
        <f t="shared" si="141"/>
        <v>112983.8</v>
      </c>
      <c r="Y965" s="13">
        <f t="shared" si="142"/>
        <v>45311.55930389381</v>
      </c>
      <c r="Z965" s="14">
        <v>0</v>
      </c>
      <c r="AA965" s="4">
        <v>0</v>
      </c>
      <c r="AB965" s="4">
        <f t="shared" si="143"/>
        <v>112983.8</v>
      </c>
      <c r="AC965" s="6">
        <f t="shared" si="144"/>
        <v>0</v>
      </c>
      <c r="AD965" s="6">
        <f t="shared" si="139"/>
        <v>67672.240696106193</v>
      </c>
      <c r="AE965" s="2">
        <v>7.0000000000000007E-2</v>
      </c>
      <c r="AF965" s="5">
        <f t="shared" si="145"/>
        <v>4737.056848727434</v>
      </c>
      <c r="AG965" s="14">
        <v>0</v>
      </c>
      <c r="AH965" s="19">
        <f t="shared" si="140"/>
        <v>112983.8</v>
      </c>
      <c r="AJ965" s="126" t="e">
        <v>#N/A</v>
      </c>
      <c r="AK965" s="80">
        <f t="shared" si="146"/>
        <v>0</v>
      </c>
      <c r="AM965" s="85"/>
    </row>
    <row r="966" spans="1:39" hidden="1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38"/>
        <v>20000</v>
      </c>
      <c r="X966" s="18">
        <f t="shared" si="141"/>
        <v>0</v>
      </c>
      <c r="Y966" s="13">
        <f t="shared" si="142"/>
        <v>0</v>
      </c>
      <c r="Z966" s="14">
        <v>0</v>
      </c>
      <c r="AA966" s="4">
        <v>0</v>
      </c>
      <c r="AB966" s="4">
        <f t="shared" si="143"/>
        <v>0</v>
      </c>
      <c r="AC966" s="6">
        <f t="shared" si="144"/>
        <v>0</v>
      </c>
      <c r="AD966" s="6">
        <f t="shared" si="139"/>
        <v>0</v>
      </c>
      <c r="AE966" s="2">
        <v>7.0000000000000007E-2</v>
      </c>
      <c r="AF966" s="5">
        <f t="shared" si="145"/>
        <v>0</v>
      </c>
      <c r="AG966" s="14">
        <v>0</v>
      </c>
      <c r="AH966" s="19">
        <f t="shared" si="140"/>
        <v>0</v>
      </c>
      <c r="AJ966" s="126" t="e">
        <v>#N/A</v>
      </c>
      <c r="AK966" s="80">
        <f t="shared" si="146"/>
        <v>0</v>
      </c>
      <c r="AM966" s="85"/>
    </row>
    <row r="967" spans="1:39" hidden="1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38"/>
        <v>13116.199999999997</v>
      </c>
      <c r="X967" s="18">
        <f t="shared" si="141"/>
        <v>96883.8</v>
      </c>
      <c r="Y967" s="13">
        <f t="shared" si="142"/>
        <v>38854.738903157682</v>
      </c>
      <c r="Z967" s="14">
        <v>0</v>
      </c>
      <c r="AA967" s="4">
        <v>0</v>
      </c>
      <c r="AB967" s="4">
        <f t="shared" si="143"/>
        <v>96883.8</v>
      </c>
      <c r="AC967" s="6">
        <f t="shared" si="144"/>
        <v>0</v>
      </c>
      <c r="AD967" s="6">
        <f t="shared" si="139"/>
        <v>58029.061096842321</v>
      </c>
      <c r="AE967" s="2">
        <v>7.0000000000000007E-2</v>
      </c>
      <c r="AF967" s="5">
        <f t="shared" si="145"/>
        <v>4062.034276778963</v>
      </c>
      <c r="AG967" s="14">
        <v>0</v>
      </c>
      <c r="AH967" s="19">
        <f t="shared" si="140"/>
        <v>96883.8</v>
      </c>
      <c r="AJ967" s="126" t="e">
        <v>#N/A</v>
      </c>
      <c r="AK967" s="80">
        <f t="shared" si="146"/>
        <v>0</v>
      </c>
      <c r="AM967" s="85"/>
    </row>
    <row r="968" spans="1:39" hidden="1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38"/>
        <v>18261.400000000001</v>
      </c>
      <c r="X968" s="18">
        <f t="shared" si="141"/>
        <v>21738.6</v>
      </c>
      <c r="Y968" s="13">
        <f t="shared" si="142"/>
        <v>8718.1513020771636</v>
      </c>
      <c r="Z968" s="14">
        <v>0</v>
      </c>
      <c r="AA968" s="4">
        <v>0</v>
      </c>
      <c r="AB968" s="4">
        <f t="shared" si="143"/>
        <v>21738.6</v>
      </c>
      <c r="AC968" s="6">
        <f t="shared" si="144"/>
        <v>0</v>
      </c>
      <c r="AD968" s="6">
        <f t="shared" si="139"/>
        <v>13020.448697922835</v>
      </c>
      <c r="AE968" s="2">
        <v>7.0000000000000007E-2</v>
      </c>
      <c r="AF968" s="5">
        <f t="shared" si="145"/>
        <v>911.43140885459854</v>
      </c>
      <c r="AG968" s="14">
        <v>0</v>
      </c>
      <c r="AH968" s="19">
        <f t="shared" si="140"/>
        <v>21738.6</v>
      </c>
      <c r="AJ968" s="126" t="e">
        <v>#N/A</v>
      </c>
      <c r="AK968" s="80">
        <f t="shared" si="146"/>
        <v>0</v>
      </c>
      <c r="AM968" s="85"/>
    </row>
    <row r="969" spans="1:39" hidden="1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38"/>
        <v>0</v>
      </c>
      <c r="X969" s="18">
        <f t="shared" si="141"/>
        <v>0</v>
      </c>
      <c r="Y969" s="13">
        <f t="shared" si="142"/>
        <v>0</v>
      </c>
      <c r="Z969" s="14">
        <v>0</v>
      </c>
      <c r="AA969" s="4">
        <v>0</v>
      </c>
      <c r="AB969" s="4">
        <f t="shared" si="143"/>
        <v>0</v>
      </c>
      <c r="AC969" s="6">
        <f t="shared" si="144"/>
        <v>0</v>
      </c>
      <c r="AD969" s="6">
        <f t="shared" si="139"/>
        <v>0</v>
      </c>
      <c r="AE969" s="2">
        <v>7.0000000000000007E-2</v>
      </c>
      <c r="AF969" s="5">
        <f t="shared" si="145"/>
        <v>0</v>
      </c>
      <c r="AG969" s="14">
        <v>0</v>
      </c>
      <c r="AH969" s="19">
        <f t="shared" si="140"/>
        <v>0</v>
      </c>
      <c r="AJ969" s="126" t="e">
        <v>#N/A</v>
      </c>
      <c r="AK969" s="80">
        <f t="shared" si="146"/>
        <v>0</v>
      </c>
      <c r="AM969" s="85"/>
    </row>
    <row r="970" spans="1:39" hidden="1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38"/>
        <v>0</v>
      </c>
      <c r="X970" s="18">
        <f t="shared" si="141"/>
        <v>0</v>
      </c>
      <c r="Y970" s="13">
        <f t="shared" si="142"/>
        <v>0</v>
      </c>
      <c r="Z970" s="14">
        <v>0</v>
      </c>
      <c r="AA970" s="4">
        <v>0</v>
      </c>
      <c r="AB970" s="4">
        <f t="shared" si="143"/>
        <v>0</v>
      </c>
      <c r="AC970" s="6">
        <f t="shared" si="144"/>
        <v>0</v>
      </c>
      <c r="AD970" s="6">
        <f t="shared" si="139"/>
        <v>0</v>
      </c>
      <c r="AE970" s="2">
        <v>7.0000000000000007E-2</v>
      </c>
      <c r="AF970" s="5">
        <f t="shared" si="145"/>
        <v>0</v>
      </c>
      <c r="AG970" s="14">
        <v>0</v>
      </c>
      <c r="AH970" s="19">
        <f t="shared" si="140"/>
        <v>0</v>
      </c>
      <c r="AJ970" s="126" t="e">
        <v>#N/A</v>
      </c>
      <c r="AK970" s="80">
        <f t="shared" si="146"/>
        <v>0</v>
      </c>
      <c r="AM970" s="85"/>
    </row>
    <row r="971" spans="1:39" hidden="1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38"/>
        <v>7704.0299999999988</v>
      </c>
      <c r="X971" s="18">
        <f t="shared" si="141"/>
        <v>22295.97</v>
      </c>
      <c r="Y971" s="13">
        <f t="shared" si="142"/>
        <v>8941.6816118137049</v>
      </c>
      <c r="Z971" s="14">
        <v>0</v>
      </c>
      <c r="AA971" s="4">
        <v>0</v>
      </c>
      <c r="AB971" s="4">
        <f t="shared" si="143"/>
        <v>22295.97</v>
      </c>
      <c r="AC971" s="6">
        <f t="shared" si="144"/>
        <v>0</v>
      </c>
      <c r="AD971" s="6">
        <f t="shared" si="139"/>
        <v>13354.288388186296</v>
      </c>
      <c r="AE971" s="2">
        <v>7.0000000000000007E-2</v>
      </c>
      <c r="AF971" s="5">
        <f t="shared" si="145"/>
        <v>934.80018717304085</v>
      </c>
      <c r="AG971" s="14">
        <v>0</v>
      </c>
      <c r="AH971" s="19">
        <f t="shared" si="140"/>
        <v>22295.97</v>
      </c>
      <c r="AJ971" s="126" t="e">
        <v>#N/A</v>
      </c>
      <c r="AK971" s="80">
        <f t="shared" si="146"/>
        <v>0</v>
      </c>
      <c r="AM971" s="85"/>
    </row>
    <row r="972" spans="1:39" hidden="1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38"/>
        <v>0</v>
      </c>
      <c r="X972" s="18">
        <f t="shared" si="141"/>
        <v>1505.4215686274481</v>
      </c>
      <c r="Y972" s="13">
        <f t="shared" si="142"/>
        <v>585.70780651206746</v>
      </c>
      <c r="Z972" s="14">
        <v>0</v>
      </c>
      <c r="AA972" s="4">
        <v>0</v>
      </c>
      <c r="AB972" s="4">
        <f t="shared" si="143"/>
        <v>1505.4215686274481</v>
      </c>
      <c r="AC972" s="6">
        <f t="shared" si="144"/>
        <v>30.108431372548921</v>
      </c>
      <c r="AD972" s="6">
        <f t="shared" si="139"/>
        <v>919.71376211538063</v>
      </c>
      <c r="AE972" s="2">
        <v>7.0000000000000007E-2</v>
      </c>
      <c r="AF972" s="5">
        <f t="shared" si="145"/>
        <v>64.379963348076657</v>
      </c>
      <c r="AG972" s="14">
        <v>0</v>
      </c>
      <c r="AH972" s="19">
        <f t="shared" si="140"/>
        <v>1535.529999999997</v>
      </c>
      <c r="AJ972" s="126" t="e">
        <v>#N/A</v>
      </c>
      <c r="AK972" s="80">
        <f t="shared" si="146"/>
        <v>0</v>
      </c>
      <c r="AM972" s="85"/>
    </row>
    <row r="973" spans="1:39" hidden="1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38"/>
        <v>9628.6</v>
      </c>
      <c r="X973" s="18">
        <f t="shared" si="141"/>
        <v>10168.039215686274</v>
      </c>
      <c r="Y973" s="13">
        <f t="shared" si="142"/>
        <v>3956.0346879965018</v>
      </c>
      <c r="Z973" s="14">
        <v>0</v>
      </c>
      <c r="AA973" s="4">
        <v>0</v>
      </c>
      <c r="AB973" s="4">
        <f t="shared" si="143"/>
        <v>10168.039215686274</v>
      </c>
      <c r="AC973" s="6">
        <f t="shared" si="144"/>
        <v>203.36078431372516</v>
      </c>
      <c r="AD973" s="6">
        <f t="shared" si="139"/>
        <v>6212.0045276897727</v>
      </c>
      <c r="AE973" s="2">
        <v>7.0000000000000007E-2</v>
      </c>
      <c r="AF973" s="5">
        <f t="shared" si="145"/>
        <v>434.8403169382841</v>
      </c>
      <c r="AG973" s="14">
        <v>0</v>
      </c>
      <c r="AH973" s="19">
        <f t="shared" si="140"/>
        <v>10371.4</v>
      </c>
      <c r="AJ973" s="126" t="e">
        <v>#N/A</v>
      </c>
      <c r="AK973" s="80">
        <f t="shared" si="146"/>
        <v>0</v>
      </c>
      <c r="AM973" s="85"/>
    </row>
    <row r="974" spans="1:39" hidden="1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38"/>
        <v>4427</v>
      </c>
      <c r="X974" s="18">
        <f t="shared" si="141"/>
        <v>15573</v>
      </c>
      <c r="Y974" s="13">
        <f t="shared" si="142"/>
        <v>6245.4698199169998</v>
      </c>
      <c r="Z974" s="14">
        <v>0</v>
      </c>
      <c r="AA974" s="4">
        <v>0</v>
      </c>
      <c r="AB974" s="4">
        <f t="shared" si="143"/>
        <v>15573</v>
      </c>
      <c r="AC974" s="6">
        <f t="shared" si="144"/>
        <v>0</v>
      </c>
      <c r="AD974" s="6">
        <f t="shared" si="139"/>
        <v>9327.5301800830002</v>
      </c>
      <c r="AE974" s="2">
        <v>7.0000000000000007E-2</v>
      </c>
      <c r="AF974" s="5">
        <f t="shared" si="145"/>
        <v>652.92711260581007</v>
      </c>
      <c r="AG974" s="14">
        <v>0</v>
      </c>
      <c r="AH974" s="19">
        <f t="shared" si="140"/>
        <v>15573</v>
      </c>
      <c r="AJ974" s="126" t="e">
        <v>#N/A</v>
      </c>
      <c r="AK974" s="80">
        <f t="shared" si="146"/>
        <v>0</v>
      </c>
      <c r="AM974" s="85"/>
    </row>
    <row r="975" spans="1:39" hidden="1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38"/>
        <v>182555.29000000004</v>
      </c>
      <c r="X975" s="18">
        <f t="shared" si="141"/>
        <v>712470.3</v>
      </c>
      <c r="Y975" s="13">
        <f t="shared" si="142"/>
        <v>285732.47005953966</v>
      </c>
      <c r="Z975" s="14">
        <v>0</v>
      </c>
      <c r="AA975" s="4">
        <v>0</v>
      </c>
      <c r="AB975" s="4">
        <f t="shared" si="143"/>
        <v>712470.3</v>
      </c>
      <c r="AC975" s="6">
        <f t="shared" si="144"/>
        <v>0</v>
      </c>
      <c r="AD975" s="6">
        <f t="shared" si="139"/>
        <v>426737.82994046039</v>
      </c>
      <c r="AE975" s="2">
        <v>7.0000000000000007E-2</v>
      </c>
      <c r="AF975" s="5">
        <f t="shared" si="145"/>
        <v>29871.648095832232</v>
      </c>
      <c r="AG975" s="14">
        <v>0</v>
      </c>
      <c r="AH975" s="19">
        <f t="shared" si="140"/>
        <v>712470.3</v>
      </c>
      <c r="AJ975" s="126" t="e">
        <v>#N/A</v>
      </c>
      <c r="AK975" s="80">
        <f t="shared" si="146"/>
        <v>0</v>
      </c>
      <c r="AM975" s="85"/>
    </row>
    <row r="976" spans="1:39" hidden="1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38"/>
        <v>650.10000000000036</v>
      </c>
      <c r="X976" s="18">
        <f t="shared" si="141"/>
        <v>9349.9</v>
      </c>
      <c r="Y976" s="13">
        <f t="shared" si="142"/>
        <v>3749.7282648970622</v>
      </c>
      <c r="Z976" s="14">
        <v>0</v>
      </c>
      <c r="AA976" s="4">
        <v>0</v>
      </c>
      <c r="AB976" s="4">
        <f t="shared" si="143"/>
        <v>9349.9</v>
      </c>
      <c r="AC976" s="6">
        <f t="shared" si="144"/>
        <v>0</v>
      </c>
      <c r="AD976" s="6">
        <f t="shared" si="139"/>
        <v>5600.1717351029374</v>
      </c>
      <c r="AE976" s="2">
        <v>7.0000000000000007E-2</v>
      </c>
      <c r="AF976" s="5">
        <f t="shared" si="145"/>
        <v>392.01202145720566</v>
      </c>
      <c r="AG976" s="14">
        <v>0</v>
      </c>
      <c r="AH976" s="19">
        <f t="shared" si="140"/>
        <v>9349.9</v>
      </c>
      <c r="AJ976" s="126" t="e">
        <v>#N/A</v>
      </c>
      <c r="AK976" s="80">
        <f t="shared" si="146"/>
        <v>0</v>
      </c>
      <c r="AM976" s="85"/>
    </row>
    <row r="977" spans="1:39" hidden="1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38"/>
        <v>2937.239999999998</v>
      </c>
      <c r="X977" s="18">
        <f t="shared" si="141"/>
        <v>5806.4900000000016</v>
      </c>
      <c r="Y977" s="13">
        <f t="shared" si="142"/>
        <v>2328.6623036441192</v>
      </c>
      <c r="Z977" s="14">
        <v>0</v>
      </c>
      <c r="AA977" s="4">
        <v>0</v>
      </c>
      <c r="AB977" s="4">
        <f t="shared" si="143"/>
        <v>5806.4900000000016</v>
      </c>
      <c r="AC977" s="6">
        <f t="shared" si="144"/>
        <v>0</v>
      </c>
      <c r="AD977" s="6">
        <f t="shared" si="139"/>
        <v>3477.8276963558824</v>
      </c>
      <c r="AE977" s="2">
        <v>7.0000000000000007E-2</v>
      </c>
      <c r="AF977" s="5">
        <f t="shared" si="145"/>
        <v>243.4479387449118</v>
      </c>
      <c r="AG977" s="14">
        <v>0</v>
      </c>
      <c r="AH977" s="19">
        <f t="shared" si="140"/>
        <v>5806.4900000000016</v>
      </c>
      <c r="AJ977" s="126" t="e">
        <v>#N/A</v>
      </c>
      <c r="AK977" s="80">
        <f t="shared" si="146"/>
        <v>0</v>
      </c>
      <c r="AM977" s="85"/>
    </row>
    <row r="978" spans="1:39" hidden="1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38"/>
        <v>19155.050000000047</v>
      </c>
      <c r="X978" s="18">
        <f t="shared" si="141"/>
        <v>220521.08999999997</v>
      </c>
      <c r="Y978" s="13">
        <f t="shared" si="142"/>
        <v>88438.824391588016</v>
      </c>
      <c r="Z978" s="14">
        <v>0</v>
      </c>
      <c r="AA978" s="4">
        <v>0</v>
      </c>
      <c r="AB978" s="4">
        <f t="shared" si="143"/>
        <v>220521.08999999997</v>
      </c>
      <c r="AC978" s="6">
        <f t="shared" si="144"/>
        <v>0</v>
      </c>
      <c r="AD978" s="6">
        <f t="shared" si="139"/>
        <v>132082.26560841195</v>
      </c>
      <c r="AE978" s="2">
        <v>7.0000000000000007E-2</v>
      </c>
      <c r="AF978" s="5">
        <f t="shared" si="145"/>
        <v>9245.7585925888379</v>
      </c>
      <c r="AG978" s="14">
        <v>0</v>
      </c>
      <c r="AH978" s="19">
        <f t="shared" si="140"/>
        <v>220521.08999999997</v>
      </c>
      <c r="AJ978" s="126" t="e">
        <v>#N/A</v>
      </c>
      <c r="AK978" s="80">
        <f t="shared" si="146"/>
        <v>0</v>
      </c>
      <c r="AM978" s="85"/>
    </row>
    <row r="979" spans="1:39" hidden="1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38"/>
        <v>0</v>
      </c>
      <c r="X979" s="18">
        <f t="shared" si="141"/>
        <v>1691.872549019608</v>
      </c>
      <c r="Y979" s="13">
        <f t="shared" si="142"/>
        <v>658.24947658198926</v>
      </c>
      <c r="Z979" s="14">
        <v>0</v>
      </c>
      <c r="AA979" s="4">
        <v>0</v>
      </c>
      <c r="AB979" s="4">
        <f t="shared" si="143"/>
        <v>1691.872549019608</v>
      </c>
      <c r="AC979" s="6">
        <f t="shared" si="144"/>
        <v>33.837450980392077</v>
      </c>
      <c r="AD979" s="6">
        <f t="shared" si="139"/>
        <v>1033.6230724376187</v>
      </c>
      <c r="AE979" s="2">
        <v>7.0000000000000007E-2</v>
      </c>
      <c r="AF979" s="5">
        <f t="shared" si="145"/>
        <v>72.35361507063331</v>
      </c>
      <c r="AG979" s="14">
        <v>0</v>
      </c>
      <c r="AH979" s="19">
        <f t="shared" si="140"/>
        <v>1725.71</v>
      </c>
      <c r="AJ979" s="126" t="e">
        <v>#N/A</v>
      </c>
      <c r="AK979" s="80">
        <f t="shared" si="146"/>
        <v>0</v>
      </c>
      <c r="AM979" s="85"/>
    </row>
    <row r="980" spans="1:39" hidden="1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38"/>
        <v>17180.400000000009</v>
      </c>
      <c r="X980" s="18">
        <f t="shared" si="141"/>
        <v>65762.899999999994</v>
      </c>
      <c r="Y980" s="13">
        <f t="shared" si="142"/>
        <v>26373.865486432907</v>
      </c>
      <c r="Z980" s="14">
        <v>0</v>
      </c>
      <c r="AA980" s="4">
        <v>0</v>
      </c>
      <c r="AB980" s="4">
        <f t="shared" si="143"/>
        <v>65762.899999999994</v>
      </c>
      <c r="AC980" s="6">
        <f t="shared" si="144"/>
        <v>0</v>
      </c>
      <c r="AD980" s="6">
        <f t="shared" si="139"/>
        <v>39389.034513567087</v>
      </c>
      <c r="AE980" s="2">
        <v>7.0000000000000007E-2</v>
      </c>
      <c r="AF980" s="5">
        <f t="shared" si="145"/>
        <v>2757.2324159496961</v>
      </c>
      <c r="AG980" s="14">
        <v>0</v>
      </c>
      <c r="AH980" s="19">
        <f t="shared" si="140"/>
        <v>65762.899999999994</v>
      </c>
      <c r="AJ980" s="126" t="e">
        <v>#N/A</v>
      </c>
      <c r="AK980" s="80">
        <f t="shared" si="146"/>
        <v>0</v>
      </c>
      <c r="AM980" s="85"/>
    </row>
    <row r="981" spans="1:39" hidden="1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47">T981+U981-V981</f>
        <v>4275.8999999999978</v>
      </c>
      <c r="X981" s="18">
        <f t="shared" si="141"/>
        <v>31362.799999999999</v>
      </c>
      <c r="Y981" s="13">
        <f t="shared" si="142"/>
        <v>12577.886140633975</v>
      </c>
      <c r="Z981" s="14">
        <v>0</v>
      </c>
      <c r="AA981" s="4">
        <v>0</v>
      </c>
      <c r="AB981" s="4">
        <f t="shared" si="143"/>
        <v>31362.799999999999</v>
      </c>
      <c r="AC981" s="6">
        <f t="shared" si="144"/>
        <v>0</v>
      </c>
      <c r="AD981" s="6">
        <f t="shared" ref="AD981:AD1044" si="148">V981*0.598955254612663</f>
        <v>18784.913859366025</v>
      </c>
      <c r="AE981" s="2">
        <v>7.0000000000000007E-2</v>
      </c>
      <c r="AF981" s="5">
        <f t="shared" si="145"/>
        <v>1314.9439701556219</v>
      </c>
      <c r="AG981" s="14">
        <v>0</v>
      </c>
      <c r="AH981" s="19">
        <f t="shared" ref="AH981:AH1044" si="149">V981</f>
        <v>31362.799999999999</v>
      </c>
      <c r="AJ981" s="126" t="e">
        <v>#N/A</v>
      </c>
      <c r="AK981" s="80">
        <f t="shared" si="146"/>
        <v>0</v>
      </c>
      <c r="AM981" s="85"/>
    </row>
    <row r="982" spans="1:39" hidden="1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47"/>
        <v>15625.599999999999</v>
      </c>
      <c r="X982" s="18">
        <f t="shared" si="141"/>
        <v>59374.400000000001</v>
      </c>
      <c r="Y982" s="13">
        <f t="shared" si="142"/>
        <v>23811.791130525904</v>
      </c>
      <c r="Z982" s="14">
        <v>0</v>
      </c>
      <c r="AA982" s="4">
        <v>0</v>
      </c>
      <c r="AB982" s="4">
        <f t="shared" si="143"/>
        <v>59374.400000000001</v>
      </c>
      <c r="AC982" s="6">
        <f t="shared" si="144"/>
        <v>0</v>
      </c>
      <c r="AD982" s="6">
        <f t="shared" si="148"/>
        <v>35562.608869474097</v>
      </c>
      <c r="AE982" s="2">
        <v>7.0000000000000007E-2</v>
      </c>
      <c r="AF982" s="5">
        <f t="shared" si="145"/>
        <v>2489.3826208631872</v>
      </c>
      <c r="AG982" s="14">
        <v>0</v>
      </c>
      <c r="AH982" s="19">
        <f t="shared" si="149"/>
        <v>59374.400000000001</v>
      </c>
      <c r="AJ982" s="126" t="e">
        <v>#N/A</v>
      </c>
      <c r="AK982" s="80">
        <f t="shared" si="146"/>
        <v>0</v>
      </c>
      <c r="AM982" s="85"/>
    </row>
    <row r="983" spans="1:39" hidden="1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47"/>
        <v>2248.5</v>
      </c>
      <c r="X983" s="18">
        <f t="shared" si="141"/>
        <v>37751.5</v>
      </c>
      <c r="Y983" s="13">
        <f t="shared" si="142"/>
        <v>15140.040705490053</v>
      </c>
      <c r="Z983" s="14">
        <v>0</v>
      </c>
      <c r="AA983" s="4">
        <v>0</v>
      </c>
      <c r="AB983" s="4">
        <f t="shared" si="143"/>
        <v>37751.5</v>
      </c>
      <c r="AC983" s="6">
        <f t="shared" si="144"/>
        <v>0</v>
      </c>
      <c r="AD983" s="6">
        <f t="shared" si="148"/>
        <v>22611.459294509947</v>
      </c>
      <c r="AE983" s="2">
        <v>7.0000000000000007E-2</v>
      </c>
      <c r="AF983" s="5">
        <f t="shared" si="145"/>
        <v>1582.8021506156965</v>
      </c>
      <c r="AG983" s="14">
        <v>0</v>
      </c>
      <c r="AH983" s="19">
        <f t="shared" si="149"/>
        <v>37751.5</v>
      </c>
      <c r="AJ983" s="126" t="e">
        <v>#N/A</v>
      </c>
      <c r="AK983" s="80">
        <f t="shared" si="146"/>
        <v>0</v>
      </c>
      <c r="AM983" s="85"/>
    </row>
    <row r="984" spans="1:39" hidden="1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47"/>
        <v>2145.7999999999993</v>
      </c>
      <c r="X984" s="18">
        <f t="shared" si="141"/>
        <v>6712.5</v>
      </c>
      <c r="Y984" s="13">
        <f t="shared" si="142"/>
        <v>2692.0128534124997</v>
      </c>
      <c r="Z984" s="14">
        <v>0</v>
      </c>
      <c r="AA984" s="4">
        <v>0</v>
      </c>
      <c r="AB984" s="4">
        <f t="shared" si="143"/>
        <v>6712.5</v>
      </c>
      <c r="AC984" s="6">
        <f t="shared" si="144"/>
        <v>0</v>
      </c>
      <c r="AD984" s="6">
        <f t="shared" si="148"/>
        <v>4020.4871465875003</v>
      </c>
      <c r="AE984" s="2">
        <v>7.0000000000000007E-2</v>
      </c>
      <c r="AF984" s="5">
        <f t="shared" si="145"/>
        <v>281.43410026112502</v>
      </c>
      <c r="AG984" s="14">
        <v>0</v>
      </c>
      <c r="AH984" s="19">
        <f t="shared" si="149"/>
        <v>6712.5</v>
      </c>
      <c r="AJ984" s="126" t="e">
        <v>#N/A</v>
      </c>
      <c r="AK984" s="80">
        <f t="shared" si="146"/>
        <v>0</v>
      </c>
      <c r="AM984" s="85"/>
    </row>
    <row r="985" spans="1:39" hidden="1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47"/>
        <v>3794.9099999999926</v>
      </c>
      <c r="X985" s="18">
        <f t="shared" si="141"/>
        <v>3864.4000000000069</v>
      </c>
      <c r="Y985" s="13">
        <f t="shared" si="142"/>
        <v>1549.7973140748281</v>
      </c>
      <c r="Z985" s="14">
        <v>0</v>
      </c>
      <c r="AA985" s="4">
        <v>0</v>
      </c>
      <c r="AB985" s="4">
        <f t="shared" si="143"/>
        <v>3864.4000000000069</v>
      </c>
      <c r="AC985" s="6">
        <f t="shared" si="144"/>
        <v>0</v>
      </c>
      <c r="AD985" s="6">
        <f t="shared" si="148"/>
        <v>2314.6026859251788</v>
      </c>
      <c r="AE985" s="2">
        <v>7.0000000000000007E-2</v>
      </c>
      <c r="AF985" s="5">
        <f t="shared" si="145"/>
        <v>162.02218801476252</v>
      </c>
      <c r="AG985" s="14">
        <v>0</v>
      </c>
      <c r="AH985" s="19">
        <f t="shared" si="149"/>
        <v>3864.4000000000069</v>
      </c>
      <c r="AJ985" s="126" t="e">
        <v>#N/A</v>
      </c>
      <c r="AK985" s="80">
        <f t="shared" si="146"/>
        <v>0</v>
      </c>
      <c r="AM985" s="85"/>
    </row>
    <row r="986" spans="1:39" hidden="1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47"/>
        <v>17494.7</v>
      </c>
      <c r="X986" s="18">
        <f t="shared" si="141"/>
        <v>27505.3</v>
      </c>
      <c r="Y986" s="13">
        <f t="shared" si="142"/>
        <v>11030.85603530232</v>
      </c>
      <c r="Z986" s="14">
        <v>0</v>
      </c>
      <c r="AA986" s="4">
        <v>0</v>
      </c>
      <c r="AB986" s="4">
        <f t="shared" si="143"/>
        <v>27505.3</v>
      </c>
      <c r="AC986" s="6">
        <f t="shared" si="144"/>
        <v>0</v>
      </c>
      <c r="AD986" s="6">
        <f t="shared" si="148"/>
        <v>16474.443964697679</v>
      </c>
      <c r="AE986" s="2">
        <v>7.0000000000000007E-2</v>
      </c>
      <c r="AF986" s="5">
        <f t="shared" si="145"/>
        <v>1153.2110775288377</v>
      </c>
      <c r="AG986" s="14">
        <v>0</v>
      </c>
      <c r="AH986" s="19">
        <f t="shared" si="149"/>
        <v>27505.3</v>
      </c>
      <c r="AJ986" s="126" t="e">
        <v>#N/A</v>
      </c>
      <c r="AK986" s="80">
        <f t="shared" si="146"/>
        <v>0</v>
      </c>
      <c r="AM986" s="85"/>
    </row>
    <row r="987" spans="1:39" hidden="1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47"/>
        <v>6210.2999999999993</v>
      </c>
      <c r="X987" s="18">
        <f t="shared" si="141"/>
        <v>13789.7</v>
      </c>
      <c r="Y987" s="13">
        <f t="shared" si="142"/>
        <v>5530.2867254677622</v>
      </c>
      <c r="Z987" s="14">
        <v>0</v>
      </c>
      <c r="AA987" s="4">
        <v>0</v>
      </c>
      <c r="AB987" s="4">
        <f t="shared" si="143"/>
        <v>13789.7</v>
      </c>
      <c r="AC987" s="6">
        <f t="shared" si="144"/>
        <v>0</v>
      </c>
      <c r="AD987" s="6">
        <f t="shared" si="148"/>
        <v>8259.4132745322386</v>
      </c>
      <c r="AE987" s="2">
        <v>7.0000000000000007E-2</v>
      </c>
      <c r="AF987" s="5">
        <f t="shared" si="145"/>
        <v>578.15892921725674</v>
      </c>
      <c r="AG987" s="14">
        <v>0</v>
      </c>
      <c r="AH987" s="19">
        <f t="shared" si="149"/>
        <v>13789.7</v>
      </c>
      <c r="AJ987" s="126" t="e">
        <v>#N/A</v>
      </c>
      <c r="AK987" s="80">
        <f t="shared" si="146"/>
        <v>0</v>
      </c>
      <c r="AM987" s="85"/>
    </row>
    <row r="988" spans="1:39" hidden="1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47"/>
        <v>36415.899999999994</v>
      </c>
      <c r="X988" s="18">
        <f t="shared" si="141"/>
        <v>163584.1</v>
      </c>
      <c r="Y988" s="13">
        <f t="shared" si="142"/>
        <v>65604.543733916682</v>
      </c>
      <c r="Z988" s="14">
        <v>0</v>
      </c>
      <c r="AA988" s="4">
        <v>0</v>
      </c>
      <c r="AB988" s="4">
        <f t="shared" si="143"/>
        <v>163584.1</v>
      </c>
      <c r="AC988" s="6">
        <f t="shared" si="144"/>
        <v>0</v>
      </c>
      <c r="AD988" s="6">
        <f t="shared" si="148"/>
        <v>97979.556266083324</v>
      </c>
      <c r="AE988" s="2">
        <v>7.0000000000000007E-2</v>
      </c>
      <c r="AF988" s="5">
        <f t="shared" si="145"/>
        <v>6858.5689386258337</v>
      </c>
      <c r="AG988" s="14">
        <v>0</v>
      </c>
      <c r="AH988" s="19">
        <f t="shared" si="149"/>
        <v>163584.1</v>
      </c>
      <c r="AJ988" s="126" t="e">
        <v>#N/A</v>
      </c>
      <c r="AK988" s="80">
        <f t="shared" si="146"/>
        <v>0</v>
      </c>
      <c r="AM988" s="85"/>
    </row>
    <row r="989" spans="1:39" hidden="1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47"/>
        <v>0</v>
      </c>
      <c r="X989" s="18">
        <f t="shared" si="141"/>
        <v>9.8039215670581263E-3</v>
      </c>
      <c r="Y989" s="13">
        <f t="shared" si="142"/>
        <v>3.8143690218902506E-3</v>
      </c>
      <c r="Z989" s="14">
        <v>0</v>
      </c>
      <c r="AA989" s="4">
        <v>0</v>
      </c>
      <c r="AB989" s="4">
        <f t="shared" si="143"/>
        <v>9.8039215670581263E-3</v>
      </c>
      <c r="AC989" s="6">
        <f t="shared" si="144"/>
        <v>1.9607843134116301E-4</v>
      </c>
      <c r="AD989" s="6">
        <f t="shared" si="148"/>
        <v>5.9895525451678757E-3</v>
      </c>
      <c r="AE989" s="2">
        <v>7.0000000000000007E-2</v>
      </c>
      <c r="AF989" s="5">
        <f t="shared" si="145"/>
        <v>4.1926867816175135E-4</v>
      </c>
      <c r="AG989" s="14">
        <v>0</v>
      </c>
      <c r="AH989" s="19">
        <f t="shared" si="149"/>
        <v>9.9999999983992893E-3</v>
      </c>
      <c r="AJ989" s="126" t="e">
        <v>#N/A</v>
      </c>
      <c r="AK989" s="80">
        <f t="shared" si="146"/>
        <v>0</v>
      </c>
      <c r="AM989" s="85"/>
    </row>
    <row r="990" spans="1:39" hidden="1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47"/>
        <v>0</v>
      </c>
      <c r="X990" s="18">
        <f t="shared" si="141"/>
        <v>13.627450980457782</v>
      </c>
      <c r="Y990" s="13">
        <f t="shared" si="142"/>
        <v>5.3019729413016741</v>
      </c>
      <c r="Z990" s="14">
        <v>0</v>
      </c>
      <c r="AA990" s="4">
        <v>0</v>
      </c>
      <c r="AB990" s="4">
        <f t="shared" si="143"/>
        <v>13.627450980457782</v>
      </c>
      <c r="AC990" s="6">
        <f t="shared" si="144"/>
        <v>0.27254901960915667</v>
      </c>
      <c r="AD990" s="6">
        <f t="shared" si="148"/>
        <v>8.3254780391561081</v>
      </c>
      <c r="AE990" s="2">
        <v>7.0000000000000007E-2</v>
      </c>
      <c r="AF990" s="5">
        <f t="shared" si="145"/>
        <v>0.58278346274092763</v>
      </c>
      <c r="AG990" s="14">
        <v>0</v>
      </c>
      <c r="AH990" s="19">
        <f t="shared" si="149"/>
        <v>13.900000000066939</v>
      </c>
      <c r="AJ990" s="126" t="e">
        <v>#N/A</v>
      </c>
      <c r="AK990" s="80">
        <f t="shared" si="146"/>
        <v>0</v>
      </c>
      <c r="AM990" s="85"/>
    </row>
    <row r="991" spans="1:39" hidden="1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41"/>
        <v>0</v>
      </c>
      <c r="Y991" s="13">
        <f t="shared" si="142"/>
        <v>0</v>
      </c>
      <c r="Z991" s="14">
        <v>0</v>
      </c>
      <c r="AA991" s="4">
        <v>0</v>
      </c>
      <c r="AB991" s="4">
        <f t="shared" si="143"/>
        <v>0</v>
      </c>
      <c r="AC991" s="6">
        <f t="shared" si="144"/>
        <v>0</v>
      </c>
      <c r="AD991" s="6">
        <f t="shared" si="148"/>
        <v>0</v>
      </c>
      <c r="AE991" s="2">
        <v>7.0000000000000007E-2</v>
      </c>
      <c r="AF991" s="5">
        <f t="shared" si="145"/>
        <v>0</v>
      </c>
      <c r="AG991" s="14">
        <v>0</v>
      </c>
      <c r="AH991" s="19">
        <f t="shared" si="149"/>
        <v>0</v>
      </c>
      <c r="AJ991" s="126" t="e">
        <v>#N/A</v>
      </c>
      <c r="AK991" s="80">
        <f t="shared" si="146"/>
        <v>0</v>
      </c>
      <c r="AM991" s="85"/>
    </row>
    <row r="992" spans="1:39" hidden="1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41"/>
        <v>0</v>
      </c>
      <c r="Y992" s="13">
        <f t="shared" si="142"/>
        <v>0</v>
      </c>
      <c r="Z992" s="14">
        <v>0</v>
      </c>
      <c r="AA992" s="4">
        <v>0</v>
      </c>
      <c r="AB992" s="4">
        <f t="shared" si="143"/>
        <v>0</v>
      </c>
      <c r="AC992" s="6">
        <f t="shared" si="144"/>
        <v>0</v>
      </c>
      <c r="AD992" s="6">
        <f t="shared" si="148"/>
        <v>0</v>
      </c>
      <c r="AE992" s="2">
        <v>7.0000000000000007E-2</v>
      </c>
      <c r="AF992" s="5">
        <f t="shared" si="145"/>
        <v>0</v>
      </c>
      <c r="AG992" s="14">
        <v>0</v>
      </c>
      <c r="AH992" s="19">
        <f t="shared" si="149"/>
        <v>0</v>
      </c>
      <c r="AJ992" s="126" t="e">
        <v>#N/A</v>
      </c>
      <c r="AK992" s="80">
        <f t="shared" si="146"/>
        <v>0</v>
      </c>
      <c r="AM992" s="85"/>
    </row>
    <row r="993" spans="1:39" hidden="1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41"/>
        <v>0</v>
      </c>
      <c r="Y993" s="13">
        <f t="shared" si="142"/>
        <v>0</v>
      </c>
      <c r="Z993" s="14">
        <v>0</v>
      </c>
      <c r="AA993" s="4">
        <v>0</v>
      </c>
      <c r="AB993" s="4">
        <f t="shared" si="143"/>
        <v>0</v>
      </c>
      <c r="AC993" s="6">
        <f t="shared" si="144"/>
        <v>0</v>
      </c>
      <c r="AD993" s="6">
        <f t="shared" si="148"/>
        <v>0</v>
      </c>
      <c r="AE993" s="2">
        <v>7.0000000000000007E-2</v>
      </c>
      <c r="AF993" s="5">
        <f t="shared" si="145"/>
        <v>0</v>
      </c>
      <c r="AG993" s="14">
        <v>0</v>
      </c>
      <c r="AH993" s="19">
        <f t="shared" si="149"/>
        <v>0</v>
      </c>
      <c r="AJ993" s="126" t="e">
        <v>#N/A</v>
      </c>
      <c r="AK993" s="80">
        <f t="shared" si="146"/>
        <v>0</v>
      </c>
      <c r="AM993" s="85"/>
    </row>
    <row r="994" spans="1:39" hidden="1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50">T994+U994-V994</f>
        <v>0</v>
      </c>
      <c r="X994" s="18">
        <f t="shared" si="141"/>
        <v>1.078431372542243</v>
      </c>
      <c r="Y994" s="13">
        <f t="shared" si="142"/>
        <v>0.41958059247245383</v>
      </c>
      <c r="Z994" s="14">
        <v>0</v>
      </c>
      <c r="AA994" s="4">
        <v>0</v>
      </c>
      <c r="AB994" s="4">
        <f t="shared" si="143"/>
        <v>1.078431372542243</v>
      </c>
      <c r="AC994" s="6">
        <f t="shared" si="144"/>
        <v>2.1568627450844868E-2</v>
      </c>
      <c r="AD994" s="6">
        <f t="shared" si="148"/>
        <v>0.65885078006978914</v>
      </c>
      <c r="AE994" s="2">
        <v>7.0000000000000007E-2</v>
      </c>
      <c r="AF994" s="5">
        <f t="shared" si="145"/>
        <v>4.6119554604885246E-2</v>
      </c>
      <c r="AG994" s="14">
        <v>0</v>
      </c>
      <c r="AH994" s="19">
        <f t="shared" si="149"/>
        <v>1.0999999999930878</v>
      </c>
      <c r="AJ994" s="126" t="e">
        <v>#N/A</v>
      </c>
      <c r="AK994" s="80">
        <f t="shared" si="146"/>
        <v>0</v>
      </c>
      <c r="AM994" s="85"/>
    </row>
    <row r="995" spans="1:39" hidden="1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50"/>
        <v>30728.569999999992</v>
      </c>
      <c r="X995" s="18">
        <f t="shared" si="141"/>
        <v>64279.509803921574</v>
      </c>
      <c r="Y995" s="13">
        <f t="shared" si="142"/>
        <v>25008.948639716858</v>
      </c>
      <c r="Z995" s="14">
        <v>0</v>
      </c>
      <c r="AA995" s="4">
        <v>0</v>
      </c>
      <c r="AB995" s="4">
        <f t="shared" si="143"/>
        <v>64279.509803921574</v>
      </c>
      <c r="AC995" s="6">
        <f t="shared" si="144"/>
        <v>1285.5901960784322</v>
      </c>
      <c r="AD995" s="6">
        <f t="shared" si="148"/>
        <v>39270.561164204715</v>
      </c>
      <c r="AE995" s="2">
        <v>7.0000000000000007E-2</v>
      </c>
      <c r="AF995" s="5">
        <f t="shared" si="145"/>
        <v>2748.9392814943303</v>
      </c>
      <c r="AG995" s="14">
        <v>0</v>
      </c>
      <c r="AH995" s="19">
        <f t="shared" si="149"/>
        <v>65565.100000000006</v>
      </c>
      <c r="AJ995" s="126" t="e">
        <v>#N/A</v>
      </c>
      <c r="AK995" s="80">
        <f t="shared" si="146"/>
        <v>0</v>
      </c>
      <c r="AM995" s="85"/>
    </row>
    <row r="996" spans="1:39" hidden="1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50"/>
        <v>0</v>
      </c>
      <c r="X996" s="18">
        <f t="shared" si="141"/>
        <v>-5993.4803921568628</v>
      </c>
      <c r="Y996" s="13">
        <f t="shared" si="142"/>
        <v>0</v>
      </c>
      <c r="Z996" s="14">
        <v>0</v>
      </c>
      <c r="AA996" s="4">
        <v>0</v>
      </c>
      <c r="AB996" s="4">
        <f t="shared" si="143"/>
        <v>-5993.4803921568628</v>
      </c>
      <c r="AC996" s="6">
        <f t="shared" si="144"/>
        <v>-119.8696078431376</v>
      </c>
      <c r="AD996" s="6">
        <f t="shared" si="148"/>
        <v>-3661.6231057863233</v>
      </c>
      <c r="AE996" s="2">
        <v>7.0000000000000007E-2</v>
      </c>
      <c r="AF996" s="5">
        <f t="shared" si="145"/>
        <v>-256.31361740504263</v>
      </c>
      <c r="AG996" s="14">
        <v>0</v>
      </c>
      <c r="AH996" s="19">
        <f t="shared" si="149"/>
        <v>-6113.35</v>
      </c>
      <c r="AJ996" s="126" t="e">
        <v>#N/A</v>
      </c>
      <c r="AK996" s="80">
        <f t="shared" si="146"/>
        <v>0</v>
      </c>
      <c r="AM996" s="85"/>
    </row>
    <row r="997" spans="1:39" hidden="1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50"/>
        <v>453.20000000000073</v>
      </c>
      <c r="X997" s="18">
        <f t="shared" si="141"/>
        <v>9452.2772277227723</v>
      </c>
      <c r="Y997" s="13">
        <f t="shared" si="142"/>
        <v>3734.1712029866021</v>
      </c>
      <c r="Z997" s="14">
        <v>0</v>
      </c>
      <c r="AA997" s="4">
        <v>0</v>
      </c>
      <c r="AB997" s="4">
        <f t="shared" si="143"/>
        <v>9452.2772277227723</v>
      </c>
      <c r="AC997" s="6">
        <f t="shared" si="144"/>
        <v>94.522772277226977</v>
      </c>
      <c r="AD997" s="6">
        <f t="shared" si="148"/>
        <v>5718.1060247361702</v>
      </c>
      <c r="AE997" s="2">
        <v>7.0000000000000007E-2</v>
      </c>
      <c r="AF997" s="5">
        <f t="shared" si="145"/>
        <v>400.26742173153195</v>
      </c>
      <c r="AG997" s="14">
        <v>0</v>
      </c>
      <c r="AH997" s="19">
        <f t="shared" si="149"/>
        <v>9546.7999999999993</v>
      </c>
      <c r="AJ997" s="126" t="e">
        <v>#N/A</v>
      </c>
      <c r="AK997" s="80">
        <f t="shared" si="146"/>
        <v>0</v>
      </c>
      <c r="AM997" s="85"/>
    </row>
    <row r="998" spans="1:39" hidden="1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50"/>
        <v>15490.5</v>
      </c>
      <c r="X998" s="18">
        <f t="shared" si="141"/>
        <v>4421.0784313725489</v>
      </c>
      <c r="Y998" s="13">
        <f t="shared" si="142"/>
        <v>1720.0897106967454</v>
      </c>
      <c r="Z998" s="14">
        <v>0</v>
      </c>
      <c r="AA998" s="4">
        <v>0</v>
      </c>
      <c r="AB998" s="4">
        <f t="shared" si="143"/>
        <v>4421.0784313725489</v>
      </c>
      <c r="AC998" s="6">
        <f t="shared" si="144"/>
        <v>88.421568627451052</v>
      </c>
      <c r="AD998" s="6">
        <f t="shared" si="148"/>
        <v>2700.9887206758035</v>
      </c>
      <c r="AE998" s="2">
        <v>7.0000000000000007E-2</v>
      </c>
      <c r="AF998" s="5">
        <f t="shared" si="145"/>
        <v>189.06921044730626</v>
      </c>
      <c r="AG998" s="14">
        <v>0</v>
      </c>
      <c r="AH998" s="19">
        <f t="shared" si="149"/>
        <v>4509.5</v>
      </c>
      <c r="AJ998" s="126" t="e">
        <v>#N/A</v>
      </c>
      <c r="AK998" s="80">
        <f t="shared" si="146"/>
        <v>0</v>
      </c>
      <c r="AM998" s="85"/>
    </row>
    <row r="999" spans="1:39" hidden="1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50"/>
        <v>4177.1000000000058</v>
      </c>
      <c r="X999" s="18">
        <f t="shared" si="141"/>
        <v>35468.217821782171</v>
      </c>
      <c r="Y999" s="13">
        <f t="shared" si="142"/>
        <v>14011.903631318211</v>
      </c>
      <c r="Z999" s="14">
        <v>0</v>
      </c>
      <c r="AA999" s="4">
        <v>0</v>
      </c>
      <c r="AB999" s="4">
        <f t="shared" si="143"/>
        <v>35468.217821782171</v>
      </c>
      <c r="AC999" s="6">
        <f t="shared" si="144"/>
        <v>354.68217821782309</v>
      </c>
      <c r="AD999" s="6">
        <f t="shared" si="148"/>
        <v>21456.31419046396</v>
      </c>
      <c r="AE999" s="2">
        <v>7.0000000000000007E-2</v>
      </c>
      <c r="AF999" s="5">
        <f t="shared" si="145"/>
        <v>1501.9419933324773</v>
      </c>
      <c r="AG999" s="14">
        <v>0</v>
      </c>
      <c r="AH999" s="19">
        <f t="shared" si="149"/>
        <v>35822.899999999994</v>
      </c>
      <c r="AJ999" s="126" t="e">
        <v>#N/A</v>
      </c>
      <c r="AK999" s="80">
        <f t="shared" si="146"/>
        <v>0</v>
      </c>
      <c r="AM999" s="85"/>
    </row>
    <row r="1000" spans="1:39" hidden="1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50"/>
        <v>6645.98</v>
      </c>
      <c r="X1000" s="18">
        <f t="shared" si="141"/>
        <v>23122.79207920792</v>
      </c>
      <c r="Y1000" s="13">
        <f t="shared" si="142"/>
        <v>9134.7790838786968</v>
      </c>
      <c r="Z1000" s="14">
        <v>0</v>
      </c>
      <c r="AA1000" s="4">
        <v>0</v>
      </c>
      <c r="AB1000" s="4">
        <f t="shared" si="143"/>
        <v>23122.79207920792</v>
      </c>
      <c r="AC1000" s="6">
        <f t="shared" si="144"/>
        <v>231.22792079208011</v>
      </c>
      <c r="AD1000" s="6">
        <f t="shared" si="148"/>
        <v>13988.012995329223</v>
      </c>
      <c r="AE1000" s="2">
        <v>7.0000000000000007E-2</v>
      </c>
      <c r="AF1000" s="5">
        <f t="shared" si="145"/>
        <v>979.16090967304569</v>
      </c>
      <c r="AG1000" s="14">
        <v>0</v>
      </c>
      <c r="AH1000" s="19">
        <f t="shared" si="149"/>
        <v>23354.02</v>
      </c>
      <c r="AJ1000" s="126" t="e">
        <v>#N/A</v>
      </c>
      <c r="AK1000" s="80">
        <f t="shared" si="146"/>
        <v>0</v>
      </c>
      <c r="AM1000" s="85"/>
    </row>
    <row r="1001" spans="1:39" hidden="1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50"/>
        <v>0</v>
      </c>
      <c r="X1001" s="18">
        <f t="shared" si="141"/>
        <v>12402.955665024636</v>
      </c>
      <c r="Y1001" s="13">
        <f t="shared" si="142"/>
        <v>4862.7079647058199</v>
      </c>
      <c r="Z1001" s="14">
        <v>0</v>
      </c>
      <c r="AA1001" s="4">
        <v>0</v>
      </c>
      <c r="AB1001" s="4">
        <f t="shared" si="143"/>
        <v>12402.955665024636</v>
      </c>
      <c r="AC1001" s="6">
        <f t="shared" si="144"/>
        <v>186.04433497536775</v>
      </c>
      <c r="AD1001" s="6">
        <f t="shared" si="148"/>
        <v>7540.247700318816</v>
      </c>
      <c r="AE1001" s="2">
        <v>7.0000000000000007E-2</v>
      </c>
      <c r="AF1001" s="5">
        <f t="shared" si="145"/>
        <v>527.81733902231713</v>
      </c>
      <c r="AG1001" s="14">
        <v>0</v>
      </c>
      <c r="AH1001" s="19">
        <f t="shared" si="149"/>
        <v>12589.000000000004</v>
      </c>
      <c r="AJ1001" s="126" t="e">
        <v>#N/A</v>
      </c>
      <c r="AK1001" s="80">
        <f t="shared" si="146"/>
        <v>0</v>
      </c>
      <c r="AM1001" s="85"/>
    </row>
    <row r="1002" spans="1:39" hidden="1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50"/>
        <v>0</v>
      </c>
      <c r="X1002" s="18">
        <f t="shared" si="141"/>
        <v>5436.4334975369466</v>
      </c>
      <c r="Y1002" s="13">
        <f t="shared" si="142"/>
        <v>2131.4103816893644</v>
      </c>
      <c r="Z1002" s="14">
        <v>0</v>
      </c>
      <c r="AA1002" s="4">
        <v>0</v>
      </c>
      <c r="AB1002" s="4">
        <f t="shared" si="143"/>
        <v>5436.4334975369466</v>
      </c>
      <c r="AC1002" s="6">
        <f t="shared" si="144"/>
        <v>81.546502463053912</v>
      </c>
      <c r="AD1002" s="6">
        <f t="shared" si="148"/>
        <v>3305.0231158475822</v>
      </c>
      <c r="AE1002" s="2">
        <v>7.0000000000000007E-2</v>
      </c>
      <c r="AF1002" s="5">
        <f t="shared" si="145"/>
        <v>231.35161810933079</v>
      </c>
      <c r="AG1002" s="14">
        <v>0</v>
      </c>
      <c r="AH1002" s="19">
        <f t="shared" si="149"/>
        <v>5517.9800000000005</v>
      </c>
      <c r="AJ1002" s="126" t="e">
        <v>#N/A</v>
      </c>
      <c r="AK1002" s="80">
        <f t="shared" si="146"/>
        <v>0</v>
      </c>
      <c r="AM1002" s="85"/>
    </row>
    <row r="1003" spans="1:39" hidden="1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50"/>
        <v>1944.0999999999985</v>
      </c>
      <c r="X1003" s="18">
        <f t="shared" si="141"/>
        <v>8055.9000000000015</v>
      </c>
      <c r="Y1003" s="13">
        <f t="shared" si="142"/>
        <v>3230.7763643658491</v>
      </c>
      <c r="Z1003" s="14">
        <v>0</v>
      </c>
      <c r="AA1003" s="4">
        <v>0</v>
      </c>
      <c r="AB1003" s="4">
        <f t="shared" si="143"/>
        <v>8055.9000000000015</v>
      </c>
      <c r="AC1003" s="6">
        <f t="shared" si="144"/>
        <v>0</v>
      </c>
      <c r="AD1003" s="6">
        <f t="shared" si="148"/>
        <v>4825.1236356341524</v>
      </c>
      <c r="AE1003" s="2">
        <v>7.0000000000000007E-2</v>
      </c>
      <c r="AF1003" s="5">
        <f t="shared" si="145"/>
        <v>337.75865449439073</v>
      </c>
      <c r="AG1003" s="14">
        <v>0</v>
      </c>
      <c r="AH1003" s="19">
        <f t="shared" si="149"/>
        <v>8055.9000000000015</v>
      </c>
      <c r="AJ1003" s="126" t="e">
        <v>#N/A</v>
      </c>
      <c r="AK1003" s="80">
        <f t="shared" si="146"/>
        <v>0</v>
      </c>
      <c r="AM1003" s="85"/>
    </row>
    <row r="1004" spans="1:39" hidden="1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50"/>
        <v>3330.2000000000007</v>
      </c>
      <c r="X1004" s="18">
        <f t="shared" si="141"/>
        <v>26118.7</v>
      </c>
      <c r="Y1004" s="13">
        <f t="shared" si="142"/>
        <v>10474.767391348239</v>
      </c>
      <c r="Z1004" s="14">
        <v>0</v>
      </c>
      <c r="AA1004" s="4">
        <v>0</v>
      </c>
      <c r="AB1004" s="4">
        <f t="shared" si="143"/>
        <v>26118.7</v>
      </c>
      <c r="AC1004" s="6">
        <f t="shared" si="144"/>
        <v>0</v>
      </c>
      <c r="AD1004" s="6">
        <f t="shared" si="148"/>
        <v>15643.932608651761</v>
      </c>
      <c r="AE1004" s="2">
        <v>7.0000000000000007E-2</v>
      </c>
      <c r="AF1004" s="5">
        <f t="shared" si="145"/>
        <v>1095.0752826056234</v>
      </c>
      <c r="AG1004" s="14">
        <v>0</v>
      </c>
      <c r="AH1004" s="19">
        <f t="shared" si="149"/>
        <v>26118.7</v>
      </c>
      <c r="AJ1004" s="126" t="e">
        <v>#N/A</v>
      </c>
      <c r="AK1004" s="80">
        <f t="shared" si="146"/>
        <v>0</v>
      </c>
      <c r="AM1004" s="85"/>
    </row>
    <row r="1005" spans="1:39" hidden="1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50"/>
        <v>50392.36</v>
      </c>
      <c r="X1005" s="18">
        <f t="shared" si="141"/>
        <v>49607.64</v>
      </c>
      <c r="Y1005" s="13">
        <f t="shared" si="142"/>
        <v>19894.883353066674</v>
      </c>
      <c r="Z1005" s="14">
        <v>0</v>
      </c>
      <c r="AA1005" s="4">
        <v>0</v>
      </c>
      <c r="AB1005" s="4">
        <f t="shared" si="143"/>
        <v>49607.64</v>
      </c>
      <c r="AC1005" s="6">
        <f t="shared" si="144"/>
        <v>0</v>
      </c>
      <c r="AD1005" s="6">
        <f t="shared" si="148"/>
        <v>29712.756646933325</v>
      </c>
      <c r="AE1005" s="2">
        <v>7.0000000000000007E-2</v>
      </c>
      <c r="AF1005" s="5">
        <f t="shared" si="145"/>
        <v>2079.892965285333</v>
      </c>
      <c r="AG1005" s="14">
        <v>0</v>
      </c>
      <c r="AH1005" s="19">
        <f t="shared" si="149"/>
        <v>49607.64</v>
      </c>
      <c r="AJ1005" s="126" t="e">
        <v>#N/A</v>
      </c>
      <c r="AK1005" s="80">
        <f t="shared" si="146"/>
        <v>0</v>
      </c>
      <c r="AM1005" s="85"/>
    </row>
    <row r="1006" spans="1:39" hidden="1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50"/>
        <v>71223.230000000127</v>
      </c>
      <c r="X1006" s="18">
        <f t="shared" si="141"/>
        <v>124327.03999999986</v>
      </c>
      <c r="Y1006" s="13">
        <f t="shared" si="142"/>
        <v>49860.706101561213</v>
      </c>
      <c r="Z1006" s="14">
        <v>0</v>
      </c>
      <c r="AA1006" s="4">
        <v>0</v>
      </c>
      <c r="AB1006" s="4">
        <f t="shared" si="143"/>
        <v>124327.03999999986</v>
      </c>
      <c r="AC1006" s="6">
        <f t="shared" si="144"/>
        <v>0</v>
      </c>
      <c r="AD1006" s="6">
        <f t="shared" si="148"/>
        <v>74466.33389843865</v>
      </c>
      <c r="AE1006" s="2">
        <v>7.0000000000000007E-2</v>
      </c>
      <c r="AF1006" s="5">
        <f t="shared" si="145"/>
        <v>5212.6433728907059</v>
      </c>
      <c r="AG1006" s="14">
        <v>0</v>
      </c>
      <c r="AH1006" s="19">
        <f t="shared" si="149"/>
        <v>124327.03999999986</v>
      </c>
      <c r="AJ1006" s="126" t="e">
        <v>#N/A</v>
      </c>
      <c r="AK1006" s="80">
        <f t="shared" si="146"/>
        <v>0</v>
      </c>
      <c r="AM1006" s="85"/>
    </row>
    <row r="1007" spans="1:39" hidden="1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41"/>
        <v>53936.88610000012</v>
      </c>
      <c r="Y1007" s="13">
        <f t="shared" si="142"/>
        <v>21139.138539553649</v>
      </c>
      <c r="Z1007" s="14">
        <v>0</v>
      </c>
      <c r="AA1007" s="4">
        <v>0</v>
      </c>
      <c r="AB1007" s="4">
        <f t="shared" si="143"/>
        <v>53936.88610000012</v>
      </c>
      <c r="AC1007" s="6">
        <f t="shared" si="144"/>
        <v>821.37390000000596</v>
      </c>
      <c r="AD1007" s="6">
        <f t="shared" si="148"/>
        <v>32797.747560446471</v>
      </c>
      <c r="AE1007" s="2">
        <v>7.0000000000000007E-2</v>
      </c>
      <c r="AF1007" s="5">
        <f t="shared" si="145"/>
        <v>2295.8423292312532</v>
      </c>
      <c r="AG1007" s="14">
        <v>0</v>
      </c>
      <c r="AH1007" s="19">
        <f t="shared" si="149"/>
        <v>54758.260000000126</v>
      </c>
      <c r="AJ1007" s="126" t="e">
        <v>#N/A</v>
      </c>
      <c r="AK1007" s="80">
        <f t="shared" si="146"/>
        <v>0</v>
      </c>
      <c r="AM1007" s="85"/>
    </row>
    <row r="1008" spans="1:39" hidden="1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51">T1008+U1008-V1008</f>
        <v>0</v>
      </c>
      <c r="X1008" s="18">
        <f t="shared" si="141"/>
        <v>37340.239999999998</v>
      </c>
      <c r="Y1008" s="13">
        <f t="shared" si="142"/>
        <v>14975.107043502056</v>
      </c>
      <c r="Z1008" s="14">
        <v>0</v>
      </c>
      <c r="AA1008" s="4">
        <v>0</v>
      </c>
      <c r="AB1008" s="4">
        <f t="shared" si="143"/>
        <v>37340.239999999998</v>
      </c>
      <c r="AC1008" s="6">
        <f t="shared" si="144"/>
        <v>0</v>
      </c>
      <c r="AD1008" s="6">
        <f t="shared" si="148"/>
        <v>22365.132956497942</v>
      </c>
      <c r="AE1008" s="2">
        <v>7.0000000000000007E-2</v>
      </c>
      <c r="AF1008" s="5">
        <f t="shared" si="145"/>
        <v>1565.5593069548561</v>
      </c>
      <c r="AG1008" s="14">
        <v>0</v>
      </c>
      <c r="AH1008" s="19">
        <f t="shared" si="149"/>
        <v>37340.239999999998</v>
      </c>
      <c r="AJ1008" s="126" t="e">
        <v>#N/A</v>
      </c>
      <c r="AK1008" s="80">
        <f t="shared" si="146"/>
        <v>0</v>
      </c>
      <c r="AM1008" s="85"/>
    </row>
    <row r="1009" spans="1:39" hidden="1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51"/>
        <v>0</v>
      </c>
      <c r="X1009" s="18">
        <f t="shared" si="141"/>
        <v>240.94117647059022</v>
      </c>
      <c r="Y1009" s="13">
        <f t="shared" si="142"/>
        <v>93.741933096980944</v>
      </c>
      <c r="Z1009" s="14">
        <v>0</v>
      </c>
      <c r="AA1009" s="4">
        <v>0</v>
      </c>
      <c r="AB1009" s="4">
        <f t="shared" si="143"/>
        <v>240.94117647059022</v>
      </c>
      <c r="AC1009" s="6">
        <f t="shared" si="144"/>
        <v>4.8188235294118158</v>
      </c>
      <c r="AD1009" s="6">
        <f t="shared" si="148"/>
        <v>147.19924337360928</v>
      </c>
      <c r="AE1009" s="2">
        <v>7.0000000000000007E-2</v>
      </c>
      <c r="AF1009" s="5">
        <f t="shared" si="145"/>
        <v>10.30394703615265</v>
      </c>
      <c r="AG1009" s="14">
        <v>0</v>
      </c>
      <c r="AH1009" s="19">
        <f t="shared" si="149"/>
        <v>245.76000000000204</v>
      </c>
      <c r="AJ1009" s="126" t="e">
        <v>#N/A</v>
      </c>
      <c r="AK1009" s="80">
        <f t="shared" si="146"/>
        <v>0</v>
      </c>
      <c r="AM1009" s="85"/>
    </row>
    <row r="1010" spans="1:39" hidden="1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51"/>
        <v>23099.7</v>
      </c>
      <c r="X1010" s="18">
        <f t="shared" si="141"/>
        <v>6900.3</v>
      </c>
      <c r="Y1010" s="13">
        <f t="shared" si="142"/>
        <v>2767.3290565962416</v>
      </c>
      <c r="Z1010" s="14">
        <v>0</v>
      </c>
      <c r="AA1010" s="4">
        <v>0</v>
      </c>
      <c r="AB1010" s="4">
        <f t="shared" si="143"/>
        <v>6900.3</v>
      </c>
      <c r="AC1010" s="6">
        <f t="shared" si="144"/>
        <v>0</v>
      </c>
      <c r="AD1010" s="6">
        <f t="shared" si="148"/>
        <v>4132.9709434037586</v>
      </c>
      <c r="AE1010" s="2">
        <v>0.12</v>
      </c>
      <c r="AF1010" s="5">
        <f t="shared" si="145"/>
        <v>495.95651320845104</v>
      </c>
      <c r="AG1010" s="14">
        <v>0</v>
      </c>
      <c r="AH1010" s="19">
        <f t="shared" si="149"/>
        <v>6900.3</v>
      </c>
      <c r="AJ1010" s="126" t="e">
        <v>#N/A</v>
      </c>
      <c r="AK1010" s="80">
        <f t="shared" si="146"/>
        <v>0</v>
      </c>
      <c r="AM1010" s="85"/>
    </row>
    <row r="1011" spans="1:39" hidden="1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51"/>
        <v>100000</v>
      </c>
      <c r="X1011" s="18">
        <f t="shared" si="141"/>
        <v>0</v>
      </c>
      <c r="Y1011" s="13">
        <f t="shared" si="142"/>
        <v>0</v>
      </c>
      <c r="Z1011" s="14">
        <v>0</v>
      </c>
      <c r="AA1011" s="4">
        <v>0</v>
      </c>
      <c r="AB1011" s="4">
        <f t="shared" si="143"/>
        <v>0</v>
      </c>
      <c r="AC1011" s="6">
        <f t="shared" si="144"/>
        <v>0</v>
      </c>
      <c r="AD1011" s="6">
        <f t="shared" si="148"/>
        <v>0</v>
      </c>
      <c r="AE1011" s="2">
        <v>0.12</v>
      </c>
      <c r="AF1011" s="5">
        <f t="shared" si="145"/>
        <v>0</v>
      </c>
      <c r="AG1011" s="14">
        <v>0</v>
      </c>
      <c r="AH1011" s="19">
        <f t="shared" si="149"/>
        <v>0</v>
      </c>
      <c r="AJ1011" s="126" t="e">
        <v>#N/A</v>
      </c>
      <c r="AK1011" s="80">
        <f t="shared" si="146"/>
        <v>0</v>
      </c>
      <c r="AM1011" s="85"/>
    </row>
    <row r="1012" spans="1:39" hidden="1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51"/>
        <v>-39825.900000000023</v>
      </c>
      <c r="X1012" s="18">
        <f>IF(P1012="折扣",V1012*Q1012,IF(P1012="返现",V1012,V1012/(1+Q1012)))+33.9</f>
        <v>389859.80000000005</v>
      </c>
      <c r="Y1012" s="13">
        <f t="shared" si="142"/>
        <v>156371.52881088955</v>
      </c>
      <c r="Z1012" s="14">
        <v>0</v>
      </c>
      <c r="AA1012" s="4">
        <v>0</v>
      </c>
      <c r="AB1012" s="4">
        <f t="shared" si="143"/>
        <v>389859.80000000005</v>
      </c>
      <c r="AC1012" s="6">
        <f t="shared" si="144"/>
        <v>-33.900000000023283</v>
      </c>
      <c r="AD1012" s="6">
        <f t="shared" si="148"/>
        <v>233488.2711891105</v>
      </c>
      <c r="AE1012" s="2">
        <v>7.0000000000000007E-2</v>
      </c>
      <c r="AF1012" s="5">
        <f t="shared" si="145"/>
        <v>16344.178983237736</v>
      </c>
      <c r="AG1012" s="14">
        <v>0</v>
      </c>
      <c r="AH1012" s="19">
        <f t="shared" si="149"/>
        <v>389825.9</v>
      </c>
      <c r="AJ1012" s="126" t="e">
        <v>#N/A</v>
      </c>
      <c r="AK1012" s="80">
        <f t="shared" si="146"/>
        <v>0</v>
      </c>
      <c r="AM1012" s="85"/>
    </row>
    <row r="1013" spans="1:39" hidden="1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51"/>
        <v>29971</v>
      </c>
      <c r="X1013" s="18">
        <f t="shared" si="141"/>
        <v>40029</v>
      </c>
      <c r="Y1013" s="13">
        <f t="shared" si="142"/>
        <v>16053.420113109714</v>
      </c>
      <c r="Z1013" s="14">
        <v>0</v>
      </c>
      <c r="AA1013" s="4">
        <v>0</v>
      </c>
      <c r="AB1013" s="4">
        <f t="shared" si="143"/>
        <v>40029</v>
      </c>
      <c r="AC1013" s="6">
        <f t="shared" si="144"/>
        <v>0</v>
      </c>
      <c r="AD1013" s="6">
        <f t="shared" si="148"/>
        <v>23975.579886890286</v>
      </c>
      <c r="AE1013" s="2">
        <v>7.0000000000000007E-2</v>
      </c>
      <c r="AF1013" s="5">
        <f t="shared" si="145"/>
        <v>1678.2905920823202</v>
      </c>
      <c r="AG1013" s="14">
        <v>0</v>
      </c>
      <c r="AH1013" s="19">
        <f t="shared" si="149"/>
        <v>40029</v>
      </c>
      <c r="AJ1013" s="126" t="e">
        <v>#N/A</v>
      </c>
      <c r="AK1013" s="80">
        <f t="shared" si="146"/>
        <v>0</v>
      </c>
      <c r="AM1013" s="85"/>
    </row>
    <row r="1014" spans="1:39" hidden="1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51"/>
        <v>35354.560000000056</v>
      </c>
      <c r="X1014" s="18">
        <f t="shared" si="141"/>
        <v>351134.09900990094</v>
      </c>
      <c r="Y1014" s="13">
        <f t="shared" si="142"/>
        <v>138717.34919748109</v>
      </c>
      <c r="Z1014" s="14">
        <v>0</v>
      </c>
      <c r="AA1014" s="4">
        <v>0</v>
      </c>
      <c r="AB1014" s="4">
        <f t="shared" si="143"/>
        <v>351134.09900990094</v>
      </c>
      <c r="AC1014" s="6">
        <f t="shared" si="144"/>
        <v>3511.3409900990082</v>
      </c>
      <c r="AD1014" s="6">
        <f t="shared" si="148"/>
        <v>212416.74981241985</v>
      </c>
      <c r="AE1014" s="2">
        <v>7.0000000000000007E-2</v>
      </c>
      <c r="AF1014" s="5">
        <f t="shared" si="145"/>
        <v>14869.172486869391</v>
      </c>
      <c r="AG1014" s="14">
        <v>0</v>
      </c>
      <c r="AH1014" s="19">
        <f t="shared" si="149"/>
        <v>354645.43999999994</v>
      </c>
      <c r="AJ1014" s="126" t="e">
        <v>#N/A</v>
      </c>
      <c r="AK1014" s="80">
        <f t="shared" si="146"/>
        <v>0</v>
      </c>
      <c r="AM1014" s="85"/>
    </row>
    <row r="1015" spans="1:39" hidden="1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51"/>
        <v>93349.200149999815</v>
      </c>
      <c r="X1015" s="18">
        <f t="shared" si="141"/>
        <v>957079.99985148537</v>
      </c>
      <c r="Y1015" s="13">
        <f t="shared" si="142"/>
        <v>378099.42390579416</v>
      </c>
      <c r="Z1015" s="14">
        <v>0</v>
      </c>
      <c r="AA1015" s="4">
        <v>0</v>
      </c>
      <c r="AB1015" s="4">
        <f t="shared" si="143"/>
        <v>957079.99985148537</v>
      </c>
      <c r="AC1015" s="6">
        <f t="shared" si="144"/>
        <v>9570.7999985148199</v>
      </c>
      <c r="AD1015" s="6">
        <f t="shared" si="148"/>
        <v>578980.57594569121</v>
      </c>
      <c r="AE1015" s="2">
        <v>7.0000000000000007E-2</v>
      </c>
      <c r="AF1015" s="5">
        <f t="shared" si="145"/>
        <v>40528.640316198391</v>
      </c>
      <c r="AG1015" s="14">
        <v>0</v>
      </c>
      <c r="AH1015" s="19">
        <f t="shared" si="149"/>
        <v>966650.79985000018</v>
      </c>
      <c r="AJ1015" s="126" t="e">
        <v>#N/A</v>
      </c>
      <c r="AK1015" s="80">
        <f t="shared" si="146"/>
        <v>0</v>
      </c>
      <c r="AM1015" s="85"/>
    </row>
    <row r="1016" spans="1:39" hidden="1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51"/>
        <v>0</v>
      </c>
      <c r="X1016" s="18">
        <f t="shared" si="141"/>
        <v>0</v>
      </c>
      <c r="Y1016" s="13">
        <f t="shared" si="142"/>
        <v>0</v>
      </c>
      <c r="Z1016" s="14">
        <v>0</v>
      </c>
      <c r="AA1016" s="4">
        <v>0</v>
      </c>
      <c r="AB1016" s="4">
        <f t="shared" si="143"/>
        <v>0</v>
      </c>
      <c r="AC1016" s="6">
        <f t="shared" si="144"/>
        <v>0</v>
      </c>
      <c r="AD1016" s="6">
        <f t="shared" si="148"/>
        <v>0</v>
      </c>
      <c r="AE1016" s="2">
        <v>7.0000000000000007E-2</v>
      </c>
      <c r="AF1016" s="5">
        <f t="shared" si="145"/>
        <v>0</v>
      </c>
      <c r="AG1016" s="14">
        <v>0</v>
      </c>
      <c r="AH1016" s="19">
        <f t="shared" si="149"/>
        <v>0</v>
      </c>
      <c r="AJ1016" s="126" t="e">
        <v>#N/A</v>
      </c>
      <c r="AK1016" s="80">
        <f t="shared" si="146"/>
        <v>0</v>
      </c>
      <c r="AM1016" s="85"/>
    </row>
    <row r="1017" spans="1:39" hidden="1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51"/>
        <v>97769.800000000047</v>
      </c>
      <c r="X1017" s="18">
        <f t="shared" ref="X1017:X1080" si="152">IF(P1017="折扣",V1017*Q1017,IF(P1017="返现",V1017,V1017/(1+Q1017)))</f>
        <v>559002.6</v>
      </c>
      <c r="Y1017" s="13">
        <f t="shared" si="142"/>
        <v>224185.05538785941</v>
      </c>
      <c r="Z1017" s="14">
        <v>0</v>
      </c>
      <c r="AA1017" s="4">
        <v>0</v>
      </c>
      <c r="AB1017" s="4">
        <f t="shared" si="143"/>
        <v>559002.6</v>
      </c>
      <c r="AC1017" s="6">
        <f t="shared" si="144"/>
        <v>0</v>
      </c>
      <c r="AD1017" s="6">
        <f t="shared" si="148"/>
        <v>334817.54461214057</v>
      </c>
      <c r="AE1017" s="2">
        <v>7.0000000000000007E-2</v>
      </c>
      <c r="AF1017" s="5">
        <f t="shared" si="145"/>
        <v>23437.228122849843</v>
      </c>
      <c r="AG1017" s="14">
        <v>0</v>
      </c>
      <c r="AH1017" s="19">
        <f t="shared" si="149"/>
        <v>559002.6</v>
      </c>
      <c r="AJ1017" s="126" t="e">
        <v>#N/A</v>
      </c>
      <c r="AK1017" s="80">
        <f t="shared" si="146"/>
        <v>0</v>
      </c>
      <c r="AM1017" s="85"/>
    </row>
    <row r="1018" spans="1:39" hidden="1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51"/>
        <v>45173.540690000002</v>
      </c>
      <c r="X1018" s="18">
        <f t="shared" si="152"/>
        <v>4731.8228529411763</v>
      </c>
      <c r="Y1018" s="13">
        <f t="shared" si="142"/>
        <v>1840.9896880424685</v>
      </c>
      <c r="Z1018" s="14">
        <v>0</v>
      </c>
      <c r="AA1018" s="4">
        <v>0</v>
      </c>
      <c r="AB1018" s="4">
        <f t="shared" si="143"/>
        <v>4731.8228529411763</v>
      </c>
      <c r="AC1018" s="6">
        <f t="shared" si="144"/>
        <v>94.636457058823908</v>
      </c>
      <c r="AD1018" s="6">
        <f t="shared" si="148"/>
        <v>2890.8331648987078</v>
      </c>
      <c r="AE1018" s="2">
        <v>0.12</v>
      </c>
      <c r="AF1018" s="5">
        <f t="shared" si="145"/>
        <v>346.89997978784493</v>
      </c>
      <c r="AG1018" s="14">
        <v>0</v>
      </c>
      <c r="AH1018" s="19">
        <f t="shared" si="149"/>
        <v>4826.4593100000002</v>
      </c>
      <c r="AJ1018" s="126" t="e">
        <v>#N/A</v>
      </c>
      <c r="AK1018" s="80">
        <f t="shared" si="146"/>
        <v>0</v>
      </c>
      <c r="AM1018" s="85"/>
    </row>
    <row r="1019" spans="1:39" hidden="1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51"/>
        <v>700000</v>
      </c>
      <c r="X1019" s="18">
        <f t="shared" si="152"/>
        <v>0</v>
      </c>
      <c r="Y1019" s="13">
        <f t="shared" si="142"/>
        <v>0</v>
      </c>
      <c r="Z1019" s="14">
        <v>0</v>
      </c>
      <c r="AA1019" s="4">
        <v>0</v>
      </c>
      <c r="AB1019" s="4">
        <f t="shared" si="143"/>
        <v>0</v>
      </c>
      <c r="AC1019" s="6">
        <f t="shared" si="144"/>
        <v>0</v>
      </c>
      <c r="AD1019" s="6">
        <f t="shared" si="148"/>
        <v>0</v>
      </c>
      <c r="AE1019" s="2">
        <v>7.0000000000000007E-2</v>
      </c>
      <c r="AF1019" s="5">
        <f t="shared" si="145"/>
        <v>0</v>
      </c>
      <c r="AG1019" s="14">
        <v>0</v>
      </c>
      <c r="AH1019" s="19">
        <f t="shared" si="149"/>
        <v>0</v>
      </c>
      <c r="AJ1019" s="126" t="e">
        <v>#N/A</v>
      </c>
      <c r="AK1019" s="80">
        <f t="shared" si="146"/>
        <v>0</v>
      </c>
      <c r="AM1019" s="85"/>
    </row>
    <row r="1020" spans="1:39" hidden="1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51"/>
        <v>7.5670580912401419E-12</v>
      </c>
      <c r="X1020" s="18">
        <f t="shared" si="152"/>
        <v>0</v>
      </c>
      <c r="Y1020" s="13">
        <f t="shared" si="142"/>
        <v>0</v>
      </c>
      <c r="Z1020" s="14">
        <v>0</v>
      </c>
      <c r="AA1020" s="4">
        <v>0</v>
      </c>
      <c r="AB1020" s="4">
        <f t="shared" si="143"/>
        <v>0</v>
      </c>
      <c r="AC1020" s="6">
        <f t="shared" si="144"/>
        <v>0</v>
      </c>
      <c r="AD1020" s="6">
        <f t="shared" si="148"/>
        <v>0</v>
      </c>
      <c r="AE1020" s="2">
        <v>7.0000000000000007E-2</v>
      </c>
      <c r="AF1020" s="5">
        <f t="shared" si="145"/>
        <v>0</v>
      </c>
      <c r="AG1020" s="14">
        <v>0</v>
      </c>
      <c r="AH1020" s="19">
        <f t="shared" si="149"/>
        <v>0</v>
      </c>
      <c r="AJ1020" s="126" t="e">
        <v>#N/A</v>
      </c>
      <c r="AK1020" s="80">
        <f t="shared" si="146"/>
        <v>0</v>
      </c>
      <c r="AM1020" s="85"/>
    </row>
    <row r="1021" spans="1:39" hidden="1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51"/>
        <v>10927.5</v>
      </c>
      <c r="X1021" s="18">
        <f t="shared" si="152"/>
        <v>49072.5</v>
      </c>
      <c r="Y1021" s="13">
        <f t="shared" si="142"/>
        <v>19680.268268020096</v>
      </c>
      <c r="Z1021" s="14">
        <v>0</v>
      </c>
      <c r="AA1021" s="4">
        <v>0</v>
      </c>
      <c r="AB1021" s="4">
        <f t="shared" si="143"/>
        <v>49072.5</v>
      </c>
      <c r="AC1021" s="6">
        <f t="shared" si="144"/>
        <v>0</v>
      </c>
      <c r="AD1021" s="6">
        <f t="shared" si="148"/>
        <v>29392.231731979904</v>
      </c>
      <c r="AE1021" s="2">
        <v>7.0000000000000007E-2</v>
      </c>
      <c r="AF1021" s="5">
        <f t="shared" si="145"/>
        <v>2057.4562212385936</v>
      </c>
      <c r="AG1021" s="14">
        <v>0</v>
      </c>
      <c r="AH1021" s="19">
        <f t="shared" si="149"/>
        <v>49072.5</v>
      </c>
      <c r="AJ1021" s="126" t="e">
        <v>#N/A</v>
      </c>
      <c r="AK1021" s="80">
        <f t="shared" si="146"/>
        <v>0</v>
      </c>
      <c r="AM1021" s="85"/>
    </row>
    <row r="1022" spans="1:39" hidden="1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51"/>
        <v>559501.62028000038</v>
      </c>
      <c r="X1022" s="18">
        <f t="shared" si="152"/>
        <v>5240498.3797199996</v>
      </c>
      <c r="Y1022" s="13">
        <f t="shared" si="142"/>
        <v>2101674.3383975597</v>
      </c>
      <c r="Z1022" s="14">
        <v>0</v>
      </c>
      <c r="AA1022" s="4">
        <v>0</v>
      </c>
      <c r="AB1022" s="4">
        <f t="shared" si="143"/>
        <v>5240498.3797199996</v>
      </c>
      <c r="AC1022" s="6">
        <f t="shared" si="144"/>
        <v>0</v>
      </c>
      <c r="AD1022" s="6">
        <f t="shared" si="148"/>
        <v>3138824.0413224399</v>
      </c>
      <c r="AE1022" s="2">
        <v>7.0000000000000007E-2</v>
      </c>
      <c r="AF1022" s="5">
        <f t="shared" si="145"/>
        <v>219717.68289257083</v>
      </c>
      <c r="AG1022" s="14">
        <v>0</v>
      </c>
      <c r="AH1022" s="19">
        <f t="shared" si="149"/>
        <v>5240498.3797199996</v>
      </c>
      <c r="AJ1022" s="126" t="e">
        <v>#N/A</v>
      </c>
      <c r="AK1022" s="80">
        <f t="shared" si="146"/>
        <v>0</v>
      </c>
      <c r="AM1022" s="85"/>
    </row>
    <row r="1023" spans="1:39" hidden="1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51"/>
        <v>50731.100000000006</v>
      </c>
      <c r="X1023" s="18">
        <f t="shared" si="152"/>
        <v>109268.9</v>
      </c>
      <c r="Y1023" s="13">
        <f t="shared" si="142"/>
        <v>43821.718179254392</v>
      </c>
      <c r="Z1023" s="14">
        <v>0</v>
      </c>
      <c r="AA1023" s="4">
        <v>0</v>
      </c>
      <c r="AB1023" s="4">
        <f t="shared" si="143"/>
        <v>109268.9</v>
      </c>
      <c r="AC1023" s="6">
        <f t="shared" si="144"/>
        <v>0</v>
      </c>
      <c r="AD1023" s="6">
        <f t="shared" si="148"/>
        <v>65447.181820745602</v>
      </c>
      <c r="AE1023" s="2">
        <v>7.0000000000000007E-2</v>
      </c>
      <c r="AF1023" s="5">
        <f t="shared" si="145"/>
        <v>4581.3027274521928</v>
      </c>
      <c r="AG1023" s="14">
        <v>0</v>
      </c>
      <c r="AH1023" s="19">
        <f t="shared" si="149"/>
        <v>109268.9</v>
      </c>
      <c r="AJ1023" s="126" t="e">
        <v>#N/A</v>
      </c>
      <c r="AK1023" s="80">
        <f t="shared" si="146"/>
        <v>0</v>
      </c>
      <c r="AM1023" s="85"/>
    </row>
    <row r="1024" spans="1:39" hidden="1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51"/>
        <v>115036.10000000003</v>
      </c>
      <c r="X1024" s="18">
        <f t="shared" si="152"/>
        <v>452888.7</v>
      </c>
      <c r="Y1024" s="13">
        <f t="shared" si="142"/>
        <v>181628.63338030205</v>
      </c>
      <c r="Z1024" s="14">
        <v>0</v>
      </c>
      <c r="AA1024" s="4">
        <v>0</v>
      </c>
      <c r="AB1024" s="4">
        <f t="shared" si="143"/>
        <v>452888.7</v>
      </c>
      <c r="AC1024" s="6">
        <f t="shared" si="144"/>
        <v>0</v>
      </c>
      <c r="AD1024" s="6">
        <f t="shared" si="148"/>
        <v>271260.06661969796</v>
      </c>
      <c r="AE1024" s="2">
        <v>7.0000000000000007E-2</v>
      </c>
      <c r="AF1024" s="5">
        <f t="shared" si="145"/>
        <v>18988.20466337886</v>
      </c>
      <c r="AG1024" s="14">
        <v>0</v>
      </c>
      <c r="AH1024" s="19">
        <f t="shared" si="149"/>
        <v>452888.7</v>
      </c>
      <c r="AJ1024" s="126" t="e">
        <v>#N/A</v>
      </c>
      <c r="AK1024" s="80">
        <f t="shared" si="146"/>
        <v>0</v>
      </c>
      <c r="AM1024" s="85"/>
    </row>
    <row r="1025" spans="1:39" hidden="1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51"/>
        <v>15186.600000000006</v>
      </c>
      <c r="X1025" s="18">
        <f t="shared" si="152"/>
        <v>83973.663366336623</v>
      </c>
      <c r="Y1025" s="13">
        <f t="shared" si="142"/>
        <v>33174.231774770997</v>
      </c>
      <c r="Z1025" s="14">
        <v>0</v>
      </c>
      <c r="AA1025" s="4">
        <v>0</v>
      </c>
      <c r="AB1025" s="4">
        <f t="shared" si="143"/>
        <v>83973.663366336623</v>
      </c>
      <c r="AC1025" s="6">
        <f t="shared" si="144"/>
        <v>839.73663366337132</v>
      </c>
      <c r="AD1025" s="6">
        <f t="shared" si="148"/>
        <v>50799.431591565626</v>
      </c>
      <c r="AE1025" s="2">
        <v>7.0000000000000007E-2</v>
      </c>
      <c r="AF1025" s="5">
        <f t="shared" si="145"/>
        <v>3555.9602114095942</v>
      </c>
      <c r="AG1025" s="14">
        <v>0</v>
      </c>
      <c r="AH1025" s="19">
        <f t="shared" si="149"/>
        <v>84813.4</v>
      </c>
      <c r="AJ1025" s="126" t="e">
        <v>#N/A</v>
      </c>
      <c r="AK1025" s="80">
        <f t="shared" si="146"/>
        <v>0</v>
      </c>
      <c r="AM1025" s="85"/>
    </row>
    <row r="1026" spans="1:39" hidden="1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51"/>
        <v>0</v>
      </c>
      <c r="X1026" s="18">
        <f t="shared" si="152"/>
        <v>0</v>
      </c>
      <c r="Y1026" s="13">
        <f t="shared" si="142"/>
        <v>0</v>
      </c>
      <c r="Z1026" s="14">
        <v>0</v>
      </c>
      <c r="AA1026" s="4">
        <v>0</v>
      </c>
      <c r="AB1026" s="4">
        <f t="shared" si="143"/>
        <v>0</v>
      </c>
      <c r="AC1026" s="6">
        <f t="shared" si="144"/>
        <v>0</v>
      </c>
      <c r="AD1026" s="6">
        <f t="shared" si="148"/>
        <v>0</v>
      </c>
      <c r="AE1026" s="2">
        <v>7.0000000000000007E-2</v>
      </c>
      <c r="AF1026" s="5">
        <f t="shared" si="145"/>
        <v>0</v>
      </c>
      <c r="AG1026" s="14">
        <v>0</v>
      </c>
      <c r="AH1026" s="19">
        <f t="shared" si="149"/>
        <v>0</v>
      </c>
      <c r="AJ1026" s="126" t="e">
        <v>#N/A</v>
      </c>
      <c r="AK1026" s="80">
        <f t="shared" si="146"/>
        <v>0</v>
      </c>
      <c r="AM1026" s="85"/>
    </row>
    <row r="1027" spans="1:39" hidden="1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51"/>
        <v>1.1000000000003638</v>
      </c>
      <c r="X1027" s="18">
        <f t="shared" si="152"/>
        <v>7783.333333333333</v>
      </c>
      <c r="Y1027" s="13">
        <f t="shared" ref="Y1027:Y1090" si="15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54">X1027+AA1027</f>
        <v>7783.333333333333</v>
      </c>
      <c r="AC1027" s="6">
        <f t="shared" ref="AC1027:AC1090" si="155">IF(P1027="返现",X1027*Q1027,V1027-X1027)</f>
        <v>155.66666666666697</v>
      </c>
      <c r="AD1027" s="6">
        <f t="shared" si="148"/>
        <v>4755.1057663699312</v>
      </c>
      <c r="AE1027" s="2">
        <v>7.0000000000000007E-2</v>
      </c>
      <c r="AF1027" s="5">
        <f t="shared" ref="AF1027:AF1090" si="156">AD1027*AE1027</f>
        <v>332.8574036458952</v>
      </c>
      <c r="AG1027" s="14">
        <v>0</v>
      </c>
      <c r="AH1027" s="19">
        <f t="shared" si="149"/>
        <v>7939</v>
      </c>
      <c r="AJ1027" s="126" t="e">
        <v>#N/A</v>
      </c>
      <c r="AK1027" s="80">
        <f t="shared" ref="AK1027:AK1090" si="157">X1027+AA1027-AB1027</f>
        <v>0</v>
      </c>
      <c r="AM1027" s="85"/>
    </row>
    <row r="1028" spans="1:39" hidden="1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51"/>
        <v>482.10000000000036</v>
      </c>
      <c r="X1028" s="18">
        <f t="shared" si="152"/>
        <v>4429.3137254901958</v>
      </c>
      <c r="Y1028" s="13">
        <f t="shared" si="153"/>
        <v>1723.2937806756458</v>
      </c>
      <c r="Z1028" s="14">
        <v>0</v>
      </c>
      <c r="AA1028" s="4">
        <v>0</v>
      </c>
      <c r="AB1028" s="4">
        <f t="shared" si="154"/>
        <v>4429.3137254901958</v>
      </c>
      <c r="AC1028" s="6">
        <f t="shared" si="155"/>
        <v>88.586274509803843</v>
      </c>
      <c r="AD1028" s="6">
        <f t="shared" si="148"/>
        <v>2706.0199448145499</v>
      </c>
      <c r="AE1028" s="2">
        <v>7.0000000000000007E-2</v>
      </c>
      <c r="AF1028" s="5">
        <f t="shared" si="156"/>
        <v>189.42139613701852</v>
      </c>
      <c r="AG1028" s="14">
        <v>0</v>
      </c>
      <c r="AH1028" s="19">
        <f t="shared" si="149"/>
        <v>4517.8999999999996</v>
      </c>
      <c r="AJ1028" s="126" t="e">
        <v>#N/A</v>
      </c>
      <c r="AK1028" s="80">
        <f t="shared" si="157"/>
        <v>0</v>
      </c>
      <c r="AM1028" s="85"/>
    </row>
    <row r="1029" spans="1:39" hidden="1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51"/>
        <v>34561.049999999988</v>
      </c>
      <c r="X1029" s="18">
        <f t="shared" si="152"/>
        <v>69783.245098039217</v>
      </c>
      <c r="Y1029" s="13">
        <f t="shared" si="153"/>
        <v>27150.26293593739</v>
      </c>
      <c r="Z1029" s="14">
        <v>0</v>
      </c>
      <c r="AA1029" s="4">
        <v>0</v>
      </c>
      <c r="AB1029" s="4">
        <f t="shared" si="154"/>
        <v>69783.245098039217</v>
      </c>
      <c r="AC1029" s="6">
        <f t="shared" si="155"/>
        <v>1395.6649019607867</v>
      </c>
      <c r="AD1029" s="6">
        <f t="shared" si="148"/>
        <v>42632.982162101827</v>
      </c>
      <c r="AE1029" s="2">
        <v>7.0000000000000007E-2</v>
      </c>
      <c r="AF1029" s="5">
        <f t="shared" si="156"/>
        <v>2984.3087513471282</v>
      </c>
      <c r="AG1029" s="14">
        <v>0</v>
      </c>
      <c r="AH1029" s="19">
        <f t="shared" si="149"/>
        <v>71178.91</v>
      </c>
      <c r="AJ1029" s="126" t="e">
        <v>#N/A</v>
      </c>
      <c r="AK1029" s="80">
        <f t="shared" si="157"/>
        <v>0</v>
      </c>
      <c r="AM1029" s="85"/>
    </row>
    <row r="1030" spans="1:39" hidden="1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51"/>
        <v>8618.3799999999974</v>
      </c>
      <c r="X1030" s="18">
        <f t="shared" si="152"/>
        <v>11158.450980392159</v>
      </c>
      <c r="Y1030" s="13">
        <f t="shared" si="153"/>
        <v>4341.3698753875806</v>
      </c>
      <c r="Z1030" s="14">
        <v>0</v>
      </c>
      <c r="AA1030" s="4">
        <v>0</v>
      </c>
      <c r="AB1030" s="4">
        <f t="shared" si="154"/>
        <v>11158.450980392159</v>
      </c>
      <c r="AC1030" s="6">
        <f t="shared" si="155"/>
        <v>223.16901960784344</v>
      </c>
      <c r="AD1030" s="6">
        <f t="shared" si="148"/>
        <v>6817.0811050045786</v>
      </c>
      <c r="AE1030" s="2">
        <v>7.0000000000000007E-2</v>
      </c>
      <c r="AF1030" s="5">
        <f t="shared" si="156"/>
        <v>477.19567735032052</v>
      </c>
      <c r="AG1030" s="14">
        <v>0</v>
      </c>
      <c r="AH1030" s="19">
        <f t="shared" si="149"/>
        <v>11381.620000000003</v>
      </c>
      <c r="AJ1030" s="126" t="e">
        <v>#N/A</v>
      </c>
      <c r="AK1030" s="80">
        <f t="shared" si="157"/>
        <v>0</v>
      </c>
      <c r="AM1030" s="85"/>
    </row>
    <row r="1031" spans="1:39" hidden="1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51"/>
        <v>546650.35304999992</v>
      </c>
      <c r="X1031" s="18">
        <f t="shared" si="152"/>
        <v>4739.8456470588235</v>
      </c>
      <c r="Y1031" s="13">
        <f t="shared" si="153"/>
        <v>1844.1110815728066</v>
      </c>
      <c r="Z1031" s="14">
        <v>0</v>
      </c>
      <c r="AA1031" s="4">
        <v>0</v>
      </c>
      <c r="AB1031" s="4">
        <f t="shared" si="154"/>
        <v>4739.8456470588235</v>
      </c>
      <c r="AC1031" s="6">
        <f t="shared" si="155"/>
        <v>94.796912941176743</v>
      </c>
      <c r="AD1031" s="6">
        <f t="shared" si="148"/>
        <v>2895.7345654860169</v>
      </c>
      <c r="AE1031" s="2">
        <v>0.12</v>
      </c>
      <c r="AF1031" s="5">
        <f t="shared" si="156"/>
        <v>347.48814785832201</v>
      </c>
      <c r="AG1031" s="14">
        <v>0</v>
      </c>
      <c r="AH1031" s="19">
        <f t="shared" si="149"/>
        <v>4834.6425600000002</v>
      </c>
      <c r="AJ1031" s="126" t="e">
        <v>#N/A</v>
      </c>
      <c r="AK1031" s="80">
        <f t="shared" si="157"/>
        <v>0</v>
      </c>
      <c r="AM1031" s="85"/>
    </row>
    <row r="1032" spans="1:39" hidden="1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51"/>
        <v>265602.80493999925</v>
      </c>
      <c r="X1032" s="18">
        <f t="shared" si="152"/>
        <v>4304893.7535686269</v>
      </c>
      <c r="Y1032" s="13">
        <f t="shared" si="153"/>
        <v>1674886.2446344844</v>
      </c>
      <c r="Z1032" s="14">
        <v>0</v>
      </c>
      <c r="AA1032" s="4">
        <v>0</v>
      </c>
      <c r="AB1032" s="4">
        <f t="shared" si="154"/>
        <v>4304893.7535686269</v>
      </c>
      <c r="AC1032" s="6">
        <f t="shared" si="155"/>
        <v>86097.875071372837</v>
      </c>
      <c r="AD1032" s="6">
        <f t="shared" si="148"/>
        <v>2630007.5089341425</v>
      </c>
      <c r="AE1032" s="2">
        <v>7.0000000000000007E-2</v>
      </c>
      <c r="AF1032" s="5">
        <f t="shared" si="156"/>
        <v>184100.52562539</v>
      </c>
      <c r="AG1032" s="14">
        <v>0</v>
      </c>
      <c r="AH1032" s="19">
        <f t="shared" si="149"/>
        <v>4390991.6286399998</v>
      </c>
      <c r="AJ1032" s="126" t="e">
        <v>#N/A</v>
      </c>
      <c r="AK1032" s="80">
        <f t="shared" si="157"/>
        <v>0</v>
      </c>
      <c r="AM1032" s="85"/>
    </row>
    <row r="1033" spans="1:39" hidden="1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51"/>
        <v>100000</v>
      </c>
      <c r="X1033" s="18">
        <f t="shared" si="152"/>
        <v>0</v>
      </c>
      <c r="Y1033" s="13">
        <f t="shared" si="153"/>
        <v>0</v>
      </c>
      <c r="Z1033" s="14">
        <v>0</v>
      </c>
      <c r="AA1033" s="4">
        <v>0</v>
      </c>
      <c r="AB1033" s="4">
        <f t="shared" si="154"/>
        <v>0</v>
      </c>
      <c r="AC1033" s="6">
        <f t="shared" si="155"/>
        <v>0</v>
      </c>
      <c r="AD1033" s="6">
        <f t="shared" si="148"/>
        <v>0</v>
      </c>
      <c r="AE1033" s="2">
        <v>7.0000000000000007E-2</v>
      </c>
      <c r="AF1033" s="5">
        <f t="shared" si="156"/>
        <v>0</v>
      </c>
      <c r="AG1033" s="14">
        <v>0</v>
      </c>
      <c r="AH1033" s="19">
        <f t="shared" si="149"/>
        <v>0</v>
      </c>
      <c r="AJ1033" s="126" t="e">
        <v>#N/A</v>
      </c>
      <c r="AK1033" s="80">
        <f t="shared" si="157"/>
        <v>0</v>
      </c>
      <c r="AM1033" s="85"/>
    </row>
    <row r="1034" spans="1:39" hidden="1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51"/>
        <v>89432.115000000049</v>
      </c>
      <c r="X1034" s="18">
        <f t="shared" si="152"/>
        <v>59380.279411764655</v>
      </c>
      <c r="Y1034" s="13">
        <f t="shared" si="153"/>
        <v>23102.826430239191</v>
      </c>
      <c r="Z1034" s="14">
        <v>0</v>
      </c>
      <c r="AA1034" s="4">
        <v>0</v>
      </c>
      <c r="AB1034" s="4">
        <f t="shared" si="154"/>
        <v>59380.279411764655</v>
      </c>
      <c r="AC1034" s="6">
        <f t="shared" si="155"/>
        <v>1187.6055882352957</v>
      </c>
      <c r="AD1034" s="6">
        <f t="shared" si="148"/>
        <v>36277.452981525465</v>
      </c>
      <c r="AE1034" s="2">
        <v>7.0000000000000007E-2</v>
      </c>
      <c r="AF1034" s="5">
        <f t="shared" si="156"/>
        <v>2539.4217087067827</v>
      </c>
      <c r="AG1034" s="14">
        <v>0</v>
      </c>
      <c r="AH1034" s="19">
        <f t="shared" si="149"/>
        <v>60567.884999999951</v>
      </c>
      <c r="AJ1034" s="126" t="e">
        <v>#N/A</v>
      </c>
      <c r="AK1034" s="80">
        <f t="shared" si="157"/>
        <v>0</v>
      </c>
      <c r="AM1034" s="85"/>
    </row>
    <row r="1035" spans="1:39" hidden="1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51"/>
        <v>1451.429999999993</v>
      </c>
      <c r="X1035" s="18">
        <f t="shared" si="152"/>
        <v>77008.401960784322</v>
      </c>
      <c r="Y1035" s="13">
        <f t="shared" si="153"/>
        <v>29961.323216973738</v>
      </c>
      <c r="Z1035" s="14">
        <v>0</v>
      </c>
      <c r="AA1035" s="4">
        <v>0</v>
      </c>
      <c r="AB1035" s="4">
        <f t="shared" si="154"/>
        <v>77008.401960784322</v>
      </c>
      <c r="AC1035" s="6">
        <f t="shared" si="155"/>
        <v>1540.168039215685</v>
      </c>
      <c r="AD1035" s="6">
        <f t="shared" si="148"/>
        <v>47047.078743810584</v>
      </c>
      <c r="AE1035" s="2">
        <v>7.0000000000000007E-2</v>
      </c>
      <c r="AF1035" s="5">
        <f t="shared" si="156"/>
        <v>3293.2955120667411</v>
      </c>
      <c r="AG1035" s="14">
        <v>0</v>
      </c>
      <c r="AH1035" s="19">
        <f t="shared" si="149"/>
        <v>78548.570000000007</v>
      </c>
      <c r="AJ1035" s="126" t="e">
        <v>#N/A</v>
      </c>
      <c r="AK1035" s="80">
        <f t="shared" si="157"/>
        <v>0</v>
      </c>
      <c r="AM1035" s="85"/>
    </row>
    <row r="1036" spans="1:39" hidden="1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51"/>
        <v>228.14000000000669</v>
      </c>
      <c r="X1036" s="18">
        <f t="shared" si="152"/>
        <v>19384.176470588227</v>
      </c>
      <c r="Y1036" s="13">
        <f t="shared" si="153"/>
        <v>7541.717030122305</v>
      </c>
      <c r="Z1036" s="14">
        <v>0</v>
      </c>
      <c r="AA1036" s="4">
        <v>0</v>
      </c>
      <c r="AB1036" s="4">
        <f t="shared" si="154"/>
        <v>19384.176470588227</v>
      </c>
      <c r="AC1036" s="6">
        <f t="shared" si="155"/>
        <v>387.68352941176636</v>
      </c>
      <c r="AD1036" s="6">
        <f t="shared" si="148"/>
        <v>11842.459440465922</v>
      </c>
      <c r="AE1036" s="2">
        <v>7.0000000000000007E-2</v>
      </c>
      <c r="AF1036" s="5">
        <f t="shared" si="156"/>
        <v>828.97216083261458</v>
      </c>
      <c r="AG1036" s="14">
        <v>0</v>
      </c>
      <c r="AH1036" s="19">
        <f t="shared" si="149"/>
        <v>19771.859999999993</v>
      </c>
      <c r="AJ1036" s="126" t="e">
        <v>#N/A</v>
      </c>
      <c r="AK1036" s="80">
        <f t="shared" si="157"/>
        <v>0</v>
      </c>
      <c r="AM1036" s="85"/>
    </row>
    <row r="1037" spans="1:39" hidden="1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51"/>
        <v>15985.100000000006</v>
      </c>
      <c r="X1037" s="18">
        <f t="shared" si="152"/>
        <v>81948.899999999994</v>
      </c>
      <c r="Y1037" s="13">
        <f t="shared" si="153"/>
        <v>32865.175735272343</v>
      </c>
      <c r="Z1037" s="14">
        <v>0</v>
      </c>
      <c r="AA1037" s="4">
        <v>0</v>
      </c>
      <c r="AB1037" s="4">
        <f t="shared" si="154"/>
        <v>81948.899999999994</v>
      </c>
      <c r="AC1037" s="6">
        <f t="shared" si="155"/>
        <v>0</v>
      </c>
      <c r="AD1037" s="6">
        <f t="shared" si="148"/>
        <v>49083.724264727651</v>
      </c>
      <c r="AE1037" s="2">
        <v>7.0000000000000007E-2</v>
      </c>
      <c r="AF1037" s="5">
        <f t="shared" si="156"/>
        <v>3435.8606985309357</v>
      </c>
      <c r="AG1037" s="14">
        <v>0</v>
      </c>
      <c r="AH1037" s="19">
        <f t="shared" si="149"/>
        <v>81948.899999999994</v>
      </c>
      <c r="AJ1037" s="126" t="e">
        <v>#N/A</v>
      </c>
      <c r="AK1037" s="80">
        <f t="shared" si="157"/>
        <v>0</v>
      </c>
      <c r="AM1037" s="85"/>
    </row>
    <row r="1038" spans="1:39" hidden="1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51"/>
        <v>487</v>
      </c>
      <c r="X1038" s="18">
        <f t="shared" si="152"/>
        <v>38738.235294117643</v>
      </c>
      <c r="Y1038" s="13">
        <f t="shared" si="153"/>
        <v>15071.71631860749</v>
      </c>
      <c r="Z1038" s="14">
        <v>0</v>
      </c>
      <c r="AA1038" s="4">
        <v>0</v>
      </c>
      <c r="AB1038" s="4">
        <f t="shared" si="154"/>
        <v>38738.235294117643</v>
      </c>
      <c r="AC1038" s="6">
        <f t="shared" si="155"/>
        <v>774.76470588235679</v>
      </c>
      <c r="AD1038" s="6">
        <f t="shared" si="148"/>
        <v>23666.518975510153</v>
      </c>
      <c r="AE1038" s="2">
        <v>7.0000000000000007E-2</v>
      </c>
      <c r="AF1038" s="5">
        <f t="shared" si="156"/>
        <v>1656.6563282857107</v>
      </c>
      <c r="AG1038" s="14">
        <v>0</v>
      </c>
      <c r="AH1038" s="19">
        <f t="shared" si="149"/>
        <v>39513</v>
      </c>
      <c r="AJ1038" s="126" t="e">
        <v>#N/A</v>
      </c>
      <c r="AK1038" s="80">
        <f t="shared" si="157"/>
        <v>0</v>
      </c>
      <c r="AM1038" s="85"/>
    </row>
    <row r="1039" spans="1:39" hidden="1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3759</v>
      </c>
      <c r="F1039" s="15" t="s">
        <v>3759</v>
      </c>
      <c r="G1039" s="15" t="s">
        <v>3759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51"/>
        <v>6953.7</v>
      </c>
      <c r="X1039" s="18">
        <f t="shared" si="152"/>
        <v>2986.5686274509803</v>
      </c>
      <c r="Y1039" s="13">
        <f t="shared" si="153"/>
        <v>1161.9712353244249</v>
      </c>
      <c r="Z1039" s="14">
        <v>0</v>
      </c>
      <c r="AA1039" s="4">
        <v>0</v>
      </c>
      <c r="AB1039" s="4">
        <f t="shared" si="154"/>
        <v>2986.5686274509803</v>
      </c>
      <c r="AC1039" s="6">
        <f t="shared" si="155"/>
        <v>59.731372549019852</v>
      </c>
      <c r="AD1039" s="6">
        <f t="shared" si="148"/>
        <v>1824.5973921265554</v>
      </c>
      <c r="AE1039" s="2">
        <v>7.0000000000000007E-2</v>
      </c>
      <c r="AF1039" s="5">
        <f t="shared" si="156"/>
        <v>127.72181744885889</v>
      </c>
      <c r="AG1039" s="14">
        <v>0</v>
      </c>
      <c r="AH1039" s="19">
        <f t="shared" si="149"/>
        <v>3046.3</v>
      </c>
      <c r="AJ1039" s="126" t="e">
        <v>#N/A</v>
      </c>
      <c r="AK1039" s="80">
        <f t="shared" si="157"/>
        <v>0</v>
      </c>
      <c r="AM1039" s="85"/>
    </row>
    <row r="1040" spans="1:39" hidden="1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51"/>
        <v>5116.3000000000029</v>
      </c>
      <c r="X1040" s="18">
        <f t="shared" si="152"/>
        <v>64777</v>
      </c>
      <c r="Y1040" s="13">
        <f t="shared" si="153"/>
        <v>25978.475471955528</v>
      </c>
      <c r="Z1040" s="14">
        <v>0</v>
      </c>
      <c r="AA1040" s="4">
        <v>0</v>
      </c>
      <c r="AB1040" s="4">
        <f t="shared" si="154"/>
        <v>64777</v>
      </c>
      <c r="AC1040" s="6">
        <f t="shared" si="155"/>
        <v>0</v>
      </c>
      <c r="AD1040" s="6">
        <f t="shared" si="148"/>
        <v>38798.524528044472</v>
      </c>
      <c r="AE1040" s="2">
        <v>7.0000000000000007E-2</v>
      </c>
      <c r="AF1040" s="5">
        <f t="shared" si="156"/>
        <v>2715.8967169631132</v>
      </c>
      <c r="AG1040" s="14">
        <v>0</v>
      </c>
      <c r="AH1040" s="19">
        <f t="shared" si="149"/>
        <v>64777</v>
      </c>
      <c r="AJ1040" s="126" t="e">
        <v>#N/A</v>
      </c>
      <c r="AK1040" s="80">
        <f t="shared" si="157"/>
        <v>0</v>
      </c>
      <c r="AM1040" s="85"/>
    </row>
    <row r="1041" spans="1:39" hidden="1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51"/>
        <v>3790.9000000000015</v>
      </c>
      <c r="X1041" s="18">
        <f t="shared" si="152"/>
        <v>56209.1</v>
      </c>
      <c r="Y1041" s="13">
        <f t="shared" si="153"/>
        <v>22542.364197951363</v>
      </c>
      <c r="Z1041" s="14">
        <v>0</v>
      </c>
      <c r="AA1041" s="4">
        <v>0</v>
      </c>
      <c r="AB1041" s="4">
        <f t="shared" si="154"/>
        <v>56209.1</v>
      </c>
      <c r="AC1041" s="6">
        <f t="shared" si="155"/>
        <v>0</v>
      </c>
      <c r="AD1041" s="6">
        <f t="shared" si="148"/>
        <v>33666.735802048635</v>
      </c>
      <c r="AE1041" s="2">
        <v>7.0000000000000007E-2</v>
      </c>
      <c r="AF1041" s="5">
        <f t="shared" si="156"/>
        <v>2356.6715061434047</v>
      </c>
      <c r="AG1041" s="14">
        <v>0</v>
      </c>
      <c r="AH1041" s="19">
        <f t="shared" si="149"/>
        <v>56209.1</v>
      </c>
      <c r="AJ1041" s="126" t="e">
        <v>#N/A</v>
      </c>
      <c r="AK1041" s="80">
        <f t="shared" si="157"/>
        <v>0</v>
      </c>
      <c r="AM1041" s="85"/>
    </row>
    <row r="1042" spans="1:39" hidden="1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51"/>
        <v>2338.2554</v>
      </c>
      <c r="X1042" s="18">
        <f t="shared" si="152"/>
        <v>5691.6746000000003</v>
      </c>
      <c r="Y1042" s="13">
        <f t="shared" si="153"/>
        <v>2282.6161907845735</v>
      </c>
      <c r="Z1042" s="14">
        <v>0</v>
      </c>
      <c r="AA1042" s="4">
        <v>0</v>
      </c>
      <c r="AB1042" s="4">
        <f t="shared" si="154"/>
        <v>5691.6746000000003</v>
      </c>
      <c r="AC1042" s="6">
        <f t="shared" si="155"/>
        <v>0</v>
      </c>
      <c r="AD1042" s="6">
        <f t="shared" si="148"/>
        <v>3409.0584092154268</v>
      </c>
      <c r="AE1042" s="2">
        <v>0.12</v>
      </c>
      <c r="AF1042" s="5">
        <f t="shared" si="156"/>
        <v>409.08700910585122</v>
      </c>
      <c r="AG1042" s="14">
        <v>0</v>
      </c>
      <c r="AH1042" s="19">
        <f t="shared" si="149"/>
        <v>5691.6746000000003</v>
      </c>
      <c r="AJ1042" s="126" t="e">
        <v>#N/A</v>
      </c>
      <c r="AK1042" s="80">
        <f t="shared" si="157"/>
        <v>0</v>
      </c>
      <c r="AM1042" s="85"/>
    </row>
    <row r="1043" spans="1:39" hidden="1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51"/>
        <v>0</v>
      </c>
      <c r="X1043" s="18">
        <f t="shared" si="152"/>
        <v>8210</v>
      </c>
      <c r="Y1043" s="13">
        <f t="shared" si="153"/>
        <v>3292.5773596300369</v>
      </c>
      <c r="Z1043" s="14">
        <v>0</v>
      </c>
      <c r="AA1043" s="4">
        <v>0</v>
      </c>
      <c r="AB1043" s="4">
        <f t="shared" si="154"/>
        <v>8210</v>
      </c>
      <c r="AC1043" s="6">
        <f t="shared" si="155"/>
        <v>0</v>
      </c>
      <c r="AD1043" s="6">
        <f t="shared" si="148"/>
        <v>4917.4226403699631</v>
      </c>
      <c r="AE1043" s="2">
        <v>7.0000000000000007E-2</v>
      </c>
      <c r="AF1043" s="5">
        <f t="shared" si="156"/>
        <v>344.21958482589747</v>
      </c>
      <c r="AG1043" s="14">
        <v>0</v>
      </c>
      <c r="AH1043" s="19">
        <f t="shared" si="149"/>
        <v>8210</v>
      </c>
      <c r="AJ1043" s="126" t="e">
        <v>#N/A</v>
      </c>
      <c r="AK1043" s="80">
        <f t="shared" si="157"/>
        <v>0</v>
      </c>
      <c r="AM1043" s="85"/>
    </row>
    <row r="1044" spans="1:39" hidden="1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51"/>
        <v>0</v>
      </c>
      <c r="X1044" s="18">
        <f t="shared" si="152"/>
        <v>0</v>
      </c>
      <c r="Y1044" s="13">
        <f t="shared" si="153"/>
        <v>0</v>
      </c>
      <c r="Z1044" s="14">
        <v>0</v>
      </c>
      <c r="AA1044" s="4">
        <v>0</v>
      </c>
      <c r="AB1044" s="4">
        <f t="shared" si="154"/>
        <v>0</v>
      </c>
      <c r="AC1044" s="6">
        <f t="shared" si="155"/>
        <v>0</v>
      </c>
      <c r="AD1044" s="6">
        <f t="shared" si="148"/>
        <v>0</v>
      </c>
      <c r="AE1044" s="2">
        <v>7.0000000000000007E-2</v>
      </c>
      <c r="AF1044" s="5">
        <f t="shared" si="156"/>
        <v>0</v>
      </c>
      <c r="AG1044" s="14">
        <v>0</v>
      </c>
      <c r="AH1044" s="19">
        <f t="shared" si="149"/>
        <v>0</v>
      </c>
      <c r="AJ1044" s="126" t="e">
        <v>#N/A</v>
      </c>
      <c r="AK1044" s="80">
        <f t="shared" si="157"/>
        <v>0</v>
      </c>
      <c r="AM1044" s="85"/>
    </row>
    <row r="1045" spans="1:39" hidden="1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51"/>
        <v>0</v>
      </c>
      <c r="X1045" s="18">
        <f t="shared" si="152"/>
        <v>0</v>
      </c>
      <c r="Y1045" s="13">
        <f t="shared" si="153"/>
        <v>0</v>
      </c>
      <c r="Z1045" s="14">
        <v>0</v>
      </c>
      <c r="AA1045" s="4">
        <v>0</v>
      </c>
      <c r="AB1045" s="4">
        <f t="shared" si="154"/>
        <v>0</v>
      </c>
      <c r="AC1045" s="6">
        <f t="shared" si="155"/>
        <v>0</v>
      </c>
      <c r="AD1045" s="6">
        <f t="shared" ref="AD1045:AD1055" si="158">V1045*0.598955254612663</f>
        <v>0</v>
      </c>
      <c r="AE1045" s="2">
        <v>7.0000000000000007E-2</v>
      </c>
      <c r="AF1045" s="5">
        <f t="shared" si="156"/>
        <v>0</v>
      </c>
      <c r="AG1045" s="14">
        <v>0</v>
      </c>
      <c r="AH1045" s="19">
        <f t="shared" ref="AH1045:AH1108" si="159">V1045</f>
        <v>0</v>
      </c>
      <c r="AJ1045" s="126" t="e">
        <v>#N/A</v>
      </c>
      <c r="AK1045" s="80">
        <f t="shared" si="157"/>
        <v>0</v>
      </c>
      <c r="AM1045" s="85"/>
    </row>
    <row r="1046" spans="1:39" hidden="1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51"/>
        <v>0</v>
      </c>
      <c r="X1046" s="18">
        <f t="shared" si="152"/>
        <v>1504.8543689320393</v>
      </c>
      <c r="Y1046" s="13">
        <f t="shared" si="153"/>
        <v>576.47372428241135</v>
      </c>
      <c r="Z1046" s="14">
        <v>0</v>
      </c>
      <c r="AA1046" s="4">
        <v>0</v>
      </c>
      <c r="AB1046" s="4">
        <f t="shared" si="154"/>
        <v>1504.8543689320393</v>
      </c>
      <c r="AC1046" s="6">
        <f t="shared" si="155"/>
        <v>45.145631067961176</v>
      </c>
      <c r="AD1046" s="6">
        <f t="shared" si="158"/>
        <v>928.38064464962792</v>
      </c>
      <c r="AE1046" s="2">
        <v>7.0000000000000007E-2</v>
      </c>
      <c r="AF1046" s="5">
        <f t="shared" si="156"/>
        <v>64.986645125473956</v>
      </c>
      <c r="AG1046" s="14">
        <v>0</v>
      </c>
      <c r="AH1046" s="19">
        <f t="shared" si="159"/>
        <v>1550.0000000000005</v>
      </c>
      <c r="AJ1046" s="126" t="e">
        <v>#N/A</v>
      </c>
      <c r="AK1046" s="80">
        <f t="shared" si="157"/>
        <v>0</v>
      </c>
      <c r="AM1046" s="85"/>
    </row>
    <row r="1047" spans="1:39" hidden="1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52"/>
        <v>0</v>
      </c>
      <c r="Y1047" s="13">
        <f t="shared" si="153"/>
        <v>0</v>
      </c>
      <c r="Z1047" s="14">
        <v>0</v>
      </c>
      <c r="AA1047" s="4">
        <v>0</v>
      </c>
      <c r="AB1047" s="4">
        <f t="shared" si="154"/>
        <v>0</v>
      </c>
      <c r="AC1047" s="6">
        <f t="shared" si="155"/>
        <v>0</v>
      </c>
      <c r="AD1047" s="6">
        <f t="shared" si="158"/>
        <v>0</v>
      </c>
      <c r="AE1047" s="2">
        <v>0.12</v>
      </c>
      <c r="AF1047" s="5">
        <f t="shared" si="156"/>
        <v>0</v>
      </c>
      <c r="AG1047" s="14">
        <v>0</v>
      </c>
      <c r="AH1047" s="19">
        <f t="shared" si="159"/>
        <v>0</v>
      </c>
      <c r="AJ1047" s="126" t="e">
        <v>#N/A</v>
      </c>
      <c r="AK1047" s="80">
        <f t="shared" si="157"/>
        <v>0</v>
      </c>
      <c r="AM1047" s="85"/>
    </row>
    <row r="1048" spans="1:39" hidden="1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160">T1048+U1048-V1048</f>
        <v>5905.3900100000028</v>
      </c>
      <c r="X1048" s="18">
        <f t="shared" si="152"/>
        <v>202909.69998999999</v>
      </c>
      <c r="Y1048" s="13">
        <f t="shared" si="153"/>
        <v>81375.868969110496</v>
      </c>
      <c r="Z1048" s="14">
        <v>0</v>
      </c>
      <c r="AA1048" s="4">
        <v>0</v>
      </c>
      <c r="AB1048" s="4">
        <f t="shared" si="154"/>
        <v>202909.69998999999</v>
      </c>
      <c r="AC1048" s="6">
        <f t="shared" si="155"/>
        <v>0</v>
      </c>
      <c r="AD1048" s="6">
        <f t="shared" si="158"/>
        <v>121533.8310208895</v>
      </c>
      <c r="AE1048" s="2">
        <v>7.0000000000000007E-2</v>
      </c>
      <c r="AF1048" s="5">
        <f t="shared" si="156"/>
        <v>8507.3681714622653</v>
      </c>
      <c r="AG1048" s="14">
        <v>0</v>
      </c>
      <c r="AH1048" s="19">
        <f t="shared" si="159"/>
        <v>202909.69998999999</v>
      </c>
      <c r="AJ1048" s="126" t="e">
        <v>#N/A</v>
      </c>
      <c r="AK1048" s="80">
        <f t="shared" si="157"/>
        <v>0</v>
      </c>
      <c r="AM1048" s="85"/>
    </row>
    <row r="1049" spans="1:39" hidden="1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160"/>
        <v>0</v>
      </c>
      <c r="X1049" s="18">
        <f t="shared" si="152"/>
        <v>-7970.8737864077666</v>
      </c>
      <c r="Y1049" s="13">
        <f t="shared" si="153"/>
        <v>0</v>
      </c>
      <c r="Z1049" s="14">
        <v>0</v>
      </c>
      <c r="AA1049" s="4">
        <v>0</v>
      </c>
      <c r="AB1049" s="4">
        <f t="shared" si="154"/>
        <v>-7970.8737864077666</v>
      </c>
      <c r="AC1049" s="6">
        <f t="shared" si="155"/>
        <v>-239.1262135922334</v>
      </c>
      <c r="AD1049" s="6">
        <f t="shared" si="158"/>
        <v>-4917.4226403699631</v>
      </c>
      <c r="AE1049" s="2">
        <v>7.0000000000000007E-2</v>
      </c>
      <c r="AF1049" s="5">
        <f t="shared" si="156"/>
        <v>-344.21958482589747</v>
      </c>
      <c r="AG1049" s="14">
        <v>0</v>
      </c>
      <c r="AH1049" s="19">
        <f t="shared" si="159"/>
        <v>-8210</v>
      </c>
      <c r="AJ1049" s="126" t="e">
        <v>#N/A</v>
      </c>
      <c r="AK1049" s="80">
        <f t="shared" si="157"/>
        <v>0</v>
      </c>
      <c r="AM1049" s="85"/>
    </row>
    <row r="1050" spans="1:39" hidden="1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160"/>
        <v>0</v>
      </c>
      <c r="X1050" s="18">
        <f t="shared" si="152"/>
        <v>8267.5728252427125</v>
      </c>
      <c r="Y1050" s="13">
        <f t="shared" si="153"/>
        <v>3167.10945307357</v>
      </c>
      <c r="Z1050" s="14">
        <v>0</v>
      </c>
      <c r="AA1050" s="4">
        <v>0</v>
      </c>
      <c r="AB1050" s="4">
        <f t="shared" si="154"/>
        <v>8267.5728252427125</v>
      </c>
      <c r="AC1050" s="6">
        <f t="shared" si="155"/>
        <v>248.02718475728216</v>
      </c>
      <c r="AD1050" s="6">
        <f t="shared" si="158"/>
        <v>5100.4633721691425</v>
      </c>
      <c r="AE1050" s="2">
        <v>7.0000000000000007E-2</v>
      </c>
      <c r="AF1050" s="5">
        <f t="shared" si="156"/>
        <v>357.03243605184002</v>
      </c>
      <c r="AG1050" s="14">
        <v>0</v>
      </c>
      <c r="AH1050" s="19">
        <f t="shared" si="159"/>
        <v>8515.6000099999947</v>
      </c>
      <c r="AJ1050" s="126" t="e">
        <v>#N/A</v>
      </c>
      <c r="AK1050" s="80">
        <f t="shared" si="157"/>
        <v>0</v>
      </c>
      <c r="AM1050" s="85"/>
    </row>
    <row r="1051" spans="1:39" hidden="1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160"/>
        <v>605130.80000000005</v>
      </c>
      <c r="X1051" s="18">
        <f t="shared" si="152"/>
        <v>94869.2</v>
      </c>
      <c r="Y1051" s="13">
        <f t="shared" si="153"/>
        <v>38046.794159100355</v>
      </c>
      <c r="Z1051" s="14">
        <v>0</v>
      </c>
      <c r="AA1051" s="4">
        <v>0</v>
      </c>
      <c r="AB1051" s="4">
        <f t="shared" si="154"/>
        <v>94869.2</v>
      </c>
      <c r="AC1051" s="6">
        <f t="shared" si="155"/>
        <v>0</v>
      </c>
      <c r="AD1051" s="6">
        <f t="shared" si="158"/>
        <v>56822.405840899642</v>
      </c>
      <c r="AE1051" s="2">
        <v>7.0000000000000007E-2</v>
      </c>
      <c r="AF1051" s="5">
        <f t="shared" si="156"/>
        <v>3977.5684088629755</v>
      </c>
      <c r="AG1051" s="14">
        <v>0</v>
      </c>
      <c r="AH1051" s="19">
        <f t="shared" si="159"/>
        <v>94869.2</v>
      </c>
      <c r="AJ1051" s="126" t="e">
        <v>#N/A</v>
      </c>
      <c r="AK1051" s="80">
        <f t="shared" si="157"/>
        <v>0</v>
      </c>
      <c r="AM1051" s="85"/>
    </row>
    <row r="1052" spans="1:39" hidden="1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160"/>
        <v>0</v>
      </c>
      <c r="X1052" s="18">
        <f t="shared" si="152"/>
        <v>16002.5</v>
      </c>
      <c r="Y1052" s="13">
        <f t="shared" si="153"/>
        <v>6417.7185380608607</v>
      </c>
      <c r="Z1052" s="14">
        <v>0</v>
      </c>
      <c r="AA1052" s="4">
        <v>0</v>
      </c>
      <c r="AB1052" s="4">
        <f t="shared" si="154"/>
        <v>16002.5</v>
      </c>
      <c r="AC1052" s="6">
        <f t="shared" si="155"/>
        <v>0</v>
      </c>
      <c r="AD1052" s="6">
        <f t="shared" si="158"/>
        <v>9584.7814619391393</v>
      </c>
      <c r="AE1052" s="2">
        <v>7.0000000000000007E-2</v>
      </c>
      <c r="AF1052" s="5">
        <f t="shared" si="156"/>
        <v>670.93470233573976</v>
      </c>
      <c r="AG1052" s="14">
        <v>0</v>
      </c>
      <c r="AH1052" s="19">
        <f t="shared" si="159"/>
        <v>16002.5</v>
      </c>
      <c r="AJ1052" s="126" t="e">
        <v>#N/A</v>
      </c>
      <c r="AK1052" s="80">
        <f t="shared" si="157"/>
        <v>0</v>
      </c>
      <c r="AM1052" s="85"/>
    </row>
    <row r="1053" spans="1:39" hidden="1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160"/>
        <v>24827.5</v>
      </c>
      <c r="X1053" s="18">
        <f t="shared" si="152"/>
        <v>2583</v>
      </c>
      <c r="Y1053" s="13">
        <f t="shared" si="153"/>
        <v>1035.8985773354916</v>
      </c>
      <c r="Z1053" s="14">
        <v>0</v>
      </c>
      <c r="AA1053" s="4">
        <v>0</v>
      </c>
      <c r="AB1053" s="4">
        <f t="shared" si="154"/>
        <v>2583</v>
      </c>
      <c r="AC1053" s="6">
        <f t="shared" si="155"/>
        <v>0</v>
      </c>
      <c r="AD1053" s="6">
        <f t="shared" si="158"/>
        <v>1547.1014226645084</v>
      </c>
      <c r="AE1053" s="2">
        <v>7.0000000000000007E-2</v>
      </c>
      <c r="AF1053" s="5">
        <f t="shared" si="156"/>
        <v>108.2970995865156</v>
      </c>
      <c r="AG1053" s="14">
        <v>0</v>
      </c>
      <c r="AH1053" s="19">
        <f t="shared" si="159"/>
        <v>2583</v>
      </c>
      <c r="AJ1053" s="126" t="e">
        <v>#N/A</v>
      </c>
      <c r="AK1053" s="80">
        <f t="shared" si="157"/>
        <v>0</v>
      </c>
      <c r="AM1053" s="85"/>
    </row>
    <row r="1054" spans="1:39" hidden="1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160"/>
        <v>-14999.999960000094</v>
      </c>
      <c r="X1054" s="18">
        <f t="shared" si="152"/>
        <v>0</v>
      </c>
      <c r="Y1054" s="13">
        <f t="shared" si="153"/>
        <v>0</v>
      </c>
      <c r="Z1054" s="14">
        <v>0</v>
      </c>
      <c r="AA1054" s="4">
        <v>0</v>
      </c>
      <c r="AB1054" s="4">
        <f t="shared" si="154"/>
        <v>0</v>
      </c>
      <c r="AC1054" s="6">
        <f t="shared" si="155"/>
        <v>0</v>
      </c>
      <c r="AD1054" s="6">
        <f t="shared" si="158"/>
        <v>0</v>
      </c>
      <c r="AE1054" s="2">
        <v>7.0000000000000007E-2</v>
      </c>
      <c r="AF1054" s="5">
        <f t="shared" si="156"/>
        <v>0</v>
      </c>
      <c r="AG1054" s="14">
        <v>0</v>
      </c>
      <c r="AH1054" s="19">
        <f t="shared" si="159"/>
        <v>0</v>
      </c>
      <c r="AJ1054" s="126" t="e">
        <v>#N/A</v>
      </c>
      <c r="AK1054" s="80">
        <f t="shared" si="157"/>
        <v>0</v>
      </c>
      <c r="AM1054" s="85"/>
    </row>
    <row r="1055" spans="1:39" hidden="1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160"/>
        <v>43482.400040000008</v>
      </c>
      <c r="X1055" s="18">
        <f t="shared" si="152"/>
        <v>159517.59995999999</v>
      </c>
      <c r="Y1055" s="13">
        <f t="shared" si="153"/>
        <v>63973.695260757275</v>
      </c>
      <c r="Z1055" s="14">
        <v>0</v>
      </c>
      <c r="AA1055" s="4">
        <v>0</v>
      </c>
      <c r="AB1055" s="4">
        <f t="shared" si="154"/>
        <v>159517.59995999999</v>
      </c>
      <c r="AC1055" s="6">
        <f t="shared" si="155"/>
        <v>0</v>
      </c>
      <c r="AD1055" s="6">
        <f t="shared" si="158"/>
        <v>95543.904699242717</v>
      </c>
      <c r="AE1055" s="2">
        <v>7.0000000000000007E-2</v>
      </c>
      <c r="AF1055" s="5">
        <f t="shared" si="156"/>
        <v>6688.0733289469908</v>
      </c>
      <c r="AG1055" s="14">
        <v>0</v>
      </c>
      <c r="AH1055" s="19">
        <f t="shared" si="159"/>
        <v>159517.59995999999</v>
      </c>
      <c r="AJ1055" s="126" t="e">
        <v>#N/A</v>
      </c>
      <c r="AK1055" s="80">
        <f t="shared" si="157"/>
        <v>0</v>
      </c>
      <c r="AM1055" s="85"/>
    </row>
    <row r="1056" spans="1:39" hidden="1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160"/>
        <v>513644.54040000006</v>
      </c>
      <c r="X1056" s="18">
        <f t="shared" si="152"/>
        <v>1115103.0396</v>
      </c>
      <c r="Y1056" s="13">
        <f t="shared" si="153"/>
        <v>0</v>
      </c>
      <c r="Z1056" s="14">
        <v>0</v>
      </c>
      <c r="AA1056" s="4">
        <v>0</v>
      </c>
      <c r="AB1056" s="4">
        <f t="shared" si="154"/>
        <v>1115103.0396</v>
      </c>
      <c r="AC1056" s="6">
        <f t="shared" si="155"/>
        <v>0</v>
      </c>
      <c r="AD1056" s="18">
        <f>V1056</f>
        <v>1115103.0396</v>
      </c>
      <c r="AE1056" s="2">
        <v>0.02</v>
      </c>
      <c r="AF1056" s="5">
        <f t="shared" si="156"/>
        <v>22302.060792</v>
      </c>
      <c r="AG1056" s="14">
        <v>0</v>
      </c>
      <c r="AH1056" s="19">
        <f t="shared" si="159"/>
        <v>1115103.0396</v>
      </c>
      <c r="AJ1056" s="126" t="e">
        <v>#N/A</v>
      </c>
      <c r="AK1056" s="80">
        <f t="shared" si="157"/>
        <v>0</v>
      </c>
      <c r="AM1056" s="85"/>
    </row>
    <row r="1057" spans="1:39" hidden="1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160"/>
        <v>3621673.6096100006</v>
      </c>
      <c r="X1057" s="18">
        <f t="shared" si="152"/>
        <v>236.89874</v>
      </c>
      <c r="Y1057" s="13">
        <f t="shared" si="153"/>
        <v>95.006994865880955</v>
      </c>
      <c r="Z1057" s="14">
        <v>0</v>
      </c>
      <c r="AA1057" s="4">
        <v>0</v>
      </c>
      <c r="AB1057" s="4">
        <f t="shared" si="154"/>
        <v>236.89874</v>
      </c>
      <c r="AC1057" s="6">
        <f t="shared" si="155"/>
        <v>0</v>
      </c>
      <c r="AD1057" s="6">
        <f t="shared" ref="AD1057:AD1120" si="161">V1057*0.598955254612663</f>
        <v>141.89174513411905</v>
      </c>
      <c r="AE1057" s="2">
        <v>7.0000000000000007E-2</v>
      </c>
      <c r="AF1057" s="5">
        <f t="shared" si="156"/>
        <v>9.9324221593883344</v>
      </c>
      <c r="AG1057" s="14">
        <v>0</v>
      </c>
      <c r="AH1057" s="19">
        <f t="shared" si="159"/>
        <v>236.89874</v>
      </c>
      <c r="AJ1057" s="126" t="e">
        <v>#N/A</v>
      </c>
      <c r="AK1057" s="80">
        <f t="shared" si="157"/>
        <v>0</v>
      </c>
      <c r="AM1057" s="85"/>
    </row>
    <row r="1058" spans="1:39" hidden="1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160"/>
        <v>104827.77999999997</v>
      </c>
      <c r="X1058" s="18">
        <f t="shared" si="152"/>
        <v>325172.22000000003</v>
      </c>
      <c r="Y1058" s="13">
        <f t="shared" si="153"/>
        <v>130408.61017693515</v>
      </c>
      <c r="Z1058" s="14">
        <v>0</v>
      </c>
      <c r="AA1058" s="4">
        <v>0</v>
      </c>
      <c r="AB1058" s="4">
        <f t="shared" si="154"/>
        <v>325172.22000000003</v>
      </c>
      <c r="AC1058" s="6">
        <f t="shared" si="155"/>
        <v>0</v>
      </c>
      <c r="AD1058" s="6">
        <f t="shared" si="161"/>
        <v>194763.60982306488</v>
      </c>
      <c r="AE1058" s="2">
        <v>7.0000000000000007E-2</v>
      </c>
      <c r="AF1058" s="5">
        <f t="shared" si="156"/>
        <v>13633.452687614543</v>
      </c>
      <c r="AG1058" s="14">
        <v>0</v>
      </c>
      <c r="AH1058" s="19">
        <f t="shared" si="159"/>
        <v>325172.22000000003</v>
      </c>
      <c r="AJ1058" s="126" t="e">
        <v>#N/A</v>
      </c>
      <c r="AK1058" s="80">
        <f t="shared" si="157"/>
        <v>0</v>
      </c>
      <c r="AM1058" s="85"/>
    </row>
    <row r="1059" spans="1:39" hidden="1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160"/>
        <v>10093.799999999999</v>
      </c>
      <c r="X1059" s="18">
        <f t="shared" si="152"/>
        <v>19906.2</v>
      </c>
      <c r="Y1059" s="13">
        <f t="shared" si="153"/>
        <v>7983.276910629409</v>
      </c>
      <c r="Z1059" s="14">
        <v>0</v>
      </c>
      <c r="AA1059" s="4">
        <v>0</v>
      </c>
      <c r="AB1059" s="4">
        <f t="shared" si="154"/>
        <v>19906.2</v>
      </c>
      <c r="AC1059" s="6">
        <f t="shared" si="155"/>
        <v>0</v>
      </c>
      <c r="AD1059" s="6">
        <f t="shared" si="161"/>
        <v>11922.923089370592</v>
      </c>
      <c r="AE1059" s="2">
        <v>7.0000000000000007E-2</v>
      </c>
      <c r="AF1059" s="5">
        <f t="shared" si="156"/>
        <v>834.60461625594155</v>
      </c>
      <c r="AG1059" s="14">
        <v>0</v>
      </c>
      <c r="AH1059" s="19">
        <f t="shared" si="159"/>
        <v>19906.2</v>
      </c>
      <c r="AJ1059" s="126" t="e">
        <v>#N/A</v>
      </c>
      <c r="AK1059" s="80">
        <f t="shared" si="157"/>
        <v>0</v>
      </c>
      <c r="AM1059" s="85"/>
    </row>
    <row r="1060" spans="1:39" hidden="1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160"/>
        <v>3769.7000000000007</v>
      </c>
      <c r="X1060" s="18">
        <f t="shared" si="152"/>
        <v>16230.3</v>
      </c>
      <c r="Y1060" s="13">
        <f t="shared" si="153"/>
        <v>6509.0765310600964</v>
      </c>
      <c r="Z1060" s="14">
        <v>0</v>
      </c>
      <c r="AA1060" s="4">
        <v>0</v>
      </c>
      <c r="AB1060" s="4">
        <f t="shared" si="154"/>
        <v>16230.3</v>
      </c>
      <c r="AC1060" s="6">
        <f t="shared" si="155"/>
        <v>0</v>
      </c>
      <c r="AD1060" s="6">
        <f t="shared" si="161"/>
        <v>9721.2234689399029</v>
      </c>
      <c r="AE1060" s="2">
        <v>7.0000000000000007E-2</v>
      </c>
      <c r="AF1060" s="5">
        <f t="shared" si="156"/>
        <v>680.48564282579332</v>
      </c>
      <c r="AG1060" s="14">
        <v>0</v>
      </c>
      <c r="AH1060" s="19">
        <f t="shared" si="159"/>
        <v>16230.3</v>
      </c>
      <c r="AJ1060" s="126" t="e">
        <v>#N/A</v>
      </c>
      <c r="AK1060" s="80">
        <f t="shared" si="157"/>
        <v>0</v>
      </c>
      <c r="AM1060" s="85"/>
    </row>
    <row r="1061" spans="1:39" hidden="1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160"/>
        <v>2707.9600000000064</v>
      </c>
      <c r="X1061" s="18">
        <f t="shared" si="152"/>
        <v>107292.04</v>
      </c>
      <c r="Y1061" s="13">
        <f t="shared" si="153"/>
        <v>43028.908863887977</v>
      </c>
      <c r="Z1061" s="14">
        <v>0</v>
      </c>
      <c r="AA1061" s="4">
        <v>0</v>
      </c>
      <c r="AB1061" s="4">
        <f t="shared" si="154"/>
        <v>107292.04</v>
      </c>
      <c r="AC1061" s="6">
        <f t="shared" si="155"/>
        <v>0</v>
      </c>
      <c r="AD1061" s="6">
        <f t="shared" si="161"/>
        <v>64263.131136112017</v>
      </c>
      <c r="AE1061" s="2">
        <v>7.0000000000000007E-2</v>
      </c>
      <c r="AF1061" s="5">
        <f t="shared" si="156"/>
        <v>4498.4191795278421</v>
      </c>
      <c r="AG1061" s="14">
        <v>0</v>
      </c>
      <c r="AH1061" s="19">
        <f t="shared" si="159"/>
        <v>107292.04</v>
      </c>
      <c r="AJ1061" s="126" t="e">
        <v>#N/A</v>
      </c>
      <c r="AK1061" s="80">
        <f t="shared" si="157"/>
        <v>0</v>
      </c>
      <c r="AM1061" s="85"/>
    </row>
    <row r="1062" spans="1:39" hidden="1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160"/>
        <v>1009.7999999999993</v>
      </c>
      <c r="X1062" s="18">
        <f t="shared" si="152"/>
        <v>8990.2000000000007</v>
      </c>
      <c r="Y1062" s="13">
        <f t="shared" si="153"/>
        <v>3605.4724699812377</v>
      </c>
      <c r="Z1062" s="14">
        <v>0</v>
      </c>
      <c r="AA1062" s="4">
        <v>0</v>
      </c>
      <c r="AB1062" s="4">
        <f t="shared" si="154"/>
        <v>8990.2000000000007</v>
      </c>
      <c r="AC1062" s="6">
        <f t="shared" si="155"/>
        <v>0</v>
      </c>
      <c r="AD1062" s="6">
        <f t="shared" si="161"/>
        <v>5384.727530018763</v>
      </c>
      <c r="AE1062" s="2">
        <v>7.0000000000000007E-2</v>
      </c>
      <c r="AF1062" s="5">
        <f t="shared" si="156"/>
        <v>376.93092710131344</v>
      </c>
      <c r="AG1062" s="14">
        <v>0</v>
      </c>
      <c r="AH1062" s="19">
        <f t="shared" si="159"/>
        <v>8990.2000000000007</v>
      </c>
      <c r="AJ1062" s="126" t="e">
        <v>#N/A</v>
      </c>
      <c r="AK1062" s="80">
        <f t="shared" si="157"/>
        <v>0</v>
      </c>
      <c r="AM1062" s="85"/>
    </row>
    <row r="1063" spans="1:39" hidden="1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160"/>
        <v>11155.569999999992</v>
      </c>
      <c r="X1063" s="18">
        <f t="shared" si="152"/>
        <v>68844.430000000008</v>
      </c>
      <c r="Y1063" s="13">
        <f t="shared" si="153"/>
        <v>27609.696900686351</v>
      </c>
      <c r="Z1063" s="14">
        <v>0</v>
      </c>
      <c r="AA1063" s="4">
        <v>0</v>
      </c>
      <c r="AB1063" s="4">
        <f t="shared" si="154"/>
        <v>68844.430000000008</v>
      </c>
      <c r="AC1063" s="6">
        <f t="shared" si="155"/>
        <v>0</v>
      </c>
      <c r="AD1063" s="6">
        <f t="shared" si="161"/>
        <v>41234.733099313657</v>
      </c>
      <c r="AE1063" s="2">
        <v>7.0000000000000007E-2</v>
      </c>
      <c r="AF1063" s="5">
        <f t="shared" si="156"/>
        <v>2886.4313169519564</v>
      </c>
      <c r="AG1063" s="14">
        <v>0</v>
      </c>
      <c r="AH1063" s="19">
        <f t="shared" si="159"/>
        <v>68844.430000000008</v>
      </c>
      <c r="AJ1063" s="126" t="e">
        <v>#N/A</v>
      </c>
      <c r="AK1063" s="80">
        <f t="shared" si="157"/>
        <v>0</v>
      </c>
      <c r="AM1063" s="85"/>
    </row>
    <row r="1064" spans="1:39" hidden="1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160"/>
        <v>0</v>
      </c>
      <c r="X1064" s="18">
        <f t="shared" si="152"/>
        <v>49029.1</v>
      </c>
      <c r="Y1064" s="13">
        <f t="shared" si="153"/>
        <v>19662.862926070284</v>
      </c>
      <c r="Z1064" s="14">
        <v>0</v>
      </c>
      <c r="AA1064" s="4">
        <v>0</v>
      </c>
      <c r="AB1064" s="4">
        <f t="shared" si="154"/>
        <v>49029.1</v>
      </c>
      <c r="AC1064" s="6">
        <f t="shared" si="155"/>
        <v>0</v>
      </c>
      <c r="AD1064" s="6">
        <f t="shared" si="161"/>
        <v>29366.237073929715</v>
      </c>
      <c r="AE1064" s="2">
        <v>7.0000000000000007E-2</v>
      </c>
      <c r="AF1064" s="5">
        <f t="shared" si="156"/>
        <v>2055.6365951750804</v>
      </c>
      <c r="AG1064" s="14">
        <v>0</v>
      </c>
      <c r="AH1064" s="19">
        <f t="shared" si="159"/>
        <v>49029.1</v>
      </c>
      <c r="AJ1064" s="126" t="e">
        <v>#N/A</v>
      </c>
      <c r="AK1064" s="80">
        <f t="shared" si="157"/>
        <v>0</v>
      </c>
      <c r="AM1064" s="85"/>
    </row>
    <row r="1065" spans="1:39" hidden="1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160"/>
        <v>19796.040000000008</v>
      </c>
      <c r="X1065" s="18">
        <f t="shared" si="152"/>
        <v>141156.20588235292</v>
      </c>
      <c r="Y1065" s="13">
        <f t="shared" si="153"/>
        <v>54919.029623242313</v>
      </c>
      <c r="Z1065" s="14">
        <v>0</v>
      </c>
      <c r="AA1065" s="4">
        <v>0</v>
      </c>
      <c r="AB1065" s="4">
        <f t="shared" si="154"/>
        <v>141156.20588235292</v>
      </c>
      <c r="AC1065" s="6">
        <f t="shared" si="155"/>
        <v>2823.1241176470648</v>
      </c>
      <c r="AD1065" s="6">
        <f t="shared" si="161"/>
        <v>86237.176259110609</v>
      </c>
      <c r="AE1065" s="2">
        <v>7.0000000000000007E-2</v>
      </c>
      <c r="AF1065" s="5">
        <f t="shared" si="156"/>
        <v>6036.6023381377436</v>
      </c>
      <c r="AG1065" s="14">
        <v>0</v>
      </c>
      <c r="AH1065" s="19">
        <f t="shared" si="159"/>
        <v>143979.32999999999</v>
      </c>
      <c r="AJ1065" s="126" t="e">
        <v>#N/A</v>
      </c>
      <c r="AK1065" s="80">
        <f t="shared" si="157"/>
        <v>0</v>
      </c>
      <c r="AM1065" s="85"/>
    </row>
    <row r="1066" spans="1:39" hidden="1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160"/>
        <v>-1.6370904631912708E-11</v>
      </c>
      <c r="X1066" s="18">
        <f t="shared" si="152"/>
        <v>14160.4</v>
      </c>
      <c r="Y1066" s="13">
        <f t="shared" si="153"/>
        <v>5678.954012582848</v>
      </c>
      <c r="Z1066" s="14">
        <v>0</v>
      </c>
      <c r="AA1066" s="4">
        <v>0</v>
      </c>
      <c r="AB1066" s="4">
        <f t="shared" si="154"/>
        <v>14160.4</v>
      </c>
      <c r="AC1066" s="6">
        <f t="shared" si="155"/>
        <v>0</v>
      </c>
      <c r="AD1066" s="6">
        <f t="shared" si="161"/>
        <v>8481.4459874171516</v>
      </c>
      <c r="AE1066" s="2">
        <v>7.0000000000000007E-2</v>
      </c>
      <c r="AF1066" s="5">
        <f t="shared" si="156"/>
        <v>593.70121911920069</v>
      </c>
      <c r="AG1066" s="14">
        <v>0</v>
      </c>
      <c r="AH1066" s="19">
        <f t="shared" si="159"/>
        <v>14160.4</v>
      </c>
      <c r="AJ1066" s="126" t="e">
        <v>#N/A</v>
      </c>
      <c r="AK1066" s="80">
        <f t="shared" si="157"/>
        <v>0</v>
      </c>
      <c r="AM1066" s="85"/>
    </row>
    <row r="1067" spans="1:39" hidden="1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160"/>
        <v>0</v>
      </c>
      <c r="X1067" s="18">
        <f t="shared" si="152"/>
        <v>21550.7</v>
      </c>
      <c r="Y1067" s="13">
        <f t="shared" si="153"/>
        <v>8642.794994418884</v>
      </c>
      <c r="Z1067" s="14">
        <v>0</v>
      </c>
      <c r="AA1067" s="4">
        <v>0</v>
      </c>
      <c r="AB1067" s="4">
        <f t="shared" si="154"/>
        <v>21550.7</v>
      </c>
      <c r="AC1067" s="6">
        <f t="shared" si="155"/>
        <v>0</v>
      </c>
      <c r="AD1067" s="6">
        <f t="shared" si="161"/>
        <v>12907.905005581117</v>
      </c>
      <c r="AE1067" s="2">
        <v>7.0000000000000007E-2</v>
      </c>
      <c r="AF1067" s="5">
        <f t="shared" si="156"/>
        <v>903.55335039067825</v>
      </c>
      <c r="AG1067" s="14">
        <v>0</v>
      </c>
      <c r="AH1067" s="19">
        <f t="shared" si="159"/>
        <v>21550.7</v>
      </c>
      <c r="AJ1067" s="126" t="e">
        <v>#N/A</v>
      </c>
      <c r="AK1067" s="80">
        <f t="shared" si="157"/>
        <v>0</v>
      </c>
      <c r="AM1067" s="85"/>
    </row>
    <row r="1068" spans="1:39" hidden="1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160"/>
        <v>14264.8</v>
      </c>
      <c r="X1068" s="18">
        <f>IF(P1068="折扣",V1068*Q1068,IF(P1068="返现",V1068,V1068/(1+Q1068)))+0.24</f>
        <v>15426.906666666668</v>
      </c>
      <c r="Y1068" s="13">
        <f t="shared" si="153"/>
        <v>6002.225944285492</v>
      </c>
      <c r="Z1068" s="14">
        <v>0</v>
      </c>
      <c r="AA1068" s="4">
        <v>0</v>
      </c>
      <c r="AB1068" s="4">
        <f t="shared" si="154"/>
        <v>15426.906666666668</v>
      </c>
      <c r="AC1068" s="6">
        <f t="shared" si="155"/>
        <v>308.29333333333307</v>
      </c>
      <c r="AD1068" s="6">
        <f t="shared" si="161"/>
        <v>9424.6807223811757</v>
      </c>
      <c r="AE1068" s="2">
        <v>7.0000000000000007E-2</v>
      </c>
      <c r="AF1068" s="5">
        <f t="shared" si="156"/>
        <v>659.72765056668231</v>
      </c>
      <c r="AG1068" s="14">
        <v>0</v>
      </c>
      <c r="AH1068" s="19">
        <f t="shared" si="159"/>
        <v>15735.2</v>
      </c>
      <c r="AJ1068" s="126" t="e">
        <v>#N/A</v>
      </c>
      <c r="AK1068" s="80">
        <f t="shared" si="157"/>
        <v>0</v>
      </c>
      <c r="AM1068" s="85"/>
    </row>
    <row r="1069" spans="1:39" hidden="1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160"/>
        <v>1025.7100000000501</v>
      </c>
      <c r="X1069" s="18">
        <f t="shared" si="152"/>
        <v>148974.28999999995</v>
      </c>
      <c r="Y1069" s="13">
        <f t="shared" si="153"/>
        <v>59745.356202309296</v>
      </c>
      <c r="Z1069" s="14">
        <v>0</v>
      </c>
      <c r="AA1069" s="4">
        <v>0</v>
      </c>
      <c r="AB1069" s="4">
        <f t="shared" si="154"/>
        <v>148974.28999999995</v>
      </c>
      <c r="AC1069" s="6">
        <f t="shared" si="155"/>
        <v>0</v>
      </c>
      <c r="AD1069" s="6">
        <f t="shared" si="161"/>
        <v>89228.933797690654</v>
      </c>
      <c r="AE1069" s="2">
        <v>7.0000000000000007E-2</v>
      </c>
      <c r="AF1069" s="5">
        <f t="shared" si="156"/>
        <v>6246.0253658383463</v>
      </c>
      <c r="AG1069" s="14">
        <v>0</v>
      </c>
      <c r="AH1069" s="19">
        <f t="shared" si="159"/>
        <v>148974.28999999995</v>
      </c>
      <c r="AJ1069" s="126" t="e">
        <v>#N/A</v>
      </c>
      <c r="AK1069" s="80">
        <f t="shared" si="157"/>
        <v>0</v>
      </c>
      <c r="AM1069" s="85"/>
    </row>
    <row r="1070" spans="1:39" hidden="1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160"/>
        <v>7604.6500000000087</v>
      </c>
      <c r="X1070" s="18">
        <f t="shared" si="152"/>
        <v>2395.3499999999913</v>
      </c>
      <c r="Y1070" s="13">
        <f t="shared" si="153"/>
        <v>960.64253086355416</v>
      </c>
      <c r="Z1070" s="14">
        <v>0</v>
      </c>
      <c r="AA1070" s="4">
        <v>0</v>
      </c>
      <c r="AB1070" s="4">
        <f t="shared" si="154"/>
        <v>2395.3499999999913</v>
      </c>
      <c r="AC1070" s="6">
        <f t="shared" si="155"/>
        <v>0</v>
      </c>
      <c r="AD1070" s="6">
        <f t="shared" si="161"/>
        <v>1434.7074691364371</v>
      </c>
      <c r="AE1070" s="2">
        <v>7.0000000000000007E-2</v>
      </c>
      <c r="AF1070" s="5">
        <f t="shared" si="156"/>
        <v>100.42952283955061</v>
      </c>
      <c r="AG1070" s="14">
        <v>0</v>
      </c>
      <c r="AH1070" s="19">
        <f t="shared" si="159"/>
        <v>2395.3499999999913</v>
      </c>
      <c r="AJ1070" s="126" t="e">
        <v>#N/A</v>
      </c>
      <c r="AK1070" s="80">
        <f t="shared" si="157"/>
        <v>0</v>
      </c>
      <c r="AM1070" s="85"/>
    </row>
    <row r="1071" spans="1:39" hidden="1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160"/>
        <v>450.70000000000073</v>
      </c>
      <c r="X1071" s="18">
        <f t="shared" si="152"/>
        <v>14956.5</v>
      </c>
      <c r="Y1071" s="13">
        <f t="shared" si="153"/>
        <v>5998.2257343857054</v>
      </c>
      <c r="Z1071" s="14">
        <v>0</v>
      </c>
      <c r="AA1071" s="4">
        <v>0</v>
      </c>
      <c r="AB1071" s="4">
        <f t="shared" si="154"/>
        <v>14956.5</v>
      </c>
      <c r="AC1071" s="6">
        <f t="shared" si="155"/>
        <v>0</v>
      </c>
      <c r="AD1071" s="6">
        <f t="shared" si="161"/>
        <v>8958.2742656142946</v>
      </c>
      <c r="AE1071" s="2">
        <v>7.0000000000000007E-2</v>
      </c>
      <c r="AF1071" s="5">
        <f t="shared" si="156"/>
        <v>627.07919859300068</v>
      </c>
      <c r="AG1071" s="14">
        <v>0</v>
      </c>
      <c r="AH1071" s="19">
        <f t="shared" si="159"/>
        <v>14956.5</v>
      </c>
      <c r="AJ1071" s="126" t="e">
        <v>#N/A</v>
      </c>
      <c r="AK1071" s="80">
        <f t="shared" si="157"/>
        <v>0</v>
      </c>
      <c r="AM1071" s="85"/>
    </row>
    <row r="1072" spans="1:39" hidden="1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160"/>
        <v>0</v>
      </c>
      <c r="X1072" s="18">
        <f t="shared" si="152"/>
        <v>0</v>
      </c>
      <c r="Y1072" s="13">
        <f t="shared" si="153"/>
        <v>0</v>
      </c>
      <c r="Z1072" s="14">
        <v>0</v>
      </c>
      <c r="AA1072" s="4">
        <v>0</v>
      </c>
      <c r="AB1072" s="4">
        <f t="shared" si="154"/>
        <v>0</v>
      </c>
      <c r="AC1072" s="6">
        <f t="shared" si="155"/>
        <v>0</v>
      </c>
      <c r="AD1072" s="6">
        <f t="shared" si="161"/>
        <v>0</v>
      </c>
      <c r="AE1072" s="2">
        <v>7.0000000000000007E-2</v>
      </c>
      <c r="AF1072" s="5">
        <f t="shared" si="156"/>
        <v>0</v>
      </c>
      <c r="AG1072" s="14">
        <v>0</v>
      </c>
      <c r="AH1072" s="19">
        <f t="shared" si="159"/>
        <v>0</v>
      </c>
      <c r="AJ1072" s="126" t="e">
        <v>#N/A</v>
      </c>
      <c r="AK1072" s="80">
        <f t="shared" si="157"/>
        <v>0</v>
      </c>
      <c r="AM1072" s="85"/>
    </row>
    <row r="1073" spans="1:39" hidden="1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160"/>
        <v>10497.08501000001</v>
      </c>
      <c r="X1073" s="18">
        <f t="shared" si="152"/>
        <v>60228.5</v>
      </c>
      <c r="Y1073" s="13">
        <f t="shared" si="153"/>
        <v>24154.323447561226</v>
      </c>
      <c r="Z1073" s="14">
        <v>0</v>
      </c>
      <c r="AA1073" s="4">
        <v>0</v>
      </c>
      <c r="AB1073" s="4">
        <f t="shared" si="154"/>
        <v>60228.5</v>
      </c>
      <c r="AC1073" s="6">
        <f t="shared" si="155"/>
        <v>0</v>
      </c>
      <c r="AD1073" s="6">
        <f t="shared" si="161"/>
        <v>36074.176552438774</v>
      </c>
      <c r="AE1073" s="2">
        <v>7.0000000000000007E-2</v>
      </c>
      <c r="AF1073" s="5">
        <f t="shared" si="156"/>
        <v>2525.1923586707144</v>
      </c>
      <c r="AG1073" s="14">
        <v>0</v>
      </c>
      <c r="AH1073" s="19">
        <f t="shared" si="159"/>
        <v>60228.5</v>
      </c>
      <c r="AJ1073" s="126" t="e">
        <v>#N/A</v>
      </c>
      <c r="AK1073" s="80">
        <f t="shared" si="157"/>
        <v>0</v>
      </c>
      <c r="AM1073" s="85"/>
    </row>
    <row r="1074" spans="1:39" hidden="1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160"/>
        <v>8283</v>
      </c>
      <c r="X1074" s="18">
        <f t="shared" si="152"/>
        <v>11717</v>
      </c>
      <c r="Y1074" s="13">
        <f t="shared" si="153"/>
        <v>4699.0412817034276</v>
      </c>
      <c r="Z1074" s="14">
        <v>0</v>
      </c>
      <c r="AA1074" s="4">
        <v>0</v>
      </c>
      <c r="AB1074" s="4">
        <f t="shared" si="154"/>
        <v>11717</v>
      </c>
      <c r="AC1074" s="6">
        <f t="shared" si="155"/>
        <v>0</v>
      </c>
      <c r="AD1074" s="6">
        <f t="shared" si="161"/>
        <v>7017.9587182965724</v>
      </c>
      <c r="AE1074" s="2">
        <v>7.0000000000000007E-2</v>
      </c>
      <c r="AF1074" s="5">
        <f t="shared" si="156"/>
        <v>491.25711028076012</v>
      </c>
      <c r="AG1074" s="14">
        <v>0</v>
      </c>
      <c r="AH1074" s="19">
        <f t="shared" si="159"/>
        <v>11717</v>
      </c>
      <c r="AJ1074" s="126" t="e">
        <v>#N/A</v>
      </c>
      <c r="AK1074" s="80">
        <f t="shared" si="157"/>
        <v>0</v>
      </c>
      <c r="AM1074" s="85"/>
    </row>
    <row r="1075" spans="1:39" hidden="1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160"/>
        <v>135692.47920999999</v>
      </c>
      <c r="X1075" s="18">
        <f t="shared" si="152"/>
        <v>64307.520790000002</v>
      </c>
      <c r="Y1075" s="13">
        <f t="shared" si="153"/>
        <v>25790.193301716434</v>
      </c>
      <c r="Z1075" s="14">
        <v>0</v>
      </c>
      <c r="AA1075" s="4">
        <v>0</v>
      </c>
      <c r="AB1075" s="4">
        <f t="shared" si="154"/>
        <v>64307.520790000002</v>
      </c>
      <c r="AC1075" s="6">
        <f t="shared" si="155"/>
        <v>0</v>
      </c>
      <c r="AD1075" s="6">
        <f t="shared" si="161"/>
        <v>38517.327488283569</v>
      </c>
      <c r="AE1075" s="2">
        <v>0.12</v>
      </c>
      <c r="AF1075" s="5">
        <f t="shared" si="156"/>
        <v>4622.0792985940279</v>
      </c>
      <c r="AG1075" s="14">
        <v>0</v>
      </c>
      <c r="AH1075" s="19">
        <f t="shared" si="159"/>
        <v>64307.520790000002</v>
      </c>
      <c r="AJ1075" s="126" t="e">
        <v>#N/A</v>
      </c>
      <c r="AK1075" s="80">
        <f t="shared" si="157"/>
        <v>0</v>
      </c>
      <c r="AM1075" s="85"/>
    </row>
    <row r="1076" spans="1:39" hidden="1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160"/>
        <v>87418.800000000047</v>
      </c>
      <c r="X1076" s="18">
        <f t="shared" si="152"/>
        <v>1022581.2</v>
      </c>
      <c r="Y1076" s="13">
        <f t="shared" si="153"/>
        <v>410100.81699187751</v>
      </c>
      <c r="Z1076" s="14">
        <v>0</v>
      </c>
      <c r="AA1076" s="4">
        <v>0</v>
      </c>
      <c r="AB1076" s="4">
        <f t="shared" si="154"/>
        <v>1022581.2</v>
      </c>
      <c r="AC1076" s="6">
        <f t="shared" si="155"/>
        <v>0</v>
      </c>
      <c r="AD1076" s="6">
        <f t="shared" si="161"/>
        <v>612480.38300812244</v>
      </c>
      <c r="AE1076" s="2">
        <v>7.0000000000000007E-2</v>
      </c>
      <c r="AF1076" s="5">
        <f t="shared" si="156"/>
        <v>42873.626810568574</v>
      </c>
      <c r="AG1076" s="14">
        <v>0</v>
      </c>
      <c r="AH1076" s="19">
        <f t="shared" si="159"/>
        <v>1022581.2</v>
      </c>
      <c r="AJ1076" s="126" t="e">
        <v>#N/A</v>
      </c>
      <c r="AK1076" s="80">
        <f t="shared" si="157"/>
        <v>0</v>
      </c>
      <c r="AM1076" s="85"/>
    </row>
    <row r="1077" spans="1:39" hidden="1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160"/>
        <v>110677.50083999988</v>
      </c>
      <c r="X1077" s="18">
        <f t="shared" si="152"/>
        <v>2139322.4991600001</v>
      </c>
      <c r="Y1077" s="13">
        <f t="shared" si="153"/>
        <v>857964.04697702383</v>
      </c>
      <c r="Z1077" s="14">
        <v>0</v>
      </c>
      <c r="AA1077" s="4">
        <v>0</v>
      </c>
      <c r="AB1077" s="4">
        <f t="shared" si="154"/>
        <v>2139322.4991600001</v>
      </c>
      <c r="AC1077" s="6">
        <f t="shared" si="155"/>
        <v>0</v>
      </c>
      <c r="AD1077" s="6">
        <f t="shared" si="161"/>
        <v>1281358.4521829763</v>
      </c>
      <c r="AE1077" s="2">
        <v>7.0000000000000007E-2</v>
      </c>
      <c r="AF1077" s="5">
        <f t="shared" si="156"/>
        <v>89695.091652808347</v>
      </c>
      <c r="AG1077" s="14">
        <v>0</v>
      </c>
      <c r="AH1077" s="19">
        <f t="shared" si="159"/>
        <v>2139322.4991600001</v>
      </c>
      <c r="AJ1077" s="126" t="e">
        <v>#N/A</v>
      </c>
      <c r="AK1077" s="80">
        <f t="shared" si="157"/>
        <v>0</v>
      </c>
      <c r="AM1077" s="85"/>
    </row>
    <row r="1078" spans="1:39" hidden="1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160"/>
        <v>95326.900000000023</v>
      </c>
      <c r="X1078" s="18">
        <f t="shared" si="152"/>
        <v>484673.1</v>
      </c>
      <c r="Y1078" s="13">
        <f t="shared" si="153"/>
        <v>194375.59998559131</v>
      </c>
      <c r="Z1078" s="14">
        <v>0</v>
      </c>
      <c r="AA1078" s="4">
        <v>0</v>
      </c>
      <c r="AB1078" s="4">
        <f t="shared" si="154"/>
        <v>484673.1</v>
      </c>
      <c r="AC1078" s="6">
        <f t="shared" si="155"/>
        <v>0</v>
      </c>
      <c r="AD1078" s="6">
        <f t="shared" si="161"/>
        <v>290297.50001440867</v>
      </c>
      <c r="AE1078" s="2">
        <v>7.0000000000000007E-2</v>
      </c>
      <c r="AF1078" s="5">
        <f t="shared" si="156"/>
        <v>20320.825001008609</v>
      </c>
      <c r="AG1078" s="14">
        <v>0</v>
      </c>
      <c r="AH1078" s="19">
        <f t="shared" si="159"/>
        <v>484673.1</v>
      </c>
      <c r="AJ1078" s="126" t="e">
        <v>#N/A</v>
      </c>
      <c r="AK1078" s="80">
        <f t="shared" si="157"/>
        <v>0</v>
      </c>
      <c r="AM1078" s="85"/>
    </row>
    <row r="1079" spans="1:39" hidden="1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160"/>
        <v>8632</v>
      </c>
      <c r="X1079" s="18">
        <f t="shared" si="152"/>
        <v>1368</v>
      </c>
      <c r="Y1079" s="13">
        <f t="shared" si="153"/>
        <v>548.62921168987702</v>
      </c>
      <c r="Z1079" s="14">
        <v>0</v>
      </c>
      <c r="AA1079" s="4">
        <v>0</v>
      </c>
      <c r="AB1079" s="4">
        <f t="shared" si="154"/>
        <v>1368</v>
      </c>
      <c r="AC1079" s="6">
        <f t="shared" si="155"/>
        <v>0</v>
      </c>
      <c r="AD1079" s="6">
        <f t="shared" si="161"/>
        <v>819.37078831012298</v>
      </c>
      <c r="AE1079" s="2">
        <v>7.0000000000000007E-2</v>
      </c>
      <c r="AF1079" s="5">
        <f t="shared" si="156"/>
        <v>57.355955181708616</v>
      </c>
      <c r="AG1079" s="14">
        <v>0</v>
      </c>
      <c r="AH1079" s="19">
        <f t="shared" si="159"/>
        <v>1368</v>
      </c>
      <c r="AJ1079" s="126" t="e">
        <v>#N/A</v>
      </c>
      <c r="AK1079" s="80">
        <f t="shared" si="157"/>
        <v>0</v>
      </c>
      <c r="AM1079" s="85"/>
    </row>
    <row r="1080" spans="1:39" hidden="1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160"/>
        <v>26385.1</v>
      </c>
      <c r="X1080" s="18">
        <f t="shared" si="152"/>
        <v>63614.9</v>
      </c>
      <c r="Y1080" s="13">
        <f t="shared" si="153"/>
        <v>25512.421373340905</v>
      </c>
      <c r="Z1080" s="14">
        <v>0</v>
      </c>
      <c r="AA1080" s="4">
        <v>0</v>
      </c>
      <c r="AB1080" s="4">
        <f t="shared" si="154"/>
        <v>63614.9</v>
      </c>
      <c r="AC1080" s="6">
        <f t="shared" si="155"/>
        <v>0</v>
      </c>
      <c r="AD1080" s="6">
        <f t="shared" si="161"/>
        <v>38102.478626659096</v>
      </c>
      <c r="AE1080" s="2">
        <v>7.0000000000000007E-2</v>
      </c>
      <c r="AF1080" s="5">
        <f t="shared" si="156"/>
        <v>2667.1735038661368</v>
      </c>
      <c r="AG1080" s="14">
        <v>0</v>
      </c>
      <c r="AH1080" s="19">
        <f t="shared" si="159"/>
        <v>63614.9</v>
      </c>
      <c r="AJ1080" s="126" t="e">
        <v>#N/A</v>
      </c>
      <c r="AK1080" s="80">
        <f t="shared" si="157"/>
        <v>0</v>
      </c>
      <c r="AM1080" s="85"/>
    </row>
    <row r="1081" spans="1:39" hidden="1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160"/>
        <v>72160.100000000006</v>
      </c>
      <c r="X1081" s="18">
        <f t="shared" ref="X1081:X1124" si="162">IF(P1081="折扣",V1081*Q1081,IF(P1081="返现",V1081,V1081/(1+Q1081)))</f>
        <v>187839.9</v>
      </c>
      <c r="Y1081" s="13">
        <f t="shared" si="153"/>
        <v>75332.204869082852</v>
      </c>
      <c r="Z1081" s="14">
        <v>0</v>
      </c>
      <c r="AA1081" s="4">
        <v>0</v>
      </c>
      <c r="AB1081" s="4">
        <f t="shared" si="154"/>
        <v>187839.9</v>
      </c>
      <c r="AC1081" s="6">
        <f t="shared" si="155"/>
        <v>0</v>
      </c>
      <c r="AD1081" s="6">
        <f t="shared" si="161"/>
        <v>112507.69513091714</v>
      </c>
      <c r="AE1081" s="2">
        <v>7.0000000000000007E-2</v>
      </c>
      <c r="AF1081" s="5">
        <f t="shared" si="156"/>
        <v>7875.5386591642009</v>
      </c>
      <c r="AG1081" s="14">
        <v>0</v>
      </c>
      <c r="AH1081" s="19">
        <f t="shared" si="159"/>
        <v>187839.9</v>
      </c>
      <c r="AJ1081" s="126" t="e">
        <v>#N/A</v>
      </c>
      <c r="AK1081" s="80">
        <f t="shared" si="157"/>
        <v>0</v>
      </c>
      <c r="AM1081" s="85"/>
    </row>
    <row r="1082" spans="1:39" hidden="1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160"/>
        <v>45229.899999999994</v>
      </c>
      <c r="X1082" s="18">
        <f t="shared" si="162"/>
        <v>74770.100000000006</v>
      </c>
      <c r="Y1082" s="13">
        <f t="shared" si="153"/>
        <v>29986.155717085734</v>
      </c>
      <c r="Z1082" s="14">
        <v>0</v>
      </c>
      <c r="AA1082" s="4">
        <v>0</v>
      </c>
      <c r="AB1082" s="4">
        <f t="shared" si="154"/>
        <v>74770.100000000006</v>
      </c>
      <c r="AC1082" s="6">
        <f t="shared" si="155"/>
        <v>0</v>
      </c>
      <c r="AD1082" s="6">
        <f t="shared" si="161"/>
        <v>44783.944282914272</v>
      </c>
      <c r="AE1082" s="2">
        <v>7.0000000000000007E-2</v>
      </c>
      <c r="AF1082" s="5">
        <f t="shared" si="156"/>
        <v>3134.8760998039993</v>
      </c>
      <c r="AG1082" s="14">
        <v>0</v>
      </c>
      <c r="AH1082" s="19">
        <f t="shared" si="159"/>
        <v>74770.100000000006</v>
      </c>
      <c r="AJ1082" s="126" t="e">
        <v>#N/A</v>
      </c>
      <c r="AK1082" s="80">
        <f t="shared" si="157"/>
        <v>0</v>
      </c>
      <c r="AM1082" s="85"/>
    </row>
    <row r="1083" spans="1:39" hidden="1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160"/>
        <v>14724</v>
      </c>
      <c r="X1083" s="18">
        <f t="shared" si="162"/>
        <v>5276</v>
      </c>
      <c r="Y1083" s="13">
        <f t="shared" si="153"/>
        <v>2115.9120766635901</v>
      </c>
      <c r="Z1083" s="14">
        <v>0</v>
      </c>
      <c r="AA1083" s="4">
        <v>0</v>
      </c>
      <c r="AB1083" s="4">
        <f t="shared" si="154"/>
        <v>5276</v>
      </c>
      <c r="AC1083" s="6">
        <f t="shared" si="155"/>
        <v>0</v>
      </c>
      <c r="AD1083" s="6">
        <f t="shared" si="161"/>
        <v>3160.0879233364099</v>
      </c>
      <c r="AE1083" s="2">
        <v>7.0000000000000007E-2</v>
      </c>
      <c r="AF1083" s="5">
        <f t="shared" si="156"/>
        <v>221.20615463354872</v>
      </c>
      <c r="AG1083" s="14">
        <v>0</v>
      </c>
      <c r="AH1083" s="19">
        <f t="shared" si="159"/>
        <v>5276</v>
      </c>
      <c r="AJ1083" s="126" t="e">
        <v>#N/A</v>
      </c>
      <c r="AK1083" s="80">
        <f t="shared" si="157"/>
        <v>0</v>
      </c>
      <c r="AM1083" s="85"/>
    </row>
    <row r="1084" spans="1:39" hidden="1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160"/>
        <v>14695.70000000003</v>
      </c>
      <c r="X1084" s="18">
        <f t="shared" si="162"/>
        <v>18102.8</v>
      </c>
      <c r="Y1084" s="13">
        <f t="shared" si="153"/>
        <v>7260.0328167978842</v>
      </c>
      <c r="Z1084" s="14">
        <v>0</v>
      </c>
      <c r="AA1084" s="4">
        <v>0</v>
      </c>
      <c r="AB1084" s="4">
        <f t="shared" si="154"/>
        <v>18102.8</v>
      </c>
      <c r="AC1084" s="6">
        <f t="shared" si="155"/>
        <v>0</v>
      </c>
      <c r="AD1084" s="6">
        <f t="shared" si="161"/>
        <v>10842.767183202115</v>
      </c>
      <c r="AE1084" s="2">
        <v>7.0000000000000007E-2</v>
      </c>
      <c r="AF1084" s="5">
        <f t="shared" si="156"/>
        <v>758.99370282414816</v>
      </c>
      <c r="AG1084" s="14">
        <v>0</v>
      </c>
      <c r="AH1084" s="19">
        <f t="shared" si="159"/>
        <v>18102.8</v>
      </c>
      <c r="AJ1084" s="126" t="e">
        <v>#N/A</v>
      </c>
      <c r="AK1084" s="80">
        <f t="shared" si="157"/>
        <v>0</v>
      </c>
      <c r="AM1084" s="85"/>
    </row>
    <row r="1085" spans="1:39" hidden="1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160"/>
        <v>0</v>
      </c>
      <c r="X1085" s="18">
        <f t="shared" si="162"/>
        <v>0</v>
      </c>
      <c r="Y1085" s="13">
        <f t="shared" si="153"/>
        <v>0</v>
      </c>
      <c r="Z1085" s="14">
        <v>0</v>
      </c>
      <c r="AA1085" s="4">
        <v>0</v>
      </c>
      <c r="AB1085" s="4">
        <f t="shared" si="154"/>
        <v>0</v>
      </c>
      <c r="AC1085" s="6">
        <f t="shared" si="155"/>
        <v>0</v>
      </c>
      <c r="AD1085" s="6">
        <f t="shared" si="161"/>
        <v>0</v>
      </c>
      <c r="AE1085" s="2">
        <v>7.0000000000000007E-2</v>
      </c>
      <c r="AF1085" s="5">
        <f t="shared" si="156"/>
        <v>0</v>
      </c>
      <c r="AG1085" s="14">
        <v>0</v>
      </c>
      <c r="AH1085" s="19">
        <f t="shared" si="159"/>
        <v>0</v>
      </c>
      <c r="AJ1085" s="126" t="e">
        <v>#N/A</v>
      </c>
      <c r="AK1085" s="80">
        <f t="shared" si="157"/>
        <v>0</v>
      </c>
      <c r="AM1085" s="85"/>
    </row>
    <row r="1086" spans="1:39" hidden="1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160"/>
        <v>321122.7</v>
      </c>
      <c r="X1086" s="18">
        <f t="shared" si="162"/>
        <v>378877.3</v>
      </c>
      <c r="Y1086" s="13">
        <f t="shared" si="153"/>
        <v>151946.75031154169</v>
      </c>
      <c r="Z1086" s="14">
        <v>0</v>
      </c>
      <c r="AA1086" s="4">
        <v>0</v>
      </c>
      <c r="AB1086" s="4">
        <f t="shared" si="154"/>
        <v>378877.3</v>
      </c>
      <c r="AC1086" s="6">
        <f t="shared" si="155"/>
        <v>0</v>
      </c>
      <c r="AD1086" s="6">
        <f t="shared" si="161"/>
        <v>226930.5496884583</v>
      </c>
      <c r="AE1086" s="2">
        <v>7.0000000000000007E-2</v>
      </c>
      <c r="AF1086" s="5">
        <f t="shared" si="156"/>
        <v>15885.138478192082</v>
      </c>
      <c r="AG1086" s="14">
        <v>0</v>
      </c>
      <c r="AH1086" s="19">
        <f t="shared" si="159"/>
        <v>378877.3</v>
      </c>
      <c r="AJ1086" s="126" t="e">
        <v>#N/A</v>
      </c>
      <c r="AK1086" s="80">
        <f t="shared" si="157"/>
        <v>0</v>
      </c>
      <c r="AM1086" s="85"/>
    </row>
    <row r="1087" spans="1:39" hidden="1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160"/>
        <v>18510.2</v>
      </c>
      <c r="X1087" s="18">
        <f t="shared" si="162"/>
        <v>1460.5882352941176</v>
      </c>
      <c r="Y1087" s="13">
        <f t="shared" si="153"/>
        <v>568.26469697217226</v>
      </c>
      <c r="Z1087" s="14">
        <v>0</v>
      </c>
      <c r="AA1087" s="4">
        <v>0</v>
      </c>
      <c r="AB1087" s="4">
        <f t="shared" si="154"/>
        <v>1460.5882352941176</v>
      </c>
      <c r="AC1087" s="6">
        <f t="shared" si="155"/>
        <v>29.211764705882388</v>
      </c>
      <c r="AD1087" s="6">
        <f t="shared" si="161"/>
        <v>892.32353832194531</v>
      </c>
      <c r="AE1087" s="2">
        <v>0.12</v>
      </c>
      <c r="AF1087" s="5">
        <f t="shared" si="156"/>
        <v>107.07882459863343</v>
      </c>
      <c r="AG1087" s="14">
        <v>0</v>
      </c>
      <c r="AH1087" s="19">
        <f t="shared" si="159"/>
        <v>1489.8</v>
      </c>
      <c r="AJ1087" s="126" t="e">
        <v>#N/A</v>
      </c>
      <c r="AK1087" s="80">
        <f t="shared" si="157"/>
        <v>0</v>
      </c>
      <c r="AM1087" s="85"/>
    </row>
    <row r="1088" spans="1:39" hidden="1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160"/>
        <v>73212.040000000095</v>
      </c>
      <c r="X1088" s="18">
        <f t="shared" si="162"/>
        <v>309192.67326732667</v>
      </c>
      <c r="Y1088" s="13">
        <f t="shared" si="153"/>
        <v>122148.17116271312</v>
      </c>
      <c r="Z1088" s="14">
        <v>0</v>
      </c>
      <c r="AA1088" s="4">
        <v>0</v>
      </c>
      <c r="AB1088" s="4">
        <f t="shared" si="154"/>
        <v>309192.67326732667</v>
      </c>
      <c r="AC1088" s="6">
        <f t="shared" si="155"/>
        <v>3091.9267326732515</v>
      </c>
      <c r="AD1088" s="6">
        <f t="shared" si="161"/>
        <v>187044.50210461355</v>
      </c>
      <c r="AE1088" s="2">
        <v>7.0000000000000007E-2</v>
      </c>
      <c r="AF1088" s="5">
        <f t="shared" si="156"/>
        <v>13093.115147322949</v>
      </c>
      <c r="AG1088" s="14">
        <v>0</v>
      </c>
      <c r="AH1088" s="19">
        <f t="shared" si="159"/>
        <v>312284.59999999992</v>
      </c>
      <c r="AJ1088" s="126" t="e">
        <v>#N/A</v>
      </c>
      <c r="AK1088" s="80">
        <f t="shared" si="157"/>
        <v>0</v>
      </c>
      <c r="AM1088" s="85"/>
    </row>
    <row r="1089" spans="1:39" hidden="1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160"/>
        <v>0</v>
      </c>
      <c r="X1089" s="18">
        <f t="shared" si="162"/>
        <v>1782.4271844661125</v>
      </c>
      <c r="Y1089" s="13">
        <f t="shared" si="153"/>
        <v>682.80523252266698</v>
      </c>
      <c r="Z1089" s="14">
        <v>0</v>
      </c>
      <c r="AA1089" s="4">
        <v>0</v>
      </c>
      <c r="AB1089" s="4">
        <f t="shared" si="154"/>
        <v>1782.4271844661125</v>
      </c>
      <c r="AC1089" s="6">
        <f t="shared" si="155"/>
        <v>53.472815533983521</v>
      </c>
      <c r="AD1089" s="6">
        <f t="shared" si="161"/>
        <v>1099.6219519434455</v>
      </c>
      <c r="AE1089" s="2">
        <v>7.0000000000000007E-2</v>
      </c>
      <c r="AF1089" s="5">
        <f t="shared" si="156"/>
        <v>76.973536636041189</v>
      </c>
      <c r="AG1089" s="14">
        <v>0</v>
      </c>
      <c r="AH1089" s="19">
        <f t="shared" si="159"/>
        <v>1835.900000000096</v>
      </c>
      <c r="AJ1089" s="126" t="e">
        <v>#N/A</v>
      </c>
      <c r="AK1089" s="80">
        <f t="shared" si="157"/>
        <v>0</v>
      </c>
      <c r="AM1089" s="85"/>
    </row>
    <row r="1090" spans="1:39" hidden="1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160"/>
        <v>2277172.35873</v>
      </c>
      <c r="X1090" s="18">
        <f t="shared" si="162"/>
        <v>1322827.64127</v>
      </c>
      <c r="Y1090" s="13">
        <f t="shared" si="153"/>
        <v>530513.07458445872</v>
      </c>
      <c r="Z1090" s="14">
        <v>0</v>
      </c>
      <c r="AA1090" s="4">
        <v>0</v>
      </c>
      <c r="AB1090" s="4">
        <f t="shared" si="154"/>
        <v>1322827.64127</v>
      </c>
      <c r="AC1090" s="6">
        <f t="shared" si="155"/>
        <v>0</v>
      </c>
      <c r="AD1090" s="6">
        <f t="shared" si="161"/>
        <v>792314.5666855413</v>
      </c>
      <c r="AE1090" s="2">
        <v>7.0000000000000007E-2</v>
      </c>
      <c r="AF1090" s="5">
        <f t="shared" si="156"/>
        <v>55462.019667987894</v>
      </c>
      <c r="AG1090" s="14">
        <v>0</v>
      </c>
      <c r="AH1090" s="19">
        <f t="shared" si="159"/>
        <v>1322827.64127</v>
      </c>
      <c r="AJ1090" s="126" t="e">
        <v>#N/A</v>
      </c>
      <c r="AK1090" s="80">
        <f t="shared" si="157"/>
        <v>0</v>
      </c>
      <c r="AM1090" s="85"/>
    </row>
    <row r="1091" spans="1:39" hidden="1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160"/>
        <v>0</v>
      </c>
      <c r="X1091" s="18">
        <f t="shared" si="162"/>
        <v>10257.43</v>
      </c>
      <c r="Y1091" s="13">
        <f t="shared" ref="Y1091:Y1154" si="16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164">X1091+AA1091</f>
        <v>10257.43</v>
      </c>
      <c r="AC1091" s="6">
        <f t="shared" ref="AC1091:AC1154" si="165">IF(P1091="返现",X1091*Q1091,V1091-X1091)</f>
        <v>0</v>
      </c>
      <c r="AD1091" s="6">
        <f t="shared" si="161"/>
        <v>6143.7415973215675</v>
      </c>
      <c r="AE1091" s="2">
        <v>7.0000000000000007E-2</v>
      </c>
      <c r="AF1091" s="5">
        <f t="shared" ref="AF1091:AF1154" si="166">AD1091*AE1091</f>
        <v>430.06191181250978</v>
      </c>
      <c r="AG1091" s="14">
        <v>0</v>
      </c>
      <c r="AH1091" s="19">
        <f t="shared" si="159"/>
        <v>10257.43</v>
      </c>
      <c r="AJ1091" s="126" t="e">
        <v>#N/A</v>
      </c>
      <c r="AK1091" s="80">
        <f t="shared" ref="AK1091:AK1154" si="167">X1091+AA1091-AB1091</f>
        <v>0</v>
      </c>
      <c r="AM1091" s="85"/>
    </row>
    <row r="1092" spans="1:39" hidden="1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160"/>
        <v>0</v>
      </c>
      <c r="X1092" s="18">
        <f t="shared" si="162"/>
        <v>159.87378640776697</v>
      </c>
      <c r="Y1092" s="13">
        <f t="shared" si="163"/>
        <v>61.243824630699763</v>
      </c>
      <c r="Z1092" s="14">
        <v>0</v>
      </c>
      <c r="AA1092" s="4">
        <v>0</v>
      </c>
      <c r="AB1092" s="4">
        <f t="shared" si="164"/>
        <v>159.87378640776697</v>
      </c>
      <c r="AC1092" s="6">
        <f t="shared" si="165"/>
        <v>4.7962135922330162</v>
      </c>
      <c r="AD1092" s="6">
        <f t="shared" si="161"/>
        <v>98.629961777067209</v>
      </c>
      <c r="AE1092" s="2">
        <v>7.0000000000000007E-2</v>
      </c>
      <c r="AF1092" s="5">
        <f t="shared" si="166"/>
        <v>6.904097324394705</v>
      </c>
      <c r="AG1092" s="14">
        <v>0</v>
      </c>
      <c r="AH1092" s="19">
        <f t="shared" si="159"/>
        <v>164.67</v>
      </c>
      <c r="AJ1092" s="126" t="e">
        <v>#N/A</v>
      </c>
      <c r="AK1092" s="80">
        <f t="shared" si="167"/>
        <v>0</v>
      </c>
      <c r="AM1092" s="85"/>
    </row>
    <row r="1093" spans="1:39" hidden="1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160"/>
        <v>-7.2759576141834259E-12</v>
      </c>
      <c r="X1093" s="18">
        <f t="shared" si="162"/>
        <v>0</v>
      </c>
      <c r="Y1093" s="13">
        <f t="shared" si="163"/>
        <v>0</v>
      </c>
      <c r="Z1093" s="14">
        <v>0</v>
      </c>
      <c r="AA1093" s="4">
        <v>0</v>
      </c>
      <c r="AB1093" s="4">
        <f t="shared" si="164"/>
        <v>0</v>
      </c>
      <c r="AC1093" s="6">
        <f t="shared" si="165"/>
        <v>0</v>
      </c>
      <c r="AD1093" s="6">
        <f t="shared" si="161"/>
        <v>0</v>
      </c>
      <c r="AE1093" s="2">
        <v>7.0000000000000007E-2</v>
      </c>
      <c r="AF1093" s="5">
        <f t="shared" si="166"/>
        <v>0</v>
      </c>
      <c r="AG1093" s="14">
        <v>0</v>
      </c>
      <c r="AH1093" s="19">
        <f t="shared" si="159"/>
        <v>0</v>
      </c>
      <c r="AJ1093" s="126" t="e">
        <v>#N/A</v>
      </c>
      <c r="AK1093" s="80">
        <f t="shared" si="167"/>
        <v>0</v>
      </c>
      <c r="AM1093" s="85"/>
    </row>
    <row r="1094" spans="1:39" hidden="1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160"/>
        <v>20426.399999999994</v>
      </c>
      <c r="X1094" s="18">
        <f t="shared" si="162"/>
        <v>99573.6</v>
      </c>
      <c r="Y1094" s="13">
        <f t="shared" si="163"/>
        <v>39933.469059300543</v>
      </c>
      <c r="Z1094" s="14">
        <v>0</v>
      </c>
      <c r="AA1094" s="4">
        <v>0</v>
      </c>
      <c r="AB1094" s="4">
        <f t="shared" si="164"/>
        <v>99573.6</v>
      </c>
      <c r="AC1094" s="6">
        <f t="shared" si="165"/>
        <v>0</v>
      </c>
      <c r="AD1094" s="6">
        <f t="shared" si="161"/>
        <v>59640.130940699462</v>
      </c>
      <c r="AE1094" s="2">
        <v>7.0000000000000007E-2</v>
      </c>
      <c r="AF1094" s="5">
        <f t="shared" si="166"/>
        <v>4174.8091658489629</v>
      </c>
      <c r="AG1094" s="14">
        <v>0</v>
      </c>
      <c r="AH1094" s="19">
        <f t="shared" si="159"/>
        <v>99573.6</v>
      </c>
      <c r="AJ1094" s="126" t="e">
        <v>#N/A</v>
      </c>
      <c r="AK1094" s="80">
        <f t="shared" si="167"/>
        <v>0</v>
      </c>
      <c r="AM1094" s="85"/>
    </row>
    <row r="1095" spans="1:39" hidden="1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160"/>
        <v>2218.1000000000004</v>
      </c>
      <c r="X1095" s="18">
        <f t="shared" si="162"/>
        <v>7781.9</v>
      </c>
      <c r="Y1095" s="13">
        <f t="shared" si="163"/>
        <v>3120.8901041297177</v>
      </c>
      <c r="Z1095" s="14">
        <v>0</v>
      </c>
      <c r="AA1095" s="4">
        <v>0</v>
      </c>
      <c r="AB1095" s="4">
        <f t="shared" si="164"/>
        <v>7781.9</v>
      </c>
      <c r="AC1095" s="6">
        <f t="shared" si="165"/>
        <v>0</v>
      </c>
      <c r="AD1095" s="6">
        <f t="shared" si="161"/>
        <v>4661.009895870282</v>
      </c>
      <c r="AE1095" s="2">
        <v>7.0000000000000007E-2</v>
      </c>
      <c r="AF1095" s="5">
        <f t="shared" si="166"/>
        <v>326.27069271091977</v>
      </c>
      <c r="AG1095" s="14">
        <v>0</v>
      </c>
      <c r="AH1095" s="19">
        <f t="shared" si="159"/>
        <v>7781.9</v>
      </c>
      <c r="AJ1095" s="126" t="e">
        <v>#N/A</v>
      </c>
      <c r="AK1095" s="80">
        <f t="shared" si="167"/>
        <v>0</v>
      </c>
      <c r="AM1095" s="85"/>
    </row>
    <row r="1096" spans="1:39" hidden="1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160"/>
        <v>454.59999999999854</v>
      </c>
      <c r="X1096" s="18">
        <f t="shared" si="162"/>
        <v>57720</v>
      </c>
      <c r="Y1096" s="13">
        <f t="shared" si="163"/>
        <v>23148.302703757094</v>
      </c>
      <c r="Z1096" s="14">
        <v>0</v>
      </c>
      <c r="AA1096" s="4">
        <v>0</v>
      </c>
      <c r="AB1096" s="4">
        <f t="shared" si="164"/>
        <v>57720</v>
      </c>
      <c r="AC1096" s="6">
        <f t="shared" si="165"/>
        <v>0</v>
      </c>
      <c r="AD1096" s="6">
        <f t="shared" si="161"/>
        <v>34571.697296242906</v>
      </c>
      <c r="AE1096" s="2">
        <v>7.0000000000000007E-2</v>
      </c>
      <c r="AF1096" s="5">
        <f t="shared" si="166"/>
        <v>2420.0188107370036</v>
      </c>
      <c r="AG1096" s="14">
        <v>0</v>
      </c>
      <c r="AH1096" s="19">
        <f t="shared" si="159"/>
        <v>57720</v>
      </c>
      <c r="AJ1096" s="126" t="e">
        <v>#N/A</v>
      </c>
      <c r="AK1096" s="80">
        <f t="shared" si="167"/>
        <v>0</v>
      </c>
      <c r="AM1096" s="85"/>
    </row>
    <row r="1097" spans="1:39" hidden="1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160"/>
        <v>20026.8</v>
      </c>
      <c r="X1097" s="18">
        <f t="shared" si="162"/>
        <v>19973.2</v>
      </c>
      <c r="Y1097" s="13">
        <f t="shared" si="163"/>
        <v>8010.1469085703611</v>
      </c>
      <c r="Z1097" s="14">
        <v>0</v>
      </c>
      <c r="AA1097" s="4">
        <v>0</v>
      </c>
      <c r="AB1097" s="4">
        <f t="shared" si="164"/>
        <v>19973.2</v>
      </c>
      <c r="AC1097" s="6">
        <f t="shared" si="165"/>
        <v>0</v>
      </c>
      <c r="AD1097" s="6">
        <f t="shared" si="161"/>
        <v>11963.05309142964</v>
      </c>
      <c r="AE1097" s="2">
        <v>7.0000000000000007E-2</v>
      </c>
      <c r="AF1097" s="5">
        <f t="shared" si="166"/>
        <v>837.4137164000748</v>
      </c>
      <c r="AG1097" s="14">
        <v>0</v>
      </c>
      <c r="AH1097" s="19">
        <f t="shared" si="159"/>
        <v>19973.2</v>
      </c>
      <c r="AJ1097" s="126" t="e">
        <v>#N/A</v>
      </c>
      <c r="AK1097" s="80">
        <f t="shared" si="167"/>
        <v>0</v>
      </c>
      <c r="AM1097" s="85"/>
    </row>
    <row r="1098" spans="1:39" hidden="1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160"/>
        <v>3498</v>
      </c>
      <c r="X1098" s="18">
        <f t="shared" si="162"/>
        <v>26502</v>
      </c>
      <c r="Y1098" s="13">
        <f t="shared" si="163"/>
        <v>10628.487842255206</v>
      </c>
      <c r="Z1098" s="14">
        <v>0</v>
      </c>
      <c r="AA1098" s="4">
        <v>0</v>
      </c>
      <c r="AB1098" s="4">
        <f t="shared" si="164"/>
        <v>26502</v>
      </c>
      <c r="AC1098" s="6">
        <f t="shared" si="165"/>
        <v>0</v>
      </c>
      <c r="AD1098" s="6">
        <f t="shared" si="161"/>
        <v>15873.512157744794</v>
      </c>
      <c r="AE1098" s="2">
        <v>7.0000000000000007E-2</v>
      </c>
      <c r="AF1098" s="5">
        <f t="shared" si="166"/>
        <v>1111.1458510421357</v>
      </c>
      <c r="AG1098" s="14">
        <v>0</v>
      </c>
      <c r="AH1098" s="19">
        <f t="shared" si="159"/>
        <v>26502</v>
      </c>
      <c r="AJ1098" s="126" t="e">
        <v>#N/A</v>
      </c>
      <c r="AK1098" s="80">
        <f t="shared" si="167"/>
        <v>0</v>
      </c>
      <c r="AM1098" s="85"/>
    </row>
    <row r="1099" spans="1:39" hidden="1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160"/>
        <v>248341.90879000002</v>
      </c>
      <c r="X1099" s="18">
        <f t="shared" si="162"/>
        <v>30809.439445544554</v>
      </c>
      <c r="Y1099" s="13">
        <f t="shared" si="163"/>
        <v>12171.429041489198</v>
      </c>
      <c r="Z1099" s="14">
        <v>0</v>
      </c>
      <c r="AA1099" s="4">
        <v>0</v>
      </c>
      <c r="AB1099" s="4">
        <f t="shared" si="164"/>
        <v>30809.439445544554</v>
      </c>
      <c r="AC1099" s="6">
        <f t="shared" si="165"/>
        <v>308.09439445544558</v>
      </c>
      <c r="AD1099" s="6">
        <f t="shared" si="161"/>
        <v>18638.010404055356</v>
      </c>
      <c r="AE1099" s="2">
        <v>0.12</v>
      </c>
      <c r="AF1099" s="5">
        <f t="shared" si="166"/>
        <v>2236.5612484866429</v>
      </c>
      <c r="AG1099" s="14">
        <v>0</v>
      </c>
      <c r="AH1099" s="19">
        <f t="shared" si="159"/>
        <v>31117.53384</v>
      </c>
      <c r="AJ1099" s="126" t="e">
        <v>#N/A</v>
      </c>
      <c r="AK1099" s="80">
        <f t="shared" si="167"/>
        <v>0</v>
      </c>
      <c r="AM1099" s="85"/>
    </row>
    <row r="1100" spans="1:39" hidden="1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160"/>
        <v>733648.9463999999</v>
      </c>
      <c r="X1100" s="18">
        <f t="shared" si="162"/>
        <v>13435.902247524753</v>
      </c>
      <c r="Y1100" s="13">
        <f t="shared" si="163"/>
        <v>5307.9229533915432</v>
      </c>
      <c r="Z1100" s="14">
        <v>0</v>
      </c>
      <c r="AA1100" s="4">
        <v>0</v>
      </c>
      <c r="AB1100" s="4">
        <f t="shared" si="164"/>
        <v>13435.902247524753</v>
      </c>
      <c r="AC1100" s="6">
        <f t="shared" si="165"/>
        <v>134.35902247524791</v>
      </c>
      <c r="AD1100" s="6">
        <f t="shared" si="161"/>
        <v>8127.9792941332098</v>
      </c>
      <c r="AE1100" s="2">
        <v>0.12</v>
      </c>
      <c r="AF1100" s="5">
        <f t="shared" si="166"/>
        <v>975.35751529598519</v>
      </c>
      <c r="AG1100" s="14">
        <v>0</v>
      </c>
      <c r="AH1100" s="19">
        <f t="shared" si="159"/>
        <v>13570.261270000001</v>
      </c>
      <c r="AJ1100" s="126" t="e">
        <v>#N/A</v>
      </c>
      <c r="AK1100" s="80">
        <f t="shared" si="167"/>
        <v>0</v>
      </c>
      <c r="AM1100" s="85"/>
    </row>
    <row r="1101" spans="1:39" hidden="1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160"/>
        <v>180000</v>
      </c>
      <c r="X1101" s="18">
        <f t="shared" si="162"/>
        <v>0</v>
      </c>
      <c r="Y1101" s="13">
        <f t="shared" si="163"/>
        <v>0</v>
      </c>
      <c r="Z1101" s="14">
        <v>0</v>
      </c>
      <c r="AA1101" s="4">
        <v>0</v>
      </c>
      <c r="AB1101" s="4">
        <f t="shared" si="164"/>
        <v>0</v>
      </c>
      <c r="AC1101" s="6">
        <f t="shared" si="165"/>
        <v>0</v>
      </c>
      <c r="AD1101" s="6">
        <f t="shared" si="161"/>
        <v>0</v>
      </c>
      <c r="AE1101" s="2">
        <v>0.12</v>
      </c>
      <c r="AF1101" s="5">
        <f t="shared" si="166"/>
        <v>0</v>
      </c>
      <c r="AG1101" s="14">
        <v>0</v>
      </c>
      <c r="AH1101" s="19">
        <f t="shared" si="159"/>
        <v>0</v>
      </c>
      <c r="AJ1101" s="126" t="e">
        <v>#N/A</v>
      </c>
      <c r="AK1101" s="80">
        <f t="shared" si="167"/>
        <v>0</v>
      </c>
      <c r="AM1101" s="85"/>
    </row>
    <row r="1102" spans="1:39" hidden="1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160"/>
        <v>55315.348550000002</v>
      </c>
      <c r="X1102" s="18">
        <f t="shared" si="162"/>
        <v>33895.799980198019</v>
      </c>
      <c r="Y1102" s="13">
        <f t="shared" si="163"/>
        <v>13390.711797684224</v>
      </c>
      <c r="Z1102" s="14">
        <v>0</v>
      </c>
      <c r="AA1102" s="4">
        <v>0</v>
      </c>
      <c r="AB1102" s="4">
        <f t="shared" si="164"/>
        <v>33895.799980198019</v>
      </c>
      <c r="AC1102" s="6">
        <f t="shared" si="165"/>
        <v>338.95799980198353</v>
      </c>
      <c r="AD1102" s="6">
        <f t="shared" si="161"/>
        <v>20505.088182513795</v>
      </c>
      <c r="AE1102" s="2">
        <v>0.12</v>
      </c>
      <c r="AF1102" s="5">
        <f t="shared" si="166"/>
        <v>2460.6105819016552</v>
      </c>
      <c r="AG1102" s="14">
        <v>0</v>
      </c>
      <c r="AH1102" s="19">
        <f t="shared" si="159"/>
        <v>34234.757980000002</v>
      </c>
      <c r="AJ1102" s="126" t="e">
        <v>#N/A</v>
      </c>
      <c r="AK1102" s="80">
        <f t="shared" si="167"/>
        <v>0</v>
      </c>
      <c r="AM1102" s="85"/>
    </row>
    <row r="1103" spans="1:39" hidden="1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160"/>
        <v>85412.393280000004</v>
      </c>
      <c r="X1103" s="18">
        <f t="shared" si="162"/>
        <v>1418.6417722772276</v>
      </c>
      <c r="Y1103" s="13">
        <f t="shared" si="163"/>
        <v>560.44179891957663</v>
      </c>
      <c r="Z1103" s="14">
        <v>0</v>
      </c>
      <c r="AA1103" s="4">
        <v>0</v>
      </c>
      <c r="AB1103" s="4">
        <f t="shared" si="164"/>
        <v>1418.6417722772276</v>
      </c>
      <c r="AC1103" s="6">
        <f t="shared" si="165"/>
        <v>14.186417722772376</v>
      </c>
      <c r="AD1103" s="6">
        <f t="shared" si="161"/>
        <v>858.19997335765095</v>
      </c>
      <c r="AE1103" s="2">
        <v>0.12</v>
      </c>
      <c r="AF1103" s="5">
        <f t="shared" si="166"/>
        <v>102.98399680291811</v>
      </c>
      <c r="AG1103" s="14">
        <v>0</v>
      </c>
      <c r="AH1103" s="19">
        <f t="shared" si="159"/>
        <v>1432.8281899999999</v>
      </c>
      <c r="AJ1103" s="126" t="e">
        <v>#N/A</v>
      </c>
      <c r="AK1103" s="80">
        <f t="shared" si="167"/>
        <v>0</v>
      </c>
      <c r="AM1103" s="85"/>
    </row>
    <row r="1104" spans="1:39" hidden="1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160"/>
        <v>2324214.6256900011</v>
      </c>
      <c r="X1104" s="18">
        <f t="shared" si="162"/>
        <v>6307582.4299900001</v>
      </c>
      <c r="Y1104" s="13">
        <f t="shared" si="163"/>
        <v>2529622.7896449803</v>
      </c>
      <c r="Z1104" s="14">
        <v>0</v>
      </c>
      <c r="AA1104" s="4">
        <v>0</v>
      </c>
      <c r="AB1104" s="4">
        <f t="shared" si="164"/>
        <v>6307582.4299900001</v>
      </c>
      <c r="AC1104" s="6">
        <f t="shared" si="165"/>
        <v>0</v>
      </c>
      <c r="AD1104" s="6">
        <f t="shared" si="161"/>
        <v>3777959.6403450198</v>
      </c>
      <c r="AE1104" s="2">
        <v>7.0000000000000007E-2</v>
      </c>
      <c r="AF1104" s="5">
        <f t="shared" si="166"/>
        <v>264457.17482415139</v>
      </c>
      <c r="AG1104" s="14">
        <v>0</v>
      </c>
      <c r="AH1104" s="19">
        <f t="shared" si="159"/>
        <v>6307582.4299900001</v>
      </c>
      <c r="AJ1104" s="126" t="e">
        <v>#N/A</v>
      </c>
      <c r="AK1104" s="80">
        <f t="shared" si="167"/>
        <v>0</v>
      </c>
      <c r="AM1104" s="85"/>
    </row>
    <row r="1105" spans="1:39" hidden="1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160"/>
        <v>21972.900000000023</v>
      </c>
      <c r="X1105" s="18">
        <f t="shared" si="162"/>
        <v>378027.1</v>
      </c>
      <c r="Y1105" s="13">
        <f t="shared" si="163"/>
        <v>151605.7820690134</v>
      </c>
      <c r="Z1105" s="14">
        <v>0</v>
      </c>
      <c r="AA1105" s="4">
        <v>0</v>
      </c>
      <c r="AB1105" s="4">
        <f t="shared" si="164"/>
        <v>378027.1</v>
      </c>
      <c r="AC1105" s="6">
        <f t="shared" si="165"/>
        <v>0</v>
      </c>
      <c r="AD1105" s="6">
        <f t="shared" si="161"/>
        <v>226421.31793098658</v>
      </c>
      <c r="AE1105" s="2">
        <v>7.0000000000000007E-2</v>
      </c>
      <c r="AF1105" s="5">
        <f t="shared" si="166"/>
        <v>15849.492255169062</v>
      </c>
      <c r="AG1105" s="14">
        <v>0</v>
      </c>
      <c r="AH1105" s="19">
        <f t="shared" si="159"/>
        <v>378027.1</v>
      </c>
      <c r="AJ1105" s="126" t="e">
        <v>#N/A</v>
      </c>
      <c r="AK1105" s="80">
        <f t="shared" si="167"/>
        <v>0</v>
      </c>
      <c r="AM1105" s="85"/>
    </row>
    <row r="1106" spans="1:39" hidden="1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160"/>
        <v>61440.290000000037</v>
      </c>
      <c r="X1106" s="18">
        <f t="shared" si="162"/>
        <v>342659.80999999994</v>
      </c>
      <c r="Y1106" s="13">
        <f t="shared" si="163"/>
        <v>137421.91625592325</v>
      </c>
      <c r="Z1106" s="14">
        <v>0</v>
      </c>
      <c r="AA1106" s="4">
        <v>0</v>
      </c>
      <c r="AB1106" s="4">
        <f t="shared" si="164"/>
        <v>342659.80999999994</v>
      </c>
      <c r="AC1106" s="6">
        <f t="shared" si="165"/>
        <v>0</v>
      </c>
      <c r="AD1106" s="6">
        <f t="shared" si="161"/>
        <v>205237.89374407669</v>
      </c>
      <c r="AE1106" s="2">
        <v>7.0000000000000007E-2</v>
      </c>
      <c r="AF1106" s="5">
        <f t="shared" si="166"/>
        <v>14366.65256208537</v>
      </c>
      <c r="AG1106" s="14">
        <v>0</v>
      </c>
      <c r="AH1106" s="19">
        <f t="shared" si="159"/>
        <v>342659.80999999994</v>
      </c>
      <c r="AJ1106" s="126" t="e">
        <v>#N/A</v>
      </c>
      <c r="AK1106" s="80">
        <f t="shared" si="167"/>
        <v>0</v>
      </c>
      <c r="AM1106" s="85"/>
    </row>
    <row r="1107" spans="1:39" hidden="1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160"/>
        <v>45907</v>
      </c>
      <c r="X1107" s="18">
        <f t="shared" si="162"/>
        <v>4093</v>
      </c>
      <c r="Y1107" s="13">
        <f t="shared" si="163"/>
        <v>1641.4761428703705</v>
      </c>
      <c r="Z1107" s="14">
        <v>0</v>
      </c>
      <c r="AA1107" s="4">
        <v>0</v>
      </c>
      <c r="AB1107" s="4">
        <f t="shared" si="164"/>
        <v>4093</v>
      </c>
      <c r="AC1107" s="6">
        <f t="shared" si="165"/>
        <v>0</v>
      </c>
      <c r="AD1107" s="6">
        <f t="shared" si="161"/>
        <v>2451.5238571296295</v>
      </c>
      <c r="AE1107" s="2">
        <v>7.0000000000000007E-2</v>
      </c>
      <c r="AF1107" s="5">
        <f t="shared" si="166"/>
        <v>171.60666999907409</v>
      </c>
      <c r="AG1107" s="14">
        <v>0</v>
      </c>
      <c r="AH1107" s="19">
        <f t="shared" si="159"/>
        <v>4093</v>
      </c>
      <c r="AJ1107" s="126" t="e">
        <v>#N/A</v>
      </c>
      <c r="AK1107" s="80">
        <f t="shared" si="167"/>
        <v>0</v>
      </c>
      <c r="AM1107" s="85"/>
    </row>
    <row r="1108" spans="1:39" hidden="1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160"/>
        <v>0</v>
      </c>
      <c r="X1108" s="18">
        <f t="shared" si="162"/>
        <v>173.29126213596979</v>
      </c>
      <c r="Y1108" s="13">
        <f t="shared" si="163"/>
        <v>66.38373874012629</v>
      </c>
      <c r="Z1108" s="14">
        <v>0</v>
      </c>
      <c r="AA1108" s="4">
        <v>0</v>
      </c>
      <c r="AB1108" s="4">
        <f t="shared" si="164"/>
        <v>173.29126213596979</v>
      </c>
      <c r="AC1108" s="6">
        <f t="shared" si="165"/>
        <v>5.1987378640791064</v>
      </c>
      <c r="AD1108" s="6">
        <f t="shared" si="161"/>
        <v>106.9075233958435</v>
      </c>
      <c r="AE1108" s="2">
        <v>7.0000000000000007E-2</v>
      </c>
      <c r="AF1108" s="5">
        <f t="shared" si="166"/>
        <v>7.4835266377090459</v>
      </c>
      <c r="AG1108" s="14">
        <v>0</v>
      </c>
      <c r="AH1108" s="19">
        <f t="shared" si="159"/>
        <v>178.49000000004889</v>
      </c>
      <c r="AJ1108" s="126" t="e">
        <v>#N/A</v>
      </c>
      <c r="AK1108" s="80">
        <f t="shared" si="167"/>
        <v>0</v>
      </c>
      <c r="AM1108" s="85"/>
    </row>
    <row r="1109" spans="1:39" hidden="1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160"/>
        <v>0</v>
      </c>
      <c r="X1109" s="18">
        <f t="shared" si="162"/>
        <v>0</v>
      </c>
      <c r="Y1109" s="13">
        <f t="shared" si="163"/>
        <v>0</v>
      </c>
      <c r="Z1109" s="14">
        <v>0</v>
      </c>
      <c r="AA1109" s="4">
        <v>0</v>
      </c>
      <c r="AB1109" s="4">
        <f t="shared" si="164"/>
        <v>0</v>
      </c>
      <c r="AC1109" s="6">
        <f t="shared" si="165"/>
        <v>0</v>
      </c>
      <c r="AD1109" s="6">
        <f t="shared" si="161"/>
        <v>0</v>
      </c>
      <c r="AE1109" s="2">
        <v>7.0000000000000007E-2</v>
      </c>
      <c r="AF1109" s="5">
        <f t="shared" si="166"/>
        <v>0</v>
      </c>
      <c r="AG1109" s="14">
        <v>0</v>
      </c>
      <c r="AH1109" s="19">
        <f t="shared" ref="AH1109:AH1172" si="168">V1109</f>
        <v>0</v>
      </c>
      <c r="AJ1109" s="126" t="e">
        <v>#N/A</v>
      </c>
      <c r="AK1109" s="80">
        <f t="shared" si="167"/>
        <v>0</v>
      </c>
      <c r="AM1109" s="85"/>
    </row>
    <row r="1110" spans="1:39" hidden="1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160"/>
        <v>579382.51341000001</v>
      </c>
      <c r="X1110" s="18">
        <f t="shared" si="162"/>
        <v>0.38821698113207542</v>
      </c>
      <c r="Y1110" s="13">
        <f t="shared" si="163"/>
        <v>0.1417409043064185</v>
      </c>
      <c r="Z1110" s="14">
        <v>0</v>
      </c>
      <c r="AA1110" s="4">
        <v>0</v>
      </c>
      <c r="AB1110" s="4">
        <f t="shared" si="164"/>
        <v>0.38821698113207542</v>
      </c>
      <c r="AC1110" s="6">
        <f t="shared" si="165"/>
        <v>2.3293018867924564E-2</v>
      </c>
      <c r="AD1110" s="6">
        <f t="shared" si="161"/>
        <v>0.24647607682565692</v>
      </c>
      <c r="AE1110" s="2">
        <v>0.12</v>
      </c>
      <c r="AF1110" s="5">
        <f t="shared" si="166"/>
        <v>2.9577129219078829E-2</v>
      </c>
      <c r="AG1110" s="14">
        <v>0</v>
      </c>
      <c r="AH1110" s="19">
        <f t="shared" si="168"/>
        <v>0.41150999999999999</v>
      </c>
      <c r="AJ1110" s="126" t="e">
        <v>#N/A</v>
      </c>
      <c r="AK1110" s="80">
        <f t="shared" si="167"/>
        <v>0</v>
      </c>
      <c r="AM1110" s="85"/>
    </row>
    <row r="1111" spans="1:39" hidden="1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160"/>
        <v>57616.800000000003</v>
      </c>
      <c r="X1111" s="18">
        <f t="shared" si="162"/>
        <v>102383.2</v>
      </c>
      <c r="Y1111" s="13">
        <f t="shared" si="163"/>
        <v>41060.244375940805</v>
      </c>
      <c r="Z1111" s="14">
        <v>0</v>
      </c>
      <c r="AA1111" s="4">
        <v>0</v>
      </c>
      <c r="AB1111" s="4">
        <f t="shared" si="164"/>
        <v>102383.2</v>
      </c>
      <c r="AC1111" s="6">
        <f t="shared" si="165"/>
        <v>0</v>
      </c>
      <c r="AD1111" s="6">
        <f t="shared" si="161"/>
        <v>61322.955624059192</v>
      </c>
      <c r="AE1111" s="2">
        <v>7.0000000000000007E-2</v>
      </c>
      <c r="AF1111" s="5">
        <f t="shared" si="166"/>
        <v>4292.6068936841439</v>
      </c>
      <c r="AG1111" s="14">
        <v>0</v>
      </c>
      <c r="AH1111" s="19">
        <f t="shared" si="168"/>
        <v>102383.2</v>
      </c>
      <c r="AJ1111" s="126" t="e">
        <v>#N/A</v>
      </c>
      <c r="AK1111" s="80">
        <f t="shared" si="167"/>
        <v>0</v>
      </c>
      <c r="AM1111" s="85"/>
    </row>
    <row r="1112" spans="1:39" hidden="1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169">T1112+U1112-V1112</f>
        <v>-4.3100000000849832</v>
      </c>
      <c r="X1112" s="18">
        <f t="shared" si="162"/>
        <v>0</v>
      </c>
      <c r="Y1112" s="13">
        <f t="shared" si="163"/>
        <v>0</v>
      </c>
      <c r="Z1112" s="14">
        <v>0</v>
      </c>
      <c r="AA1112" s="4">
        <v>0</v>
      </c>
      <c r="AB1112" s="4">
        <f t="shared" si="164"/>
        <v>0</v>
      </c>
      <c r="AC1112" s="6">
        <f t="shared" si="165"/>
        <v>0</v>
      </c>
      <c r="AD1112" s="6">
        <f t="shared" si="161"/>
        <v>0</v>
      </c>
      <c r="AE1112" s="2">
        <v>7.0000000000000007E-2</v>
      </c>
      <c r="AF1112" s="5">
        <f t="shared" si="166"/>
        <v>0</v>
      </c>
      <c r="AG1112" s="14">
        <v>0</v>
      </c>
      <c r="AH1112" s="19">
        <f t="shared" si="168"/>
        <v>0</v>
      </c>
      <c r="AJ1112" s="126" t="e">
        <v>#N/A</v>
      </c>
      <c r="AK1112" s="80">
        <f t="shared" si="167"/>
        <v>0</v>
      </c>
      <c r="AM1112" s="85"/>
    </row>
    <row r="1113" spans="1:39" hidden="1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169"/>
        <v>7372.5</v>
      </c>
      <c r="X1113" s="18">
        <f t="shared" si="162"/>
        <v>32627.5</v>
      </c>
      <c r="Y1113" s="13">
        <f t="shared" si="163"/>
        <v>13085.087430125339</v>
      </c>
      <c r="Z1113" s="14">
        <v>0</v>
      </c>
      <c r="AA1113" s="4">
        <v>0</v>
      </c>
      <c r="AB1113" s="4">
        <f t="shared" si="164"/>
        <v>32627.5</v>
      </c>
      <c r="AC1113" s="6">
        <f t="shared" si="165"/>
        <v>0</v>
      </c>
      <c r="AD1113" s="6">
        <f t="shared" si="161"/>
        <v>19542.412569874661</v>
      </c>
      <c r="AE1113" s="2">
        <v>7.0000000000000007E-2</v>
      </c>
      <c r="AF1113" s="5">
        <f t="shared" si="166"/>
        <v>1367.9688798912264</v>
      </c>
      <c r="AG1113" s="14">
        <v>0</v>
      </c>
      <c r="AH1113" s="19">
        <f t="shared" si="168"/>
        <v>32627.5</v>
      </c>
      <c r="AJ1113" s="126" t="e">
        <v>#N/A</v>
      </c>
      <c r="AK1113" s="80">
        <f t="shared" si="167"/>
        <v>0</v>
      </c>
      <c r="AM1113" s="85"/>
    </row>
    <row r="1114" spans="1:39" hidden="1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169"/>
        <v>0</v>
      </c>
      <c r="X1114" s="18">
        <f t="shared" si="162"/>
        <v>0</v>
      </c>
      <c r="Y1114" s="13">
        <f t="shared" si="163"/>
        <v>0</v>
      </c>
      <c r="Z1114" s="14">
        <v>0</v>
      </c>
      <c r="AA1114" s="4">
        <v>0</v>
      </c>
      <c r="AB1114" s="4">
        <f t="shared" si="164"/>
        <v>0</v>
      </c>
      <c r="AC1114" s="6">
        <f t="shared" si="165"/>
        <v>0</v>
      </c>
      <c r="AD1114" s="6">
        <f t="shared" si="161"/>
        <v>0</v>
      </c>
      <c r="AE1114" s="2">
        <v>7.0000000000000007E-2</v>
      </c>
      <c r="AF1114" s="5">
        <f t="shared" si="166"/>
        <v>0</v>
      </c>
      <c r="AG1114" s="14">
        <v>0</v>
      </c>
      <c r="AH1114" s="19">
        <f t="shared" si="168"/>
        <v>0</v>
      </c>
      <c r="AJ1114" s="126" t="e">
        <v>#N/A</v>
      </c>
      <c r="AK1114" s="80">
        <f t="shared" si="167"/>
        <v>0</v>
      </c>
      <c r="AM1114" s="85"/>
    </row>
    <row r="1115" spans="1:39" hidden="1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169"/>
        <v>37645.240000000005</v>
      </c>
      <c r="X1115" s="18">
        <f t="shared" si="162"/>
        <v>70334.83</v>
      </c>
      <c r="Y1115" s="13">
        <f t="shared" si="163"/>
        <v>28207.413989211636</v>
      </c>
      <c r="Z1115" s="14">
        <v>0</v>
      </c>
      <c r="AA1115" s="4">
        <v>0</v>
      </c>
      <c r="AB1115" s="4">
        <f t="shared" si="164"/>
        <v>70334.83</v>
      </c>
      <c r="AC1115" s="6">
        <f t="shared" si="165"/>
        <v>0</v>
      </c>
      <c r="AD1115" s="6">
        <f t="shared" si="161"/>
        <v>42127.416010788365</v>
      </c>
      <c r="AE1115" s="2">
        <v>7.0000000000000007E-2</v>
      </c>
      <c r="AF1115" s="5">
        <f t="shared" si="166"/>
        <v>2948.9191207551858</v>
      </c>
      <c r="AG1115" s="14">
        <v>0</v>
      </c>
      <c r="AH1115" s="19">
        <f t="shared" si="168"/>
        <v>70334.83</v>
      </c>
      <c r="AJ1115" s="126" t="e">
        <v>#N/A</v>
      </c>
      <c r="AK1115" s="80">
        <f t="shared" si="167"/>
        <v>0</v>
      </c>
      <c r="AM1115" s="85"/>
    </row>
    <row r="1116" spans="1:39" hidden="1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169"/>
        <v>0</v>
      </c>
      <c r="X1116" s="18">
        <f t="shared" si="162"/>
        <v>-9459.8039215686276</v>
      </c>
      <c r="Y1116" s="13">
        <f t="shared" si="163"/>
        <v>0</v>
      </c>
      <c r="Z1116" s="14">
        <v>0</v>
      </c>
      <c r="AA1116" s="4">
        <v>0</v>
      </c>
      <c r="AB1116" s="4">
        <f t="shared" si="164"/>
        <v>-9459.8039215686276</v>
      </c>
      <c r="AC1116" s="6">
        <f t="shared" si="165"/>
        <v>-189.19607843137237</v>
      </c>
      <c r="AD1116" s="6">
        <f t="shared" si="161"/>
        <v>-5779.3192517575853</v>
      </c>
      <c r="AE1116" s="2">
        <v>7.0000000000000007E-2</v>
      </c>
      <c r="AF1116" s="5">
        <f t="shared" si="166"/>
        <v>-404.55234762303104</v>
      </c>
      <c r="AG1116" s="14">
        <v>0</v>
      </c>
      <c r="AH1116" s="19">
        <f t="shared" si="168"/>
        <v>-9649</v>
      </c>
      <c r="AJ1116" s="126" t="e">
        <v>#N/A</v>
      </c>
      <c r="AK1116" s="80">
        <f t="shared" si="167"/>
        <v>0</v>
      </c>
      <c r="AM1116" s="85"/>
    </row>
    <row r="1117" spans="1:39" hidden="1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169"/>
        <v>60766.5</v>
      </c>
      <c r="X1117" s="18">
        <f t="shared" si="162"/>
        <v>145963.23529411765</v>
      </c>
      <c r="Y1117" s="13">
        <f t="shared" si="163"/>
        <v>56789.27959924785</v>
      </c>
      <c r="Z1117" s="14">
        <v>0</v>
      </c>
      <c r="AA1117" s="4">
        <v>0</v>
      </c>
      <c r="AB1117" s="4">
        <f t="shared" si="164"/>
        <v>145963.23529411765</v>
      </c>
      <c r="AC1117" s="6">
        <f t="shared" si="165"/>
        <v>2919.2647058823495</v>
      </c>
      <c r="AD1117" s="6">
        <f t="shared" si="161"/>
        <v>89173.955694869801</v>
      </c>
      <c r="AE1117" s="2">
        <v>7.0000000000000007E-2</v>
      </c>
      <c r="AF1117" s="5">
        <f t="shared" si="166"/>
        <v>6242.176898640887</v>
      </c>
      <c r="AG1117" s="14">
        <v>0</v>
      </c>
      <c r="AH1117" s="19">
        <f t="shared" si="168"/>
        <v>148882.5</v>
      </c>
      <c r="AJ1117" s="126" t="e">
        <v>#N/A</v>
      </c>
      <c r="AK1117" s="80">
        <f t="shared" si="167"/>
        <v>0</v>
      </c>
      <c r="AM1117" s="85"/>
    </row>
    <row r="1118" spans="1:39" hidden="1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169"/>
        <v>0</v>
      </c>
      <c r="X1118" s="18">
        <f t="shared" si="162"/>
        <v>9225.1</v>
      </c>
      <c r="Y1118" s="13">
        <f t="shared" si="163"/>
        <v>3699.6778806727234</v>
      </c>
      <c r="Z1118" s="14">
        <v>0</v>
      </c>
      <c r="AA1118" s="4">
        <v>0</v>
      </c>
      <c r="AB1118" s="4">
        <f t="shared" si="164"/>
        <v>9225.1</v>
      </c>
      <c r="AC1118" s="6">
        <f t="shared" si="165"/>
        <v>0</v>
      </c>
      <c r="AD1118" s="6">
        <f t="shared" si="161"/>
        <v>5525.422119327277</v>
      </c>
      <c r="AE1118" s="2">
        <v>7.0000000000000007E-2</v>
      </c>
      <c r="AF1118" s="5">
        <f t="shared" si="166"/>
        <v>386.77954835290944</v>
      </c>
      <c r="AG1118" s="14">
        <v>0</v>
      </c>
      <c r="AH1118" s="19">
        <f t="shared" si="168"/>
        <v>9225.1</v>
      </c>
      <c r="AJ1118" s="126" t="e">
        <v>#N/A</v>
      </c>
      <c r="AK1118" s="80">
        <f t="shared" si="167"/>
        <v>0</v>
      </c>
      <c r="AM1118" s="85"/>
    </row>
    <row r="1119" spans="1:39" hidden="1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169"/>
        <v>0</v>
      </c>
      <c r="X1119" s="18">
        <f t="shared" si="162"/>
        <v>0</v>
      </c>
      <c r="Y1119" s="13">
        <f t="shared" si="163"/>
        <v>0</v>
      </c>
      <c r="Z1119" s="14">
        <v>0</v>
      </c>
      <c r="AA1119" s="4">
        <v>0</v>
      </c>
      <c r="AB1119" s="4">
        <f t="shared" si="164"/>
        <v>0</v>
      </c>
      <c r="AC1119" s="6">
        <f t="shared" si="165"/>
        <v>0</v>
      </c>
      <c r="AD1119" s="6">
        <f t="shared" si="161"/>
        <v>0</v>
      </c>
      <c r="AE1119" s="2">
        <v>7.0000000000000007E-2</v>
      </c>
      <c r="AF1119" s="5">
        <f t="shared" si="166"/>
        <v>0</v>
      </c>
      <c r="AG1119" s="14">
        <v>0</v>
      </c>
      <c r="AH1119" s="19">
        <f t="shared" si="168"/>
        <v>0</v>
      </c>
      <c r="AJ1119" s="126" t="e">
        <v>#N/A</v>
      </c>
      <c r="AK1119" s="80">
        <f t="shared" si="167"/>
        <v>0</v>
      </c>
      <c r="AM1119" s="85"/>
    </row>
    <row r="1120" spans="1:39" hidden="1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169"/>
        <v>3358.74</v>
      </c>
      <c r="X1120" s="18">
        <f t="shared" si="162"/>
        <v>8744.1</v>
      </c>
      <c r="Y1120" s="13">
        <f t="shared" si="163"/>
        <v>3506.7753581414136</v>
      </c>
      <c r="Z1120" s="14">
        <v>0</v>
      </c>
      <c r="AA1120" s="4">
        <v>0</v>
      </c>
      <c r="AB1120" s="4">
        <f t="shared" si="164"/>
        <v>8744.1</v>
      </c>
      <c r="AC1120" s="6">
        <f t="shared" si="165"/>
        <v>0</v>
      </c>
      <c r="AD1120" s="6">
        <f t="shared" si="161"/>
        <v>5237.3246418585868</v>
      </c>
      <c r="AE1120" s="2">
        <v>7.0000000000000007E-2</v>
      </c>
      <c r="AF1120" s="5">
        <f t="shared" si="166"/>
        <v>366.61272493010114</v>
      </c>
      <c r="AG1120" s="14">
        <v>0</v>
      </c>
      <c r="AH1120" s="19">
        <f t="shared" si="168"/>
        <v>8744.1</v>
      </c>
      <c r="AJ1120" s="126" t="e">
        <v>#N/A</v>
      </c>
      <c r="AK1120" s="80">
        <f t="shared" si="167"/>
        <v>0</v>
      </c>
      <c r="AM1120" s="85"/>
    </row>
    <row r="1121" spans="1:39" hidden="1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169"/>
        <v>2294.1500000000005</v>
      </c>
      <c r="X1121" s="18">
        <f t="shared" si="162"/>
        <v>3705.8499999999995</v>
      </c>
      <c r="Y1121" s="13">
        <f t="shared" si="163"/>
        <v>1486.2116696936628</v>
      </c>
      <c r="Z1121" s="14">
        <v>0</v>
      </c>
      <c r="AA1121" s="4">
        <v>0</v>
      </c>
      <c r="AB1121" s="4">
        <f t="shared" si="164"/>
        <v>3705.8499999999995</v>
      </c>
      <c r="AC1121" s="6">
        <f t="shared" si="165"/>
        <v>0</v>
      </c>
      <c r="AD1121" s="6">
        <f t="shared" ref="AD1121:AD1184" si="170">V1121*0.598955254612663</f>
        <v>2219.6383303063367</v>
      </c>
      <c r="AE1121" s="2">
        <v>7.0000000000000007E-2</v>
      </c>
      <c r="AF1121" s="5">
        <f t="shared" si="166"/>
        <v>155.37468312144358</v>
      </c>
      <c r="AG1121" s="14">
        <v>0</v>
      </c>
      <c r="AH1121" s="19">
        <f t="shared" si="168"/>
        <v>3705.8499999999995</v>
      </c>
      <c r="AJ1121" s="126" t="e">
        <v>#N/A</v>
      </c>
      <c r="AK1121" s="80">
        <f t="shared" si="167"/>
        <v>0</v>
      </c>
      <c r="AM1121" s="85"/>
    </row>
    <row r="1122" spans="1:39" hidden="1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169"/>
        <v>6984.7000000000007</v>
      </c>
      <c r="X1122" s="18">
        <f t="shared" si="162"/>
        <v>12367.5</v>
      </c>
      <c r="Y1122" s="13">
        <f t="shared" si="163"/>
        <v>4959.9208885778908</v>
      </c>
      <c r="Z1122" s="14">
        <v>0</v>
      </c>
      <c r="AA1122" s="4">
        <v>0</v>
      </c>
      <c r="AB1122" s="4"/>
      <c r="AC1122" s="6">
        <f t="shared" si="165"/>
        <v>0</v>
      </c>
      <c r="AD1122" s="6">
        <f t="shared" si="170"/>
        <v>7407.5791114221092</v>
      </c>
      <c r="AE1122" s="2">
        <v>7.0000000000000007E-2</v>
      </c>
      <c r="AF1122" s="5">
        <f t="shared" si="166"/>
        <v>518.53053779954769</v>
      </c>
      <c r="AG1122" s="14">
        <v>0</v>
      </c>
      <c r="AH1122" s="19">
        <f t="shared" si="168"/>
        <v>12367.5</v>
      </c>
      <c r="AJ1122" s="126">
        <v>114</v>
      </c>
      <c r="AK1122" s="80">
        <f t="shared" si="167"/>
        <v>12367.5</v>
      </c>
      <c r="AM1122" s="85"/>
    </row>
    <row r="1123" spans="1:39" hidden="1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169"/>
        <v>3619.74</v>
      </c>
      <c r="X1123" s="18">
        <f t="shared" si="162"/>
        <v>16380.26</v>
      </c>
      <c r="Y1123" s="13">
        <f t="shared" si="163"/>
        <v>6569.2172010783815</v>
      </c>
      <c r="Z1123" s="14">
        <v>0</v>
      </c>
      <c r="AA1123" s="4">
        <v>0</v>
      </c>
      <c r="AB1123" s="4">
        <f t="shared" si="164"/>
        <v>16380.26</v>
      </c>
      <c r="AC1123" s="6">
        <f t="shared" si="165"/>
        <v>0</v>
      </c>
      <c r="AD1123" s="6">
        <f t="shared" si="170"/>
        <v>9811.0427989216187</v>
      </c>
      <c r="AE1123" s="2">
        <v>7.0000000000000007E-2</v>
      </c>
      <c r="AF1123" s="5">
        <f t="shared" si="166"/>
        <v>686.77299592451334</v>
      </c>
      <c r="AG1123" s="14">
        <v>0</v>
      </c>
      <c r="AH1123" s="19">
        <f t="shared" si="168"/>
        <v>16380.26</v>
      </c>
      <c r="AJ1123" s="126" t="e">
        <v>#N/A</v>
      </c>
      <c r="AK1123" s="80">
        <f t="shared" si="167"/>
        <v>0</v>
      </c>
      <c r="AM1123" s="85"/>
    </row>
    <row r="1124" spans="1:39" hidden="1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169"/>
        <v>20136.130000000005</v>
      </c>
      <c r="X1124" s="18">
        <f t="shared" si="162"/>
        <v>84197.17</v>
      </c>
      <c r="Y1124" s="13">
        <f t="shared" si="163"/>
        <v>33766.832604984331</v>
      </c>
      <c r="Z1124" s="14">
        <v>0</v>
      </c>
      <c r="AA1124" s="4">
        <v>0</v>
      </c>
      <c r="AB1124" s="4">
        <f t="shared" si="164"/>
        <v>84197.17</v>
      </c>
      <c r="AC1124" s="6">
        <f t="shared" si="165"/>
        <v>0</v>
      </c>
      <c r="AD1124" s="6">
        <f t="shared" si="170"/>
        <v>50430.337395015667</v>
      </c>
      <c r="AE1124" s="2">
        <v>7.0000000000000007E-2</v>
      </c>
      <c r="AF1124" s="5">
        <f t="shared" si="166"/>
        <v>3530.123617651097</v>
      </c>
      <c r="AG1124" s="14">
        <v>0</v>
      </c>
      <c r="AH1124" s="19">
        <f t="shared" si="168"/>
        <v>84197.17</v>
      </c>
      <c r="AJ1124" s="126" t="e">
        <v>#N/A</v>
      </c>
      <c r="AK1124" s="80">
        <f t="shared" si="167"/>
        <v>0</v>
      </c>
      <c r="AM1124" s="85"/>
    </row>
    <row r="1125" spans="1:39" hidden="1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169"/>
        <v>0</v>
      </c>
      <c r="X1125" s="18">
        <v>0</v>
      </c>
      <c r="Y1125" s="13">
        <f t="shared" si="163"/>
        <v>0</v>
      </c>
      <c r="Z1125" s="14">
        <v>0</v>
      </c>
      <c r="AA1125" s="4">
        <v>0</v>
      </c>
      <c r="AB1125" s="4">
        <f t="shared" si="164"/>
        <v>0</v>
      </c>
      <c r="AC1125" s="6">
        <f t="shared" si="165"/>
        <v>513.33000000000004</v>
      </c>
      <c r="AD1125" s="6">
        <f t="shared" si="170"/>
        <v>307.46170085031832</v>
      </c>
      <c r="AE1125" s="2">
        <v>7.0000000000000007E-2</v>
      </c>
      <c r="AF1125" s="5">
        <f t="shared" si="166"/>
        <v>21.522319059522285</v>
      </c>
      <c r="AG1125" s="14">
        <v>0</v>
      </c>
      <c r="AH1125" s="19">
        <f t="shared" si="168"/>
        <v>513.33000000000004</v>
      </c>
      <c r="AJ1125" s="126" t="e">
        <v>#N/A</v>
      </c>
      <c r="AK1125" s="80">
        <f t="shared" si="167"/>
        <v>0</v>
      </c>
      <c r="AM1125" s="85"/>
    </row>
    <row r="1126" spans="1:39" hidden="1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169"/>
        <v>7551.4000000000015</v>
      </c>
      <c r="X1126" s="18">
        <f t="shared" ref="X1126:X1189" si="171">IF(P1126="折扣",V1126*Q1126,IF(P1126="返现",V1126,V1126/(1+Q1126)))</f>
        <v>17448.599999999999</v>
      </c>
      <c r="Y1126" s="13">
        <f t="shared" si="163"/>
        <v>6997.6693443654876</v>
      </c>
      <c r="Z1126" s="14">
        <v>0</v>
      </c>
      <c r="AA1126" s="4">
        <v>0</v>
      </c>
      <c r="AB1126" s="4">
        <f t="shared" si="164"/>
        <v>17448.599999999999</v>
      </c>
      <c r="AC1126" s="6">
        <f t="shared" si="165"/>
        <v>0</v>
      </c>
      <c r="AD1126" s="6">
        <f t="shared" si="170"/>
        <v>10450.930655634511</v>
      </c>
      <c r="AE1126" s="2">
        <v>7.0000000000000007E-2</v>
      </c>
      <c r="AF1126" s="5">
        <f t="shared" si="166"/>
        <v>731.56514589441588</v>
      </c>
      <c r="AG1126" s="14">
        <v>0</v>
      </c>
      <c r="AH1126" s="19">
        <f t="shared" si="168"/>
        <v>17448.599999999999</v>
      </c>
      <c r="AJ1126" s="126" t="e">
        <v>#N/A</v>
      </c>
      <c r="AK1126" s="80">
        <f t="shared" si="167"/>
        <v>0</v>
      </c>
      <c r="AM1126" s="85"/>
    </row>
    <row r="1127" spans="1:39" hidden="1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169"/>
        <v>85382.700000000041</v>
      </c>
      <c r="X1127" s="18">
        <f t="shared" si="171"/>
        <v>235679.9</v>
      </c>
      <c r="Y1127" s="13">
        <f t="shared" si="163"/>
        <v>94518.185488413059</v>
      </c>
      <c r="Z1127" s="14">
        <v>0</v>
      </c>
      <c r="AA1127" s="4">
        <v>0</v>
      </c>
      <c r="AB1127" s="4">
        <f t="shared" si="164"/>
        <v>235679.9</v>
      </c>
      <c r="AC1127" s="6">
        <f t="shared" si="165"/>
        <v>0</v>
      </c>
      <c r="AD1127" s="6">
        <f t="shared" si="170"/>
        <v>141161.71451158694</v>
      </c>
      <c r="AE1127" s="2">
        <v>7.0000000000000007E-2</v>
      </c>
      <c r="AF1127" s="5">
        <f t="shared" si="166"/>
        <v>9881.3200158110867</v>
      </c>
      <c r="AG1127" s="14">
        <v>0</v>
      </c>
      <c r="AH1127" s="19">
        <f t="shared" si="168"/>
        <v>235679.9</v>
      </c>
      <c r="AJ1127" s="126" t="e">
        <v>#N/A</v>
      </c>
      <c r="AK1127" s="80">
        <f t="shared" si="167"/>
        <v>0</v>
      </c>
      <c r="AM1127" s="85"/>
    </row>
    <row r="1128" spans="1:39" hidden="1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169"/>
        <v>8418.7999999999993</v>
      </c>
      <c r="X1128" s="18">
        <f t="shared" si="171"/>
        <v>11173.3</v>
      </c>
      <c r="Y1128" s="13">
        <f t="shared" si="163"/>
        <v>4480.9932536363322</v>
      </c>
      <c r="Z1128" s="14">
        <v>0</v>
      </c>
      <c r="AA1128" s="4">
        <v>0</v>
      </c>
      <c r="AB1128" s="4"/>
      <c r="AC1128" s="6">
        <f t="shared" si="165"/>
        <v>0</v>
      </c>
      <c r="AD1128" s="6">
        <f t="shared" si="170"/>
        <v>6692.3067463636671</v>
      </c>
      <c r="AE1128" s="2">
        <v>7.0000000000000007E-2</v>
      </c>
      <c r="AF1128" s="5">
        <f t="shared" si="166"/>
        <v>468.46147224545672</v>
      </c>
      <c r="AG1128" s="14">
        <v>0</v>
      </c>
      <c r="AH1128" s="19">
        <f t="shared" si="168"/>
        <v>11173.3</v>
      </c>
      <c r="AJ1128" s="126">
        <v>111</v>
      </c>
      <c r="AK1128" s="80">
        <f t="shared" si="167"/>
        <v>11173.3</v>
      </c>
      <c r="AM1128" s="85"/>
    </row>
    <row r="1129" spans="1:39" hidden="1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169"/>
        <v>25084.840000000004</v>
      </c>
      <c r="X1129" s="18">
        <f t="shared" si="171"/>
        <v>40284.901960784315</v>
      </c>
      <c r="Y1129" s="13">
        <f t="shared" si="163"/>
        <v>15673.471175597228</v>
      </c>
      <c r="Z1129" s="14">
        <v>0</v>
      </c>
      <c r="AA1129" s="4">
        <v>0</v>
      </c>
      <c r="AB1129" s="4">
        <f t="shared" si="164"/>
        <v>40284.901960784315</v>
      </c>
      <c r="AC1129" s="6">
        <f t="shared" si="165"/>
        <v>805.69803921568382</v>
      </c>
      <c r="AD1129" s="6">
        <f t="shared" si="170"/>
        <v>24611.430785187087</v>
      </c>
      <c r="AE1129" s="2">
        <v>7.0000000000000007E-2</v>
      </c>
      <c r="AF1129" s="5">
        <f t="shared" si="166"/>
        <v>1722.8001549630962</v>
      </c>
      <c r="AG1129" s="14">
        <v>0</v>
      </c>
      <c r="AH1129" s="19">
        <f t="shared" si="168"/>
        <v>41090.6</v>
      </c>
      <c r="AJ1129" s="126" t="e">
        <v>#N/A</v>
      </c>
      <c r="AK1129" s="80">
        <f t="shared" si="167"/>
        <v>0</v>
      </c>
      <c r="AM1129" s="85"/>
    </row>
    <row r="1130" spans="1:39" hidden="1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169"/>
        <v>15726.649999999987</v>
      </c>
      <c r="X1130" s="18">
        <f t="shared" si="171"/>
        <v>24273.350000000013</v>
      </c>
      <c r="Y1130" s="13">
        <f t="shared" si="163"/>
        <v>9734.699470447722</v>
      </c>
      <c r="Z1130" s="14">
        <v>0</v>
      </c>
      <c r="AA1130" s="4">
        <v>0</v>
      </c>
      <c r="AB1130" s="4">
        <f t="shared" si="164"/>
        <v>24273.350000000013</v>
      </c>
      <c r="AC1130" s="6">
        <f t="shared" si="165"/>
        <v>0</v>
      </c>
      <c r="AD1130" s="6">
        <f t="shared" si="170"/>
        <v>14538.650529552291</v>
      </c>
      <c r="AE1130" s="2">
        <v>7.0000000000000007E-2</v>
      </c>
      <c r="AF1130" s="5">
        <f t="shared" si="166"/>
        <v>1017.7055370686604</v>
      </c>
      <c r="AG1130" s="14">
        <v>0</v>
      </c>
      <c r="AH1130" s="19">
        <f t="shared" si="168"/>
        <v>24273.350000000013</v>
      </c>
      <c r="AJ1130" s="126" t="e">
        <v>#N/A</v>
      </c>
      <c r="AK1130" s="80">
        <f t="shared" si="167"/>
        <v>0</v>
      </c>
      <c r="AM1130" s="85"/>
    </row>
    <row r="1131" spans="1:39" hidden="1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169"/>
        <v>510.5</v>
      </c>
      <c r="X1131" s="18">
        <f t="shared" si="171"/>
        <v>149489.5</v>
      </c>
      <c r="Y1131" s="13">
        <f t="shared" si="163"/>
        <v>59951.978465580323</v>
      </c>
      <c r="Z1131" s="14">
        <v>0</v>
      </c>
      <c r="AA1131" s="4">
        <v>0</v>
      </c>
      <c r="AB1131" s="4">
        <f t="shared" si="164"/>
        <v>149489.5</v>
      </c>
      <c r="AC1131" s="6">
        <f t="shared" si="165"/>
        <v>0</v>
      </c>
      <c r="AD1131" s="6">
        <f t="shared" si="170"/>
        <v>89537.521534419677</v>
      </c>
      <c r="AE1131" s="2">
        <v>7.0000000000000007E-2</v>
      </c>
      <c r="AF1131" s="5">
        <f t="shared" si="166"/>
        <v>6267.6265074093781</v>
      </c>
      <c r="AG1131" s="14">
        <v>0</v>
      </c>
      <c r="AH1131" s="19">
        <f t="shared" si="168"/>
        <v>149489.5</v>
      </c>
      <c r="AJ1131" s="126" t="e">
        <v>#N/A</v>
      </c>
      <c r="AK1131" s="80">
        <f t="shared" si="167"/>
        <v>0</v>
      </c>
      <c r="AM1131" s="85"/>
    </row>
    <row r="1132" spans="1:39" hidden="1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169"/>
        <v>2.1827872842550278E-11</v>
      </c>
      <c r="X1132" s="18">
        <f t="shared" si="171"/>
        <v>0</v>
      </c>
      <c r="Y1132" s="13">
        <f t="shared" si="163"/>
        <v>0</v>
      </c>
      <c r="Z1132" s="14">
        <v>0</v>
      </c>
      <c r="AA1132" s="4">
        <v>0</v>
      </c>
      <c r="AB1132" s="4">
        <f t="shared" si="164"/>
        <v>0</v>
      </c>
      <c r="AC1132" s="6">
        <f t="shared" si="165"/>
        <v>0</v>
      </c>
      <c r="AD1132" s="6">
        <f t="shared" si="170"/>
        <v>0</v>
      </c>
      <c r="AE1132" s="2">
        <v>7.0000000000000007E-2</v>
      </c>
      <c r="AF1132" s="5">
        <f t="shared" si="166"/>
        <v>0</v>
      </c>
      <c r="AG1132" s="14">
        <v>0</v>
      </c>
      <c r="AH1132" s="19">
        <f t="shared" si="168"/>
        <v>0</v>
      </c>
      <c r="AJ1132" s="126" t="e">
        <v>#N/A</v>
      </c>
      <c r="AK1132" s="80">
        <f t="shared" si="167"/>
        <v>0</v>
      </c>
      <c r="AM1132" s="85"/>
    </row>
    <row r="1133" spans="1:39" hidden="1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169"/>
        <v>50000</v>
      </c>
      <c r="X1133" s="18">
        <f t="shared" si="171"/>
        <v>0</v>
      </c>
      <c r="Y1133" s="13">
        <f t="shared" si="163"/>
        <v>0</v>
      </c>
      <c r="Z1133" s="14">
        <v>0</v>
      </c>
      <c r="AA1133" s="4">
        <v>0</v>
      </c>
      <c r="AB1133" s="4">
        <f t="shared" si="164"/>
        <v>0</v>
      </c>
      <c r="AC1133" s="6">
        <f t="shared" si="165"/>
        <v>0</v>
      </c>
      <c r="AD1133" s="6">
        <f t="shared" si="170"/>
        <v>0</v>
      </c>
      <c r="AE1133" s="2">
        <v>7.0000000000000007E-2</v>
      </c>
      <c r="AF1133" s="5">
        <f t="shared" si="166"/>
        <v>0</v>
      </c>
      <c r="AG1133" s="14">
        <v>0</v>
      </c>
      <c r="AH1133" s="19">
        <f t="shared" si="168"/>
        <v>0</v>
      </c>
      <c r="AJ1133" s="126" t="e">
        <v>#N/A</v>
      </c>
      <c r="AK1133" s="80">
        <f t="shared" si="167"/>
        <v>0</v>
      </c>
      <c r="AM1133" s="85"/>
    </row>
    <row r="1134" spans="1:39" hidden="1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169"/>
        <v>35217.31</v>
      </c>
      <c r="X1134" s="18">
        <f t="shared" si="171"/>
        <v>163670.23000000001</v>
      </c>
      <c r="Y1134" s="13">
        <f t="shared" si="163"/>
        <v>65639.08571783689</v>
      </c>
      <c r="Z1134" s="14">
        <v>0</v>
      </c>
      <c r="AA1134" s="4">
        <v>0</v>
      </c>
      <c r="AB1134" s="4">
        <f t="shared" si="164"/>
        <v>163670.23000000001</v>
      </c>
      <c r="AC1134" s="6">
        <f t="shared" si="165"/>
        <v>0</v>
      </c>
      <c r="AD1134" s="6">
        <f t="shared" si="170"/>
        <v>98031.144282163121</v>
      </c>
      <c r="AE1134" s="2">
        <v>7.0000000000000007E-2</v>
      </c>
      <c r="AF1134" s="5">
        <f t="shared" si="166"/>
        <v>6862.1800997514192</v>
      </c>
      <c r="AG1134" s="14">
        <v>0</v>
      </c>
      <c r="AH1134" s="19">
        <f t="shared" si="168"/>
        <v>163670.23000000001</v>
      </c>
      <c r="AJ1134" s="126" t="e">
        <v>#N/A</v>
      </c>
      <c r="AK1134" s="80">
        <f t="shared" si="167"/>
        <v>0</v>
      </c>
      <c r="AM1134" s="85"/>
    </row>
    <row r="1135" spans="1:39" hidden="1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169"/>
        <v>75620.050000000047</v>
      </c>
      <c r="X1135" s="18">
        <f t="shared" si="171"/>
        <v>346261.76000000001</v>
      </c>
      <c r="Y1135" s="13">
        <f t="shared" si="163"/>
        <v>138866.45937657121</v>
      </c>
      <c r="Z1135" s="14">
        <v>0</v>
      </c>
      <c r="AA1135" s="4">
        <v>0</v>
      </c>
      <c r="AB1135" s="4">
        <f t="shared" si="164"/>
        <v>346261.76000000001</v>
      </c>
      <c r="AC1135" s="6">
        <f t="shared" si="165"/>
        <v>0</v>
      </c>
      <c r="AD1135" s="6">
        <f t="shared" si="170"/>
        <v>207395.3006234288</v>
      </c>
      <c r="AE1135" s="2">
        <v>7.0000000000000007E-2</v>
      </c>
      <c r="AF1135" s="5">
        <f t="shared" si="166"/>
        <v>14517.671043640017</v>
      </c>
      <c r="AG1135" s="14">
        <v>0</v>
      </c>
      <c r="AH1135" s="19">
        <f t="shared" si="168"/>
        <v>346261.76000000001</v>
      </c>
      <c r="AJ1135" s="126" t="e">
        <v>#N/A</v>
      </c>
      <c r="AK1135" s="80">
        <f t="shared" si="167"/>
        <v>0</v>
      </c>
      <c r="AM1135" s="85"/>
    </row>
    <row r="1136" spans="1:39" hidden="1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169"/>
        <v>-1.2800000001006993</v>
      </c>
      <c r="X1136" s="18">
        <f t="shared" si="171"/>
        <v>89337.554999999993</v>
      </c>
      <c r="Y1136" s="13">
        <f t="shared" si="163"/>
        <v>35828.356998502219</v>
      </c>
      <c r="Z1136" s="14">
        <v>0</v>
      </c>
      <c r="AA1136" s="4">
        <v>0</v>
      </c>
      <c r="AB1136" s="4">
        <f t="shared" si="164"/>
        <v>89337.554999999993</v>
      </c>
      <c r="AC1136" s="6">
        <f t="shared" si="165"/>
        <v>0</v>
      </c>
      <c r="AD1136" s="6">
        <f t="shared" si="170"/>
        <v>53509.198001497774</v>
      </c>
      <c r="AE1136" s="2">
        <v>7.0000000000000007E-2</v>
      </c>
      <c r="AF1136" s="5">
        <f t="shared" si="166"/>
        <v>3745.6438601048444</v>
      </c>
      <c r="AG1136" s="14">
        <v>0</v>
      </c>
      <c r="AH1136" s="19">
        <f t="shared" si="168"/>
        <v>89337.554999999993</v>
      </c>
      <c r="AJ1136" s="126" t="e">
        <v>#N/A</v>
      </c>
      <c r="AK1136" s="80">
        <f t="shared" si="167"/>
        <v>0</v>
      </c>
      <c r="AM1136" s="85"/>
    </row>
    <row r="1137" spans="1:39" hidden="1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169"/>
        <v>7.0950400000074296</v>
      </c>
      <c r="X1137" s="18">
        <f t="shared" si="171"/>
        <v>39992.834959999993</v>
      </c>
      <c r="Y1137" s="13">
        <f t="shared" si="163"/>
        <v>16038.916313850987</v>
      </c>
      <c r="Z1137" s="14">
        <v>0</v>
      </c>
      <c r="AA1137" s="4">
        <v>0</v>
      </c>
      <c r="AB1137" s="4">
        <f t="shared" si="164"/>
        <v>39992.834959999993</v>
      </c>
      <c r="AC1137" s="6">
        <f t="shared" si="165"/>
        <v>0</v>
      </c>
      <c r="AD1137" s="6">
        <f t="shared" si="170"/>
        <v>23953.918646149006</v>
      </c>
      <c r="AE1137" s="2">
        <v>7.0000000000000007E-2</v>
      </c>
      <c r="AF1137" s="5">
        <f t="shared" si="166"/>
        <v>1676.7743052304306</v>
      </c>
      <c r="AG1137" s="14">
        <v>0</v>
      </c>
      <c r="AH1137" s="19">
        <f t="shared" si="168"/>
        <v>39992.834959999993</v>
      </c>
      <c r="AJ1137" s="126" t="e">
        <v>#N/A</v>
      </c>
      <c r="AK1137" s="80">
        <f t="shared" si="167"/>
        <v>0</v>
      </c>
      <c r="AM1137" s="85"/>
    </row>
    <row r="1138" spans="1:39" hidden="1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169"/>
        <v>-4.9999999964711606E-2</v>
      </c>
      <c r="X1138" s="18">
        <f t="shared" si="171"/>
        <v>3999.3399999999647</v>
      </c>
      <c r="Y1138" s="13">
        <f t="shared" si="163"/>
        <v>1603.9142920173781</v>
      </c>
      <c r="Z1138" s="14">
        <v>0</v>
      </c>
      <c r="AA1138" s="4">
        <v>0</v>
      </c>
      <c r="AB1138" s="4">
        <f t="shared" si="164"/>
        <v>3999.3399999999647</v>
      </c>
      <c r="AC1138" s="6">
        <f t="shared" si="165"/>
        <v>0</v>
      </c>
      <c r="AD1138" s="6">
        <f t="shared" si="170"/>
        <v>2395.4257079825866</v>
      </c>
      <c r="AE1138" s="2">
        <v>7.0000000000000007E-2</v>
      </c>
      <c r="AF1138" s="5">
        <f t="shared" si="166"/>
        <v>167.67979955878107</v>
      </c>
      <c r="AG1138" s="14">
        <v>0</v>
      </c>
      <c r="AH1138" s="19">
        <f t="shared" si="168"/>
        <v>3999.3399999999647</v>
      </c>
      <c r="AJ1138" s="126" t="e">
        <v>#N/A</v>
      </c>
      <c r="AK1138" s="80">
        <f t="shared" si="167"/>
        <v>0</v>
      </c>
      <c r="AM1138" s="85"/>
    </row>
    <row r="1139" spans="1:39" hidden="1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169"/>
        <v>0</v>
      </c>
      <c r="X1139" s="18">
        <f t="shared" si="171"/>
        <v>-463.88</v>
      </c>
      <c r="Y1139" s="13">
        <f t="shared" si="163"/>
        <v>0</v>
      </c>
      <c r="Z1139" s="14">
        <v>0</v>
      </c>
      <c r="AA1139" s="4">
        <v>0</v>
      </c>
      <c r="AB1139" s="4">
        <f t="shared" si="164"/>
        <v>-463.88</v>
      </c>
      <c r="AC1139" s="6">
        <f t="shared" si="165"/>
        <v>0</v>
      </c>
      <c r="AD1139" s="6">
        <f t="shared" si="170"/>
        <v>-277.84336350972211</v>
      </c>
      <c r="AE1139" s="2">
        <v>7.0000000000000007E-2</v>
      </c>
      <c r="AF1139" s="5">
        <f t="shared" si="166"/>
        <v>-19.449035445680551</v>
      </c>
      <c r="AG1139" s="14">
        <v>0</v>
      </c>
      <c r="AH1139" s="19">
        <f t="shared" si="168"/>
        <v>-463.88</v>
      </c>
      <c r="AJ1139" s="126" t="e">
        <v>#N/A</v>
      </c>
      <c r="AK1139" s="80">
        <f t="shared" si="167"/>
        <v>0</v>
      </c>
      <c r="AM1139" s="85"/>
    </row>
    <row r="1140" spans="1:39" hidden="1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169"/>
        <v>-1.9999999995889084E-2</v>
      </c>
      <c r="X1140" s="18">
        <f t="shared" si="171"/>
        <v>6463.5599999999959</v>
      </c>
      <c r="Y1140" s="13">
        <f t="shared" si="163"/>
        <v>2592.1767744957747</v>
      </c>
      <c r="Z1140" s="14">
        <v>0</v>
      </c>
      <c r="AA1140" s="4">
        <v>0</v>
      </c>
      <c r="AB1140" s="4">
        <f t="shared" si="164"/>
        <v>6463.5599999999959</v>
      </c>
      <c r="AC1140" s="6">
        <f t="shared" si="165"/>
        <v>0</v>
      </c>
      <c r="AD1140" s="6">
        <f t="shared" si="170"/>
        <v>3871.3832255042212</v>
      </c>
      <c r="AE1140" s="2">
        <v>7.0000000000000007E-2</v>
      </c>
      <c r="AF1140" s="5">
        <f t="shared" si="166"/>
        <v>270.99682578529553</v>
      </c>
      <c r="AG1140" s="14">
        <v>0</v>
      </c>
      <c r="AH1140" s="19">
        <f t="shared" si="168"/>
        <v>6463.5599999999959</v>
      </c>
      <c r="AJ1140" s="126" t="e">
        <v>#N/A</v>
      </c>
      <c r="AK1140" s="80">
        <f t="shared" si="167"/>
        <v>0</v>
      </c>
      <c r="AM1140" s="85"/>
    </row>
    <row r="1141" spans="1:39" hidden="1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169"/>
        <v>5514.9000000000015</v>
      </c>
      <c r="X1141" s="18">
        <f t="shared" si="171"/>
        <v>24485.1</v>
      </c>
      <c r="Y1141" s="13">
        <f t="shared" si="163"/>
        <v>9819.6206952834855</v>
      </c>
      <c r="Z1141" s="14">
        <v>0</v>
      </c>
      <c r="AA1141" s="4">
        <v>0</v>
      </c>
      <c r="AB1141" s="4">
        <f t="shared" si="164"/>
        <v>24485.1</v>
      </c>
      <c r="AC1141" s="6">
        <f t="shared" si="165"/>
        <v>0</v>
      </c>
      <c r="AD1141" s="6">
        <f t="shared" si="170"/>
        <v>14665.479304716513</v>
      </c>
      <c r="AE1141" s="2">
        <v>7.0000000000000007E-2</v>
      </c>
      <c r="AF1141" s="5">
        <f t="shared" si="166"/>
        <v>1026.5835513301561</v>
      </c>
      <c r="AG1141" s="14">
        <v>0</v>
      </c>
      <c r="AH1141" s="19">
        <f t="shared" si="168"/>
        <v>24485.1</v>
      </c>
      <c r="AJ1141" s="126" t="e">
        <v>#N/A</v>
      </c>
      <c r="AK1141" s="80">
        <f t="shared" si="167"/>
        <v>0</v>
      </c>
      <c r="AM1141" s="85"/>
    </row>
    <row r="1142" spans="1:39" hidden="1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169"/>
        <v>120062.09999999998</v>
      </c>
      <c r="X1142" s="18">
        <f t="shared" si="171"/>
        <v>470527.3529411765</v>
      </c>
      <c r="Y1142" s="13">
        <f t="shared" si="163"/>
        <v>183066.02584840968</v>
      </c>
      <c r="Z1142" s="14">
        <v>0</v>
      </c>
      <c r="AA1142" s="4">
        <v>0</v>
      </c>
      <c r="AB1142" s="4">
        <f t="shared" si="164"/>
        <v>470527.3529411765</v>
      </c>
      <c r="AC1142" s="6">
        <f t="shared" si="165"/>
        <v>9410.5470588235185</v>
      </c>
      <c r="AD1142" s="6">
        <f t="shared" si="170"/>
        <v>287461.32709276682</v>
      </c>
      <c r="AE1142" s="2">
        <v>7.0000000000000007E-2</v>
      </c>
      <c r="AF1142" s="5">
        <f t="shared" si="166"/>
        <v>20122.29289649368</v>
      </c>
      <c r="AG1142" s="14">
        <v>0</v>
      </c>
      <c r="AH1142" s="19">
        <f t="shared" si="168"/>
        <v>479937.9</v>
      </c>
      <c r="AJ1142" s="126" t="e">
        <v>#N/A</v>
      </c>
      <c r="AK1142" s="80">
        <f t="shared" si="167"/>
        <v>0</v>
      </c>
      <c r="AM1142" s="85"/>
    </row>
    <row r="1143" spans="1:39" hidden="1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169"/>
        <v>2786.2000000000007</v>
      </c>
      <c r="X1143" s="18">
        <f t="shared" si="171"/>
        <v>16800.2</v>
      </c>
      <c r="Y1143" s="13">
        <f t="shared" si="163"/>
        <v>6737.6319314563407</v>
      </c>
      <c r="Z1143" s="14">
        <v>0</v>
      </c>
      <c r="AA1143" s="4">
        <v>0</v>
      </c>
      <c r="AB1143" s="4">
        <f t="shared" si="164"/>
        <v>16800.2</v>
      </c>
      <c r="AC1143" s="6">
        <f t="shared" si="165"/>
        <v>0</v>
      </c>
      <c r="AD1143" s="6">
        <f t="shared" si="170"/>
        <v>10062.56806854366</v>
      </c>
      <c r="AE1143" s="2">
        <v>7.0000000000000007E-2</v>
      </c>
      <c r="AF1143" s="5">
        <f t="shared" si="166"/>
        <v>704.37976479805627</v>
      </c>
      <c r="AG1143" s="14">
        <v>0</v>
      </c>
      <c r="AH1143" s="19">
        <f t="shared" si="168"/>
        <v>16800.2</v>
      </c>
      <c r="AJ1143" s="126" t="e">
        <v>#N/A</v>
      </c>
      <c r="AK1143" s="80">
        <f t="shared" si="167"/>
        <v>0</v>
      </c>
      <c r="AM1143" s="85"/>
    </row>
    <row r="1144" spans="1:39" hidden="1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169"/>
        <v>56369.010000000009</v>
      </c>
      <c r="X1144" s="18">
        <f t="shared" si="171"/>
        <v>183630.99</v>
      </c>
      <c r="Y1144" s="13">
        <f t="shared" si="163"/>
        <v>73644.243629774632</v>
      </c>
      <c r="Z1144" s="14">
        <v>0</v>
      </c>
      <c r="AA1144" s="4">
        <v>0</v>
      </c>
      <c r="AB1144" s="4">
        <f t="shared" si="164"/>
        <v>183630.99</v>
      </c>
      <c r="AC1144" s="6">
        <f t="shared" si="165"/>
        <v>0</v>
      </c>
      <c r="AD1144" s="6">
        <f t="shared" si="170"/>
        <v>109986.74637022536</v>
      </c>
      <c r="AE1144" s="2">
        <v>7.0000000000000007E-2</v>
      </c>
      <c r="AF1144" s="5">
        <f t="shared" si="166"/>
        <v>7699.072245915776</v>
      </c>
      <c r="AG1144" s="14">
        <v>0</v>
      </c>
      <c r="AH1144" s="19">
        <f t="shared" si="168"/>
        <v>183630.99</v>
      </c>
      <c r="AJ1144" s="126" t="e">
        <v>#N/A</v>
      </c>
      <c r="AK1144" s="80">
        <f t="shared" si="167"/>
        <v>0</v>
      </c>
      <c r="AM1144" s="85"/>
    </row>
    <row r="1145" spans="1:39" hidden="1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169"/>
        <v>4786.5099999999802</v>
      </c>
      <c r="X1145" s="18">
        <f t="shared" si="171"/>
        <v>35213.49000000002</v>
      </c>
      <c r="Y1145" s="13">
        <f t="shared" si="163"/>
        <v>14122.185131249546</v>
      </c>
      <c r="Z1145" s="14">
        <v>0</v>
      </c>
      <c r="AA1145" s="4">
        <v>0</v>
      </c>
      <c r="AB1145" s="4">
        <f t="shared" si="164"/>
        <v>35213.49000000002</v>
      </c>
      <c r="AC1145" s="6">
        <f t="shared" si="165"/>
        <v>0</v>
      </c>
      <c r="AD1145" s="6">
        <f t="shared" si="170"/>
        <v>21091.304868750474</v>
      </c>
      <c r="AE1145" s="2">
        <v>7.0000000000000007E-2</v>
      </c>
      <c r="AF1145" s="5">
        <f t="shared" si="166"/>
        <v>1476.3913408125334</v>
      </c>
      <c r="AG1145" s="14">
        <v>0</v>
      </c>
      <c r="AH1145" s="19">
        <f t="shared" si="168"/>
        <v>35213.49000000002</v>
      </c>
      <c r="AJ1145" s="126" t="e">
        <v>#N/A</v>
      </c>
      <c r="AK1145" s="80">
        <f t="shared" si="167"/>
        <v>0</v>
      </c>
      <c r="AM1145" s="85"/>
    </row>
    <row r="1146" spans="1:39" hidden="1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169"/>
        <v>2771.9</v>
      </c>
      <c r="X1146" s="18">
        <f t="shared" si="171"/>
        <v>2228.1</v>
      </c>
      <c r="Y1146" s="13">
        <f t="shared" si="163"/>
        <v>893.56779719752558</v>
      </c>
      <c r="Z1146" s="14">
        <v>0</v>
      </c>
      <c r="AA1146" s="4">
        <v>0</v>
      </c>
      <c r="AB1146" s="4">
        <f t="shared" si="164"/>
        <v>2228.1</v>
      </c>
      <c r="AC1146" s="6">
        <f t="shared" si="165"/>
        <v>0</v>
      </c>
      <c r="AD1146" s="6">
        <f t="shared" si="170"/>
        <v>1334.5322028024743</v>
      </c>
      <c r="AE1146" s="2">
        <v>7.0000000000000007E-2</v>
      </c>
      <c r="AF1146" s="5">
        <f t="shared" si="166"/>
        <v>93.417254196173218</v>
      </c>
      <c r="AG1146" s="14">
        <v>0</v>
      </c>
      <c r="AH1146" s="19">
        <f t="shared" si="168"/>
        <v>2228.1</v>
      </c>
      <c r="AJ1146" s="126" t="e">
        <v>#N/A</v>
      </c>
      <c r="AK1146" s="80">
        <f t="shared" si="167"/>
        <v>0</v>
      </c>
      <c r="AM1146" s="85"/>
    </row>
    <row r="1147" spans="1:39" hidden="1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169"/>
        <v>5650.4</v>
      </c>
      <c r="X1147" s="18">
        <f t="shared" si="171"/>
        <v>14349.6</v>
      </c>
      <c r="Y1147" s="13">
        <f t="shared" si="163"/>
        <v>5754.8316784101316</v>
      </c>
      <c r="Z1147" s="14">
        <v>0</v>
      </c>
      <c r="AA1147" s="4">
        <v>0</v>
      </c>
      <c r="AB1147" s="4">
        <f t="shared" si="164"/>
        <v>14349.6</v>
      </c>
      <c r="AC1147" s="6">
        <f t="shared" si="165"/>
        <v>0</v>
      </c>
      <c r="AD1147" s="6">
        <f t="shared" si="170"/>
        <v>8594.7683215898687</v>
      </c>
      <c r="AE1147" s="2">
        <v>7.0000000000000007E-2</v>
      </c>
      <c r="AF1147" s="5">
        <f t="shared" si="166"/>
        <v>601.63378251129086</v>
      </c>
      <c r="AG1147" s="14">
        <v>0</v>
      </c>
      <c r="AH1147" s="19">
        <f t="shared" si="168"/>
        <v>14349.6</v>
      </c>
      <c r="AJ1147" s="126" t="e">
        <v>#N/A</v>
      </c>
      <c r="AK1147" s="80">
        <f t="shared" si="167"/>
        <v>0</v>
      </c>
      <c r="AM1147" s="85"/>
    </row>
    <row r="1148" spans="1:39" hidden="1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169"/>
        <v>11663.300000000016</v>
      </c>
      <c r="X1148" s="18">
        <f t="shared" si="171"/>
        <v>8336.6999999999844</v>
      </c>
      <c r="Y1148" s="13">
        <f t="shared" si="163"/>
        <v>3343.3897288706066</v>
      </c>
      <c r="Z1148" s="14">
        <v>0</v>
      </c>
      <c r="AA1148" s="4">
        <v>0</v>
      </c>
      <c r="AB1148" s="4">
        <f t="shared" si="164"/>
        <v>8336.6999999999844</v>
      </c>
      <c r="AC1148" s="6">
        <f t="shared" si="165"/>
        <v>0</v>
      </c>
      <c r="AD1148" s="6">
        <f t="shared" si="170"/>
        <v>4993.3102711293777</v>
      </c>
      <c r="AE1148" s="2">
        <v>7.0000000000000007E-2</v>
      </c>
      <c r="AF1148" s="5">
        <f t="shared" si="166"/>
        <v>349.53171897905645</v>
      </c>
      <c r="AG1148" s="14">
        <v>0</v>
      </c>
      <c r="AH1148" s="19">
        <f t="shared" si="168"/>
        <v>8336.6999999999844</v>
      </c>
      <c r="AJ1148" s="126" t="e">
        <v>#N/A</v>
      </c>
      <c r="AK1148" s="80">
        <f t="shared" si="167"/>
        <v>0</v>
      </c>
      <c r="AM1148" s="85"/>
    </row>
    <row r="1149" spans="1:39" hidden="1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169"/>
        <v>18788.027909999997</v>
      </c>
      <c r="X1149" s="18">
        <f t="shared" si="171"/>
        <v>6211.9720900000029</v>
      </c>
      <c r="Y1149" s="13">
        <f t="shared" si="163"/>
        <v>2491.278765187295</v>
      </c>
      <c r="Z1149" s="14">
        <v>0</v>
      </c>
      <c r="AA1149" s="4">
        <v>0</v>
      </c>
      <c r="AB1149" s="4">
        <f t="shared" si="164"/>
        <v>6211.9720900000029</v>
      </c>
      <c r="AC1149" s="6">
        <f t="shared" si="165"/>
        <v>0</v>
      </c>
      <c r="AD1149" s="6">
        <f t="shared" si="170"/>
        <v>3720.6933248127079</v>
      </c>
      <c r="AE1149" s="2">
        <v>0.12</v>
      </c>
      <c r="AF1149" s="5">
        <f t="shared" si="166"/>
        <v>446.48319897752492</v>
      </c>
      <c r="AG1149" s="14">
        <v>0</v>
      </c>
      <c r="AH1149" s="19">
        <f t="shared" si="168"/>
        <v>6211.9720900000029</v>
      </c>
      <c r="AJ1149" s="126" t="e">
        <v>#N/A</v>
      </c>
      <c r="AK1149" s="80">
        <f t="shared" si="167"/>
        <v>0</v>
      </c>
      <c r="AM1149" s="85"/>
    </row>
    <row r="1150" spans="1:39" hidden="1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169"/>
        <v>34630.24000000002</v>
      </c>
      <c r="X1150" s="18">
        <f t="shared" si="171"/>
        <v>196650.96</v>
      </c>
      <c r="Y1150" s="13">
        <f t="shared" si="163"/>
        <v>78865.834183375395</v>
      </c>
      <c r="Z1150" s="14">
        <v>0</v>
      </c>
      <c r="AA1150" s="4">
        <v>0</v>
      </c>
      <c r="AB1150" s="4">
        <f t="shared" si="164"/>
        <v>196650.96</v>
      </c>
      <c r="AC1150" s="6">
        <f t="shared" si="165"/>
        <v>0</v>
      </c>
      <c r="AD1150" s="6">
        <f t="shared" si="170"/>
        <v>117785.1258166246</v>
      </c>
      <c r="AE1150" s="2">
        <v>7.0000000000000007E-2</v>
      </c>
      <c r="AF1150" s="5">
        <f t="shared" si="166"/>
        <v>8244.9588071637227</v>
      </c>
      <c r="AG1150" s="14">
        <v>0</v>
      </c>
      <c r="AH1150" s="19">
        <f t="shared" si="168"/>
        <v>196650.96</v>
      </c>
      <c r="AJ1150" s="126" t="e">
        <v>#N/A</v>
      </c>
      <c r="AK1150" s="80">
        <f t="shared" si="167"/>
        <v>0</v>
      </c>
      <c r="AM1150" s="85"/>
    </row>
    <row r="1151" spans="1:39" hidden="1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169"/>
        <v>352.89999999999964</v>
      </c>
      <c r="X1151" s="18">
        <f t="shared" si="171"/>
        <v>9647.1</v>
      </c>
      <c r="Y1151" s="13">
        <f t="shared" si="163"/>
        <v>3868.9187632261792</v>
      </c>
      <c r="Z1151" s="14">
        <v>0</v>
      </c>
      <c r="AA1151" s="4">
        <v>0</v>
      </c>
      <c r="AB1151" s="4">
        <f t="shared" si="164"/>
        <v>9647.1</v>
      </c>
      <c r="AC1151" s="6">
        <f t="shared" si="165"/>
        <v>0</v>
      </c>
      <c r="AD1151" s="6">
        <f t="shared" si="170"/>
        <v>5778.1812367738212</v>
      </c>
      <c r="AE1151" s="2">
        <v>7.0000000000000007E-2</v>
      </c>
      <c r="AF1151" s="5">
        <f t="shared" si="166"/>
        <v>404.47268657416754</v>
      </c>
      <c r="AG1151" s="14">
        <v>0</v>
      </c>
      <c r="AH1151" s="19">
        <f t="shared" si="168"/>
        <v>9647.1</v>
      </c>
      <c r="AJ1151" s="126" t="e">
        <v>#N/A</v>
      </c>
      <c r="AK1151" s="80">
        <f t="shared" si="167"/>
        <v>0</v>
      </c>
      <c r="AM1151" s="85"/>
    </row>
    <row r="1152" spans="1:39" hidden="1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169"/>
        <v>18830.170000000042</v>
      </c>
      <c r="X1152" s="18">
        <f t="shared" si="171"/>
        <v>79451.329999999958</v>
      </c>
      <c r="Y1152" s="13">
        <f t="shared" si="163"/>
        <v>31863.538410535279</v>
      </c>
      <c r="Z1152" s="14">
        <v>0</v>
      </c>
      <c r="AA1152" s="4">
        <v>0</v>
      </c>
      <c r="AB1152" s="4">
        <f t="shared" si="164"/>
        <v>79451.329999999958</v>
      </c>
      <c r="AC1152" s="6">
        <f t="shared" si="165"/>
        <v>0</v>
      </c>
      <c r="AD1152" s="6">
        <f t="shared" si="170"/>
        <v>47587.791589464679</v>
      </c>
      <c r="AE1152" s="2">
        <v>7.0000000000000007E-2</v>
      </c>
      <c r="AF1152" s="5">
        <f t="shared" si="166"/>
        <v>3331.1454112625279</v>
      </c>
      <c r="AG1152" s="14">
        <v>0</v>
      </c>
      <c r="AH1152" s="19">
        <f t="shared" si="168"/>
        <v>79451.329999999958</v>
      </c>
      <c r="AJ1152" s="126" t="e">
        <v>#N/A</v>
      </c>
      <c r="AK1152" s="80">
        <f t="shared" si="167"/>
        <v>0</v>
      </c>
      <c r="AM1152" s="85"/>
    </row>
    <row r="1153" spans="1:39" hidden="1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169"/>
        <v>0</v>
      </c>
      <c r="X1153" s="18">
        <f t="shared" si="171"/>
        <v>35.264705882389748</v>
      </c>
      <c r="Y1153" s="13">
        <f t="shared" si="163"/>
        <v>13.720285373949775</v>
      </c>
      <c r="Z1153" s="14">
        <v>0</v>
      </c>
      <c r="AA1153" s="4">
        <v>0</v>
      </c>
      <c r="AB1153" s="4">
        <f t="shared" si="164"/>
        <v>35.264705882389748</v>
      </c>
      <c r="AC1153" s="6">
        <f t="shared" si="165"/>
        <v>0.70529411764779582</v>
      </c>
      <c r="AD1153" s="6">
        <f t="shared" si="170"/>
        <v>21.544420508439973</v>
      </c>
      <c r="AE1153" s="2">
        <v>7.0000000000000007E-2</v>
      </c>
      <c r="AF1153" s="5">
        <f t="shared" si="166"/>
        <v>1.5081094355907982</v>
      </c>
      <c r="AG1153" s="14">
        <v>0</v>
      </c>
      <c r="AH1153" s="19">
        <f t="shared" si="168"/>
        <v>35.970000000037544</v>
      </c>
      <c r="AJ1153" s="126" t="e">
        <v>#N/A</v>
      </c>
      <c r="AK1153" s="80">
        <f t="shared" si="167"/>
        <v>0</v>
      </c>
      <c r="AM1153" s="85"/>
    </row>
    <row r="1154" spans="1:39" hidden="1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169"/>
        <v>57734.638420000032</v>
      </c>
      <c r="X1154" s="18">
        <f t="shared" si="171"/>
        <v>396648.31157999998</v>
      </c>
      <c r="Y1154" s="13">
        <f t="shared" si="163"/>
        <v>159073.72112591821</v>
      </c>
      <c r="Z1154" s="14">
        <v>0</v>
      </c>
      <c r="AA1154" s="4">
        <v>0</v>
      </c>
      <c r="AB1154" s="4">
        <f t="shared" si="164"/>
        <v>396648.31157999998</v>
      </c>
      <c r="AC1154" s="6">
        <f t="shared" si="165"/>
        <v>0</v>
      </c>
      <c r="AD1154" s="6">
        <f t="shared" si="170"/>
        <v>237574.59045408177</v>
      </c>
      <c r="AE1154" s="2">
        <v>7.0000000000000007E-2</v>
      </c>
      <c r="AF1154" s="5">
        <f t="shared" si="166"/>
        <v>16630.221331785724</v>
      </c>
      <c r="AG1154" s="14">
        <v>0</v>
      </c>
      <c r="AH1154" s="19">
        <f t="shared" si="168"/>
        <v>396648.31157999998</v>
      </c>
      <c r="AJ1154" s="126" t="e">
        <v>#N/A</v>
      </c>
      <c r="AK1154" s="80">
        <f t="shared" si="167"/>
        <v>0</v>
      </c>
      <c r="AM1154" s="85"/>
    </row>
    <row r="1155" spans="1:39" hidden="1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169"/>
        <v>0</v>
      </c>
      <c r="X1155" s="18">
        <f t="shared" si="171"/>
        <v>0</v>
      </c>
      <c r="Y1155" s="13">
        <f t="shared" ref="Y1155:Y1218" si="17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173">X1155+AA1155</f>
        <v>0</v>
      </c>
      <c r="AC1155" s="6">
        <f t="shared" ref="AC1155:AC1218" si="174">IF(P1155="返现",X1155*Q1155,V1155-X1155)</f>
        <v>0</v>
      </c>
      <c r="AD1155" s="6">
        <f t="shared" si="170"/>
        <v>0</v>
      </c>
      <c r="AE1155" s="2">
        <v>7.0000000000000007E-2</v>
      </c>
      <c r="AF1155" s="5">
        <f t="shared" ref="AF1155:AF1218" si="175">AD1155*AE1155</f>
        <v>0</v>
      </c>
      <c r="AG1155" s="14">
        <v>0</v>
      </c>
      <c r="AH1155" s="19">
        <f t="shared" si="168"/>
        <v>0</v>
      </c>
      <c r="AJ1155" s="126" t="e">
        <v>#N/A</v>
      </c>
      <c r="AK1155" s="80">
        <f t="shared" ref="AK1155:AK1218" si="176">X1155+AA1155-AB1155</f>
        <v>0</v>
      </c>
      <c r="AM1155" s="85"/>
    </row>
    <row r="1156" spans="1:39" hidden="1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169"/>
        <v>41238.200000000012</v>
      </c>
      <c r="X1156" s="18">
        <f t="shared" si="171"/>
        <v>275440.2</v>
      </c>
      <c r="Y1156" s="13">
        <f t="shared" si="172"/>
        <v>110463.8448784372</v>
      </c>
      <c r="Z1156" s="14">
        <v>0</v>
      </c>
      <c r="AA1156" s="4">
        <v>0</v>
      </c>
      <c r="AB1156" s="4">
        <f t="shared" si="173"/>
        <v>275440.2</v>
      </c>
      <c r="AC1156" s="6">
        <f t="shared" si="174"/>
        <v>0</v>
      </c>
      <c r="AD1156" s="6">
        <f t="shared" si="170"/>
        <v>164976.35512156281</v>
      </c>
      <c r="AE1156" s="2">
        <v>7.0000000000000007E-2</v>
      </c>
      <c r="AF1156" s="5">
        <f t="shared" si="175"/>
        <v>11548.344858509397</v>
      </c>
      <c r="AG1156" s="14">
        <v>0</v>
      </c>
      <c r="AH1156" s="19">
        <f t="shared" si="168"/>
        <v>275440.2</v>
      </c>
      <c r="AJ1156" s="126" t="e">
        <v>#N/A</v>
      </c>
      <c r="AK1156" s="80">
        <f t="shared" si="176"/>
        <v>0</v>
      </c>
      <c r="AM1156" s="85"/>
    </row>
    <row r="1157" spans="1:39" hidden="1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169"/>
        <v>50423.3</v>
      </c>
      <c r="X1157" s="18">
        <f t="shared" si="171"/>
        <v>49576.7</v>
      </c>
      <c r="Y1157" s="13">
        <f t="shared" si="172"/>
        <v>19882.475028644392</v>
      </c>
      <c r="Z1157" s="14">
        <v>0</v>
      </c>
      <c r="AA1157" s="4">
        <v>0</v>
      </c>
      <c r="AB1157" s="4">
        <f t="shared" si="173"/>
        <v>49576.7</v>
      </c>
      <c r="AC1157" s="6">
        <f t="shared" si="174"/>
        <v>0</v>
      </c>
      <c r="AD1157" s="6">
        <f t="shared" si="170"/>
        <v>29694.224971355605</v>
      </c>
      <c r="AE1157" s="2">
        <v>7.0000000000000007E-2</v>
      </c>
      <c r="AF1157" s="5">
        <f t="shared" si="175"/>
        <v>2078.5957479948925</v>
      </c>
      <c r="AG1157" s="14">
        <v>0</v>
      </c>
      <c r="AH1157" s="19">
        <f t="shared" si="168"/>
        <v>49576.7</v>
      </c>
      <c r="AJ1157" s="126" t="e">
        <v>#N/A</v>
      </c>
      <c r="AK1157" s="80">
        <f t="shared" si="176"/>
        <v>0</v>
      </c>
      <c r="AM1157" s="85"/>
    </row>
    <row r="1158" spans="1:39" hidden="1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169"/>
        <v>12147.300000000003</v>
      </c>
      <c r="X1158" s="18">
        <f t="shared" si="171"/>
        <v>67852.7</v>
      </c>
      <c r="Y1158" s="13">
        <f t="shared" si="172"/>
        <v>27211.96879534336</v>
      </c>
      <c r="Z1158" s="14">
        <v>0</v>
      </c>
      <c r="AA1158" s="4">
        <v>0</v>
      </c>
      <c r="AB1158" s="4">
        <f t="shared" si="173"/>
        <v>67852.7</v>
      </c>
      <c r="AC1158" s="6">
        <f t="shared" si="174"/>
        <v>0</v>
      </c>
      <c r="AD1158" s="6">
        <f t="shared" si="170"/>
        <v>40640.731204656637</v>
      </c>
      <c r="AE1158" s="2">
        <v>7.0000000000000007E-2</v>
      </c>
      <c r="AF1158" s="5">
        <f t="shared" si="175"/>
        <v>2844.8511843259648</v>
      </c>
      <c r="AG1158" s="14">
        <v>0</v>
      </c>
      <c r="AH1158" s="19">
        <f t="shared" si="168"/>
        <v>67852.7</v>
      </c>
      <c r="AJ1158" s="126" t="e">
        <v>#N/A</v>
      </c>
      <c r="AK1158" s="80">
        <f t="shared" si="176"/>
        <v>0</v>
      </c>
      <c r="AM1158" s="85"/>
    </row>
    <row r="1159" spans="1:39" hidden="1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4224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169"/>
        <v>9326.7200000000012</v>
      </c>
      <c r="X1159" s="18">
        <f t="shared" si="171"/>
        <v>50673.279999999999</v>
      </c>
      <c r="Y1159" s="13">
        <f t="shared" si="17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174"/>
        <v>0</v>
      </c>
      <c r="AD1159" s="6">
        <f t="shared" si="170"/>
        <v>30351.027324458762</v>
      </c>
      <c r="AE1159" s="2">
        <v>7.0000000000000007E-2</v>
      </c>
      <c r="AF1159" s="5">
        <f t="shared" si="175"/>
        <v>2124.5719127121138</v>
      </c>
      <c r="AG1159" s="14">
        <v>0</v>
      </c>
      <c r="AH1159" s="19">
        <f t="shared" si="168"/>
        <v>50673.279999999999</v>
      </c>
      <c r="AJ1159" s="126" t="s">
        <v>4225</v>
      </c>
      <c r="AK1159" s="80">
        <f t="shared" si="176"/>
        <v>0</v>
      </c>
      <c r="AM1159" s="85"/>
    </row>
    <row r="1160" spans="1:39" hidden="1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169"/>
        <v>8131.1000000000058</v>
      </c>
      <c r="X1160" s="18">
        <f t="shared" si="171"/>
        <v>111868.9</v>
      </c>
      <c r="Y1160" s="13">
        <f t="shared" si="172"/>
        <v>44864.43451726147</v>
      </c>
      <c r="Z1160" s="14">
        <v>0</v>
      </c>
      <c r="AA1160" s="4">
        <v>0</v>
      </c>
      <c r="AB1160" s="4">
        <f t="shared" si="173"/>
        <v>111868.9</v>
      </c>
      <c r="AC1160" s="6">
        <f t="shared" si="174"/>
        <v>0</v>
      </c>
      <c r="AD1160" s="6">
        <f t="shared" si="170"/>
        <v>67004.465482738524</v>
      </c>
      <c r="AE1160" s="2">
        <v>7.0000000000000007E-2</v>
      </c>
      <c r="AF1160" s="5">
        <f t="shared" si="175"/>
        <v>4690.3125837916969</v>
      </c>
      <c r="AG1160" s="14">
        <v>0</v>
      </c>
      <c r="AH1160" s="19">
        <f t="shared" si="168"/>
        <v>111868.9</v>
      </c>
      <c r="AJ1160" s="126" t="e">
        <v>#N/A</v>
      </c>
      <c r="AK1160" s="80">
        <f t="shared" si="176"/>
        <v>0</v>
      </c>
      <c r="AM1160" s="85"/>
    </row>
    <row r="1161" spans="1:39" hidden="1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169"/>
        <v>67635.889999999956</v>
      </c>
      <c r="X1161" s="18">
        <f t="shared" si="171"/>
        <v>15124.6</v>
      </c>
      <c r="Y1161" s="13">
        <f t="shared" si="172"/>
        <v>6065.641356085318</v>
      </c>
      <c r="Z1161" s="14">
        <v>0</v>
      </c>
      <c r="AA1161" s="4">
        <v>0</v>
      </c>
      <c r="AB1161" s="4">
        <f t="shared" si="173"/>
        <v>15124.6</v>
      </c>
      <c r="AC1161" s="6">
        <f t="shared" si="174"/>
        <v>0</v>
      </c>
      <c r="AD1161" s="6">
        <f t="shared" si="170"/>
        <v>9058.9586439146824</v>
      </c>
      <c r="AE1161" s="2">
        <v>7.0000000000000007E-2</v>
      </c>
      <c r="AF1161" s="5">
        <f t="shared" si="175"/>
        <v>634.12710507402778</v>
      </c>
      <c r="AG1161" s="14">
        <v>0</v>
      </c>
      <c r="AH1161" s="19">
        <f t="shared" si="168"/>
        <v>15124.6</v>
      </c>
      <c r="AJ1161" s="126" t="e">
        <v>#N/A</v>
      </c>
      <c r="AK1161" s="80">
        <f t="shared" si="176"/>
        <v>0</v>
      </c>
      <c r="AM1161" s="85"/>
    </row>
    <row r="1162" spans="1:39" hidden="1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169"/>
        <v>19200.699999999997</v>
      </c>
      <c r="X1162" s="18">
        <f t="shared" si="171"/>
        <v>40692.376237623765</v>
      </c>
      <c r="Y1162" s="13">
        <f t="shared" si="172"/>
        <v>16075.734541721544</v>
      </c>
      <c r="Z1162" s="14">
        <v>0</v>
      </c>
      <c r="AA1162" s="4">
        <v>0</v>
      </c>
      <c r="AB1162" s="4">
        <f t="shared" si="173"/>
        <v>40692.376237623765</v>
      </c>
      <c r="AC1162" s="6">
        <f t="shared" si="174"/>
        <v>406.9237623762383</v>
      </c>
      <c r="AD1162" s="6">
        <f t="shared" si="170"/>
        <v>24616.641695902221</v>
      </c>
      <c r="AE1162" s="2">
        <v>7.0000000000000007E-2</v>
      </c>
      <c r="AF1162" s="5">
        <f t="shared" si="175"/>
        <v>1723.1649187131557</v>
      </c>
      <c r="AG1162" s="14">
        <v>0</v>
      </c>
      <c r="AH1162" s="19">
        <f t="shared" si="168"/>
        <v>41099.300000000003</v>
      </c>
      <c r="AJ1162" s="126" t="e">
        <v>#N/A</v>
      </c>
      <c r="AK1162" s="80">
        <f t="shared" si="176"/>
        <v>0</v>
      </c>
      <c r="AM1162" s="85"/>
    </row>
    <row r="1163" spans="1:39" hidden="1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169"/>
        <v>11922.800000000003</v>
      </c>
      <c r="X1163" s="18">
        <f t="shared" si="171"/>
        <v>127403.16831683168</v>
      </c>
      <c r="Y1163" s="13">
        <f t="shared" si="172"/>
        <v>50331.283227987122</v>
      </c>
      <c r="Z1163" s="14">
        <v>0</v>
      </c>
      <c r="AA1163" s="4">
        <v>0</v>
      </c>
      <c r="AB1163" s="4">
        <f t="shared" si="173"/>
        <v>127403.16831683168</v>
      </c>
      <c r="AC1163" s="6">
        <f t="shared" si="174"/>
        <v>1274.0316831683158</v>
      </c>
      <c r="AD1163" s="6">
        <f t="shared" si="170"/>
        <v>77071.88508884456</v>
      </c>
      <c r="AE1163" s="2">
        <v>7.0000000000000007E-2</v>
      </c>
      <c r="AF1163" s="5">
        <f t="shared" si="175"/>
        <v>5395.0319562191198</v>
      </c>
      <c r="AG1163" s="14">
        <v>0</v>
      </c>
      <c r="AH1163" s="19">
        <f t="shared" si="168"/>
        <v>128677.2</v>
      </c>
      <c r="AJ1163" s="126" t="e">
        <v>#N/A</v>
      </c>
      <c r="AK1163" s="80">
        <f t="shared" si="176"/>
        <v>0</v>
      </c>
      <c r="AM1163" s="85"/>
    </row>
    <row r="1164" spans="1:39" hidden="1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169"/>
        <v>152606.75000000012</v>
      </c>
      <c r="X1164" s="18">
        <f t="shared" si="171"/>
        <v>482416.6</v>
      </c>
      <c r="Y1164" s="13">
        <f t="shared" si="172"/>
        <v>193470.64251762483</v>
      </c>
      <c r="Z1164" s="14">
        <v>0</v>
      </c>
      <c r="AA1164" s="4">
        <v>0</v>
      </c>
      <c r="AB1164" s="4">
        <f t="shared" si="173"/>
        <v>482416.6</v>
      </c>
      <c r="AC1164" s="6">
        <f t="shared" si="174"/>
        <v>0</v>
      </c>
      <c r="AD1164" s="6">
        <f t="shared" si="170"/>
        <v>288945.95748237515</v>
      </c>
      <c r="AE1164" s="2">
        <v>7.0000000000000007E-2</v>
      </c>
      <c r="AF1164" s="5">
        <f t="shared" si="175"/>
        <v>20226.217023766261</v>
      </c>
      <c r="AG1164" s="14">
        <v>0</v>
      </c>
      <c r="AH1164" s="19">
        <f t="shared" si="168"/>
        <v>482416.6</v>
      </c>
      <c r="AJ1164" s="126" t="e">
        <v>#N/A</v>
      </c>
      <c r="AK1164" s="80">
        <f t="shared" si="176"/>
        <v>0</v>
      </c>
      <c r="AM1164" s="85"/>
    </row>
    <row r="1165" spans="1:39" hidden="1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169"/>
        <v>322508.05006999976</v>
      </c>
      <c r="X1165" s="18">
        <f t="shared" si="171"/>
        <v>745365.4</v>
      </c>
      <c r="Y1165" s="13">
        <f t="shared" si="172"/>
        <v>298924.87706353061</v>
      </c>
      <c r="Z1165" s="14">
        <v>0</v>
      </c>
      <c r="AA1165" s="4">
        <v>0</v>
      </c>
      <c r="AB1165" s="4">
        <f t="shared" si="173"/>
        <v>745365.4</v>
      </c>
      <c r="AC1165" s="6">
        <f t="shared" si="174"/>
        <v>0</v>
      </c>
      <c r="AD1165" s="6">
        <f t="shared" si="170"/>
        <v>446440.52293646941</v>
      </c>
      <c r="AE1165" s="2">
        <v>7.0000000000000007E-2</v>
      </c>
      <c r="AF1165" s="5">
        <f t="shared" si="175"/>
        <v>31250.83660555286</v>
      </c>
      <c r="AG1165" s="14">
        <v>0</v>
      </c>
      <c r="AH1165" s="19">
        <f t="shared" si="168"/>
        <v>745365.4</v>
      </c>
      <c r="AJ1165" s="126" t="e">
        <v>#N/A</v>
      </c>
      <c r="AK1165" s="80">
        <f t="shared" si="176"/>
        <v>0</v>
      </c>
      <c r="AM1165" s="85"/>
    </row>
    <row r="1166" spans="1:39" hidden="1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169"/>
        <v>15374.4</v>
      </c>
      <c r="X1166" s="18">
        <f t="shared" si="171"/>
        <v>4625.6000000000004</v>
      </c>
      <c r="Y1166" s="13">
        <f t="shared" si="172"/>
        <v>1855.0725742636664</v>
      </c>
      <c r="Z1166" s="14">
        <v>0</v>
      </c>
      <c r="AA1166" s="4">
        <v>0</v>
      </c>
      <c r="AB1166" s="4">
        <f t="shared" si="173"/>
        <v>4625.6000000000004</v>
      </c>
      <c r="AC1166" s="6">
        <f t="shared" si="174"/>
        <v>0</v>
      </c>
      <c r="AD1166" s="6">
        <f t="shared" si="170"/>
        <v>2770.527425736334</v>
      </c>
      <c r="AE1166" s="2">
        <v>7.0000000000000007E-2</v>
      </c>
      <c r="AF1166" s="5">
        <f t="shared" si="175"/>
        <v>193.93691980154338</v>
      </c>
      <c r="AG1166" s="14">
        <v>0</v>
      </c>
      <c r="AH1166" s="19">
        <f t="shared" si="168"/>
        <v>4625.6000000000004</v>
      </c>
      <c r="AJ1166" s="126" t="e">
        <v>#N/A</v>
      </c>
      <c r="AK1166" s="80">
        <f t="shared" si="176"/>
        <v>0</v>
      </c>
      <c r="AM1166" s="85"/>
    </row>
    <row r="1167" spans="1:39" hidden="1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169"/>
        <v>211454.22999999998</v>
      </c>
      <c r="X1167" s="18">
        <f t="shared" si="171"/>
        <v>1772008.1372549019</v>
      </c>
      <c r="Y1167" s="13">
        <f t="shared" si="172"/>
        <v>689427.480529177</v>
      </c>
      <c r="Z1167" s="14">
        <v>0</v>
      </c>
      <c r="AA1167" s="4">
        <v>0</v>
      </c>
      <c r="AB1167" s="4">
        <f t="shared" si="173"/>
        <v>1772008.1372549019</v>
      </c>
      <c r="AC1167" s="6">
        <f t="shared" si="174"/>
        <v>35440.162745098118</v>
      </c>
      <c r="AD1167" s="6">
        <f t="shared" si="170"/>
        <v>1082580.6567257249</v>
      </c>
      <c r="AE1167" s="2">
        <v>7.0000000000000007E-2</v>
      </c>
      <c r="AF1167" s="5">
        <f t="shared" si="175"/>
        <v>75780.645970800746</v>
      </c>
      <c r="AG1167" s="14">
        <v>0</v>
      </c>
      <c r="AH1167" s="19">
        <f t="shared" si="168"/>
        <v>1807448.3</v>
      </c>
      <c r="AJ1167" s="126" t="e">
        <v>#N/A</v>
      </c>
      <c r="AK1167" s="80">
        <f t="shared" si="176"/>
        <v>0</v>
      </c>
      <c r="AM1167" s="85"/>
    </row>
    <row r="1168" spans="1:39" hidden="1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169"/>
        <v>22238.3</v>
      </c>
      <c r="X1168" s="18">
        <f t="shared" si="171"/>
        <v>27761.7</v>
      </c>
      <c r="Y1168" s="13">
        <f t="shared" si="172"/>
        <v>11133.683908019633</v>
      </c>
      <c r="Z1168" s="14">
        <v>0</v>
      </c>
      <c r="AA1168" s="4">
        <v>0</v>
      </c>
      <c r="AB1168" s="4">
        <f t="shared" si="173"/>
        <v>27761.7</v>
      </c>
      <c r="AC1168" s="6">
        <f t="shared" si="174"/>
        <v>0</v>
      </c>
      <c r="AD1168" s="6">
        <f t="shared" si="170"/>
        <v>16628.016091980367</v>
      </c>
      <c r="AE1168" s="2">
        <v>7.0000000000000007E-2</v>
      </c>
      <c r="AF1168" s="5">
        <f t="shared" si="175"/>
        <v>1163.9611264386258</v>
      </c>
      <c r="AG1168" s="14">
        <v>0</v>
      </c>
      <c r="AH1168" s="19">
        <f t="shared" si="168"/>
        <v>27761.7</v>
      </c>
      <c r="AJ1168" s="126" t="e">
        <v>#N/A</v>
      </c>
      <c r="AK1168" s="80">
        <f t="shared" si="176"/>
        <v>0</v>
      </c>
      <c r="AM1168" s="85"/>
    </row>
    <row r="1169" spans="1:39" hidden="1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169"/>
        <v>14365.699999999997</v>
      </c>
      <c r="X1169" s="18">
        <f t="shared" si="171"/>
        <v>55634.3</v>
      </c>
      <c r="Y1169" s="13">
        <f t="shared" si="172"/>
        <v>22311.843678302728</v>
      </c>
      <c r="Z1169" s="14">
        <v>0</v>
      </c>
      <c r="AA1169" s="4">
        <v>0</v>
      </c>
      <c r="AB1169" s="4">
        <f t="shared" si="173"/>
        <v>55634.3</v>
      </c>
      <c r="AC1169" s="6">
        <f t="shared" si="174"/>
        <v>0</v>
      </c>
      <c r="AD1169" s="6">
        <f t="shared" si="170"/>
        <v>33322.456321697275</v>
      </c>
      <c r="AE1169" s="2">
        <v>7.0000000000000007E-2</v>
      </c>
      <c r="AF1169" s="5">
        <f t="shared" si="175"/>
        <v>2332.5719425188095</v>
      </c>
      <c r="AG1169" s="14">
        <v>0</v>
      </c>
      <c r="AH1169" s="19">
        <f t="shared" si="168"/>
        <v>55634.3</v>
      </c>
      <c r="AJ1169" s="126" t="e">
        <v>#N/A</v>
      </c>
      <c r="AK1169" s="80">
        <f t="shared" si="176"/>
        <v>0</v>
      </c>
      <c r="AM1169" s="85"/>
    </row>
    <row r="1170" spans="1:39" hidden="1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169"/>
        <v>5435.5</v>
      </c>
      <c r="X1170" s="18">
        <f t="shared" si="171"/>
        <v>4564.5</v>
      </c>
      <c r="Y1170" s="13">
        <f t="shared" si="172"/>
        <v>1830.5687403204997</v>
      </c>
      <c r="Z1170" s="14">
        <v>0</v>
      </c>
      <c r="AA1170" s="4">
        <v>0</v>
      </c>
      <c r="AB1170" s="4">
        <f t="shared" si="173"/>
        <v>4564.5</v>
      </c>
      <c r="AC1170" s="6">
        <f t="shared" si="174"/>
        <v>0</v>
      </c>
      <c r="AD1170" s="6">
        <f t="shared" si="170"/>
        <v>2733.9312596795003</v>
      </c>
      <c r="AE1170" s="2">
        <v>7.0000000000000007E-2</v>
      </c>
      <c r="AF1170" s="5">
        <f t="shared" si="175"/>
        <v>191.37518817756504</v>
      </c>
      <c r="AG1170" s="14">
        <v>0</v>
      </c>
      <c r="AH1170" s="19">
        <f t="shared" si="168"/>
        <v>4564.5</v>
      </c>
      <c r="AJ1170" s="126" t="e">
        <v>#N/A</v>
      </c>
      <c r="AK1170" s="80">
        <f t="shared" si="176"/>
        <v>0</v>
      </c>
      <c r="AM1170" s="85"/>
    </row>
    <row r="1171" spans="1:39" hidden="1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169"/>
        <v>90280.8</v>
      </c>
      <c r="X1171" s="18">
        <f t="shared" si="171"/>
        <v>119719.2</v>
      </c>
      <c r="Y1171" s="13">
        <f t="shared" si="172"/>
        <v>48012.756081975676</v>
      </c>
      <c r="Z1171" s="14">
        <v>0</v>
      </c>
      <c r="AA1171" s="4">
        <v>0</v>
      </c>
      <c r="AB1171" s="4">
        <f t="shared" si="173"/>
        <v>119719.2</v>
      </c>
      <c r="AC1171" s="6">
        <f t="shared" si="174"/>
        <v>0</v>
      </c>
      <c r="AD1171" s="6">
        <f t="shared" si="170"/>
        <v>71706.443918024321</v>
      </c>
      <c r="AE1171" s="2">
        <v>7.0000000000000007E-2</v>
      </c>
      <c r="AF1171" s="5">
        <f t="shared" si="175"/>
        <v>5019.4510742617031</v>
      </c>
      <c r="AG1171" s="14">
        <v>0</v>
      </c>
      <c r="AH1171" s="19">
        <f t="shared" si="168"/>
        <v>119719.2</v>
      </c>
      <c r="AJ1171" s="126" t="e">
        <v>#N/A</v>
      </c>
      <c r="AK1171" s="80">
        <f t="shared" si="176"/>
        <v>0</v>
      </c>
      <c r="AM1171" s="85"/>
    </row>
    <row r="1172" spans="1:39" hidden="1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169"/>
        <v>0</v>
      </c>
      <c r="X1172" s="18">
        <f t="shared" si="171"/>
        <v>0</v>
      </c>
      <c r="Y1172" s="13">
        <f t="shared" si="172"/>
        <v>0</v>
      </c>
      <c r="Z1172" s="14">
        <v>0</v>
      </c>
      <c r="AA1172" s="4">
        <v>0</v>
      </c>
      <c r="AB1172" s="4">
        <f t="shared" si="173"/>
        <v>0</v>
      </c>
      <c r="AC1172" s="6">
        <f t="shared" si="174"/>
        <v>0</v>
      </c>
      <c r="AD1172" s="6">
        <f t="shared" si="170"/>
        <v>0</v>
      </c>
      <c r="AE1172" s="2">
        <v>7.0000000000000007E-2</v>
      </c>
      <c r="AF1172" s="5">
        <f t="shared" si="175"/>
        <v>0</v>
      </c>
      <c r="AG1172" s="14">
        <v>0</v>
      </c>
      <c r="AH1172" s="19">
        <f t="shared" si="168"/>
        <v>0</v>
      </c>
      <c r="AJ1172" s="126" t="e">
        <v>#N/A</v>
      </c>
      <c r="AK1172" s="80">
        <f t="shared" si="176"/>
        <v>0</v>
      </c>
      <c r="AM1172" s="85"/>
    </row>
    <row r="1173" spans="1:39" hidden="1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169"/>
        <v>300194.7</v>
      </c>
      <c r="X1173" s="18">
        <f t="shared" si="171"/>
        <v>239805.3</v>
      </c>
      <c r="Y1173" s="13">
        <f t="shared" si="172"/>
        <v>96172.655481033958</v>
      </c>
      <c r="Z1173" s="14">
        <v>0</v>
      </c>
      <c r="AA1173" s="4">
        <v>0</v>
      </c>
      <c r="AB1173" s="4">
        <f t="shared" si="173"/>
        <v>239805.3</v>
      </c>
      <c r="AC1173" s="6">
        <f t="shared" si="174"/>
        <v>0</v>
      </c>
      <c r="AD1173" s="6">
        <f t="shared" si="170"/>
        <v>143632.64451896603</v>
      </c>
      <c r="AE1173" s="2">
        <v>7.0000000000000007E-2</v>
      </c>
      <c r="AF1173" s="5">
        <f t="shared" si="175"/>
        <v>10054.285116327623</v>
      </c>
      <c r="AG1173" s="14">
        <v>0</v>
      </c>
      <c r="AH1173" s="19">
        <f t="shared" ref="AH1173:AH1236" si="177">V1173</f>
        <v>239805.3</v>
      </c>
      <c r="AJ1173" s="126" t="e">
        <v>#N/A</v>
      </c>
      <c r="AK1173" s="80">
        <f t="shared" si="176"/>
        <v>0</v>
      </c>
      <c r="AM1173" s="85"/>
    </row>
    <row r="1174" spans="1:39" hidden="1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169"/>
        <v>86150</v>
      </c>
      <c r="X1174" s="18">
        <f t="shared" si="171"/>
        <v>383514.8</v>
      </c>
      <c r="Y1174" s="13">
        <f t="shared" si="172"/>
        <v>153806.59531827547</v>
      </c>
      <c r="Z1174" s="14">
        <v>0</v>
      </c>
      <c r="AA1174" s="4">
        <v>0</v>
      </c>
      <c r="AB1174" s="4">
        <f t="shared" si="173"/>
        <v>383514.8</v>
      </c>
      <c r="AC1174" s="6">
        <f t="shared" si="174"/>
        <v>0</v>
      </c>
      <c r="AD1174" s="6">
        <f t="shared" si="170"/>
        <v>229708.20468172451</v>
      </c>
      <c r="AE1174" s="2">
        <v>7.0000000000000007E-2</v>
      </c>
      <c r="AF1174" s="5">
        <f t="shared" si="175"/>
        <v>16079.574327720717</v>
      </c>
      <c r="AG1174" s="14">
        <v>0</v>
      </c>
      <c r="AH1174" s="19">
        <f t="shared" si="177"/>
        <v>383514.8</v>
      </c>
      <c r="AJ1174" s="126" t="e">
        <v>#N/A</v>
      </c>
      <c r="AK1174" s="80">
        <f t="shared" si="176"/>
        <v>0</v>
      </c>
      <c r="AM1174" s="85"/>
    </row>
    <row r="1175" spans="1:39" hidden="1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169"/>
        <v>5520.7000000000007</v>
      </c>
      <c r="X1175" s="18">
        <f t="shared" si="171"/>
        <v>14479.3</v>
      </c>
      <c r="Y1175" s="13">
        <f t="shared" si="172"/>
        <v>5806.8471818868693</v>
      </c>
      <c r="Z1175" s="14">
        <v>0</v>
      </c>
      <c r="AA1175" s="4">
        <v>0</v>
      </c>
      <c r="AB1175" s="4">
        <f t="shared" si="173"/>
        <v>14479.3</v>
      </c>
      <c r="AC1175" s="6">
        <f t="shared" si="174"/>
        <v>0</v>
      </c>
      <c r="AD1175" s="6">
        <f t="shared" si="170"/>
        <v>8672.45281811313</v>
      </c>
      <c r="AE1175" s="2">
        <v>7.0000000000000007E-2</v>
      </c>
      <c r="AF1175" s="5">
        <f t="shared" si="175"/>
        <v>607.07169726791915</v>
      </c>
      <c r="AG1175" s="14">
        <v>0</v>
      </c>
      <c r="AH1175" s="19">
        <f t="shared" si="177"/>
        <v>14479.3</v>
      </c>
      <c r="AJ1175" s="126" t="e">
        <v>#N/A</v>
      </c>
      <c r="AK1175" s="80">
        <f t="shared" si="176"/>
        <v>0</v>
      </c>
      <c r="AM1175" s="85"/>
    </row>
    <row r="1176" spans="1:39" hidden="1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178">T1176+U1176-V1176</f>
        <v>0</v>
      </c>
      <c r="X1176" s="18">
        <f t="shared" si="171"/>
        <v>0</v>
      </c>
      <c r="Y1176" s="13">
        <f t="shared" si="172"/>
        <v>0</v>
      </c>
      <c r="Z1176" s="14">
        <v>0</v>
      </c>
      <c r="AA1176" s="4">
        <v>0</v>
      </c>
      <c r="AB1176" s="4">
        <f t="shared" si="173"/>
        <v>0</v>
      </c>
      <c r="AC1176" s="6">
        <f t="shared" si="174"/>
        <v>0</v>
      </c>
      <c r="AD1176" s="6">
        <f t="shared" si="170"/>
        <v>0</v>
      </c>
      <c r="AE1176" s="2">
        <v>7.0000000000000007E-2</v>
      </c>
      <c r="AF1176" s="5">
        <f t="shared" si="175"/>
        <v>0</v>
      </c>
      <c r="AG1176" s="14">
        <v>0</v>
      </c>
      <c r="AH1176" s="19">
        <f t="shared" si="177"/>
        <v>0</v>
      </c>
      <c r="AJ1176" s="126" t="e">
        <v>#N/A</v>
      </c>
      <c r="AK1176" s="80">
        <f t="shared" si="176"/>
        <v>0</v>
      </c>
      <c r="AM1176" s="85"/>
    </row>
    <row r="1177" spans="1:39" s="15" customFormat="1" hidden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178"/>
        <v>2371.5999999999985</v>
      </c>
      <c r="X1177" s="18">
        <f t="shared" si="171"/>
        <v>22628.400000000001</v>
      </c>
      <c r="Y1177" s="13">
        <f t="shared" si="172"/>
        <v>9075.0009165228184</v>
      </c>
      <c r="Z1177" s="14">
        <v>0</v>
      </c>
      <c r="AA1177" s="6">
        <v>0</v>
      </c>
      <c r="AB1177" s="4">
        <f t="shared" si="173"/>
        <v>22628.400000000001</v>
      </c>
      <c r="AC1177" s="6">
        <f t="shared" si="174"/>
        <v>0</v>
      </c>
      <c r="AD1177" s="6">
        <f t="shared" si="170"/>
        <v>13553.399083477183</v>
      </c>
      <c r="AE1177" s="14">
        <v>7.0000000000000007E-2</v>
      </c>
      <c r="AF1177" s="10">
        <f t="shared" si="175"/>
        <v>948.73793584340285</v>
      </c>
      <c r="AG1177" s="14">
        <v>0</v>
      </c>
      <c r="AH1177" s="19">
        <f t="shared" si="177"/>
        <v>22628.400000000001</v>
      </c>
      <c r="AI1177" s="16"/>
      <c r="AJ1177" s="126" t="e">
        <v>#N/A</v>
      </c>
      <c r="AK1177" s="80">
        <f t="shared" si="176"/>
        <v>0</v>
      </c>
      <c r="AL1177" s="85"/>
      <c r="AM1177" s="85"/>
    </row>
    <row r="1178" spans="1:39" hidden="1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178"/>
        <v>22070.300000000003</v>
      </c>
      <c r="X1178" s="18">
        <f t="shared" si="171"/>
        <v>71573.7</v>
      </c>
      <c r="Y1178" s="13">
        <f t="shared" si="172"/>
        <v>28704.25629292964</v>
      </c>
      <c r="Z1178" s="14">
        <v>0</v>
      </c>
      <c r="AA1178" s="4">
        <v>0</v>
      </c>
      <c r="AB1178" s="4">
        <f t="shared" si="173"/>
        <v>71573.7</v>
      </c>
      <c r="AC1178" s="6">
        <f t="shared" si="174"/>
        <v>0</v>
      </c>
      <c r="AD1178" s="6">
        <f t="shared" si="170"/>
        <v>42869.443707070357</v>
      </c>
      <c r="AE1178" s="2">
        <v>7.0000000000000007E-2</v>
      </c>
      <c r="AF1178" s="5">
        <f t="shared" si="175"/>
        <v>3000.8610594949255</v>
      </c>
      <c r="AG1178" s="14">
        <v>0</v>
      </c>
      <c r="AH1178" s="19">
        <f t="shared" si="177"/>
        <v>71573.7</v>
      </c>
      <c r="AJ1178" s="126" t="e">
        <v>#N/A</v>
      </c>
      <c r="AK1178" s="80">
        <f t="shared" si="176"/>
        <v>0</v>
      </c>
      <c r="AM1178" s="85"/>
    </row>
    <row r="1179" spans="1:39" hidden="1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178"/>
        <v>0</v>
      </c>
      <c r="X1179" s="18">
        <f t="shared" si="171"/>
        <v>0</v>
      </c>
      <c r="Y1179" s="13">
        <f t="shared" si="172"/>
        <v>0</v>
      </c>
      <c r="Z1179" s="14">
        <v>0</v>
      </c>
      <c r="AA1179" s="4">
        <v>0</v>
      </c>
      <c r="AB1179" s="4">
        <f t="shared" si="173"/>
        <v>0</v>
      </c>
      <c r="AC1179" s="6">
        <f t="shared" si="174"/>
        <v>0</v>
      </c>
      <c r="AD1179" s="6">
        <f t="shared" si="170"/>
        <v>0</v>
      </c>
      <c r="AE1179" s="2">
        <v>7.0000000000000007E-2</v>
      </c>
      <c r="AF1179" s="5">
        <f t="shared" si="175"/>
        <v>0</v>
      </c>
      <c r="AG1179" s="14">
        <v>0</v>
      </c>
      <c r="AH1179" s="19">
        <f t="shared" si="177"/>
        <v>0</v>
      </c>
      <c r="AJ1179" s="126" t="e">
        <v>#N/A</v>
      </c>
      <c r="AK1179" s="80">
        <f t="shared" si="176"/>
        <v>0</v>
      </c>
      <c r="AM1179" s="85"/>
    </row>
    <row r="1180" spans="1:39" hidden="1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178"/>
        <v>3294.7000000000007</v>
      </c>
      <c r="X1180" s="18">
        <f t="shared" si="171"/>
        <v>16705.3</v>
      </c>
      <c r="Y1180" s="13">
        <f t="shared" si="172"/>
        <v>6699.5727851190804</v>
      </c>
      <c r="Z1180" s="14">
        <v>0</v>
      </c>
      <c r="AA1180" s="4">
        <v>0</v>
      </c>
      <c r="AB1180" s="4"/>
      <c r="AC1180" s="6">
        <f t="shared" si="174"/>
        <v>0</v>
      </c>
      <c r="AD1180" s="6">
        <f t="shared" si="170"/>
        <v>10005.727214880919</v>
      </c>
      <c r="AE1180" s="2">
        <v>7.0000000000000007E-2</v>
      </c>
      <c r="AF1180" s="5">
        <f t="shared" si="175"/>
        <v>700.40090504166437</v>
      </c>
      <c r="AG1180" s="14">
        <v>0</v>
      </c>
      <c r="AH1180" s="19">
        <f t="shared" si="177"/>
        <v>16705.3</v>
      </c>
      <c r="AJ1180" s="126">
        <v>113</v>
      </c>
      <c r="AK1180" s="80">
        <f t="shared" si="176"/>
        <v>16705.3</v>
      </c>
      <c r="AM1180" s="85"/>
    </row>
    <row r="1181" spans="1:39" hidden="1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178"/>
        <v>8563.1999999999971</v>
      </c>
      <c r="X1181" s="18">
        <f t="shared" si="171"/>
        <v>41436.800000000003</v>
      </c>
      <c r="Y1181" s="13">
        <f t="shared" si="172"/>
        <v>16618.010905666008</v>
      </c>
      <c r="Z1181" s="14">
        <v>0</v>
      </c>
      <c r="AA1181" s="4">
        <v>0</v>
      </c>
      <c r="AB1181" s="4"/>
      <c r="AC1181" s="6">
        <f t="shared" si="174"/>
        <v>0</v>
      </c>
      <c r="AD1181" s="6">
        <f t="shared" si="170"/>
        <v>24818.789094333995</v>
      </c>
      <c r="AE1181" s="2">
        <v>7.0000000000000007E-2</v>
      </c>
      <c r="AF1181" s="5">
        <f t="shared" si="175"/>
        <v>1737.3152366033798</v>
      </c>
      <c r="AG1181" s="14">
        <v>0</v>
      </c>
      <c r="AH1181" s="19">
        <f t="shared" si="177"/>
        <v>41436.800000000003</v>
      </c>
      <c r="AJ1181" s="126">
        <v>113</v>
      </c>
      <c r="AK1181" s="80">
        <f t="shared" si="176"/>
        <v>41436.800000000003</v>
      </c>
      <c r="AM1181" s="85"/>
    </row>
    <row r="1182" spans="1:39" hidden="1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178"/>
        <v>0</v>
      </c>
      <c r="X1182" s="18">
        <f t="shared" si="171"/>
        <v>0</v>
      </c>
      <c r="Y1182" s="13">
        <f t="shared" si="172"/>
        <v>0</v>
      </c>
      <c r="Z1182" s="14">
        <v>0</v>
      </c>
      <c r="AA1182" s="4">
        <v>0</v>
      </c>
      <c r="AB1182" s="4"/>
      <c r="AC1182" s="6">
        <f t="shared" si="174"/>
        <v>0</v>
      </c>
      <c r="AD1182" s="6">
        <f t="shared" si="170"/>
        <v>0</v>
      </c>
      <c r="AE1182" s="2">
        <v>7.0000000000000007E-2</v>
      </c>
      <c r="AF1182" s="5">
        <f t="shared" si="175"/>
        <v>0</v>
      </c>
      <c r="AG1182" s="14">
        <v>0</v>
      </c>
      <c r="AH1182" s="19">
        <f t="shared" si="177"/>
        <v>0</v>
      </c>
      <c r="AJ1182" s="126">
        <v>113</v>
      </c>
      <c r="AK1182" s="80">
        <f t="shared" si="176"/>
        <v>0</v>
      </c>
      <c r="AM1182" s="85"/>
    </row>
    <row r="1183" spans="1:39" hidden="1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178"/>
        <v>46141.25</v>
      </c>
      <c r="X1183" s="18">
        <f t="shared" si="171"/>
        <v>153858.75</v>
      </c>
      <c r="Y1183" s="13">
        <f t="shared" si="172"/>
        <v>61704.24321936394</v>
      </c>
      <c r="Z1183" s="14">
        <v>0</v>
      </c>
      <c r="AA1183" s="4">
        <v>0</v>
      </c>
      <c r="AB1183" s="4">
        <f t="shared" si="173"/>
        <v>153858.75</v>
      </c>
      <c r="AC1183" s="6">
        <f t="shared" si="174"/>
        <v>0</v>
      </c>
      <c r="AD1183" s="6">
        <f t="shared" si="170"/>
        <v>92154.50678063606</v>
      </c>
      <c r="AE1183" s="2">
        <v>7.0000000000000007E-2</v>
      </c>
      <c r="AF1183" s="5">
        <f t="shared" si="175"/>
        <v>6450.8154746445252</v>
      </c>
      <c r="AG1183" s="14">
        <v>0</v>
      </c>
      <c r="AH1183" s="19">
        <f t="shared" si="177"/>
        <v>153858.75</v>
      </c>
      <c r="AJ1183" s="126" t="e">
        <v>#N/A</v>
      </c>
      <c r="AK1183" s="80">
        <f t="shared" si="176"/>
        <v>0</v>
      </c>
      <c r="AM1183" s="85"/>
    </row>
    <row r="1184" spans="1:39" hidden="1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178"/>
        <v>3788.5</v>
      </c>
      <c r="X1184" s="18">
        <f t="shared" si="171"/>
        <v>15980.7</v>
      </c>
      <c r="Y1184" s="13">
        <f t="shared" si="172"/>
        <v>6408.9757626114169</v>
      </c>
      <c r="Z1184" s="14">
        <v>0</v>
      </c>
      <c r="AA1184" s="4">
        <v>0</v>
      </c>
      <c r="AB1184" s="4">
        <f t="shared" si="173"/>
        <v>15980.7</v>
      </c>
      <c r="AC1184" s="6">
        <f t="shared" si="174"/>
        <v>0</v>
      </c>
      <c r="AD1184" s="6">
        <f t="shared" si="170"/>
        <v>9571.7242373885838</v>
      </c>
      <c r="AE1184" s="2">
        <v>7.0000000000000007E-2</v>
      </c>
      <c r="AF1184" s="5">
        <f t="shared" si="175"/>
        <v>670.02069661720088</v>
      </c>
      <c r="AG1184" s="14">
        <v>0</v>
      </c>
      <c r="AH1184" s="19">
        <f t="shared" si="177"/>
        <v>15980.7</v>
      </c>
      <c r="AJ1184" s="126" t="e">
        <v>#N/A</v>
      </c>
      <c r="AK1184" s="80">
        <f t="shared" si="176"/>
        <v>0</v>
      </c>
      <c r="AM1184" s="85"/>
    </row>
    <row r="1185" spans="1:39" hidden="1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178"/>
        <v>0</v>
      </c>
      <c r="X1185" s="18">
        <f t="shared" si="171"/>
        <v>19995.841584158414</v>
      </c>
      <c r="Y1185" s="13">
        <f t="shared" si="172"/>
        <v>7899.4610530519949</v>
      </c>
      <c r="Z1185" s="14">
        <v>0</v>
      </c>
      <c r="AA1185" s="4">
        <v>0</v>
      </c>
      <c r="AB1185" s="4">
        <f t="shared" si="173"/>
        <v>19995.841584158414</v>
      </c>
      <c r="AC1185" s="6">
        <f t="shared" si="174"/>
        <v>199.95841584158552</v>
      </c>
      <c r="AD1185" s="6">
        <f t="shared" ref="AD1185:AD1214" si="179">V1185*0.598955254612663</f>
        <v>12096.380531106419</v>
      </c>
      <c r="AE1185" s="2">
        <v>7.0000000000000007E-2</v>
      </c>
      <c r="AF1185" s="5">
        <f t="shared" si="175"/>
        <v>846.74663717744943</v>
      </c>
      <c r="AG1185" s="14">
        <v>0</v>
      </c>
      <c r="AH1185" s="19">
        <f t="shared" si="177"/>
        <v>20195.8</v>
      </c>
      <c r="AJ1185" s="126" t="e">
        <v>#N/A</v>
      </c>
      <c r="AK1185" s="80">
        <f t="shared" si="176"/>
        <v>0</v>
      </c>
      <c r="AM1185" s="85"/>
    </row>
    <row r="1186" spans="1:39" hidden="1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178"/>
        <v>7461.8799999999974</v>
      </c>
      <c r="X1186" s="18">
        <f t="shared" si="171"/>
        <v>37166.455445544554</v>
      </c>
      <c r="Y1186" s="13">
        <f t="shared" si="172"/>
        <v>14682.801223263858</v>
      </c>
      <c r="Z1186" s="14">
        <v>0</v>
      </c>
      <c r="AA1186" s="4">
        <v>0</v>
      </c>
      <c r="AB1186" s="4">
        <f t="shared" si="173"/>
        <v>37166.455445544554</v>
      </c>
      <c r="AC1186" s="6">
        <f t="shared" si="174"/>
        <v>371.66455445544852</v>
      </c>
      <c r="AD1186" s="6">
        <f t="shared" si="179"/>
        <v>22483.654222280697</v>
      </c>
      <c r="AE1186" s="2">
        <v>7.0000000000000007E-2</v>
      </c>
      <c r="AF1186" s="5">
        <f t="shared" si="175"/>
        <v>1573.8557955596489</v>
      </c>
      <c r="AG1186" s="14">
        <v>0</v>
      </c>
      <c r="AH1186" s="19">
        <f t="shared" si="177"/>
        <v>37538.120000000003</v>
      </c>
      <c r="AJ1186" s="126" t="e">
        <v>#N/A</v>
      </c>
      <c r="AK1186" s="80">
        <f t="shared" si="176"/>
        <v>0</v>
      </c>
      <c r="AM1186" s="85"/>
    </row>
    <row r="1187" spans="1:39" hidden="1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178"/>
        <v>13779.60000000002</v>
      </c>
      <c r="X1187" s="18">
        <f t="shared" si="171"/>
        <v>129727.32673267326</v>
      </c>
      <c r="Y1187" s="13">
        <f t="shared" si="172"/>
        <v>51249.45407915095</v>
      </c>
      <c r="Z1187" s="14">
        <v>0</v>
      </c>
      <c r="AA1187" s="4">
        <v>0</v>
      </c>
      <c r="AB1187" s="4">
        <f t="shared" si="173"/>
        <v>129727.32673267326</v>
      </c>
      <c r="AC1187" s="6">
        <f t="shared" si="174"/>
        <v>1297.273267326731</v>
      </c>
      <c r="AD1187" s="6">
        <f t="shared" si="179"/>
        <v>78477.87265352231</v>
      </c>
      <c r="AE1187" s="2">
        <v>7.0000000000000007E-2</v>
      </c>
      <c r="AF1187" s="5">
        <f t="shared" si="175"/>
        <v>5493.4510857465621</v>
      </c>
      <c r="AG1187" s="14">
        <v>0</v>
      </c>
      <c r="AH1187" s="19">
        <f t="shared" si="177"/>
        <v>131024.59999999999</v>
      </c>
      <c r="AJ1187" s="126" t="e">
        <v>#N/A</v>
      </c>
      <c r="AK1187" s="80">
        <f t="shared" si="176"/>
        <v>0</v>
      </c>
      <c r="AM1187" s="85"/>
    </row>
    <row r="1188" spans="1:39" hidden="1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178"/>
        <v>0</v>
      </c>
      <c r="X1188" s="18">
        <f t="shared" si="171"/>
        <v>470588.23529411765</v>
      </c>
      <c r="Y1188" s="13">
        <f t="shared" si="172"/>
        <v>183089.71308003942</v>
      </c>
      <c r="Z1188" s="14">
        <v>0</v>
      </c>
      <c r="AA1188" s="4">
        <v>0</v>
      </c>
      <c r="AB1188" s="4">
        <f t="shared" si="173"/>
        <v>470588.23529411765</v>
      </c>
      <c r="AC1188" s="6">
        <f t="shared" si="174"/>
        <v>9411.7647058823495</v>
      </c>
      <c r="AD1188" s="6">
        <f t="shared" si="179"/>
        <v>287498.52221407823</v>
      </c>
      <c r="AE1188" s="2">
        <v>7.0000000000000007E-2</v>
      </c>
      <c r="AF1188" s="5">
        <f t="shared" si="175"/>
        <v>20124.896554985477</v>
      </c>
      <c r="AG1188" s="14">
        <v>0</v>
      </c>
      <c r="AH1188" s="19">
        <f t="shared" si="177"/>
        <v>480000</v>
      </c>
      <c r="AJ1188" s="126" t="e">
        <v>#N/A</v>
      </c>
      <c r="AK1188" s="80">
        <f t="shared" si="176"/>
        <v>0</v>
      </c>
      <c r="AM1188" s="85"/>
    </row>
    <row r="1189" spans="1:39" hidden="1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178"/>
        <v>0</v>
      </c>
      <c r="X1189" s="18">
        <f t="shared" si="171"/>
        <v>35000</v>
      </c>
      <c r="Y1189" s="13">
        <f t="shared" si="172"/>
        <v>14036.566088556796</v>
      </c>
      <c r="Z1189" s="14">
        <v>0</v>
      </c>
      <c r="AA1189" s="4">
        <v>0</v>
      </c>
      <c r="AB1189" s="4">
        <f t="shared" si="173"/>
        <v>35000</v>
      </c>
      <c r="AC1189" s="6">
        <f t="shared" si="174"/>
        <v>0</v>
      </c>
      <c r="AD1189" s="6">
        <f t="shared" si="179"/>
        <v>20963.433911443204</v>
      </c>
      <c r="AE1189" s="2">
        <v>7.0000000000000007E-2</v>
      </c>
      <c r="AF1189" s="5">
        <f t="shared" si="175"/>
        <v>1467.4403738010244</v>
      </c>
      <c r="AG1189" s="14">
        <v>0</v>
      </c>
      <c r="AH1189" s="19">
        <f t="shared" si="177"/>
        <v>35000</v>
      </c>
      <c r="AJ1189" s="126" t="e">
        <v>#N/A</v>
      </c>
      <c r="AK1189" s="80">
        <f t="shared" si="176"/>
        <v>0</v>
      </c>
      <c r="AM1189" s="85"/>
    </row>
    <row r="1190" spans="1:39" hidden="1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178"/>
        <v>149063.34000000003</v>
      </c>
      <c r="X1190" s="18">
        <f t="shared" ref="X1190:X1253" si="180">IF(P1190="折扣",V1190*Q1190,IF(P1190="返现",V1190,V1190/(1+Q1190)))</f>
        <v>918.29411764703332</v>
      </c>
      <c r="Y1190" s="13">
        <f t="shared" si="172"/>
        <v>357.27668886155197</v>
      </c>
      <c r="Z1190" s="14">
        <v>0</v>
      </c>
      <c r="AA1190" s="4">
        <v>0</v>
      </c>
      <c r="AB1190" s="4">
        <f t="shared" si="173"/>
        <v>918.29411764703332</v>
      </c>
      <c r="AC1190" s="6">
        <f t="shared" si="174"/>
        <v>18.36588235294073</v>
      </c>
      <c r="AD1190" s="6">
        <f t="shared" si="179"/>
        <v>561.01742878548134</v>
      </c>
      <c r="AE1190" s="2">
        <v>7.0000000000000007E-2</v>
      </c>
      <c r="AF1190" s="5">
        <f t="shared" si="175"/>
        <v>39.271220014983697</v>
      </c>
      <c r="AG1190" s="14">
        <v>0</v>
      </c>
      <c r="AH1190" s="19">
        <f t="shared" si="177"/>
        <v>936.65999999997405</v>
      </c>
      <c r="AJ1190" s="126" t="e">
        <v>#N/A</v>
      </c>
      <c r="AK1190" s="80">
        <f t="shared" si="176"/>
        <v>0</v>
      </c>
      <c r="AM1190" s="85"/>
    </row>
    <row r="1191" spans="1:39" hidden="1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178"/>
        <v>14739.800000000001</v>
      </c>
      <c r="X1191" s="18">
        <f t="shared" si="180"/>
        <v>6353.5294117647063</v>
      </c>
      <c r="Y1191" s="13">
        <f t="shared" si="172"/>
        <v>2471.9399887218824</v>
      </c>
      <c r="Z1191" s="14">
        <v>0</v>
      </c>
      <c r="AA1191" s="4">
        <v>0</v>
      </c>
      <c r="AB1191" s="4">
        <f t="shared" si="173"/>
        <v>6353.5294117647063</v>
      </c>
      <c r="AC1191" s="6">
        <f t="shared" si="174"/>
        <v>127.07058823529405</v>
      </c>
      <c r="AD1191" s="6">
        <f t="shared" si="179"/>
        <v>3881.5894230428239</v>
      </c>
      <c r="AE1191" s="2">
        <v>7.0000000000000007E-2</v>
      </c>
      <c r="AF1191" s="5">
        <f t="shared" si="175"/>
        <v>271.71125961299771</v>
      </c>
      <c r="AG1191" s="14">
        <v>0</v>
      </c>
      <c r="AH1191" s="19">
        <f t="shared" si="177"/>
        <v>6480.6</v>
      </c>
      <c r="AJ1191" s="126" t="e">
        <v>#N/A</v>
      </c>
      <c r="AK1191" s="80">
        <f t="shared" si="176"/>
        <v>0</v>
      </c>
      <c r="AM1191" s="85"/>
    </row>
    <row r="1192" spans="1:39" hidden="1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178"/>
        <v>569</v>
      </c>
      <c r="X1192" s="18">
        <f t="shared" si="180"/>
        <v>4431</v>
      </c>
      <c r="Y1192" s="13">
        <f t="shared" si="172"/>
        <v>1777.0292668112902</v>
      </c>
      <c r="Z1192" s="14">
        <v>0</v>
      </c>
      <c r="AA1192" s="4">
        <v>0</v>
      </c>
      <c r="AB1192" s="4">
        <f t="shared" si="173"/>
        <v>4431</v>
      </c>
      <c r="AC1192" s="6">
        <f t="shared" si="174"/>
        <v>0</v>
      </c>
      <c r="AD1192" s="6">
        <f t="shared" si="179"/>
        <v>2653.9707331887098</v>
      </c>
      <c r="AE1192" s="2">
        <v>7.0000000000000007E-2</v>
      </c>
      <c r="AF1192" s="5">
        <f t="shared" si="175"/>
        <v>185.77795132320969</v>
      </c>
      <c r="AG1192" s="14">
        <v>0</v>
      </c>
      <c r="AH1192" s="19">
        <f t="shared" si="177"/>
        <v>4431</v>
      </c>
      <c r="AJ1192" s="126" t="e">
        <v>#N/A</v>
      </c>
      <c r="AK1192" s="80">
        <f t="shared" si="176"/>
        <v>0</v>
      </c>
      <c r="AM1192" s="85"/>
    </row>
    <row r="1193" spans="1:39" hidden="1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178"/>
        <v>242.70000000000073</v>
      </c>
      <c r="X1193" s="18">
        <f t="shared" si="180"/>
        <v>9757.2999999999993</v>
      </c>
      <c r="Y1193" s="13">
        <f t="shared" si="172"/>
        <v>3913.1138941678637</v>
      </c>
      <c r="Z1193" s="14">
        <v>0</v>
      </c>
      <c r="AA1193" s="4">
        <v>0</v>
      </c>
      <c r="AB1193" s="4">
        <f t="shared" si="173"/>
        <v>9757.2999999999993</v>
      </c>
      <c r="AC1193" s="6">
        <f t="shared" si="174"/>
        <v>0</v>
      </c>
      <c r="AD1193" s="6">
        <f t="shared" si="179"/>
        <v>5844.1861058321356</v>
      </c>
      <c r="AE1193" s="2">
        <v>7.0000000000000007E-2</v>
      </c>
      <c r="AF1193" s="5">
        <f t="shared" si="175"/>
        <v>409.09302740824955</v>
      </c>
      <c r="AG1193" s="14">
        <v>0</v>
      </c>
      <c r="AH1193" s="19">
        <f t="shared" si="177"/>
        <v>9757.2999999999993</v>
      </c>
      <c r="AJ1193" s="126" t="e">
        <v>#N/A</v>
      </c>
      <c r="AK1193" s="80">
        <f t="shared" si="176"/>
        <v>0</v>
      </c>
      <c r="AM1193" s="85"/>
    </row>
    <row r="1194" spans="1:39" hidden="1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178"/>
        <v>0</v>
      </c>
      <c r="X1194" s="18">
        <f t="shared" si="180"/>
        <v>12857.3</v>
      </c>
      <c r="Y1194" s="13">
        <f t="shared" si="172"/>
        <v>5156.3526048686081</v>
      </c>
      <c r="Z1194" s="14">
        <v>0</v>
      </c>
      <c r="AA1194" s="4">
        <v>0</v>
      </c>
      <c r="AB1194" s="4">
        <f t="shared" si="173"/>
        <v>12857.3</v>
      </c>
      <c r="AC1194" s="6">
        <f t="shared" si="174"/>
        <v>0</v>
      </c>
      <c r="AD1194" s="6">
        <f t="shared" si="179"/>
        <v>7700.9473951313912</v>
      </c>
      <c r="AE1194" s="2">
        <v>7.0000000000000007E-2</v>
      </c>
      <c r="AF1194" s="5">
        <f t="shared" si="175"/>
        <v>539.06631765919747</v>
      </c>
      <c r="AG1194" s="14">
        <v>0</v>
      </c>
      <c r="AH1194" s="19">
        <f t="shared" si="177"/>
        <v>12857.3</v>
      </c>
      <c r="AJ1194" s="126" t="e">
        <v>#N/A</v>
      </c>
      <c r="AK1194" s="80">
        <f t="shared" si="176"/>
        <v>0</v>
      </c>
      <c r="AM1194" s="85"/>
    </row>
    <row r="1195" spans="1:39" hidden="1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178"/>
        <v>4097</v>
      </c>
      <c r="X1195" s="18">
        <f t="shared" si="180"/>
        <v>903</v>
      </c>
      <c r="Y1195" s="13">
        <f t="shared" si="172"/>
        <v>362.14340508476539</v>
      </c>
      <c r="Z1195" s="14">
        <v>0</v>
      </c>
      <c r="AA1195" s="4">
        <v>0</v>
      </c>
      <c r="AB1195" s="4">
        <f t="shared" si="173"/>
        <v>903</v>
      </c>
      <c r="AC1195" s="6">
        <f t="shared" si="174"/>
        <v>0</v>
      </c>
      <c r="AD1195" s="6">
        <f t="shared" si="179"/>
        <v>540.85659491523461</v>
      </c>
      <c r="AE1195" s="2">
        <v>7.0000000000000007E-2</v>
      </c>
      <c r="AF1195" s="5">
        <f t="shared" si="175"/>
        <v>37.859961644066424</v>
      </c>
      <c r="AG1195" s="14">
        <v>0</v>
      </c>
      <c r="AH1195" s="19">
        <f t="shared" si="177"/>
        <v>903</v>
      </c>
      <c r="AJ1195" s="126" t="e">
        <v>#N/A</v>
      </c>
      <c r="AK1195" s="80">
        <f t="shared" si="176"/>
        <v>0</v>
      </c>
      <c r="AM1195" s="85"/>
    </row>
    <row r="1196" spans="1:39" hidden="1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178"/>
        <v>0</v>
      </c>
      <c r="X1196" s="18">
        <f t="shared" si="180"/>
        <v>0</v>
      </c>
      <c r="Y1196" s="13">
        <f t="shared" si="172"/>
        <v>0</v>
      </c>
      <c r="Z1196" s="14">
        <v>0</v>
      </c>
      <c r="AA1196" s="4">
        <v>0</v>
      </c>
      <c r="AB1196" s="4">
        <f t="shared" si="173"/>
        <v>0</v>
      </c>
      <c r="AC1196" s="6">
        <f t="shared" si="174"/>
        <v>0</v>
      </c>
      <c r="AD1196" s="6">
        <f t="shared" si="179"/>
        <v>0</v>
      </c>
      <c r="AE1196" s="2">
        <v>7.0000000000000007E-2</v>
      </c>
      <c r="AF1196" s="5">
        <f t="shared" si="175"/>
        <v>0</v>
      </c>
      <c r="AG1196" s="14">
        <v>0</v>
      </c>
      <c r="AH1196" s="19">
        <f t="shared" si="177"/>
        <v>0</v>
      </c>
      <c r="AJ1196" s="126" t="e">
        <v>#N/A</v>
      </c>
      <c r="AK1196" s="80">
        <f t="shared" si="176"/>
        <v>0</v>
      </c>
      <c r="AM1196" s="85"/>
    </row>
    <row r="1197" spans="1:39" hidden="1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178"/>
        <v>0</v>
      </c>
      <c r="X1197" s="18">
        <f t="shared" si="180"/>
        <v>0</v>
      </c>
      <c r="Y1197" s="13">
        <f t="shared" si="172"/>
        <v>0</v>
      </c>
      <c r="Z1197" s="14">
        <v>0</v>
      </c>
      <c r="AA1197" s="4">
        <v>0</v>
      </c>
      <c r="AB1197" s="4">
        <f t="shared" si="173"/>
        <v>0</v>
      </c>
      <c r="AC1197" s="6">
        <f t="shared" si="174"/>
        <v>0</v>
      </c>
      <c r="AD1197" s="6">
        <f t="shared" si="179"/>
        <v>0</v>
      </c>
      <c r="AE1197" s="2">
        <v>7.0000000000000007E-2</v>
      </c>
      <c r="AF1197" s="5">
        <f t="shared" si="175"/>
        <v>0</v>
      </c>
      <c r="AG1197" s="14">
        <v>0</v>
      </c>
      <c r="AH1197" s="19">
        <f t="shared" si="177"/>
        <v>0</v>
      </c>
      <c r="AJ1197" s="126" t="e">
        <v>#N/A</v>
      </c>
      <c r="AK1197" s="80">
        <f t="shared" si="176"/>
        <v>0</v>
      </c>
      <c r="AM1197" s="85"/>
    </row>
    <row r="1198" spans="1:39" hidden="1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178"/>
        <v>35027.900000000023</v>
      </c>
      <c r="X1198" s="18">
        <f t="shared" si="180"/>
        <v>113833.7623762376</v>
      </c>
      <c r="Y1198" s="13">
        <f t="shared" si="172"/>
        <v>44970.618947385068</v>
      </c>
      <c r="Z1198" s="14">
        <v>0</v>
      </c>
      <c r="AA1198" s="4">
        <v>0</v>
      </c>
      <c r="AB1198" s="4">
        <f t="shared" si="173"/>
        <v>113833.7623762376</v>
      </c>
      <c r="AC1198" s="6">
        <f t="shared" si="174"/>
        <v>1138.3376237623743</v>
      </c>
      <c r="AD1198" s="6">
        <f t="shared" si="179"/>
        <v>68863.143428852534</v>
      </c>
      <c r="AE1198" s="2">
        <v>7.0000000000000007E-2</v>
      </c>
      <c r="AF1198" s="5">
        <f t="shared" si="175"/>
        <v>4820.4200400196778</v>
      </c>
      <c r="AG1198" s="14">
        <v>0</v>
      </c>
      <c r="AH1198" s="19">
        <f t="shared" si="177"/>
        <v>114972.09999999998</v>
      </c>
      <c r="AJ1198" s="126" t="e">
        <v>#N/A</v>
      </c>
      <c r="AK1198" s="80">
        <f t="shared" si="176"/>
        <v>0</v>
      </c>
      <c r="AM1198" s="85"/>
    </row>
    <row r="1199" spans="1:39" hidden="1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178"/>
        <v>2741</v>
      </c>
      <c r="X1199" s="18">
        <f t="shared" si="180"/>
        <v>17259</v>
      </c>
      <c r="Y1199" s="13">
        <f t="shared" si="172"/>
        <v>6921.6312606400497</v>
      </c>
      <c r="Z1199" s="14">
        <v>0</v>
      </c>
      <c r="AA1199" s="4">
        <v>0</v>
      </c>
      <c r="AB1199" s="4">
        <f t="shared" si="173"/>
        <v>17259</v>
      </c>
      <c r="AC1199" s="6">
        <f t="shared" si="174"/>
        <v>0</v>
      </c>
      <c r="AD1199" s="6">
        <f t="shared" si="179"/>
        <v>10337.36873935995</v>
      </c>
      <c r="AE1199" s="2">
        <v>7.0000000000000007E-2</v>
      </c>
      <c r="AF1199" s="5">
        <f t="shared" si="175"/>
        <v>723.61581175519655</v>
      </c>
      <c r="AG1199" s="14">
        <v>0</v>
      </c>
      <c r="AH1199" s="19">
        <f t="shared" si="177"/>
        <v>17259</v>
      </c>
      <c r="AJ1199" s="126" t="e">
        <v>#N/A</v>
      </c>
      <c r="AK1199" s="80">
        <f t="shared" si="176"/>
        <v>0</v>
      </c>
      <c r="AM1199" s="85"/>
    </row>
    <row r="1200" spans="1:39" hidden="1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178"/>
        <v>1804.5</v>
      </c>
      <c r="X1200" s="18">
        <f t="shared" si="180"/>
        <v>8195.5</v>
      </c>
      <c r="Y1200" s="13">
        <f t="shared" si="172"/>
        <v>3286.7622108219202</v>
      </c>
      <c r="Z1200" s="14">
        <v>0</v>
      </c>
      <c r="AA1200" s="4">
        <v>0</v>
      </c>
      <c r="AB1200" s="4">
        <f t="shared" si="173"/>
        <v>8195.5</v>
      </c>
      <c r="AC1200" s="6">
        <f t="shared" si="174"/>
        <v>0</v>
      </c>
      <c r="AD1200" s="6">
        <f t="shared" si="179"/>
        <v>4908.7377891780798</v>
      </c>
      <c r="AE1200" s="2">
        <v>7.0000000000000007E-2</v>
      </c>
      <c r="AF1200" s="5">
        <f t="shared" si="175"/>
        <v>343.61164524246561</v>
      </c>
      <c r="AG1200" s="14">
        <v>0</v>
      </c>
      <c r="AH1200" s="19">
        <f t="shared" si="177"/>
        <v>8195.5</v>
      </c>
      <c r="AJ1200" s="126" t="e">
        <v>#N/A</v>
      </c>
      <c r="AK1200" s="80">
        <f t="shared" si="176"/>
        <v>0</v>
      </c>
      <c r="AM1200" s="85"/>
    </row>
    <row r="1201" spans="1:39" hidden="1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178"/>
        <v>89417.100000000093</v>
      </c>
      <c r="X1201" s="18">
        <f t="shared" si="180"/>
        <v>1410582.9</v>
      </c>
      <c r="Y1201" s="13">
        <f t="shared" si="172"/>
        <v>565706.85997823149</v>
      </c>
      <c r="Z1201" s="14">
        <v>0</v>
      </c>
      <c r="AA1201" s="4">
        <v>0</v>
      </c>
      <c r="AB1201" s="4">
        <f t="shared" si="173"/>
        <v>1410582.9</v>
      </c>
      <c r="AC1201" s="6">
        <f t="shared" si="174"/>
        <v>0</v>
      </c>
      <c r="AD1201" s="6">
        <f t="shared" si="179"/>
        <v>844876.04002176842</v>
      </c>
      <c r="AE1201" s="2">
        <v>7.0000000000000007E-2</v>
      </c>
      <c r="AF1201" s="5">
        <f t="shared" si="175"/>
        <v>59141.322801523798</v>
      </c>
      <c r="AG1201" s="14">
        <v>0</v>
      </c>
      <c r="AH1201" s="19">
        <f t="shared" si="177"/>
        <v>1410582.9</v>
      </c>
      <c r="AJ1201" s="126" t="e">
        <v>#N/A</v>
      </c>
      <c r="AK1201" s="80">
        <f t="shared" si="176"/>
        <v>0</v>
      </c>
      <c r="AM1201" s="85"/>
    </row>
    <row r="1202" spans="1:39" hidden="1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178"/>
        <v>5627.9</v>
      </c>
      <c r="X1202" s="18">
        <f t="shared" si="180"/>
        <v>4372.1000000000004</v>
      </c>
      <c r="Y1202" s="13">
        <f t="shared" si="172"/>
        <v>1753.4077313079765</v>
      </c>
      <c r="Z1202" s="14">
        <v>0</v>
      </c>
      <c r="AA1202" s="4">
        <v>0</v>
      </c>
      <c r="AB1202" s="4">
        <f t="shared" si="173"/>
        <v>4372.1000000000004</v>
      </c>
      <c r="AC1202" s="6">
        <f t="shared" si="174"/>
        <v>0</v>
      </c>
      <c r="AD1202" s="6">
        <f t="shared" si="179"/>
        <v>2618.6922686920238</v>
      </c>
      <c r="AE1202" s="2">
        <v>7.0000000000000007E-2</v>
      </c>
      <c r="AF1202" s="5">
        <f t="shared" si="175"/>
        <v>183.30845880844169</v>
      </c>
      <c r="AG1202" s="14">
        <v>0</v>
      </c>
      <c r="AH1202" s="19">
        <f t="shared" si="177"/>
        <v>4372.1000000000004</v>
      </c>
      <c r="AJ1202" s="126" t="e">
        <v>#N/A</v>
      </c>
      <c r="AK1202" s="80">
        <f t="shared" si="176"/>
        <v>0</v>
      </c>
      <c r="AM1202" s="85"/>
    </row>
    <row r="1203" spans="1:39" hidden="1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178"/>
        <v>-25235.100000000035</v>
      </c>
      <c r="X1203" s="18">
        <f t="shared" si="180"/>
        <v>175235.10000000003</v>
      </c>
      <c r="Y1203" s="13">
        <f t="shared" si="172"/>
        <v>70277.116062424553</v>
      </c>
      <c r="Z1203" s="14">
        <v>0</v>
      </c>
      <c r="AA1203" s="4">
        <v>0</v>
      </c>
      <c r="AB1203" s="4">
        <f t="shared" si="173"/>
        <v>175235.10000000003</v>
      </c>
      <c r="AC1203" s="6">
        <f t="shared" si="174"/>
        <v>0</v>
      </c>
      <c r="AD1203" s="6">
        <f t="shared" si="179"/>
        <v>104957.98393757548</v>
      </c>
      <c r="AE1203" s="2">
        <v>7.0000000000000007E-2</v>
      </c>
      <c r="AF1203" s="5">
        <f t="shared" si="175"/>
        <v>7347.0588756302841</v>
      </c>
      <c r="AG1203" s="14">
        <v>0</v>
      </c>
      <c r="AH1203" s="19">
        <f t="shared" si="177"/>
        <v>175235.10000000003</v>
      </c>
      <c r="AJ1203" s="126" t="e">
        <v>#N/A</v>
      </c>
      <c r="AK1203" s="80">
        <f t="shared" si="176"/>
        <v>0</v>
      </c>
      <c r="AM1203" s="85"/>
    </row>
    <row r="1204" spans="1:39" hidden="1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178"/>
        <v>0</v>
      </c>
      <c r="X1204" s="18">
        <f t="shared" si="180"/>
        <v>19607.843137254902</v>
      </c>
      <c r="Y1204" s="13">
        <f t="shared" si="172"/>
        <v>7628.7380450016426</v>
      </c>
      <c r="Z1204" s="14">
        <v>0</v>
      </c>
      <c r="AA1204" s="4">
        <v>0</v>
      </c>
      <c r="AB1204" s="4">
        <f t="shared" si="173"/>
        <v>19607.843137254902</v>
      </c>
      <c r="AC1204" s="6">
        <f t="shared" si="174"/>
        <v>392.1568627450979</v>
      </c>
      <c r="AD1204" s="6">
        <f t="shared" si="179"/>
        <v>11979.105092253259</v>
      </c>
      <c r="AE1204" s="2">
        <v>7.0000000000000007E-2</v>
      </c>
      <c r="AF1204" s="5">
        <f t="shared" si="175"/>
        <v>838.53735645772827</v>
      </c>
      <c r="AG1204" s="14">
        <v>0</v>
      </c>
      <c r="AH1204" s="19">
        <f t="shared" si="177"/>
        <v>20000</v>
      </c>
      <c r="AJ1204" s="126" t="e">
        <v>#N/A</v>
      </c>
      <c r="AK1204" s="80">
        <f t="shared" si="176"/>
        <v>0</v>
      </c>
      <c r="AM1204" s="85"/>
    </row>
    <row r="1205" spans="1:39" hidden="1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178"/>
        <v>-3.3000000000029104</v>
      </c>
      <c r="X1205" s="18">
        <f t="shared" si="180"/>
        <v>0</v>
      </c>
      <c r="Y1205" s="13">
        <f t="shared" si="172"/>
        <v>0</v>
      </c>
      <c r="Z1205" s="14">
        <v>0</v>
      </c>
      <c r="AA1205" s="4">
        <v>0</v>
      </c>
      <c r="AB1205" s="4">
        <f t="shared" si="173"/>
        <v>0</v>
      </c>
      <c r="AC1205" s="6">
        <f t="shared" si="174"/>
        <v>0</v>
      </c>
      <c r="AD1205" s="6">
        <f t="shared" si="179"/>
        <v>0</v>
      </c>
      <c r="AE1205" s="2">
        <v>7.0000000000000007E-2</v>
      </c>
      <c r="AF1205" s="5">
        <f t="shared" si="175"/>
        <v>0</v>
      </c>
      <c r="AG1205" s="14">
        <v>0</v>
      </c>
      <c r="AH1205" s="19">
        <f t="shared" si="177"/>
        <v>0</v>
      </c>
      <c r="AJ1205" s="126" t="e">
        <v>#N/A</v>
      </c>
      <c r="AK1205" s="80">
        <f t="shared" si="176"/>
        <v>0</v>
      </c>
      <c r="AM1205" s="85"/>
    </row>
    <row r="1206" spans="1:39" hidden="1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178"/>
        <v>86786.6</v>
      </c>
      <c r="X1206" s="18">
        <f t="shared" si="180"/>
        <v>13213.4</v>
      </c>
      <c r="Y1206" s="13">
        <f t="shared" si="172"/>
        <v>5299.1646387010387</v>
      </c>
      <c r="Z1206" s="14">
        <v>0</v>
      </c>
      <c r="AA1206" s="4">
        <v>0</v>
      </c>
      <c r="AB1206" s="4">
        <f t="shared" si="173"/>
        <v>13213.4</v>
      </c>
      <c r="AC1206" s="6">
        <f t="shared" si="174"/>
        <v>0</v>
      </c>
      <c r="AD1206" s="6">
        <f t="shared" si="179"/>
        <v>7914.2353612989609</v>
      </c>
      <c r="AE1206" s="2">
        <v>7.0000000000000007E-2</v>
      </c>
      <c r="AF1206" s="5">
        <f t="shared" si="175"/>
        <v>553.99647529092726</v>
      </c>
      <c r="AG1206" s="14">
        <v>0</v>
      </c>
      <c r="AH1206" s="19">
        <f t="shared" si="177"/>
        <v>13213.4</v>
      </c>
      <c r="AJ1206" s="126" t="e">
        <v>#N/A</v>
      </c>
      <c r="AK1206" s="80">
        <f t="shared" si="176"/>
        <v>0</v>
      </c>
      <c r="AM1206" s="85"/>
    </row>
    <row r="1207" spans="1:39" hidden="1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178"/>
        <v>240000</v>
      </c>
      <c r="X1207" s="18">
        <f t="shared" si="180"/>
        <v>0</v>
      </c>
      <c r="Y1207" s="13">
        <f t="shared" si="172"/>
        <v>0</v>
      </c>
      <c r="Z1207" s="14">
        <v>0</v>
      </c>
      <c r="AA1207" s="4">
        <v>0</v>
      </c>
      <c r="AB1207" s="4">
        <f t="shared" si="173"/>
        <v>0</v>
      </c>
      <c r="AC1207" s="6">
        <f t="shared" si="174"/>
        <v>0</v>
      </c>
      <c r="AD1207" s="6">
        <f t="shared" si="179"/>
        <v>0</v>
      </c>
      <c r="AE1207" s="2">
        <v>7.0000000000000007E-2</v>
      </c>
      <c r="AF1207" s="5">
        <f t="shared" si="175"/>
        <v>0</v>
      </c>
      <c r="AG1207" s="14">
        <v>0</v>
      </c>
      <c r="AH1207" s="19">
        <f t="shared" si="177"/>
        <v>0</v>
      </c>
      <c r="AJ1207" s="126" t="e">
        <v>#N/A</v>
      </c>
      <c r="AK1207" s="80">
        <f t="shared" si="176"/>
        <v>0</v>
      </c>
      <c r="AM1207" s="85"/>
    </row>
    <row r="1208" spans="1:39" hidden="1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178"/>
        <v>130000</v>
      </c>
      <c r="X1208" s="18">
        <f t="shared" si="180"/>
        <v>0</v>
      </c>
      <c r="Y1208" s="13">
        <f t="shared" si="172"/>
        <v>0</v>
      </c>
      <c r="Z1208" s="14">
        <v>0</v>
      </c>
      <c r="AA1208" s="4">
        <v>0</v>
      </c>
      <c r="AB1208" s="4">
        <f t="shared" si="173"/>
        <v>0</v>
      </c>
      <c r="AC1208" s="6">
        <f t="shared" si="174"/>
        <v>0</v>
      </c>
      <c r="AD1208" s="6">
        <f t="shared" si="179"/>
        <v>0</v>
      </c>
      <c r="AE1208" s="2">
        <v>7.0000000000000007E-2</v>
      </c>
      <c r="AF1208" s="5">
        <f t="shared" si="175"/>
        <v>0</v>
      </c>
      <c r="AG1208" s="14">
        <v>0</v>
      </c>
      <c r="AH1208" s="19">
        <f t="shared" si="177"/>
        <v>0</v>
      </c>
      <c r="AJ1208" s="126" t="e">
        <v>#N/A</v>
      </c>
      <c r="AK1208" s="80">
        <f t="shared" si="176"/>
        <v>0</v>
      </c>
      <c r="AM1208" s="85"/>
    </row>
    <row r="1209" spans="1:39" hidden="1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178"/>
        <v>1050000</v>
      </c>
      <c r="X1209" s="18">
        <f t="shared" si="180"/>
        <v>0</v>
      </c>
      <c r="Y1209" s="13">
        <f t="shared" si="172"/>
        <v>0</v>
      </c>
      <c r="Z1209" s="14">
        <v>0</v>
      </c>
      <c r="AA1209" s="4">
        <v>0</v>
      </c>
      <c r="AB1209" s="4">
        <f t="shared" si="173"/>
        <v>0</v>
      </c>
      <c r="AC1209" s="6">
        <f t="shared" si="174"/>
        <v>0</v>
      </c>
      <c r="AD1209" s="6">
        <f t="shared" si="179"/>
        <v>0</v>
      </c>
      <c r="AE1209" s="2">
        <v>7.0000000000000007E-2</v>
      </c>
      <c r="AF1209" s="5">
        <f t="shared" si="175"/>
        <v>0</v>
      </c>
      <c r="AG1209" s="14">
        <v>0</v>
      </c>
      <c r="AH1209" s="19">
        <f t="shared" si="177"/>
        <v>0</v>
      </c>
      <c r="AJ1209" s="126" t="e">
        <v>#N/A</v>
      </c>
      <c r="AK1209" s="80">
        <f t="shared" si="176"/>
        <v>0</v>
      </c>
      <c r="AM1209" s="85"/>
    </row>
    <row r="1210" spans="1:39" hidden="1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178"/>
        <v>0</v>
      </c>
      <c r="X1210" s="18">
        <f t="shared" si="180"/>
        <v>0</v>
      </c>
      <c r="Y1210" s="13">
        <f t="shared" si="172"/>
        <v>0</v>
      </c>
      <c r="Z1210" s="14">
        <v>0</v>
      </c>
      <c r="AA1210" s="4">
        <v>0</v>
      </c>
      <c r="AB1210" s="4">
        <f t="shared" si="173"/>
        <v>0</v>
      </c>
      <c r="AC1210" s="6">
        <f t="shared" si="174"/>
        <v>0</v>
      </c>
      <c r="AD1210" s="6">
        <f t="shared" si="179"/>
        <v>0</v>
      </c>
      <c r="AE1210" s="2">
        <v>7.0000000000000007E-2</v>
      </c>
      <c r="AF1210" s="5">
        <f t="shared" si="175"/>
        <v>0</v>
      </c>
      <c r="AG1210" s="14">
        <v>0</v>
      </c>
      <c r="AH1210" s="19">
        <f t="shared" si="177"/>
        <v>0</v>
      </c>
      <c r="AJ1210" s="126" t="e">
        <v>#N/A</v>
      </c>
      <c r="AK1210" s="80">
        <f t="shared" si="176"/>
        <v>0</v>
      </c>
      <c r="AM1210" s="85"/>
    </row>
    <row r="1211" spans="1:39" hidden="1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178"/>
        <v>1146170</v>
      </c>
      <c r="X1211" s="18">
        <f t="shared" si="180"/>
        <v>3830</v>
      </c>
      <c r="Y1211" s="13">
        <f t="shared" si="172"/>
        <v>1536.0013748335009</v>
      </c>
      <c r="Z1211" s="14">
        <v>0</v>
      </c>
      <c r="AA1211" s="4">
        <v>0</v>
      </c>
      <c r="AB1211" s="4">
        <f t="shared" si="173"/>
        <v>3830</v>
      </c>
      <c r="AC1211" s="6">
        <f t="shared" si="174"/>
        <v>0</v>
      </c>
      <c r="AD1211" s="6">
        <f t="shared" si="179"/>
        <v>2293.9986251664991</v>
      </c>
      <c r="AE1211" s="2">
        <v>7.0000000000000007E-2</v>
      </c>
      <c r="AF1211" s="5">
        <f t="shared" si="175"/>
        <v>160.57990376165495</v>
      </c>
      <c r="AG1211" s="14">
        <v>0</v>
      </c>
      <c r="AH1211" s="19">
        <f t="shared" si="177"/>
        <v>3830</v>
      </c>
      <c r="AJ1211" s="126" t="e">
        <v>#N/A</v>
      </c>
      <c r="AK1211" s="80">
        <f t="shared" si="176"/>
        <v>0</v>
      </c>
      <c r="AM1211" s="85"/>
    </row>
    <row r="1212" spans="1:39" hidden="1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178"/>
        <v>1430000</v>
      </c>
      <c r="X1212" s="18">
        <f t="shared" si="180"/>
        <v>0</v>
      </c>
      <c r="Y1212" s="13">
        <f t="shared" si="172"/>
        <v>0</v>
      </c>
      <c r="Z1212" s="14">
        <v>0</v>
      </c>
      <c r="AA1212" s="4">
        <v>0</v>
      </c>
      <c r="AB1212" s="4">
        <f t="shared" si="173"/>
        <v>0</v>
      </c>
      <c r="AC1212" s="6">
        <f t="shared" si="174"/>
        <v>0</v>
      </c>
      <c r="AD1212" s="6">
        <f t="shared" si="179"/>
        <v>0</v>
      </c>
      <c r="AE1212" s="2">
        <v>7.0000000000000007E-2</v>
      </c>
      <c r="AF1212" s="5">
        <f t="shared" si="175"/>
        <v>0</v>
      </c>
      <c r="AG1212" s="14">
        <v>0</v>
      </c>
      <c r="AH1212" s="19">
        <f t="shared" si="177"/>
        <v>0</v>
      </c>
      <c r="AJ1212" s="126" t="e">
        <v>#N/A</v>
      </c>
      <c r="AK1212" s="80">
        <f t="shared" si="176"/>
        <v>0</v>
      </c>
      <c r="AM1212" s="85"/>
    </row>
    <row r="1213" spans="1:39" hidden="1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178"/>
        <v>350000</v>
      </c>
      <c r="X1213" s="18">
        <f t="shared" si="180"/>
        <v>0</v>
      </c>
      <c r="Y1213" s="13">
        <f t="shared" si="172"/>
        <v>0</v>
      </c>
      <c r="Z1213" s="14">
        <v>0</v>
      </c>
      <c r="AA1213" s="4">
        <v>0</v>
      </c>
      <c r="AB1213" s="4">
        <f t="shared" si="173"/>
        <v>0</v>
      </c>
      <c r="AC1213" s="6">
        <f t="shared" si="174"/>
        <v>0</v>
      </c>
      <c r="AD1213" s="6">
        <f t="shared" si="179"/>
        <v>0</v>
      </c>
      <c r="AE1213" s="2">
        <v>7.0000000000000007E-2</v>
      </c>
      <c r="AF1213" s="5">
        <f t="shared" si="175"/>
        <v>0</v>
      </c>
      <c r="AG1213" s="14">
        <v>0</v>
      </c>
      <c r="AH1213" s="19">
        <f t="shared" si="177"/>
        <v>0</v>
      </c>
      <c r="AJ1213" s="126" t="e">
        <v>#N/A</v>
      </c>
      <c r="AK1213" s="80">
        <f t="shared" si="176"/>
        <v>0</v>
      </c>
      <c r="AM1213" s="85"/>
    </row>
    <row r="1214" spans="1:39" hidden="1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178"/>
        <v>12574.1</v>
      </c>
      <c r="X1214" s="18">
        <f t="shared" si="180"/>
        <v>7425.9</v>
      </c>
      <c r="Y1214" s="13">
        <f t="shared" si="172"/>
        <v>2978.1181747718256</v>
      </c>
      <c r="Z1214" s="14">
        <v>0</v>
      </c>
      <c r="AA1214" s="4">
        <v>0</v>
      </c>
      <c r="AB1214" s="4">
        <f t="shared" si="173"/>
        <v>7425.9</v>
      </c>
      <c r="AC1214" s="6">
        <f t="shared" si="174"/>
        <v>0</v>
      </c>
      <c r="AD1214" s="6">
        <f t="shared" si="179"/>
        <v>4447.7818252281741</v>
      </c>
      <c r="AE1214" s="2">
        <v>7.0000000000000007E-2</v>
      </c>
      <c r="AF1214" s="5">
        <f t="shared" si="175"/>
        <v>311.34472776597221</v>
      </c>
      <c r="AG1214" s="14">
        <v>0</v>
      </c>
      <c r="AH1214" s="19">
        <f t="shared" si="177"/>
        <v>7425.9</v>
      </c>
      <c r="AJ1214" s="126" t="e">
        <v>#N/A</v>
      </c>
      <c r="AK1214" s="80">
        <f t="shared" si="176"/>
        <v>0</v>
      </c>
      <c r="AM1214" s="85"/>
    </row>
    <row r="1215" spans="1:39" hidden="1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178"/>
        <v>37819.02999999997</v>
      </c>
      <c r="X1215" s="18">
        <f t="shared" si="180"/>
        <v>393570.7</v>
      </c>
      <c r="Y1215" s="13">
        <f t="shared" si="172"/>
        <v>0</v>
      </c>
      <c r="Z1215" s="14">
        <v>0.02</v>
      </c>
      <c r="AA1215" s="6">
        <f>X1215/(1-Z1215)*Z1215</f>
        <v>8032.0551020408166</v>
      </c>
      <c r="AB1215" s="4">
        <f t="shared" si="173"/>
        <v>401602.75510204083</v>
      </c>
      <c r="AC1215" s="6">
        <f t="shared" si="174"/>
        <v>0</v>
      </c>
      <c r="AD1215" s="18">
        <f>V1215</f>
        <v>393570.7</v>
      </c>
      <c r="AE1215" s="2">
        <v>0.02</v>
      </c>
      <c r="AF1215" s="5">
        <f t="shared" si="175"/>
        <v>7871.4140000000007</v>
      </c>
      <c r="AG1215" s="14">
        <v>0</v>
      </c>
      <c r="AH1215" s="19">
        <f t="shared" si="177"/>
        <v>393570.7</v>
      </c>
      <c r="AJ1215" s="126" t="e">
        <v>#N/A</v>
      </c>
      <c r="AK1215" s="80">
        <f t="shared" si="176"/>
        <v>0</v>
      </c>
      <c r="AM1215" s="85"/>
    </row>
    <row r="1216" spans="1:39" hidden="1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178"/>
        <v>82804.050000000047</v>
      </c>
      <c r="X1216" s="18">
        <f t="shared" si="180"/>
        <v>487372.6</v>
      </c>
      <c r="Y1216" s="13">
        <f t="shared" si="172"/>
        <v>0</v>
      </c>
      <c r="Z1216" s="14">
        <v>0.02</v>
      </c>
      <c r="AA1216" s="6">
        <f t="shared" ref="AA1216:AA1220" si="181">X1216/(1-Z1216)*Z1216</f>
        <v>9946.3795918367359</v>
      </c>
      <c r="AB1216" s="4">
        <f t="shared" si="173"/>
        <v>497318.97959183669</v>
      </c>
      <c r="AC1216" s="6">
        <f t="shared" si="174"/>
        <v>0</v>
      </c>
      <c r="AD1216" s="18">
        <f>V1216</f>
        <v>487372.6</v>
      </c>
      <c r="AE1216" s="2">
        <v>0.02</v>
      </c>
      <c r="AF1216" s="5">
        <f t="shared" si="175"/>
        <v>9747.4519999999993</v>
      </c>
      <c r="AG1216" s="14">
        <v>0</v>
      </c>
      <c r="AH1216" s="19">
        <f t="shared" si="177"/>
        <v>487372.6</v>
      </c>
      <c r="AJ1216" s="126" t="e">
        <v>#N/A</v>
      </c>
      <c r="AK1216" s="80">
        <f t="shared" si="176"/>
        <v>0</v>
      </c>
      <c r="AM1216" s="85"/>
    </row>
    <row r="1217" spans="1:39" hidden="1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178"/>
        <v>-28.299999999871943</v>
      </c>
      <c r="X1217" s="18">
        <f t="shared" si="180"/>
        <v>0</v>
      </c>
      <c r="Y1217" s="13">
        <f t="shared" si="172"/>
        <v>0</v>
      </c>
      <c r="Z1217" s="14">
        <v>0.02</v>
      </c>
      <c r="AA1217" s="6">
        <f t="shared" si="181"/>
        <v>0</v>
      </c>
      <c r="AB1217" s="4">
        <f t="shared" si="173"/>
        <v>0</v>
      </c>
      <c r="AC1217" s="6">
        <f t="shared" si="174"/>
        <v>0</v>
      </c>
      <c r="AD1217" s="6">
        <f t="shared" ref="AD1217:AD1280" si="182">V1217*0.598955254612663</f>
        <v>0</v>
      </c>
      <c r="AE1217" s="2">
        <v>7.0000000000000007E-2</v>
      </c>
      <c r="AF1217" s="5">
        <f t="shared" si="175"/>
        <v>0</v>
      </c>
      <c r="AG1217" s="14">
        <v>0</v>
      </c>
      <c r="AH1217" s="19">
        <f t="shared" si="177"/>
        <v>0</v>
      </c>
      <c r="AJ1217" s="126" t="e">
        <v>#N/A</v>
      </c>
      <c r="AK1217" s="80">
        <f t="shared" si="176"/>
        <v>0</v>
      </c>
      <c r="AM1217" s="85"/>
    </row>
    <row r="1218" spans="1:39" hidden="1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178"/>
        <v>749953.59717999992</v>
      </c>
      <c r="X1218" s="18">
        <f t="shared" si="180"/>
        <v>77.428700000000006</v>
      </c>
      <c r="Y1218" s="13">
        <f t="shared" si="172"/>
        <v>31.052373277172507</v>
      </c>
      <c r="Z1218" s="14">
        <v>0.02</v>
      </c>
      <c r="AA1218" s="6">
        <f t="shared" si="181"/>
        <v>1.5801775510204084</v>
      </c>
      <c r="AB1218" s="4">
        <f t="shared" si="173"/>
        <v>79.008877551020419</v>
      </c>
      <c r="AC1218" s="6">
        <f t="shared" si="174"/>
        <v>0</v>
      </c>
      <c r="AD1218" s="6">
        <f t="shared" si="182"/>
        <v>46.3763267228275</v>
      </c>
      <c r="AE1218" s="2">
        <v>7.0000000000000007E-2</v>
      </c>
      <c r="AF1218" s="5">
        <f t="shared" si="175"/>
        <v>3.2463428705979251</v>
      </c>
      <c r="AG1218" s="14">
        <v>0</v>
      </c>
      <c r="AH1218" s="19">
        <f t="shared" si="177"/>
        <v>77.428700000000006</v>
      </c>
      <c r="AJ1218" s="126" t="e">
        <v>#N/A</v>
      </c>
      <c r="AK1218" s="80">
        <f t="shared" si="176"/>
        <v>0</v>
      </c>
      <c r="AM1218" s="85"/>
    </row>
    <row r="1219" spans="1:39" hidden="1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178"/>
        <v>2303972.0599999996</v>
      </c>
      <c r="X1219" s="18">
        <f t="shared" si="180"/>
        <v>0</v>
      </c>
      <c r="Y1219" s="13">
        <f t="shared" ref="Y1219:Y1282" si="183">IF(X1219-AD1219&lt;=0,0,IF(P1219="返现",MAX(X1219-AC1219-AD1219,0),MAX(X1219-AD1219)))</f>
        <v>0</v>
      </c>
      <c r="Z1219" s="14">
        <v>0.02</v>
      </c>
      <c r="AA1219" s="6">
        <f t="shared" si="181"/>
        <v>0</v>
      </c>
      <c r="AB1219" s="4">
        <f t="shared" ref="AB1219:AB1282" si="184">X1219+AA1219</f>
        <v>0</v>
      </c>
      <c r="AC1219" s="6">
        <f t="shared" ref="AC1219:AC1282" si="185">IF(P1219="返现",X1219*Q1219,V1219-X1219)</f>
        <v>0</v>
      </c>
      <c r="AD1219" s="6">
        <f t="shared" si="182"/>
        <v>0</v>
      </c>
      <c r="AE1219" s="2">
        <v>7.0000000000000007E-2</v>
      </c>
      <c r="AF1219" s="5">
        <f t="shared" ref="AF1219:AF1282" si="186">AD1219*AE1219</f>
        <v>0</v>
      </c>
      <c r="AG1219" s="14">
        <v>0</v>
      </c>
      <c r="AH1219" s="19">
        <f t="shared" si="177"/>
        <v>0</v>
      </c>
      <c r="AJ1219" s="126" t="e">
        <v>#N/A</v>
      </c>
      <c r="AK1219" s="80">
        <f t="shared" ref="AK1219:AK1282" si="187">X1219+AA1219-AB1219</f>
        <v>0</v>
      </c>
      <c r="AM1219" s="85"/>
    </row>
    <row r="1220" spans="1:39" hidden="1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178"/>
        <v>23987.050000000338</v>
      </c>
      <c r="X1220" s="18">
        <f t="shared" si="180"/>
        <v>0</v>
      </c>
      <c r="Y1220" s="13">
        <f t="shared" si="183"/>
        <v>0</v>
      </c>
      <c r="Z1220" s="14">
        <v>0.02</v>
      </c>
      <c r="AA1220" s="6">
        <f t="shared" si="181"/>
        <v>0</v>
      </c>
      <c r="AB1220" s="4">
        <f t="shared" si="184"/>
        <v>0</v>
      </c>
      <c r="AC1220" s="6">
        <f t="shared" si="185"/>
        <v>0</v>
      </c>
      <c r="AD1220" s="6">
        <f t="shared" si="182"/>
        <v>0</v>
      </c>
      <c r="AE1220" s="2">
        <v>7.0000000000000007E-2</v>
      </c>
      <c r="AF1220" s="5">
        <f t="shared" si="186"/>
        <v>0</v>
      </c>
      <c r="AG1220" s="14">
        <v>0</v>
      </c>
      <c r="AH1220" s="19">
        <f t="shared" si="177"/>
        <v>0</v>
      </c>
      <c r="AJ1220" s="126" t="e">
        <v>#N/A</v>
      </c>
      <c r="AK1220" s="80">
        <f t="shared" si="187"/>
        <v>0</v>
      </c>
      <c r="AM1220" s="85"/>
    </row>
    <row r="1221" spans="1:39" hidden="1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178"/>
        <v>0</v>
      </c>
      <c r="X1221" s="18">
        <f t="shared" si="180"/>
        <v>0</v>
      </c>
      <c r="Y1221" s="13">
        <f t="shared" si="183"/>
        <v>0</v>
      </c>
      <c r="Z1221" s="14">
        <v>0</v>
      </c>
      <c r="AA1221" s="4">
        <v>0</v>
      </c>
      <c r="AB1221" s="4">
        <f t="shared" si="184"/>
        <v>0</v>
      </c>
      <c r="AC1221" s="6">
        <f t="shared" si="185"/>
        <v>0</v>
      </c>
      <c r="AD1221" s="6">
        <f t="shared" si="182"/>
        <v>0</v>
      </c>
      <c r="AE1221" s="2">
        <v>0.12</v>
      </c>
      <c r="AF1221" s="5">
        <f t="shared" si="186"/>
        <v>0</v>
      </c>
      <c r="AG1221" s="14">
        <v>0</v>
      </c>
      <c r="AH1221" s="19">
        <f t="shared" si="177"/>
        <v>0</v>
      </c>
      <c r="AJ1221" s="126" t="e">
        <v>#N/A</v>
      </c>
      <c r="AK1221" s="80">
        <f t="shared" si="187"/>
        <v>0</v>
      </c>
      <c r="AM1221" s="85"/>
    </row>
    <row r="1222" spans="1:39" hidden="1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178"/>
        <v>12.100000000010368</v>
      </c>
      <c r="X1222" s="18">
        <f t="shared" si="180"/>
        <v>1697.9117647058724</v>
      </c>
      <c r="Y1222" s="13">
        <f t="shared" si="183"/>
        <v>660.59912789984583</v>
      </c>
      <c r="Z1222" s="14">
        <v>0</v>
      </c>
      <c r="AA1222" s="4">
        <v>0</v>
      </c>
      <c r="AB1222" s="4">
        <f t="shared" si="184"/>
        <v>1697.9117647058724</v>
      </c>
      <c r="AC1222" s="6">
        <f t="shared" si="185"/>
        <v>33.958235294117458</v>
      </c>
      <c r="AD1222" s="6">
        <f t="shared" si="182"/>
        <v>1037.3126368060266</v>
      </c>
      <c r="AE1222" s="2">
        <v>7.0000000000000007E-2</v>
      </c>
      <c r="AF1222" s="5">
        <f t="shared" si="186"/>
        <v>72.611884576421872</v>
      </c>
      <c r="AG1222" s="14">
        <v>0</v>
      </c>
      <c r="AH1222" s="19">
        <f t="shared" si="177"/>
        <v>1731.8699999999899</v>
      </c>
      <c r="AJ1222" s="126" t="e">
        <v>#N/A</v>
      </c>
      <c r="AK1222" s="80">
        <f t="shared" si="187"/>
        <v>0</v>
      </c>
      <c r="AM1222" s="85"/>
    </row>
    <row r="1223" spans="1:39" hidden="1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178"/>
        <v>160</v>
      </c>
      <c r="X1223" s="18">
        <f t="shared" si="180"/>
        <v>0</v>
      </c>
      <c r="Y1223" s="13">
        <f t="shared" si="183"/>
        <v>0</v>
      </c>
      <c r="Z1223" s="14">
        <v>0</v>
      </c>
      <c r="AA1223" s="4">
        <v>0</v>
      </c>
      <c r="AB1223" s="4">
        <f t="shared" si="184"/>
        <v>0</v>
      </c>
      <c r="AC1223" s="6">
        <f t="shared" si="185"/>
        <v>0</v>
      </c>
      <c r="AD1223" s="6">
        <f t="shared" si="182"/>
        <v>0</v>
      </c>
      <c r="AE1223" s="2">
        <v>0.12</v>
      </c>
      <c r="AF1223" s="5">
        <f t="shared" si="186"/>
        <v>0</v>
      </c>
      <c r="AG1223" s="14">
        <v>0</v>
      </c>
      <c r="AH1223" s="19">
        <f t="shared" si="177"/>
        <v>0</v>
      </c>
      <c r="AJ1223" s="126" t="e">
        <v>#N/A</v>
      </c>
      <c r="AK1223" s="80">
        <f t="shared" si="187"/>
        <v>0</v>
      </c>
      <c r="AM1223" s="85"/>
    </row>
    <row r="1224" spans="1:39" hidden="1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178"/>
        <v>0</v>
      </c>
      <c r="X1224" s="18">
        <f t="shared" si="180"/>
        <v>467.74509803921569</v>
      </c>
      <c r="Y1224" s="13">
        <f t="shared" si="183"/>
        <v>181.98354606351415</v>
      </c>
      <c r="Z1224" s="14">
        <v>0</v>
      </c>
      <c r="AA1224" s="4">
        <v>0</v>
      </c>
      <c r="AB1224" s="4">
        <f t="shared" si="184"/>
        <v>467.74509803921569</v>
      </c>
      <c r="AC1224" s="6">
        <f t="shared" si="185"/>
        <v>9.354901960784332</v>
      </c>
      <c r="AD1224" s="6">
        <f t="shared" si="182"/>
        <v>285.76155197570154</v>
      </c>
      <c r="AE1224" s="2">
        <v>7.0000000000000007E-2</v>
      </c>
      <c r="AF1224" s="5">
        <f t="shared" si="186"/>
        <v>20.00330863829911</v>
      </c>
      <c r="AG1224" s="14">
        <v>0</v>
      </c>
      <c r="AH1224" s="19">
        <f t="shared" si="177"/>
        <v>477.1</v>
      </c>
      <c r="AJ1224" s="126" t="e">
        <v>#N/A</v>
      </c>
      <c r="AK1224" s="80">
        <f t="shared" si="187"/>
        <v>0</v>
      </c>
      <c r="AM1224" s="85"/>
    </row>
    <row r="1225" spans="1:39" hidden="1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178"/>
        <v>0</v>
      </c>
      <c r="X1225" s="18">
        <f t="shared" si="180"/>
        <v>0</v>
      </c>
      <c r="Y1225" s="13">
        <f t="shared" si="183"/>
        <v>0</v>
      </c>
      <c r="Z1225" s="14">
        <v>0</v>
      </c>
      <c r="AA1225" s="4">
        <v>0</v>
      </c>
      <c r="AB1225" s="4">
        <f t="shared" si="184"/>
        <v>0</v>
      </c>
      <c r="AC1225" s="6">
        <f t="shared" si="185"/>
        <v>0</v>
      </c>
      <c r="AD1225" s="6">
        <f t="shared" si="182"/>
        <v>0</v>
      </c>
      <c r="AE1225" s="2">
        <v>7.0000000000000007E-2</v>
      </c>
      <c r="AF1225" s="5">
        <f t="shared" si="186"/>
        <v>0</v>
      </c>
      <c r="AG1225" s="14">
        <v>0</v>
      </c>
      <c r="AH1225" s="19">
        <f t="shared" si="177"/>
        <v>0</v>
      </c>
      <c r="AJ1225" s="126" t="e">
        <v>#N/A</v>
      </c>
      <c r="AK1225" s="80">
        <f t="shared" si="187"/>
        <v>0</v>
      </c>
      <c r="AM1225" s="85"/>
    </row>
    <row r="1226" spans="1:39" hidden="1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178"/>
        <v>1.1368683772161603E-13</v>
      </c>
      <c r="X1226" s="18">
        <f t="shared" si="180"/>
        <v>0</v>
      </c>
      <c r="Y1226" s="13">
        <f t="shared" si="183"/>
        <v>0</v>
      </c>
      <c r="Z1226" s="14">
        <v>0</v>
      </c>
      <c r="AA1226" s="4">
        <v>0</v>
      </c>
      <c r="AB1226" s="4">
        <f t="shared" si="184"/>
        <v>0</v>
      </c>
      <c r="AC1226" s="6">
        <f t="shared" si="185"/>
        <v>0</v>
      </c>
      <c r="AD1226" s="6">
        <f t="shared" si="182"/>
        <v>0</v>
      </c>
      <c r="AE1226" s="2">
        <v>7.0000000000000007E-2</v>
      </c>
      <c r="AF1226" s="5">
        <f t="shared" si="186"/>
        <v>0</v>
      </c>
      <c r="AG1226" s="14">
        <v>0</v>
      </c>
      <c r="AH1226" s="19">
        <f t="shared" si="177"/>
        <v>0</v>
      </c>
      <c r="AJ1226" s="126" t="e">
        <v>#N/A</v>
      </c>
      <c r="AK1226" s="80">
        <f t="shared" si="187"/>
        <v>0</v>
      </c>
      <c r="AM1226" s="85"/>
    </row>
    <row r="1227" spans="1:39" hidden="1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178"/>
        <v>0</v>
      </c>
      <c r="X1227" s="18">
        <f t="shared" si="180"/>
        <v>209.28155339805599</v>
      </c>
      <c r="Y1227" s="13">
        <f t="shared" si="183"/>
        <v>80.170758713751752</v>
      </c>
      <c r="Z1227" s="14">
        <v>0</v>
      </c>
      <c r="AA1227" s="4">
        <v>0</v>
      </c>
      <c r="AB1227" s="4">
        <f t="shared" si="184"/>
        <v>209.28155339805599</v>
      </c>
      <c r="AC1227" s="6">
        <f t="shared" si="185"/>
        <v>6.2784466019416811</v>
      </c>
      <c r="AD1227" s="6">
        <f t="shared" si="182"/>
        <v>129.11079468430424</v>
      </c>
      <c r="AE1227" s="2">
        <v>7.0000000000000007E-2</v>
      </c>
      <c r="AF1227" s="5">
        <f t="shared" si="186"/>
        <v>9.0377556279012978</v>
      </c>
      <c r="AG1227" s="14">
        <v>0</v>
      </c>
      <c r="AH1227" s="19">
        <f t="shared" si="177"/>
        <v>215.55999999999767</v>
      </c>
      <c r="AJ1227" s="126" t="e">
        <v>#N/A</v>
      </c>
      <c r="AK1227" s="80">
        <f t="shared" si="187"/>
        <v>0</v>
      </c>
      <c r="AM1227" s="85"/>
    </row>
    <row r="1228" spans="1:39" hidden="1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178"/>
        <v>1166028.6700099998</v>
      </c>
      <c r="X1228" s="18">
        <f t="shared" si="180"/>
        <v>0</v>
      </c>
      <c r="Y1228" s="13">
        <f t="shared" si="183"/>
        <v>0</v>
      </c>
      <c r="Z1228" s="14">
        <v>0</v>
      </c>
      <c r="AA1228" s="4">
        <v>0</v>
      </c>
      <c r="AB1228" s="4">
        <f t="shared" si="184"/>
        <v>0</v>
      </c>
      <c r="AC1228" s="6">
        <f t="shared" si="185"/>
        <v>0</v>
      </c>
      <c r="AD1228" s="6">
        <f t="shared" si="182"/>
        <v>0</v>
      </c>
      <c r="AE1228" s="2">
        <v>7.0000000000000007E-2</v>
      </c>
      <c r="AF1228" s="5">
        <f t="shared" si="186"/>
        <v>0</v>
      </c>
      <c r="AG1228" s="14">
        <v>0</v>
      </c>
      <c r="AH1228" s="19">
        <f t="shared" si="177"/>
        <v>0</v>
      </c>
      <c r="AJ1228" s="126" t="e">
        <v>#N/A</v>
      </c>
      <c r="AK1228" s="80">
        <f t="shared" si="187"/>
        <v>0</v>
      </c>
      <c r="AM1228" s="85"/>
    </row>
    <row r="1229" spans="1:39" hidden="1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178"/>
        <v>23573.97</v>
      </c>
      <c r="X1229" s="18">
        <f t="shared" si="180"/>
        <v>130665.76055000001</v>
      </c>
      <c r="Y1229" s="13">
        <f t="shared" si="183"/>
        <v>47176.186248617494</v>
      </c>
      <c r="Z1229" s="14">
        <v>0</v>
      </c>
      <c r="AA1229" s="4">
        <v>0</v>
      </c>
      <c r="AB1229" s="4">
        <f t="shared" si="184"/>
        <v>130665.76055000001</v>
      </c>
      <c r="AC1229" s="6">
        <f t="shared" si="185"/>
        <v>5226.6304220000002</v>
      </c>
      <c r="AD1229" s="6">
        <f t="shared" si="182"/>
        <v>78262.94387938251</v>
      </c>
      <c r="AE1229" s="2">
        <v>7.0000000000000007E-2</v>
      </c>
      <c r="AF1229" s="5">
        <f t="shared" si="186"/>
        <v>5478.4060715567766</v>
      </c>
      <c r="AG1229" s="14">
        <v>0</v>
      </c>
      <c r="AH1229" s="19">
        <f t="shared" si="177"/>
        <v>130665.76055000001</v>
      </c>
      <c r="AJ1229" s="126" t="e">
        <v>#N/A</v>
      </c>
      <c r="AK1229" s="80">
        <f t="shared" si="187"/>
        <v>0</v>
      </c>
      <c r="AM1229" s="85"/>
    </row>
    <row r="1230" spans="1:39" hidden="1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178"/>
        <v>-24.899999999994179</v>
      </c>
      <c r="X1230" s="18">
        <f t="shared" si="180"/>
        <v>0</v>
      </c>
      <c r="Y1230" s="13">
        <f t="shared" si="183"/>
        <v>0</v>
      </c>
      <c r="Z1230" s="14">
        <v>0</v>
      </c>
      <c r="AA1230" s="4">
        <v>0</v>
      </c>
      <c r="AB1230" s="4">
        <f t="shared" si="184"/>
        <v>0</v>
      </c>
      <c r="AC1230" s="6">
        <f t="shared" si="185"/>
        <v>0</v>
      </c>
      <c r="AD1230" s="6">
        <f t="shared" si="182"/>
        <v>0</v>
      </c>
      <c r="AE1230" s="2">
        <v>7.0000000000000007E-2</v>
      </c>
      <c r="AF1230" s="5">
        <f t="shared" si="186"/>
        <v>0</v>
      </c>
      <c r="AG1230" s="14">
        <v>0</v>
      </c>
      <c r="AH1230" s="19">
        <f t="shared" si="177"/>
        <v>0</v>
      </c>
      <c r="AJ1230" s="126" t="e">
        <v>#N/A</v>
      </c>
      <c r="AK1230" s="80">
        <f t="shared" si="187"/>
        <v>0</v>
      </c>
      <c r="AM1230" s="85"/>
    </row>
    <row r="1231" spans="1:39" hidden="1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178"/>
        <v>7.999999999992724E-2</v>
      </c>
      <c r="X1231" s="18">
        <f t="shared" si="180"/>
        <v>0</v>
      </c>
      <c r="Y1231" s="13">
        <f t="shared" si="183"/>
        <v>0</v>
      </c>
      <c r="Z1231" s="14">
        <v>0</v>
      </c>
      <c r="AA1231" s="4">
        <v>0</v>
      </c>
      <c r="AB1231" s="4">
        <f t="shared" si="184"/>
        <v>0</v>
      </c>
      <c r="AC1231" s="6">
        <f t="shared" si="185"/>
        <v>0</v>
      </c>
      <c r="AD1231" s="6">
        <f t="shared" si="182"/>
        <v>0</v>
      </c>
      <c r="AE1231" s="2">
        <v>7.0000000000000007E-2</v>
      </c>
      <c r="AF1231" s="5">
        <f t="shared" si="186"/>
        <v>0</v>
      </c>
      <c r="AG1231" s="14">
        <v>0</v>
      </c>
      <c r="AH1231" s="19">
        <f t="shared" si="177"/>
        <v>0</v>
      </c>
      <c r="AJ1231" s="126" t="e">
        <v>#N/A</v>
      </c>
      <c r="AK1231" s="80">
        <f t="shared" si="187"/>
        <v>0</v>
      </c>
      <c r="AM1231" s="85"/>
    </row>
    <row r="1232" spans="1:39" hidden="1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178"/>
        <v>5.0000000082945917E-2</v>
      </c>
      <c r="X1232" s="18">
        <f t="shared" si="180"/>
        <v>0</v>
      </c>
      <c r="Y1232" s="13">
        <f t="shared" si="183"/>
        <v>0</v>
      </c>
      <c r="Z1232" s="14">
        <v>0</v>
      </c>
      <c r="AA1232" s="4">
        <v>0</v>
      </c>
      <c r="AB1232" s="4">
        <f t="shared" si="184"/>
        <v>0</v>
      </c>
      <c r="AC1232" s="6">
        <f t="shared" si="185"/>
        <v>0</v>
      </c>
      <c r="AD1232" s="6">
        <f t="shared" si="182"/>
        <v>0</v>
      </c>
      <c r="AE1232" s="2">
        <v>7.0000000000000007E-2</v>
      </c>
      <c r="AF1232" s="5">
        <f t="shared" si="186"/>
        <v>0</v>
      </c>
      <c r="AG1232" s="14">
        <v>0</v>
      </c>
      <c r="AH1232" s="19">
        <f t="shared" si="177"/>
        <v>0</v>
      </c>
      <c r="AJ1232" s="126" t="e">
        <v>#N/A</v>
      </c>
      <c r="AK1232" s="80">
        <f t="shared" si="187"/>
        <v>0</v>
      </c>
      <c r="AM1232" s="85"/>
    </row>
    <row r="1233" spans="1:39" hidden="1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178"/>
        <v>8.9999999981955625E-2</v>
      </c>
      <c r="X1233" s="18">
        <f t="shared" si="180"/>
        <v>0</v>
      </c>
      <c r="Y1233" s="13">
        <f t="shared" si="183"/>
        <v>0</v>
      </c>
      <c r="Z1233" s="14">
        <v>0</v>
      </c>
      <c r="AA1233" s="4">
        <v>0</v>
      </c>
      <c r="AB1233" s="4">
        <f t="shared" si="184"/>
        <v>0</v>
      </c>
      <c r="AC1233" s="6">
        <f t="shared" si="185"/>
        <v>0</v>
      </c>
      <c r="AD1233" s="6">
        <f t="shared" si="182"/>
        <v>0</v>
      </c>
      <c r="AE1233" s="2">
        <v>7.0000000000000007E-2</v>
      </c>
      <c r="AF1233" s="5">
        <f t="shared" si="186"/>
        <v>0</v>
      </c>
      <c r="AG1233" s="14">
        <v>0</v>
      </c>
      <c r="AH1233" s="19">
        <f t="shared" si="177"/>
        <v>0</v>
      </c>
      <c r="AJ1233" s="126" t="e">
        <v>#N/A</v>
      </c>
      <c r="AK1233" s="80">
        <f t="shared" si="187"/>
        <v>0</v>
      </c>
      <c r="AM1233" s="85"/>
    </row>
    <row r="1234" spans="1:39" hidden="1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178"/>
        <v>23338.525000000023</v>
      </c>
      <c r="X1234" s="18">
        <f t="shared" si="180"/>
        <v>0</v>
      </c>
      <c r="Y1234" s="13">
        <f t="shared" si="183"/>
        <v>0</v>
      </c>
      <c r="Z1234" s="14">
        <v>0</v>
      </c>
      <c r="AA1234" s="4">
        <v>0</v>
      </c>
      <c r="AB1234" s="4">
        <f t="shared" si="184"/>
        <v>0</v>
      </c>
      <c r="AC1234" s="6">
        <f t="shared" si="185"/>
        <v>0</v>
      </c>
      <c r="AD1234" s="6">
        <f t="shared" si="182"/>
        <v>0</v>
      </c>
      <c r="AE1234" s="2">
        <v>7.0000000000000007E-2</v>
      </c>
      <c r="AF1234" s="5">
        <f t="shared" si="186"/>
        <v>0</v>
      </c>
      <c r="AG1234" s="14">
        <v>0</v>
      </c>
      <c r="AH1234" s="19">
        <f t="shared" si="177"/>
        <v>0</v>
      </c>
      <c r="AJ1234" s="126" t="e">
        <v>#N/A</v>
      </c>
      <c r="AK1234" s="80">
        <f t="shared" si="187"/>
        <v>0</v>
      </c>
      <c r="AM1234" s="85"/>
    </row>
    <row r="1235" spans="1:39" hidden="1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178"/>
        <v>-1.1999999999534339</v>
      </c>
      <c r="X1235" s="18">
        <f t="shared" si="180"/>
        <v>0</v>
      </c>
      <c r="Y1235" s="13">
        <f t="shared" si="183"/>
        <v>0</v>
      </c>
      <c r="Z1235" s="14">
        <v>0</v>
      </c>
      <c r="AA1235" s="4">
        <v>0</v>
      </c>
      <c r="AB1235" s="4">
        <f t="shared" si="184"/>
        <v>0</v>
      </c>
      <c r="AC1235" s="6">
        <f t="shared" si="185"/>
        <v>0</v>
      </c>
      <c r="AD1235" s="6">
        <f t="shared" si="182"/>
        <v>0</v>
      </c>
      <c r="AE1235" s="2">
        <v>7.0000000000000007E-2</v>
      </c>
      <c r="AF1235" s="5">
        <f t="shared" si="186"/>
        <v>0</v>
      </c>
      <c r="AG1235" s="14">
        <v>0</v>
      </c>
      <c r="AH1235" s="19">
        <f t="shared" si="177"/>
        <v>0</v>
      </c>
      <c r="AJ1235" s="126" t="e">
        <v>#N/A</v>
      </c>
      <c r="AK1235" s="80">
        <f t="shared" si="187"/>
        <v>0</v>
      </c>
      <c r="AM1235" s="85"/>
    </row>
    <row r="1236" spans="1:39" hidden="1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178"/>
        <v>-52.80000000002326</v>
      </c>
      <c r="X1236" s="18">
        <f t="shared" si="180"/>
        <v>0</v>
      </c>
      <c r="Y1236" s="13">
        <f t="shared" si="183"/>
        <v>0</v>
      </c>
      <c r="Z1236" s="14">
        <v>0</v>
      </c>
      <c r="AA1236" s="4">
        <v>0</v>
      </c>
      <c r="AB1236" s="4">
        <f t="shared" si="184"/>
        <v>0</v>
      </c>
      <c r="AC1236" s="6">
        <f t="shared" si="185"/>
        <v>0</v>
      </c>
      <c r="AD1236" s="6">
        <f t="shared" si="182"/>
        <v>0</v>
      </c>
      <c r="AE1236" s="2">
        <v>7.0000000000000007E-2</v>
      </c>
      <c r="AF1236" s="5">
        <f t="shared" si="186"/>
        <v>0</v>
      </c>
      <c r="AG1236" s="14">
        <v>0</v>
      </c>
      <c r="AH1236" s="19">
        <f t="shared" si="177"/>
        <v>0</v>
      </c>
      <c r="AJ1236" s="126" t="e">
        <v>#N/A</v>
      </c>
      <c r="AK1236" s="80">
        <f t="shared" si="187"/>
        <v>0</v>
      </c>
      <c r="AM1236" s="85"/>
    </row>
    <row r="1237" spans="1:39" hidden="1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178"/>
        <v>0.18000000003667083</v>
      </c>
      <c r="X1237" s="18">
        <f t="shared" si="180"/>
        <v>0</v>
      </c>
      <c r="Y1237" s="13">
        <f t="shared" si="183"/>
        <v>0</v>
      </c>
      <c r="Z1237" s="14">
        <v>0</v>
      </c>
      <c r="AA1237" s="4">
        <v>0</v>
      </c>
      <c r="AB1237" s="4">
        <f t="shared" si="184"/>
        <v>0</v>
      </c>
      <c r="AC1237" s="6">
        <f t="shared" si="185"/>
        <v>0</v>
      </c>
      <c r="AD1237" s="6">
        <f t="shared" si="182"/>
        <v>0</v>
      </c>
      <c r="AE1237" s="2">
        <v>7.0000000000000007E-2</v>
      </c>
      <c r="AF1237" s="5">
        <f t="shared" si="186"/>
        <v>0</v>
      </c>
      <c r="AG1237" s="14">
        <v>0</v>
      </c>
      <c r="AH1237" s="19">
        <f t="shared" ref="AH1237:AH1300" si="188">V1237</f>
        <v>0</v>
      </c>
      <c r="AJ1237" s="126" t="e">
        <v>#N/A</v>
      </c>
      <c r="AK1237" s="80">
        <f t="shared" si="187"/>
        <v>0</v>
      </c>
      <c r="AM1237" s="85"/>
    </row>
    <row r="1238" spans="1:39" hidden="1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178"/>
        <v>477114.46809999994</v>
      </c>
      <c r="X1238" s="18">
        <f t="shared" si="180"/>
        <v>0</v>
      </c>
      <c r="Y1238" s="13">
        <f t="shared" si="183"/>
        <v>0</v>
      </c>
      <c r="Z1238" s="14">
        <v>0</v>
      </c>
      <c r="AA1238" s="4">
        <v>0</v>
      </c>
      <c r="AB1238" s="4">
        <f t="shared" si="184"/>
        <v>0</v>
      </c>
      <c r="AC1238" s="6">
        <f t="shared" si="185"/>
        <v>0</v>
      </c>
      <c r="AD1238" s="6">
        <f t="shared" si="182"/>
        <v>0</v>
      </c>
      <c r="AE1238" s="2">
        <v>7.0000000000000007E-2</v>
      </c>
      <c r="AF1238" s="5">
        <f t="shared" si="186"/>
        <v>0</v>
      </c>
      <c r="AG1238" s="14">
        <v>0</v>
      </c>
      <c r="AH1238" s="19">
        <f t="shared" si="188"/>
        <v>0</v>
      </c>
      <c r="AJ1238" s="126" t="e">
        <v>#N/A</v>
      </c>
      <c r="AK1238" s="80">
        <f t="shared" si="187"/>
        <v>0</v>
      </c>
      <c r="AM1238" s="85"/>
    </row>
    <row r="1239" spans="1:39" hidden="1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178"/>
        <v>3848357.4428999987</v>
      </c>
      <c r="X1239" s="18">
        <f t="shared" si="180"/>
        <v>0</v>
      </c>
      <c r="Y1239" s="13">
        <f t="shared" si="183"/>
        <v>0</v>
      </c>
      <c r="Z1239" s="14">
        <v>0</v>
      </c>
      <c r="AA1239" s="4">
        <v>0</v>
      </c>
      <c r="AB1239" s="4">
        <f t="shared" si="184"/>
        <v>0</v>
      </c>
      <c r="AC1239" s="6">
        <f t="shared" si="185"/>
        <v>0</v>
      </c>
      <c r="AD1239" s="6">
        <f t="shared" si="182"/>
        <v>0</v>
      </c>
      <c r="AE1239" s="2">
        <v>7.0000000000000007E-2</v>
      </c>
      <c r="AF1239" s="5">
        <f t="shared" si="186"/>
        <v>0</v>
      </c>
      <c r="AG1239" s="14">
        <v>0</v>
      </c>
      <c r="AH1239" s="19">
        <f t="shared" si="188"/>
        <v>0</v>
      </c>
      <c r="AJ1239" s="126" t="e">
        <v>#N/A</v>
      </c>
      <c r="AK1239" s="80">
        <f t="shared" si="187"/>
        <v>0</v>
      </c>
      <c r="AM1239" s="85"/>
    </row>
    <row r="1240" spans="1:39" hidden="1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189">T1240+U1240-V1240</f>
        <v>0</v>
      </c>
      <c r="X1240" s="18">
        <f t="shared" si="180"/>
        <v>0</v>
      </c>
      <c r="Y1240" s="13">
        <f t="shared" si="183"/>
        <v>0</v>
      </c>
      <c r="Z1240" s="14">
        <v>0</v>
      </c>
      <c r="AA1240" s="4">
        <v>0</v>
      </c>
      <c r="AB1240" s="4">
        <f t="shared" si="184"/>
        <v>0</v>
      </c>
      <c r="AC1240" s="6">
        <f t="shared" si="185"/>
        <v>0</v>
      </c>
      <c r="AD1240" s="6">
        <f t="shared" si="182"/>
        <v>0</v>
      </c>
      <c r="AE1240" s="2">
        <v>7.0000000000000007E-2</v>
      </c>
      <c r="AF1240" s="5">
        <f t="shared" si="186"/>
        <v>0</v>
      </c>
      <c r="AG1240" s="14">
        <v>0</v>
      </c>
      <c r="AH1240" s="19">
        <f t="shared" si="188"/>
        <v>0</v>
      </c>
      <c r="AJ1240" s="126" t="e">
        <v>#N/A</v>
      </c>
      <c r="AK1240" s="80">
        <f t="shared" si="187"/>
        <v>0</v>
      </c>
      <c r="AM1240" s="85"/>
    </row>
    <row r="1241" spans="1:39" hidden="1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189"/>
        <v>42528.9</v>
      </c>
      <c r="X1241" s="18">
        <f t="shared" si="180"/>
        <v>0</v>
      </c>
      <c r="Y1241" s="13">
        <f t="shared" si="183"/>
        <v>0</v>
      </c>
      <c r="Z1241" s="14">
        <v>0</v>
      </c>
      <c r="AA1241" s="4">
        <v>0</v>
      </c>
      <c r="AB1241" s="4">
        <f t="shared" si="184"/>
        <v>0</v>
      </c>
      <c r="AC1241" s="6">
        <f t="shared" si="185"/>
        <v>0</v>
      </c>
      <c r="AD1241" s="6">
        <f t="shared" si="182"/>
        <v>0</v>
      </c>
      <c r="AE1241" s="2">
        <v>7.0000000000000007E-2</v>
      </c>
      <c r="AF1241" s="5">
        <f t="shared" si="186"/>
        <v>0</v>
      </c>
      <c r="AG1241" s="14">
        <v>0</v>
      </c>
      <c r="AH1241" s="19">
        <f t="shared" si="188"/>
        <v>0</v>
      </c>
      <c r="AJ1241" s="126" t="e">
        <v>#N/A</v>
      </c>
      <c r="AK1241" s="80">
        <f t="shared" si="187"/>
        <v>0</v>
      </c>
      <c r="AM1241" s="85"/>
    </row>
    <row r="1242" spans="1:39" hidden="1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189"/>
        <v>21736.292979998965</v>
      </c>
      <c r="X1242" s="18">
        <f t="shared" si="180"/>
        <v>645.17912000000001</v>
      </c>
      <c r="Y1242" s="13">
        <f t="shared" si="183"/>
        <v>258.74569590962619</v>
      </c>
      <c r="Z1242" s="14">
        <v>0</v>
      </c>
      <c r="AA1242" s="4">
        <v>0</v>
      </c>
      <c r="AB1242" s="4">
        <f t="shared" si="184"/>
        <v>645.17912000000001</v>
      </c>
      <c r="AC1242" s="6">
        <f t="shared" si="185"/>
        <v>0</v>
      </c>
      <c r="AD1242" s="6">
        <f t="shared" si="182"/>
        <v>386.43342409037382</v>
      </c>
      <c r="AE1242" s="2">
        <v>7.0000000000000007E-2</v>
      </c>
      <c r="AF1242" s="5">
        <f t="shared" si="186"/>
        <v>27.050339686326168</v>
      </c>
      <c r="AG1242" s="14">
        <v>0</v>
      </c>
      <c r="AH1242" s="19">
        <f t="shared" si="188"/>
        <v>645.17912000000001</v>
      </c>
      <c r="AJ1242" s="126" t="e">
        <v>#N/A</v>
      </c>
      <c r="AK1242" s="80">
        <f t="shared" si="187"/>
        <v>0</v>
      </c>
      <c r="AM1242" s="85"/>
    </row>
    <row r="1243" spans="1:39" hidden="1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189"/>
        <v>2.4000001139938831E-3</v>
      </c>
      <c r="X1243" s="18">
        <f t="shared" si="180"/>
        <v>105</v>
      </c>
      <c r="Y1243" s="13">
        <f t="shared" si="183"/>
        <v>42.109698265670389</v>
      </c>
      <c r="Z1243" s="14">
        <v>0</v>
      </c>
      <c r="AA1243" s="4">
        <v>0</v>
      </c>
      <c r="AB1243" s="4">
        <f t="shared" si="184"/>
        <v>105</v>
      </c>
      <c r="AC1243" s="6">
        <f t="shared" si="185"/>
        <v>0</v>
      </c>
      <c r="AD1243" s="6">
        <f t="shared" si="182"/>
        <v>62.890301734329611</v>
      </c>
      <c r="AE1243" s="2">
        <v>7.0000000000000007E-2</v>
      </c>
      <c r="AF1243" s="5">
        <f t="shared" si="186"/>
        <v>4.4023211214030731</v>
      </c>
      <c r="AG1243" s="14">
        <v>0</v>
      </c>
      <c r="AH1243" s="19">
        <f t="shared" si="188"/>
        <v>105</v>
      </c>
      <c r="AJ1243" s="126" t="e">
        <v>#N/A</v>
      </c>
      <c r="AK1243" s="80">
        <f t="shared" si="187"/>
        <v>0</v>
      </c>
      <c r="AM1243" s="85"/>
    </row>
    <row r="1244" spans="1:39" hidden="1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189"/>
        <v>7908627.8600000003</v>
      </c>
      <c r="X1244" s="18">
        <f t="shared" si="180"/>
        <v>0</v>
      </c>
      <c r="Y1244" s="13">
        <f t="shared" si="183"/>
        <v>0</v>
      </c>
      <c r="Z1244" s="14">
        <v>0</v>
      </c>
      <c r="AA1244" s="4">
        <v>0</v>
      </c>
      <c r="AB1244" s="4">
        <f t="shared" si="184"/>
        <v>0</v>
      </c>
      <c r="AC1244" s="6">
        <f t="shared" si="185"/>
        <v>0</v>
      </c>
      <c r="AD1244" s="6">
        <f t="shared" si="182"/>
        <v>0</v>
      </c>
      <c r="AE1244" s="2">
        <v>7.0000000000000007E-2</v>
      </c>
      <c r="AF1244" s="5">
        <f t="shared" si="186"/>
        <v>0</v>
      </c>
      <c r="AG1244" s="14">
        <v>0</v>
      </c>
      <c r="AH1244" s="19">
        <f t="shared" si="188"/>
        <v>0</v>
      </c>
      <c r="AJ1244" s="126" t="e">
        <v>#N/A</v>
      </c>
      <c r="AK1244" s="80">
        <f t="shared" si="187"/>
        <v>0</v>
      </c>
      <c r="AM1244" s="85"/>
    </row>
    <row r="1245" spans="1:39" hidden="1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189"/>
        <v>-12.799999999988358</v>
      </c>
      <c r="X1245" s="18">
        <f t="shared" si="180"/>
        <v>0</v>
      </c>
      <c r="Y1245" s="13">
        <f t="shared" si="183"/>
        <v>0</v>
      </c>
      <c r="Z1245" s="14">
        <v>0</v>
      </c>
      <c r="AA1245" s="4">
        <v>0</v>
      </c>
      <c r="AB1245" s="4">
        <f t="shared" si="184"/>
        <v>0</v>
      </c>
      <c r="AC1245" s="6">
        <f t="shared" si="185"/>
        <v>0</v>
      </c>
      <c r="AD1245" s="6">
        <f t="shared" si="182"/>
        <v>0</v>
      </c>
      <c r="AE1245" s="2">
        <v>7.0000000000000007E-2</v>
      </c>
      <c r="AF1245" s="5">
        <f t="shared" si="186"/>
        <v>0</v>
      </c>
      <c r="AG1245" s="14">
        <v>0</v>
      </c>
      <c r="AH1245" s="19">
        <f t="shared" si="188"/>
        <v>0</v>
      </c>
      <c r="AJ1245" s="126" t="e">
        <v>#N/A</v>
      </c>
      <c r="AK1245" s="80">
        <f t="shared" si="187"/>
        <v>0</v>
      </c>
      <c r="AM1245" s="85"/>
    </row>
    <row r="1246" spans="1:39" hidden="1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189"/>
        <v>-5.2999999999919964</v>
      </c>
      <c r="X1246" s="18">
        <f t="shared" si="180"/>
        <v>0</v>
      </c>
      <c r="Y1246" s="13">
        <f t="shared" si="183"/>
        <v>0</v>
      </c>
      <c r="Z1246" s="14">
        <v>0</v>
      </c>
      <c r="AA1246" s="4">
        <v>0</v>
      </c>
      <c r="AB1246" s="4">
        <f t="shared" si="184"/>
        <v>0</v>
      </c>
      <c r="AC1246" s="6">
        <f t="shared" si="185"/>
        <v>0</v>
      </c>
      <c r="AD1246" s="6">
        <f t="shared" si="182"/>
        <v>0</v>
      </c>
      <c r="AE1246" s="2">
        <v>7.0000000000000007E-2</v>
      </c>
      <c r="AF1246" s="5">
        <f t="shared" si="186"/>
        <v>0</v>
      </c>
      <c r="AG1246" s="14">
        <v>0</v>
      </c>
      <c r="AH1246" s="19">
        <f t="shared" si="188"/>
        <v>0</v>
      </c>
      <c r="AJ1246" s="126" t="e">
        <v>#N/A</v>
      </c>
      <c r="AK1246" s="80">
        <f t="shared" si="187"/>
        <v>0</v>
      </c>
      <c r="AM1246" s="85"/>
    </row>
    <row r="1247" spans="1:39" hidden="1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189"/>
        <v>10000</v>
      </c>
      <c r="X1247" s="18">
        <f t="shared" si="180"/>
        <v>0</v>
      </c>
      <c r="Y1247" s="13">
        <f t="shared" si="183"/>
        <v>0</v>
      </c>
      <c r="Z1247" s="14">
        <v>0</v>
      </c>
      <c r="AA1247" s="4">
        <v>0</v>
      </c>
      <c r="AB1247" s="4">
        <f t="shared" si="184"/>
        <v>0</v>
      </c>
      <c r="AC1247" s="6">
        <f t="shared" si="185"/>
        <v>0</v>
      </c>
      <c r="AD1247" s="6">
        <f t="shared" si="182"/>
        <v>0</v>
      </c>
      <c r="AE1247" s="2">
        <v>7.0000000000000007E-2</v>
      </c>
      <c r="AF1247" s="5">
        <f t="shared" si="186"/>
        <v>0</v>
      </c>
      <c r="AG1247" s="14">
        <v>0</v>
      </c>
      <c r="AH1247" s="19">
        <f t="shared" si="188"/>
        <v>0</v>
      </c>
      <c r="AJ1247" s="126" t="e">
        <v>#N/A</v>
      </c>
      <c r="AK1247" s="80">
        <f t="shared" si="187"/>
        <v>0</v>
      </c>
      <c r="AM1247" s="85"/>
    </row>
    <row r="1248" spans="1:39" hidden="1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189"/>
        <v>-28.555000000167638</v>
      </c>
      <c r="X1248" s="18">
        <f t="shared" si="180"/>
        <v>0</v>
      </c>
      <c r="Y1248" s="13">
        <f t="shared" si="183"/>
        <v>0</v>
      </c>
      <c r="Z1248" s="14">
        <v>0</v>
      </c>
      <c r="AA1248" s="4">
        <v>0</v>
      </c>
      <c r="AB1248" s="4">
        <f t="shared" si="184"/>
        <v>0</v>
      </c>
      <c r="AC1248" s="6">
        <f t="shared" si="185"/>
        <v>0</v>
      </c>
      <c r="AD1248" s="6">
        <f t="shared" si="182"/>
        <v>0</v>
      </c>
      <c r="AE1248" s="2">
        <v>7.0000000000000007E-2</v>
      </c>
      <c r="AF1248" s="5">
        <f t="shared" si="186"/>
        <v>0</v>
      </c>
      <c r="AG1248" s="14">
        <v>0</v>
      </c>
      <c r="AH1248" s="19">
        <f t="shared" si="188"/>
        <v>0</v>
      </c>
      <c r="AJ1248" s="126" t="e">
        <v>#N/A</v>
      </c>
      <c r="AK1248" s="80">
        <f t="shared" si="187"/>
        <v>0</v>
      </c>
      <c r="AM1248" s="85"/>
    </row>
    <row r="1249" spans="1:39" hidden="1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189"/>
        <v>283.4900000000016</v>
      </c>
      <c r="X1249" s="18">
        <f t="shared" si="180"/>
        <v>8961.7099999999991</v>
      </c>
      <c r="Y1249" s="13">
        <f t="shared" si="183"/>
        <v>3594.0467051851519</v>
      </c>
      <c r="Z1249" s="14">
        <v>0</v>
      </c>
      <c r="AA1249" s="4">
        <v>0</v>
      </c>
      <c r="AB1249" s="4">
        <f t="shared" si="184"/>
        <v>8961.7099999999991</v>
      </c>
      <c r="AC1249" s="6">
        <f t="shared" si="185"/>
        <v>0</v>
      </c>
      <c r="AD1249" s="6">
        <f t="shared" si="182"/>
        <v>5367.6632948148472</v>
      </c>
      <c r="AE1249" s="2">
        <v>0.12</v>
      </c>
      <c r="AF1249" s="5">
        <f t="shared" si="186"/>
        <v>644.11959537778159</v>
      </c>
      <c r="AG1249" s="14">
        <v>0</v>
      </c>
      <c r="AH1249" s="19">
        <f t="shared" si="188"/>
        <v>8961.7099999999991</v>
      </c>
      <c r="AJ1249" s="126" t="e">
        <v>#N/A</v>
      </c>
      <c r="AK1249" s="80">
        <f t="shared" si="187"/>
        <v>0</v>
      </c>
      <c r="AM1249" s="85"/>
    </row>
    <row r="1250" spans="1:39" hidden="1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189"/>
        <v>108831.65385999993</v>
      </c>
      <c r="X1250" s="18">
        <f t="shared" si="180"/>
        <v>0</v>
      </c>
      <c r="Y1250" s="13">
        <f t="shared" si="183"/>
        <v>0</v>
      </c>
      <c r="Z1250" s="14">
        <v>0</v>
      </c>
      <c r="AA1250" s="4">
        <v>0</v>
      </c>
      <c r="AB1250" s="4">
        <f t="shared" si="184"/>
        <v>0</v>
      </c>
      <c r="AC1250" s="6">
        <f t="shared" si="185"/>
        <v>0</v>
      </c>
      <c r="AD1250" s="6">
        <f t="shared" si="182"/>
        <v>0</v>
      </c>
      <c r="AE1250" s="2">
        <v>0.12</v>
      </c>
      <c r="AF1250" s="5">
        <f t="shared" si="186"/>
        <v>0</v>
      </c>
      <c r="AG1250" s="14">
        <v>0</v>
      </c>
      <c r="AH1250" s="19">
        <f t="shared" si="188"/>
        <v>0</v>
      </c>
      <c r="AJ1250" s="126" t="e">
        <v>#N/A</v>
      </c>
      <c r="AK1250" s="80">
        <f t="shared" si="187"/>
        <v>0</v>
      </c>
      <c r="AM1250" s="85"/>
    </row>
    <row r="1251" spans="1:39" hidden="1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189"/>
        <v>13.353929999982938</v>
      </c>
      <c r="X1251" s="18">
        <f t="shared" si="180"/>
        <v>0</v>
      </c>
      <c r="Y1251" s="13">
        <f t="shared" si="183"/>
        <v>0</v>
      </c>
      <c r="Z1251" s="14">
        <v>0</v>
      </c>
      <c r="AA1251" s="4">
        <v>0</v>
      </c>
      <c r="AB1251" s="4">
        <f t="shared" si="184"/>
        <v>0</v>
      </c>
      <c r="AC1251" s="6">
        <f t="shared" si="185"/>
        <v>0</v>
      </c>
      <c r="AD1251" s="6">
        <f t="shared" si="182"/>
        <v>0</v>
      </c>
      <c r="AE1251" s="2">
        <v>7.0000000000000007E-2</v>
      </c>
      <c r="AF1251" s="5">
        <f t="shared" si="186"/>
        <v>0</v>
      </c>
      <c r="AG1251" s="14">
        <v>0</v>
      </c>
      <c r="AH1251" s="19">
        <f t="shared" si="188"/>
        <v>0</v>
      </c>
      <c r="AJ1251" s="126" t="e">
        <v>#N/A</v>
      </c>
      <c r="AK1251" s="80">
        <f t="shared" si="187"/>
        <v>0</v>
      </c>
      <c r="AM1251" s="85"/>
    </row>
    <row r="1252" spans="1:39" hidden="1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180"/>
        <v>0</v>
      </c>
      <c r="Y1252" s="13">
        <f t="shared" si="183"/>
        <v>0</v>
      </c>
      <c r="Z1252" s="14">
        <v>0</v>
      </c>
      <c r="AA1252" s="4">
        <v>0</v>
      </c>
      <c r="AB1252" s="4">
        <f t="shared" si="184"/>
        <v>0</v>
      </c>
      <c r="AC1252" s="6">
        <f t="shared" si="185"/>
        <v>0</v>
      </c>
      <c r="AD1252" s="6">
        <f t="shared" si="182"/>
        <v>0</v>
      </c>
      <c r="AE1252" s="2">
        <v>0.12</v>
      </c>
      <c r="AF1252" s="5">
        <f t="shared" si="186"/>
        <v>0</v>
      </c>
      <c r="AG1252" s="14">
        <v>0</v>
      </c>
      <c r="AH1252" s="19">
        <f t="shared" si="188"/>
        <v>0</v>
      </c>
      <c r="AJ1252" s="126" t="e">
        <v>#N/A</v>
      </c>
      <c r="AK1252" s="80">
        <f t="shared" si="187"/>
        <v>0</v>
      </c>
      <c r="AM1252" s="85"/>
    </row>
    <row r="1253" spans="1:39" hidden="1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189"/>
        <v>2294920.5</v>
      </c>
      <c r="X1253" s="18">
        <f t="shared" si="180"/>
        <v>0</v>
      </c>
      <c r="Y1253" s="13">
        <f t="shared" si="183"/>
        <v>0</v>
      </c>
      <c r="Z1253" s="14">
        <v>0</v>
      </c>
      <c r="AA1253" s="4">
        <v>0</v>
      </c>
      <c r="AB1253" s="4">
        <f t="shared" si="184"/>
        <v>0</v>
      </c>
      <c r="AC1253" s="6">
        <f t="shared" si="185"/>
        <v>0</v>
      </c>
      <c r="AD1253" s="6">
        <f t="shared" si="182"/>
        <v>0</v>
      </c>
      <c r="AE1253" s="2">
        <v>0.12</v>
      </c>
      <c r="AF1253" s="5">
        <f t="shared" si="186"/>
        <v>0</v>
      </c>
      <c r="AG1253" s="14">
        <v>0</v>
      </c>
      <c r="AH1253" s="19">
        <f t="shared" si="188"/>
        <v>0</v>
      </c>
      <c r="AJ1253" s="126" t="e">
        <v>#N/A</v>
      </c>
      <c r="AK1253" s="80">
        <f t="shared" si="187"/>
        <v>0</v>
      </c>
      <c r="AM1253" s="85"/>
    </row>
    <row r="1254" spans="1:39" hidden="1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189"/>
        <v>-2299872.2176199993</v>
      </c>
      <c r="X1254" s="18">
        <f t="shared" ref="X1254:X1317" si="190">IF(P1254="折扣",V1254*Q1254,IF(P1254="返现",V1254,V1254/(1+Q1254)))</f>
        <v>0</v>
      </c>
      <c r="Y1254" s="13">
        <f t="shared" si="183"/>
        <v>0</v>
      </c>
      <c r="Z1254" s="14">
        <v>0</v>
      </c>
      <c r="AA1254" s="4">
        <v>0</v>
      </c>
      <c r="AB1254" s="4">
        <f t="shared" si="184"/>
        <v>0</v>
      </c>
      <c r="AC1254" s="6">
        <f t="shared" si="185"/>
        <v>0</v>
      </c>
      <c r="AD1254" s="6">
        <f t="shared" si="182"/>
        <v>0</v>
      </c>
      <c r="AE1254" s="2">
        <v>7.0000000000000007E-2</v>
      </c>
      <c r="AF1254" s="5">
        <f t="shared" si="186"/>
        <v>0</v>
      </c>
      <c r="AG1254" s="14">
        <v>0</v>
      </c>
      <c r="AH1254" s="19">
        <f t="shared" si="188"/>
        <v>0</v>
      </c>
      <c r="AJ1254" s="126" t="e">
        <v>#N/A</v>
      </c>
      <c r="AK1254" s="80">
        <f t="shared" si="187"/>
        <v>0</v>
      </c>
      <c r="AM1254" s="85"/>
    </row>
    <row r="1255" spans="1:39" hidden="1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189"/>
        <v>656.99999999994179</v>
      </c>
      <c r="X1255" s="18">
        <f t="shared" si="190"/>
        <v>0</v>
      </c>
      <c r="Y1255" s="13">
        <f t="shared" si="183"/>
        <v>0</v>
      </c>
      <c r="Z1255" s="14">
        <v>0</v>
      </c>
      <c r="AA1255" s="4">
        <v>0</v>
      </c>
      <c r="AB1255" s="4">
        <f t="shared" si="184"/>
        <v>0</v>
      </c>
      <c r="AC1255" s="6">
        <f t="shared" si="185"/>
        <v>0</v>
      </c>
      <c r="AD1255" s="6">
        <f t="shared" si="182"/>
        <v>0</v>
      </c>
      <c r="AE1255" s="2">
        <v>7.0000000000000007E-2</v>
      </c>
      <c r="AF1255" s="5">
        <f t="shared" si="186"/>
        <v>0</v>
      </c>
      <c r="AG1255" s="14">
        <v>0</v>
      </c>
      <c r="AH1255" s="19">
        <f t="shared" si="188"/>
        <v>0</v>
      </c>
      <c r="AJ1255" s="126" t="e">
        <v>#N/A</v>
      </c>
      <c r="AK1255" s="80">
        <f t="shared" si="187"/>
        <v>0</v>
      </c>
      <c r="AM1255" s="85"/>
    </row>
    <row r="1256" spans="1:39" hidden="1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189"/>
        <v>-47.45000000030268</v>
      </c>
      <c r="X1256" s="18">
        <f t="shared" si="190"/>
        <v>0</v>
      </c>
      <c r="Y1256" s="13">
        <f t="shared" si="183"/>
        <v>0</v>
      </c>
      <c r="Z1256" s="14">
        <v>0</v>
      </c>
      <c r="AA1256" s="4">
        <v>0</v>
      </c>
      <c r="AB1256" s="4">
        <f t="shared" si="184"/>
        <v>0</v>
      </c>
      <c r="AC1256" s="6">
        <f t="shared" si="185"/>
        <v>0</v>
      </c>
      <c r="AD1256" s="6">
        <f t="shared" si="182"/>
        <v>0</v>
      </c>
      <c r="AE1256" s="2">
        <v>7.0000000000000007E-2</v>
      </c>
      <c r="AF1256" s="5">
        <f t="shared" si="186"/>
        <v>0</v>
      </c>
      <c r="AG1256" s="14">
        <v>0</v>
      </c>
      <c r="AH1256" s="19">
        <f t="shared" si="188"/>
        <v>0</v>
      </c>
      <c r="AJ1256" s="126" t="e">
        <v>#N/A</v>
      </c>
      <c r="AK1256" s="80">
        <f t="shared" si="187"/>
        <v>0</v>
      </c>
      <c r="AM1256" s="85"/>
    </row>
    <row r="1257" spans="1:39" hidden="1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189"/>
        <v>-2.4999999999892566</v>
      </c>
      <c r="X1257" s="18">
        <f t="shared" si="190"/>
        <v>0</v>
      </c>
      <c r="Y1257" s="13">
        <f t="shared" si="183"/>
        <v>0</v>
      </c>
      <c r="Z1257" s="14">
        <v>0</v>
      </c>
      <c r="AA1257" s="4">
        <v>0</v>
      </c>
      <c r="AB1257" s="4">
        <f t="shared" si="184"/>
        <v>0</v>
      </c>
      <c r="AC1257" s="6">
        <f t="shared" si="185"/>
        <v>0</v>
      </c>
      <c r="AD1257" s="6">
        <f t="shared" si="182"/>
        <v>0</v>
      </c>
      <c r="AE1257" s="2">
        <v>7.0000000000000007E-2</v>
      </c>
      <c r="AF1257" s="5">
        <f t="shared" si="186"/>
        <v>0</v>
      </c>
      <c r="AG1257" s="14">
        <v>0</v>
      </c>
      <c r="AH1257" s="19">
        <f t="shared" si="188"/>
        <v>0</v>
      </c>
      <c r="AJ1257" s="126" t="e">
        <v>#N/A</v>
      </c>
      <c r="AK1257" s="80">
        <f t="shared" si="187"/>
        <v>0</v>
      </c>
      <c r="AM1257" s="85"/>
    </row>
    <row r="1258" spans="1:39" hidden="1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189"/>
        <v>-4.4999999998719433</v>
      </c>
      <c r="X1258" s="18">
        <f t="shared" si="190"/>
        <v>1.7</v>
      </c>
      <c r="Y1258" s="13">
        <f t="shared" si="183"/>
        <v>0.68177606715847294</v>
      </c>
      <c r="Z1258" s="14">
        <v>0</v>
      </c>
      <c r="AA1258" s="4">
        <v>0</v>
      </c>
      <c r="AB1258" s="4">
        <f t="shared" si="184"/>
        <v>1.7</v>
      </c>
      <c r="AC1258" s="6">
        <f t="shared" si="185"/>
        <v>0</v>
      </c>
      <c r="AD1258" s="6">
        <f t="shared" si="182"/>
        <v>1.018223932841527</v>
      </c>
      <c r="AE1258" s="2">
        <v>7.0000000000000007E-2</v>
      </c>
      <c r="AF1258" s="5">
        <f t="shared" si="186"/>
        <v>7.1275675298906896E-2</v>
      </c>
      <c r="AG1258" s="14">
        <v>0</v>
      </c>
      <c r="AH1258" s="19">
        <f t="shared" si="188"/>
        <v>1.7</v>
      </c>
      <c r="AJ1258" s="126" t="e">
        <v>#N/A</v>
      </c>
      <c r="AK1258" s="80">
        <f t="shared" si="187"/>
        <v>0</v>
      </c>
      <c r="AM1258" s="85"/>
    </row>
    <row r="1259" spans="1:39" hidden="1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189"/>
        <v>-4.1000000000065029</v>
      </c>
      <c r="X1259" s="18">
        <f t="shared" si="190"/>
        <v>0</v>
      </c>
      <c r="Y1259" s="13">
        <f t="shared" si="183"/>
        <v>0</v>
      </c>
      <c r="Z1259" s="14">
        <v>0</v>
      </c>
      <c r="AA1259" s="4">
        <v>0</v>
      </c>
      <c r="AB1259" s="4">
        <f t="shared" si="184"/>
        <v>0</v>
      </c>
      <c r="AC1259" s="6">
        <f t="shared" si="185"/>
        <v>0</v>
      </c>
      <c r="AD1259" s="6">
        <f t="shared" si="182"/>
        <v>0</v>
      </c>
      <c r="AE1259" s="2">
        <v>7.0000000000000007E-2</v>
      </c>
      <c r="AF1259" s="5">
        <f t="shared" si="186"/>
        <v>0</v>
      </c>
      <c r="AG1259" s="14">
        <v>0</v>
      </c>
      <c r="AH1259" s="19">
        <f t="shared" si="188"/>
        <v>0</v>
      </c>
      <c r="AJ1259" s="126" t="e">
        <v>#N/A</v>
      </c>
      <c r="AK1259" s="80">
        <f t="shared" si="187"/>
        <v>0</v>
      </c>
      <c r="AM1259" s="85"/>
    </row>
    <row r="1260" spans="1:39" hidden="1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189"/>
        <v>0</v>
      </c>
      <c r="X1260" s="18">
        <f t="shared" si="190"/>
        <v>0</v>
      </c>
      <c r="Y1260" s="13">
        <f t="shared" si="183"/>
        <v>0</v>
      </c>
      <c r="Z1260" s="14">
        <v>0</v>
      </c>
      <c r="AA1260" s="4">
        <v>0</v>
      </c>
      <c r="AB1260" s="4">
        <f t="shared" si="184"/>
        <v>0</v>
      </c>
      <c r="AC1260" s="6">
        <f t="shared" si="185"/>
        <v>0</v>
      </c>
      <c r="AD1260" s="6">
        <f t="shared" si="182"/>
        <v>0</v>
      </c>
      <c r="AE1260" s="2">
        <v>7.0000000000000007E-2</v>
      </c>
      <c r="AF1260" s="5">
        <f t="shared" si="186"/>
        <v>0</v>
      </c>
      <c r="AG1260" s="14">
        <v>0</v>
      </c>
      <c r="AH1260" s="19">
        <f t="shared" si="188"/>
        <v>0</v>
      </c>
      <c r="AJ1260" s="126" t="e">
        <v>#N/A</v>
      </c>
      <c r="AK1260" s="80">
        <f t="shared" si="187"/>
        <v>0</v>
      </c>
      <c r="AM1260" s="85"/>
    </row>
    <row r="1261" spans="1:39" hidden="1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189"/>
        <v>-88.000000000025466</v>
      </c>
      <c r="X1261" s="18">
        <f t="shared" si="190"/>
        <v>0</v>
      </c>
      <c r="Y1261" s="13">
        <f t="shared" si="183"/>
        <v>0</v>
      </c>
      <c r="Z1261" s="14">
        <v>0</v>
      </c>
      <c r="AA1261" s="4">
        <v>0</v>
      </c>
      <c r="AB1261" s="4">
        <f t="shared" si="184"/>
        <v>0</v>
      </c>
      <c r="AC1261" s="6">
        <f t="shared" si="185"/>
        <v>0</v>
      </c>
      <c r="AD1261" s="6">
        <f t="shared" si="182"/>
        <v>0</v>
      </c>
      <c r="AE1261" s="2">
        <v>7.0000000000000007E-2</v>
      </c>
      <c r="AF1261" s="5">
        <f t="shared" si="186"/>
        <v>0</v>
      </c>
      <c r="AG1261" s="14">
        <v>0</v>
      </c>
      <c r="AH1261" s="19">
        <f t="shared" si="188"/>
        <v>0</v>
      </c>
      <c r="AJ1261" s="126" t="e">
        <v>#N/A</v>
      </c>
      <c r="AK1261" s="80">
        <f t="shared" si="187"/>
        <v>0</v>
      </c>
      <c r="AM1261" s="85"/>
    </row>
    <row r="1262" spans="1:39" hidden="1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189"/>
        <v>-1.45</v>
      </c>
      <c r="X1262" s="18">
        <f t="shared" si="190"/>
        <v>0</v>
      </c>
      <c r="Y1262" s="13">
        <f t="shared" si="183"/>
        <v>0</v>
      </c>
      <c r="Z1262" s="14">
        <v>0</v>
      </c>
      <c r="AA1262" s="4">
        <v>0</v>
      </c>
      <c r="AB1262" s="4">
        <f t="shared" si="184"/>
        <v>0</v>
      </c>
      <c r="AC1262" s="6">
        <f t="shared" si="185"/>
        <v>0</v>
      </c>
      <c r="AD1262" s="6">
        <f t="shared" si="182"/>
        <v>0</v>
      </c>
      <c r="AE1262" s="2">
        <v>7.0000000000000007E-2</v>
      </c>
      <c r="AF1262" s="5">
        <f t="shared" si="186"/>
        <v>0</v>
      </c>
      <c r="AG1262" s="14">
        <v>0</v>
      </c>
      <c r="AH1262" s="19">
        <f t="shared" si="188"/>
        <v>0</v>
      </c>
      <c r="AJ1262" s="126" t="e">
        <v>#N/A</v>
      </c>
      <c r="AK1262" s="80">
        <f t="shared" si="187"/>
        <v>0</v>
      </c>
      <c r="AM1262" s="85"/>
    </row>
    <row r="1263" spans="1:39" hidden="1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189"/>
        <v>0.29000000000145504</v>
      </c>
      <c r="X1263" s="18">
        <f t="shared" si="190"/>
        <v>0</v>
      </c>
      <c r="Y1263" s="13">
        <f t="shared" si="183"/>
        <v>0</v>
      </c>
      <c r="Z1263" s="14">
        <v>0</v>
      </c>
      <c r="AA1263" s="4">
        <v>0</v>
      </c>
      <c r="AB1263" s="4">
        <f t="shared" si="184"/>
        <v>0</v>
      </c>
      <c r="AC1263" s="6">
        <f t="shared" si="185"/>
        <v>0</v>
      </c>
      <c r="AD1263" s="6">
        <f t="shared" si="182"/>
        <v>0</v>
      </c>
      <c r="AE1263" s="2">
        <v>0.12</v>
      </c>
      <c r="AF1263" s="5">
        <f t="shared" si="186"/>
        <v>0</v>
      </c>
      <c r="AG1263" s="14">
        <v>0</v>
      </c>
      <c r="AH1263" s="19">
        <f t="shared" si="188"/>
        <v>0</v>
      </c>
      <c r="AJ1263" s="126" t="e">
        <v>#N/A</v>
      </c>
      <c r="AK1263" s="80">
        <f t="shared" si="187"/>
        <v>0</v>
      </c>
      <c r="AM1263" s="85"/>
    </row>
    <row r="1264" spans="1:39" hidden="1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189"/>
        <v>257.24999999999818</v>
      </c>
      <c r="X1264" s="18">
        <f t="shared" si="190"/>
        <v>0</v>
      </c>
      <c r="Y1264" s="13">
        <f t="shared" si="183"/>
        <v>0</v>
      </c>
      <c r="Z1264" s="14">
        <v>0</v>
      </c>
      <c r="AA1264" s="4">
        <v>0</v>
      </c>
      <c r="AB1264" s="4">
        <f t="shared" si="184"/>
        <v>0</v>
      </c>
      <c r="AC1264" s="6">
        <f t="shared" si="185"/>
        <v>0</v>
      </c>
      <c r="AD1264" s="6">
        <f t="shared" si="182"/>
        <v>0</v>
      </c>
      <c r="AE1264" s="2">
        <v>7.0000000000000007E-2</v>
      </c>
      <c r="AF1264" s="5">
        <f t="shared" si="186"/>
        <v>0</v>
      </c>
      <c r="AG1264" s="14">
        <v>0</v>
      </c>
      <c r="AH1264" s="19">
        <f t="shared" si="188"/>
        <v>0</v>
      </c>
      <c r="AJ1264" s="126" t="e">
        <v>#N/A</v>
      </c>
      <c r="AK1264" s="80">
        <f t="shared" si="187"/>
        <v>0</v>
      </c>
      <c r="AM1264" s="85"/>
    </row>
    <row r="1265" spans="1:39" hidden="1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189"/>
        <v>2768595.0750100003</v>
      </c>
      <c r="X1265" s="18">
        <f t="shared" si="190"/>
        <v>0</v>
      </c>
      <c r="Y1265" s="13">
        <f t="shared" si="183"/>
        <v>0</v>
      </c>
      <c r="Z1265" s="14">
        <v>0</v>
      </c>
      <c r="AA1265" s="4">
        <v>0</v>
      </c>
      <c r="AB1265" s="4">
        <f t="shared" si="184"/>
        <v>0</v>
      </c>
      <c r="AC1265" s="6">
        <f t="shared" si="185"/>
        <v>0</v>
      </c>
      <c r="AD1265" s="6">
        <f t="shared" si="182"/>
        <v>0</v>
      </c>
      <c r="AE1265" s="2">
        <v>7.0000000000000007E-2</v>
      </c>
      <c r="AF1265" s="5">
        <f t="shared" si="186"/>
        <v>0</v>
      </c>
      <c r="AG1265" s="14">
        <v>0</v>
      </c>
      <c r="AH1265" s="19">
        <f t="shared" si="188"/>
        <v>0</v>
      </c>
      <c r="AJ1265" s="126" t="e">
        <v>#N/A</v>
      </c>
      <c r="AK1265" s="80">
        <f t="shared" si="187"/>
        <v>0</v>
      </c>
      <c r="AM1265" s="85"/>
    </row>
    <row r="1266" spans="1:39" hidden="1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189"/>
        <v>-6.5200000000186265</v>
      </c>
      <c r="X1266" s="18">
        <f t="shared" si="190"/>
        <v>0</v>
      </c>
      <c r="Y1266" s="13">
        <f t="shared" si="183"/>
        <v>0</v>
      </c>
      <c r="Z1266" s="14">
        <v>0</v>
      </c>
      <c r="AA1266" s="4">
        <v>0</v>
      </c>
      <c r="AB1266" s="4">
        <f t="shared" si="184"/>
        <v>0</v>
      </c>
      <c r="AC1266" s="6">
        <f t="shared" si="185"/>
        <v>0</v>
      </c>
      <c r="AD1266" s="6">
        <f t="shared" si="182"/>
        <v>0</v>
      </c>
      <c r="AE1266" s="2">
        <v>7.0000000000000007E-2</v>
      </c>
      <c r="AF1266" s="5">
        <f t="shared" si="186"/>
        <v>0</v>
      </c>
      <c r="AG1266" s="14">
        <v>0</v>
      </c>
      <c r="AH1266" s="19">
        <f t="shared" si="188"/>
        <v>0</v>
      </c>
      <c r="AJ1266" s="126" t="e">
        <v>#N/A</v>
      </c>
      <c r="AK1266" s="80">
        <f t="shared" si="187"/>
        <v>0</v>
      </c>
      <c r="AM1266" s="85"/>
    </row>
    <row r="1267" spans="1:39" hidden="1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189"/>
        <v>0.34000000000014552</v>
      </c>
      <c r="X1267" s="18">
        <f t="shared" si="190"/>
        <v>0</v>
      </c>
      <c r="Y1267" s="13">
        <f t="shared" si="183"/>
        <v>0</v>
      </c>
      <c r="Z1267" s="14">
        <v>0</v>
      </c>
      <c r="AA1267" s="4">
        <v>0</v>
      </c>
      <c r="AB1267" s="4">
        <f t="shared" si="184"/>
        <v>0</v>
      </c>
      <c r="AC1267" s="6">
        <f t="shared" si="185"/>
        <v>0</v>
      </c>
      <c r="AD1267" s="6">
        <f t="shared" si="182"/>
        <v>0</v>
      </c>
      <c r="AE1267" s="2">
        <v>0.12</v>
      </c>
      <c r="AF1267" s="5">
        <f t="shared" si="186"/>
        <v>0</v>
      </c>
      <c r="AG1267" s="14">
        <v>0</v>
      </c>
      <c r="AH1267" s="19">
        <f t="shared" si="188"/>
        <v>0</v>
      </c>
      <c r="AJ1267" s="126" t="e">
        <v>#N/A</v>
      </c>
      <c r="AK1267" s="80">
        <f t="shared" si="187"/>
        <v>0</v>
      </c>
      <c r="AM1267" s="85"/>
    </row>
    <row r="1268" spans="1:39" hidden="1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189"/>
        <v>-4.0000000007012204E-2</v>
      </c>
      <c r="X1268" s="18">
        <f t="shared" si="190"/>
        <v>0</v>
      </c>
      <c r="Y1268" s="13">
        <f t="shared" si="183"/>
        <v>0</v>
      </c>
      <c r="Z1268" s="14">
        <v>0</v>
      </c>
      <c r="AA1268" s="4">
        <v>0</v>
      </c>
      <c r="AB1268" s="4">
        <f t="shared" si="184"/>
        <v>0</v>
      </c>
      <c r="AC1268" s="6">
        <f t="shared" si="185"/>
        <v>0</v>
      </c>
      <c r="AD1268" s="6">
        <f t="shared" si="182"/>
        <v>0</v>
      </c>
      <c r="AE1268" s="2">
        <v>7.0000000000000007E-2</v>
      </c>
      <c r="AF1268" s="5">
        <f t="shared" si="186"/>
        <v>0</v>
      </c>
      <c r="AG1268" s="14">
        <v>0</v>
      </c>
      <c r="AH1268" s="19">
        <f t="shared" si="188"/>
        <v>0</v>
      </c>
      <c r="AJ1268" s="126" t="e">
        <v>#N/A</v>
      </c>
      <c r="AK1268" s="80">
        <f t="shared" si="187"/>
        <v>0</v>
      </c>
      <c r="AM1268" s="85"/>
    </row>
    <row r="1269" spans="1:39" hidden="1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189"/>
        <v>-245.00000000000364</v>
      </c>
      <c r="X1269" s="18">
        <f t="shared" si="190"/>
        <v>0</v>
      </c>
      <c r="Y1269" s="13">
        <f t="shared" si="183"/>
        <v>0</v>
      </c>
      <c r="Z1269" s="14">
        <v>0</v>
      </c>
      <c r="AA1269" s="4">
        <v>0</v>
      </c>
      <c r="AB1269" s="4">
        <f t="shared" si="184"/>
        <v>0</v>
      </c>
      <c r="AC1269" s="6">
        <f t="shared" si="185"/>
        <v>0</v>
      </c>
      <c r="AD1269" s="6">
        <f t="shared" si="182"/>
        <v>0</v>
      </c>
      <c r="AE1269" s="2">
        <v>7.0000000000000007E-2</v>
      </c>
      <c r="AF1269" s="5">
        <f t="shared" si="186"/>
        <v>0</v>
      </c>
      <c r="AG1269" s="14">
        <v>0</v>
      </c>
      <c r="AH1269" s="19">
        <f t="shared" si="188"/>
        <v>0</v>
      </c>
      <c r="AJ1269" s="126" t="e">
        <v>#N/A</v>
      </c>
      <c r="AK1269" s="80">
        <f t="shared" si="187"/>
        <v>0</v>
      </c>
      <c r="AM1269" s="85"/>
    </row>
    <row r="1270" spans="1:39" hidden="1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189"/>
        <v>5.8789900001138449</v>
      </c>
      <c r="X1270" s="18">
        <f t="shared" si="190"/>
        <v>0</v>
      </c>
      <c r="Y1270" s="13">
        <f t="shared" si="183"/>
        <v>0</v>
      </c>
      <c r="Z1270" s="14">
        <v>0</v>
      </c>
      <c r="AA1270" s="4">
        <v>0</v>
      </c>
      <c r="AB1270" s="4">
        <f t="shared" si="184"/>
        <v>0</v>
      </c>
      <c r="AC1270" s="6">
        <f t="shared" si="185"/>
        <v>0</v>
      </c>
      <c r="AD1270" s="6">
        <f t="shared" si="182"/>
        <v>0</v>
      </c>
      <c r="AE1270" s="2">
        <v>7.0000000000000007E-2</v>
      </c>
      <c r="AF1270" s="5">
        <f t="shared" si="186"/>
        <v>0</v>
      </c>
      <c r="AG1270" s="14">
        <v>0</v>
      </c>
      <c r="AH1270" s="19">
        <f t="shared" si="188"/>
        <v>0</v>
      </c>
      <c r="AJ1270" s="126" t="e">
        <v>#N/A</v>
      </c>
      <c r="AK1270" s="80">
        <f t="shared" si="187"/>
        <v>0</v>
      </c>
      <c r="AM1270" s="85"/>
    </row>
    <row r="1271" spans="1:39" hidden="1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189"/>
        <v>35.500050000031479</v>
      </c>
      <c r="X1271" s="18">
        <f t="shared" si="190"/>
        <v>0</v>
      </c>
      <c r="Y1271" s="13">
        <f t="shared" si="183"/>
        <v>0</v>
      </c>
      <c r="Z1271" s="14">
        <v>0</v>
      </c>
      <c r="AA1271" s="4">
        <v>0</v>
      </c>
      <c r="AB1271" s="4">
        <f t="shared" si="184"/>
        <v>0</v>
      </c>
      <c r="AC1271" s="6">
        <f t="shared" si="185"/>
        <v>0</v>
      </c>
      <c r="AD1271" s="6">
        <f t="shared" si="182"/>
        <v>0</v>
      </c>
      <c r="AE1271" s="2">
        <v>7.0000000000000007E-2</v>
      </c>
      <c r="AF1271" s="5">
        <f t="shared" si="186"/>
        <v>0</v>
      </c>
      <c r="AG1271" s="14">
        <v>0</v>
      </c>
      <c r="AH1271" s="19">
        <f t="shared" si="188"/>
        <v>0</v>
      </c>
      <c r="AJ1271" s="126" t="e">
        <v>#N/A</v>
      </c>
      <c r="AK1271" s="80">
        <f t="shared" si="187"/>
        <v>0</v>
      </c>
      <c r="AM1271" s="85"/>
    </row>
    <row r="1272" spans="1:39" hidden="1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189"/>
        <v>190585.96999999997</v>
      </c>
      <c r="X1272" s="18">
        <f t="shared" si="190"/>
        <v>0</v>
      </c>
      <c r="Y1272" s="13">
        <f t="shared" si="183"/>
        <v>0</v>
      </c>
      <c r="Z1272" s="14">
        <v>0</v>
      </c>
      <c r="AA1272" s="4">
        <v>0</v>
      </c>
      <c r="AB1272" s="4">
        <f t="shared" si="184"/>
        <v>0</v>
      </c>
      <c r="AC1272" s="6">
        <f t="shared" si="185"/>
        <v>0</v>
      </c>
      <c r="AD1272" s="6">
        <f t="shared" si="182"/>
        <v>0</v>
      </c>
      <c r="AE1272" s="2">
        <v>7.0000000000000007E-2</v>
      </c>
      <c r="AF1272" s="5">
        <f t="shared" si="186"/>
        <v>0</v>
      </c>
      <c r="AG1272" s="14">
        <v>0</v>
      </c>
      <c r="AH1272" s="19">
        <f t="shared" si="188"/>
        <v>0</v>
      </c>
      <c r="AJ1272" s="126" t="e">
        <v>#N/A</v>
      </c>
      <c r="AK1272" s="80">
        <f t="shared" si="187"/>
        <v>0</v>
      </c>
      <c r="AM1272" s="85"/>
    </row>
    <row r="1273" spans="1:39" hidden="1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189"/>
        <v>478.91000000000031</v>
      </c>
      <c r="X1273" s="18">
        <f t="shared" si="190"/>
        <v>1442.1</v>
      </c>
      <c r="Y1273" s="13">
        <f t="shared" si="183"/>
        <v>578.34662732307868</v>
      </c>
      <c r="Z1273" s="14">
        <v>0</v>
      </c>
      <c r="AA1273" s="4">
        <v>0</v>
      </c>
      <c r="AB1273" s="4">
        <f t="shared" si="184"/>
        <v>1442.1</v>
      </c>
      <c r="AC1273" s="6">
        <f t="shared" si="185"/>
        <v>0</v>
      </c>
      <c r="AD1273" s="6">
        <f t="shared" si="182"/>
        <v>863.75337267692123</v>
      </c>
      <c r="AE1273" s="2">
        <v>7.0000000000000007E-2</v>
      </c>
      <c r="AF1273" s="5">
        <f t="shared" si="186"/>
        <v>60.462736087384492</v>
      </c>
      <c r="AG1273" s="14">
        <v>0</v>
      </c>
      <c r="AH1273" s="19">
        <f t="shared" si="188"/>
        <v>1442.1</v>
      </c>
      <c r="AJ1273" s="126" t="e">
        <v>#N/A</v>
      </c>
      <c r="AK1273" s="80">
        <f t="shared" si="187"/>
        <v>0</v>
      </c>
      <c r="AM1273" s="85"/>
    </row>
    <row r="1274" spans="1:39" hidden="1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189"/>
        <v>30973.730000000098</v>
      </c>
      <c r="X1274" s="18">
        <f t="shared" si="190"/>
        <v>7884.038461538461</v>
      </c>
      <c r="Y1274" s="13">
        <f t="shared" si="183"/>
        <v>2972.964746867392</v>
      </c>
      <c r="Z1274" s="14">
        <v>0</v>
      </c>
      <c r="AA1274" s="4">
        <v>0</v>
      </c>
      <c r="AB1274" s="4">
        <f t="shared" si="184"/>
        <v>7884.038461538461</v>
      </c>
      <c r="AC1274" s="6">
        <f t="shared" si="185"/>
        <v>315.36153846153866</v>
      </c>
      <c r="AD1274" s="6">
        <f t="shared" si="182"/>
        <v>4911.073714671069</v>
      </c>
      <c r="AE1274" s="2">
        <v>7.0000000000000007E-2</v>
      </c>
      <c r="AF1274" s="5">
        <f t="shared" si="186"/>
        <v>343.77516002697485</v>
      </c>
      <c r="AG1274" s="14">
        <v>0</v>
      </c>
      <c r="AH1274" s="19">
        <f t="shared" si="188"/>
        <v>8199.4</v>
      </c>
      <c r="AJ1274" s="126" t="e">
        <v>#N/A</v>
      </c>
      <c r="AK1274" s="80">
        <f t="shared" si="187"/>
        <v>0</v>
      </c>
      <c r="AM1274" s="85"/>
    </row>
    <row r="1275" spans="1:39" hidden="1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189"/>
        <v>21905.768390000001</v>
      </c>
      <c r="X1275" s="18">
        <f t="shared" si="190"/>
        <v>7935.5211862745091</v>
      </c>
      <c r="Y1275" s="13">
        <f t="shared" si="183"/>
        <v>3087.4386314130943</v>
      </c>
      <c r="Z1275" s="14">
        <v>0</v>
      </c>
      <c r="AA1275" s="4">
        <v>0</v>
      </c>
      <c r="AB1275" s="4">
        <f t="shared" si="184"/>
        <v>7935.5211862745091</v>
      </c>
      <c r="AC1275" s="6">
        <f t="shared" si="185"/>
        <v>158.71042372549073</v>
      </c>
      <c r="AD1275" s="6">
        <f t="shared" si="182"/>
        <v>4848.0825548614148</v>
      </c>
      <c r="AE1275" s="2">
        <v>0.12</v>
      </c>
      <c r="AF1275" s="5">
        <f t="shared" si="186"/>
        <v>581.76990658336979</v>
      </c>
      <c r="AG1275" s="14">
        <v>0</v>
      </c>
      <c r="AH1275" s="19">
        <f t="shared" si="188"/>
        <v>8094.2316099999998</v>
      </c>
      <c r="AJ1275" s="126" t="e">
        <v>#N/A</v>
      </c>
      <c r="AK1275" s="80">
        <f t="shared" si="187"/>
        <v>0</v>
      </c>
      <c r="AM1275" s="85"/>
    </row>
    <row r="1276" spans="1:39" hidden="1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189"/>
        <v>0</v>
      </c>
      <c r="X1276" s="18">
        <f t="shared" si="190"/>
        <v>9015.85</v>
      </c>
      <c r="Y1276" s="13">
        <f t="shared" si="183"/>
        <v>3615.7592677004232</v>
      </c>
      <c r="Z1276" s="14">
        <v>0</v>
      </c>
      <c r="AA1276" s="4">
        <v>0</v>
      </c>
      <c r="AB1276" s="4">
        <f t="shared" si="184"/>
        <v>9015.85</v>
      </c>
      <c r="AC1276" s="6">
        <f t="shared" si="185"/>
        <v>0</v>
      </c>
      <c r="AD1276" s="6">
        <f t="shared" si="182"/>
        <v>5400.0907322995772</v>
      </c>
      <c r="AE1276" s="2">
        <v>7.0000000000000007E-2</v>
      </c>
      <c r="AF1276" s="5">
        <f t="shared" si="186"/>
        <v>378.00635126097046</v>
      </c>
      <c r="AG1276" s="14">
        <v>0</v>
      </c>
      <c r="AH1276" s="19">
        <f t="shared" si="188"/>
        <v>9015.85</v>
      </c>
      <c r="AJ1276" s="126" t="e">
        <v>#N/A</v>
      </c>
      <c r="AK1276" s="80">
        <f t="shared" si="187"/>
        <v>0</v>
      </c>
      <c r="AM1276" s="85"/>
    </row>
    <row r="1277" spans="1:39" hidden="1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189"/>
        <v>-5.5000000007566996E-2</v>
      </c>
      <c r="X1277" s="18">
        <f t="shared" si="190"/>
        <v>0</v>
      </c>
      <c r="Y1277" s="13">
        <f t="shared" si="183"/>
        <v>0</v>
      </c>
      <c r="Z1277" s="14">
        <v>0</v>
      </c>
      <c r="AA1277" s="4">
        <v>0</v>
      </c>
      <c r="AB1277" s="4">
        <f t="shared" si="184"/>
        <v>0</v>
      </c>
      <c r="AC1277" s="6">
        <f t="shared" si="185"/>
        <v>0</v>
      </c>
      <c r="AD1277" s="6">
        <f t="shared" si="182"/>
        <v>0</v>
      </c>
      <c r="AE1277" s="2">
        <v>7.0000000000000007E-2</v>
      </c>
      <c r="AF1277" s="5">
        <f t="shared" si="186"/>
        <v>0</v>
      </c>
      <c r="AG1277" s="14">
        <v>0</v>
      </c>
      <c r="AH1277" s="19">
        <f t="shared" si="188"/>
        <v>0</v>
      </c>
      <c r="AJ1277" s="126" t="e">
        <v>#N/A</v>
      </c>
      <c r="AK1277" s="80">
        <f t="shared" si="187"/>
        <v>0</v>
      </c>
      <c r="AM1277" s="85"/>
    </row>
    <row r="1278" spans="1:39" hidden="1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189"/>
        <v>0</v>
      </c>
      <c r="X1278" s="18">
        <f t="shared" si="190"/>
        <v>9238.155339805824</v>
      </c>
      <c r="Y1278" s="13">
        <f t="shared" si="183"/>
        <v>3538.9164055899528</v>
      </c>
      <c r="Z1278" s="14">
        <v>0</v>
      </c>
      <c r="AA1278" s="4">
        <v>0</v>
      </c>
      <c r="AB1278" s="4">
        <f t="shared" si="184"/>
        <v>9238.155339805824</v>
      </c>
      <c r="AC1278" s="6">
        <f t="shared" si="185"/>
        <v>277.14466019417523</v>
      </c>
      <c r="AD1278" s="6">
        <f t="shared" si="182"/>
        <v>5699.2389342158713</v>
      </c>
      <c r="AE1278" s="2">
        <v>7.0000000000000007E-2</v>
      </c>
      <c r="AF1278" s="5">
        <f t="shared" si="186"/>
        <v>398.946725395111</v>
      </c>
      <c r="AG1278" s="14">
        <v>0</v>
      </c>
      <c r="AH1278" s="19">
        <f t="shared" si="188"/>
        <v>9515.2999999999993</v>
      </c>
      <c r="AJ1278" s="126" t="e">
        <v>#N/A</v>
      </c>
      <c r="AK1278" s="80">
        <f t="shared" si="187"/>
        <v>0</v>
      </c>
      <c r="AM1278" s="85"/>
    </row>
    <row r="1279" spans="1:39" hidden="1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189"/>
        <v>-36.899999999906868</v>
      </c>
      <c r="X1279" s="18">
        <f t="shared" si="190"/>
        <v>0</v>
      </c>
      <c r="Y1279" s="13">
        <f t="shared" si="183"/>
        <v>0</v>
      </c>
      <c r="Z1279" s="14">
        <v>0</v>
      </c>
      <c r="AA1279" s="4">
        <v>0</v>
      </c>
      <c r="AB1279" s="4">
        <f t="shared" si="184"/>
        <v>0</v>
      </c>
      <c r="AC1279" s="6">
        <f t="shared" si="185"/>
        <v>0</v>
      </c>
      <c r="AD1279" s="6">
        <f t="shared" si="182"/>
        <v>0</v>
      </c>
      <c r="AE1279" s="2">
        <v>7.0000000000000007E-2</v>
      </c>
      <c r="AF1279" s="5">
        <f t="shared" si="186"/>
        <v>0</v>
      </c>
      <c r="AG1279" s="14">
        <v>0</v>
      </c>
      <c r="AH1279" s="19">
        <f t="shared" si="188"/>
        <v>0</v>
      </c>
      <c r="AJ1279" s="126" t="e">
        <v>#N/A</v>
      </c>
      <c r="AK1279" s="80">
        <f t="shared" si="187"/>
        <v>0</v>
      </c>
      <c r="AM1279" s="85"/>
    </row>
    <row r="1280" spans="1:39" hidden="1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189"/>
        <v>90013.975139999529</v>
      </c>
      <c r="X1280" s="18">
        <f t="shared" si="190"/>
        <v>0</v>
      </c>
      <c r="Y1280" s="13">
        <f t="shared" si="183"/>
        <v>0</v>
      </c>
      <c r="Z1280" s="14">
        <v>0</v>
      </c>
      <c r="AA1280" s="4">
        <v>0</v>
      </c>
      <c r="AB1280" s="4">
        <f t="shared" si="184"/>
        <v>0</v>
      </c>
      <c r="AC1280" s="6">
        <f t="shared" si="185"/>
        <v>0</v>
      </c>
      <c r="AD1280" s="6">
        <f t="shared" si="182"/>
        <v>0</v>
      </c>
      <c r="AE1280" s="2">
        <v>7.0000000000000007E-2</v>
      </c>
      <c r="AF1280" s="5">
        <f t="shared" si="186"/>
        <v>0</v>
      </c>
      <c r="AG1280" s="14">
        <v>0</v>
      </c>
      <c r="AH1280" s="19">
        <f t="shared" si="188"/>
        <v>0</v>
      </c>
      <c r="AJ1280" s="126" t="e">
        <v>#N/A</v>
      </c>
      <c r="AK1280" s="80">
        <f t="shared" si="187"/>
        <v>0</v>
      </c>
      <c r="AM1280" s="85"/>
    </row>
    <row r="1281" spans="1:39" hidden="1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189"/>
        <v>0</v>
      </c>
      <c r="X1281" s="18">
        <f t="shared" si="190"/>
        <v>48398.679802955703</v>
      </c>
      <c r="Y1281" s="13">
        <f t="shared" si="183"/>
        <v>18975.206564895183</v>
      </c>
      <c r="Z1281" s="14">
        <v>0</v>
      </c>
      <c r="AA1281" s="4">
        <v>0</v>
      </c>
      <c r="AB1281" s="4">
        <f t="shared" si="184"/>
        <v>48398.679802955703</v>
      </c>
      <c r="AC1281" s="6">
        <f t="shared" si="185"/>
        <v>725.98019704432954</v>
      </c>
      <c r="AD1281" s="6">
        <f t="shared" ref="AD1281:AD1308" si="191">V1281*0.598955254612663</f>
        <v>29423.47323806052</v>
      </c>
      <c r="AE1281" s="2">
        <v>7.0000000000000007E-2</v>
      </c>
      <c r="AF1281" s="5">
        <f t="shared" si="186"/>
        <v>2059.6431266642367</v>
      </c>
      <c r="AG1281" s="14">
        <v>0</v>
      </c>
      <c r="AH1281" s="19">
        <f t="shared" si="188"/>
        <v>49124.660000000033</v>
      </c>
      <c r="AJ1281" s="126" t="e">
        <v>#N/A</v>
      </c>
      <c r="AK1281" s="80">
        <f t="shared" si="187"/>
        <v>0</v>
      </c>
      <c r="AM1281" s="85"/>
    </row>
    <row r="1282" spans="1:39" hidden="1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189"/>
        <v>0</v>
      </c>
      <c r="X1282" s="18">
        <f t="shared" si="190"/>
        <v>108361.37931034477</v>
      </c>
      <c r="Y1282" s="13">
        <f t="shared" si="183"/>
        <v>42484.207512312772</v>
      </c>
      <c r="Z1282" s="14">
        <v>0</v>
      </c>
      <c r="AA1282" s="4">
        <v>0</v>
      </c>
      <c r="AB1282" s="4">
        <f t="shared" si="184"/>
        <v>108361.37931034477</v>
      </c>
      <c r="AC1282" s="6">
        <f t="shared" si="185"/>
        <v>1625.4206896551623</v>
      </c>
      <c r="AD1282" s="6">
        <f t="shared" si="191"/>
        <v>65877.171798031995</v>
      </c>
      <c r="AE1282" s="2">
        <v>7.0000000000000007E-2</v>
      </c>
      <c r="AF1282" s="5">
        <f t="shared" si="186"/>
        <v>4611.4020258622404</v>
      </c>
      <c r="AG1282" s="14">
        <v>0</v>
      </c>
      <c r="AH1282" s="19">
        <f t="shared" si="188"/>
        <v>109986.79999999993</v>
      </c>
      <c r="AJ1282" s="126" t="e">
        <v>#N/A</v>
      </c>
      <c r="AK1282" s="80">
        <f t="shared" si="187"/>
        <v>0</v>
      </c>
      <c r="AM1282" s="85"/>
    </row>
    <row r="1283" spans="1:39" hidden="1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189"/>
        <v>291548.18693000003</v>
      </c>
      <c r="X1283" s="18">
        <f t="shared" si="190"/>
        <v>0</v>
      </c>
      <c r="Y1283" s="13">
        <f t="shared" ref="Y1283:Y1346" si="19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193">X1283+AA1283</f>
        <v>0</v>
      </c>
      <c r="AC1283" s="6">
        <f t="shared" ref="AC1283:AC1346" si="194">IF(P1283="返现",X1283*Q1283,V1283-X1283)</f>
        <v>0</v>
      </c>
      <c r="AD1283" s="6">
        <f t="shared" si="191"/>
        <v>0</v>
      </c>
      <c r="AE1283" s="2">
        <v>7.0000000000000007E-2</v>
      </c>
      <c r="AF1283" s="5">
        <f t="shared" ref="AF1283:AF1346" si="195">AD1283*AE1283</f>
        <v>0</v>
      </c>
      <c r="AG1283" s="14">
        <v>0</v>
      </c>
      <c r="AH1283" s="19">
        <f t="shared" si="188"/>
        <v>0</v>
      </c>
      <c r="AJ1283" s="126" t="e">
        <v>#N/A</v>
      </c>
      <c r="AK1283" s="80">
        <f t="shared" ref="AK1283:AK1346" si="196">X1283+AA1283-AB1283</f>
        <v>0</v>
      </c>
      <c r="AM1283" s="85"/>
    </row>
    <row r="1284" spans="1:39" hidden="1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189"/>
        <v>-2.1000000000009891</v>
      </c>
      <c r="X1284" s="18">
        <f t="shared" si="190"/>
        <v>0</v>
      </c>
      <c r="Y1284" s="13">
        <f t="shared" si="192"/>
        <v>0</v>
      </c>
      <c r="Z1284" s="14">
        <v>0</v>
      </c>
      <c r="AA1284" s="4">
        <v>0</v>
      </c>
      <c r="AB1284" s="4">
        <f t="shared" si="193"/>
        <v>0</v>
      </c>
      <c r="AC1284" s="6">
        <f t="shared" si="194"/>
        <v>0</v>
      </c>
      <c r="AD1284" s="6">
        <f t="shared" si="191"/>
        <v>0</v>
      </c>
      <c r="AE1284" s="2">
        <v>7.0000000000000007E-2</v>
      </c>
      <c r="AF1284" s="5">
        <f t="shared" si="195"/>
        <v>0</v>
      </c>
      <c r="AG1284" s="14">
        <v>0</v>
      </c>
      <c r="AH1284" s="19">
        <f t="shared" si="188"/>
        <v>0</v>
      </c>
      <c r="AJ1284" s="126" t="e">
        <v>#N/A</v>
      </c>
      <c r="AK1284" s="80">
        <f t="shared" si="196"/>
        <v>0</v>
      </c>
      <c r="AM1284" s="85"/>
    </row>
    <row r="1285" spans="1:39" hidden="1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189"/>
        <v>0</v>
      </c>
      <c r="X1285" s="18">
        <f t="shared" si="190"/>
        <v>8802.2884615384592</v>
      </c>
      <c r="Y1285" s="13">
        <f t="shared" si="192"/>
        <v>3319.2244578173913</v>
      </c>
      <c r="Z1285" s="14">
        <v>0</v>
      </c>
      <c r="AA1285" s="4">
        <v>0</v>
      </c>
      <c r="AB1285" s="4">
        <f t="shared" si="193"/>
        <v>8802.2884615384592</v>
      </c>
      <c r="AC1285" s="6">
        <f t="shared" si="194"/>
        <v>352.09153846153822</v>
      </c>
      <c r="AD1285" s="6">
        <f t="shared" si="191"/>
        <v>5483.0640037210678</v>
      </c>
      <c r="AE1285" s="2">
        <v>7.0000000000000007E-2</v>
      </c>
      <c r="AF1285" s="5">
        <f t="shared" si="195"/>
        <v>383.8144802604748</v>
      </c>
      <c r="AG1285" s="14">
        <v>0</v>
      </c>
      <c r="AH1285" s="19">
        <f t="shared" si="188"/>
        <v>9154.3799999999974</v>
      </c>
      <c r="AJ1285" s="126" t="e">
        <v>#N/A</v>
      </c>
      <c r="AK1285" s="80">
        <f t="shared" si="196"/>
        <v>0</v>
      </c>
      <c r="AM1285" s="85"/>
    </row>
    <row r="1286" spans="1:39" hidden="1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189"/>
        <v>0</v>
      </c>
      <c r="X1286" s="18">
        <f t="shared" si="190"/>
        <v>83648.629807692341</v>
      </c>
      <c r="Y1286" s="13">
        <f t="shared" si="192"/>
        <v>31542.771988646913</v>
      </c>
      <c r="Z1286" s="14">
        <v>0</v>
      </c>
      <c r="AA1286" s="4">
        <v>0</v>
      </c>
      <c r="AB1286" s="4">
        <f t="shared" si="193"/>
        <v>83648.629807692341</v>
      </c>
      <c r="AC1286" s="6">
        <f t="shared" si="194"/>
        <v>3345.9451923076995</v>
      </c>
      <c r="AD1286" s="6">
        <f t="shared" si="191"/>
        <v>52105.857819045428</v>
      </c>
      <c r="AE1286" s="2">
        <v>7.0000000000000007E-2</v>
      </c>
      <c r="AF1286" s="5">
        <f t="shared" si="195"/>
        <v>3647.4100473331805</v>
      </c>
      <c r="AG1286" s="14">
        <v>0</v>
      </c>
      <c r="AH1286" s="19">
        <f t="shared" si="188"/>
        <v>86994.575000000041</v>
      </c>
      <c r="AJ1286" s="126" t="e">
        <v>#N/A</v>
      </c>
      <c r="AK1286" s="80">
        <f t="shared" si="196"/>
        <v>0</v>
      </c>
      <c r="AM1286" s="85"/>
    </row>
    <row r="1287" spans="1:39" hidden="1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189"/>
        <v>0</v>
      </c>
      <c r="X1287" s="18">
        <f t="shared" si="190"/>
        <v>11456.86538461539</v>
      </c>
      <c r="Y1287" s="13">
        <f t="shared" si="192"/>
        <v>4320.2296721698613</v>
      </c>
      <c r="Z1287" s="14">
        <v>0</v>
      </c>
      <c r="AA1287" s="4">
        <v>0</v>
      </c>
      <c r="AB1287" s="4">
        <f t="shared" si="193"/>
        <v>11456.86538461539</v>
      </c>
      <c r="AC1287" s="6">
        <f t="shared" si="194"/>
        <v>458.27461538461648</v>
      </c>
      <c r="AD1287" s="6">
        <f t="shared" si="191"/>
        <v>7136.635712445529</v>
      </c>
      <c r="AE1287" s="2">
        <v>7.0000000000000007E-2</v>
      </c>
      <c r="AF1287" s="5">
        <f t="shared" si="195"/>
        <v>499.56449987118708</v>
      </c>
      <c r="AG1287" s="14">
        <v>0</v>
      </c>
      <c r="AH1287" s="19">
        <f t="shared" si="188"/>
        <v>11915.140000000007</v>
      </c>
      <c r="AJ1287" s="126" t="e">
        <v>#N/A</v>
      </c>
      <c r="AK1287" s="80">
        <f t="shared" si="196"/>
        <v>0</v>
      </c>
      <c r="AM1287" s="85"/>
    </row>
    <row r="1288" spans="1:39" hidden="1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189"/>
        <v>32530.899999999994</v>
      </c>
      <c r="X1288" s="18">
        <f t="shared" si="190"/>
        <v>111853.9</v>
      </c>
      <c r="Y1288" s="13">
        <f t="shared" si="192"/>
        <v>44858.418846080662</v>
      </c>
      <c r="Z1288" s="14">
        <v>0</v>
      </c>
      <c r="AA1288" s="4">
        <v>0</v>
      </c>
      <c r="AB1288" s="4">
        <f t="shared" si="193"/>
        <v>111853.9</v>
      </c>
      <c r="AC1288" s="6">
        <f t="shared" si="194"/>
        <v>0</v>
      </c>
      <c r="AD1288" s="6">
        <f t="shared" si="191"/>
        <v>66995.481153919332</v>
      </c>
      <c r="AE1288" s="2">
        <v>7.0000000000000007E-2</v>
      </c>
      <c r="AF1288" s="5">
        <f t="shared" si="195"/>
        <v>4689.6836807743539</v>
      </c>
      <c r="AG1288" s="14">
        <v>0</v>
      </c>
      <c r="AH1288" s="19">
        <f t="shared" si="188"/>
        <v>111853.9</v>
      </c>
      <c r="AJ1288" s="126" t="e">
        <v>#N/A</v>
      </c>
      <c r="AK1288" s="80">
        <f t="shared" si="196"/>
        <v>0</v>
      </c>
      <c r="AM1288" s="85"/>
    </row>
    <row r="1289" spans="1:39" hidden="1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189"/>
        <v>-2.5985699997283405</v>
      </c>
      <c r="X1289" s="18">
        <f t="shared" si="190"/>
        <v>152.19999999999999</v>
      </c>
      <c r="Y1289" s="13">
        <f t="shared" si="192"/>
        <v>61.039010247952689</v>
      </c>
      <c r="Z1289" s="14">
        <v>0</v>
      </c>
      <c r="AA1289" s="4">
        <v>0</v>
      </c>
      <c r="AB1289" s="4">
        <f t="shared" si="193"/>
        <v>152.19999999999999</v>
      </c>
      <c r="AC1289" s="6">
        <f t="shared" si="194"/>
        <v>0</v>
      </c>
      <c r="AD1289" s="6">
        <f t="shared" si="191"/>
        <v>91.1609897520473</v>
      </c>
      <c r="AE1289" s="2">
        <v>7.0000000000000007E-2</v>
      </c>
      <c r="AF1289" s="5">
        <f t="shared" si="195"/>
        <v>6.3812692826433119</v>
      </c>
      <c r="AG1289" s="14">
        <v>0</v>
      </c>
      <c r="AH1289" s="19">
        <f t="shared" si="188"/>
        <v>152.19999999999999</v>
      </c>
      <c r="AJ1289" s="126" t="e">
        <v>#N/A</v>
      </c>
      <c r="AK1289" s="80">
        <f t="shared" si="196"/>
        <v>0</v>
      </c>
      <c r="AM1289" s="85"/>
    </row>
    <row r="1290" spans="1:39" hidden="1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189"/>
        <v>0</v>
      </c>
      <c r="X1290" s="18">
        <f t="shared" si="190"/>
        <v>2.912621359223301</v>
      </c>
      <c r="Y1290" s="13">
        <f t="shared" si="192"/>
        <v>1.1157555953853122</v>
      </c>
      <c r="Z1290" s="14">
        <v>0</v>
      </c>
      <c r="AA1290" s="4">
        <v>0</v>
      </c>
      <c r="AB1290" s="4">
        <f t="shared" si="193"/>
        <v>2.912621359223301</v>
      </c>
      <c r="AC1290" s="6">
        <f t="shared" si="194"/>
        <v>8.737864077669899E-2</v>
      </c>
      <c r="AD1290" s="6">
        <f t="shared" si="191"/>
        <v>1.7968657638379888</v>
      </c>
      <c r="AE1290" s="2">
        <v>7.0000000000000007E-2</v>
      </c>
      <c r="AF1290" s="5">
        <f t="shared" si="195"/>
        <v>0.12578060346865924</v>
      </c>
      <c r="AG1290" s="14">
        <v>0</v>
      </c>
      <c r="AH1290" s="19">
        <f t="shared" si="188"/>
        <v>3</v>
      </c>
      <c r="AJ1290" s="126" t="e">
        <v>#N/A</v>
      </c>
      <c r="AK1290" s="80">
        <f t="shared" si="196"/>
        <v>0</v>
      </c>
      <c r="AM1290" s="85"/>
    </row>
    <row r="1291" spans="1:39" hidden="1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189"/>
        <v>-1.2099999999991269</v>
      </c>
      <c r="X1291" s="18">
        <f t="shared" si="190"/>
        <v>0</v>
      </c>
      <c r="Y1291" s="13">
        <f t="shared" si="192"/>
        <v>0</v>
      </c>
      <c r="Z1291" s="14">
        <v>0</v>
      </c>
      <c r="AA1291" s="4">
        <v>0</v>
      </c>
      <c r="AB1291" s="4">
        <f t="shared" si="193"/>
        <v>0</v>
      </c>
      <c r="AC1291" s="6">
        <f t="shared" si="194"/>
        <v>0</v>
      </c>
      <c r="AD1291" s="6">
        <f t="shared" si="191"/>
        <v>0</v>
      </c>
      <c r="AE1291" s="2">
        <v>7.0000000000000007E-2</v>
      </c>
      <c r="AF1291" s="5">
        <f t="shared" si="195"/>
        <v>0</v>
      </c>
      <c r="AG1291" s="14">
        <v>0</v>
      </c>
      <c r="AH1291" s="19">
        <f t="shared" si="188"/>
        <v>0</v>
      </c>
      <c r="AJ1291" s="126" t="e">
        <v>#N/A</v>
      </c>
      <c r="AK1291" s="80">
        <f t="shared" si="196"/>
        <v>0</v>
      </c>
      <c r="AM1291" s="85"/>
    </row>
    <row r="1292" spans="1:39" hidden="1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189"/>
        <v>-0.8000000000174623</v>
      </c>
      <c r="X1292" s="18">
        <f t="shared" si="190"/>
        <v>0</v>
      </c>
      <c r="Y1292" s="13">
        <f t="shared" si="192"/>
        <v>0</v>
      </c>
      <c r="Z1292" s="14">
        <v>0</v>
      </c>
      <c r="AA1292" s="4">
        <v>0</v>
      </c>
      <c r="AB1292" s="4">
        <f t="shared" si="193"/>
        <v>0</v>
      </c>
      <c r="AC1292" s="6">
        <f t="shared" si="194"/>
        <v>0</v>
      </c>
      <c r="AD1292" s="6">
        <f t="shared" si="191"/>
        <v>0</v>
      </c>
      <c r="AE1292" s="2">
        <v>7.0000000000000007E-2</v>
      </c>
      <c r="AF1292" s="5">
        <f t="shared" si="195"/>
        <v>0</v>
      </c>
      <c r="AG1292" s="14">
        <v>0</v>
      </c>
      <c r="AH1292" s="19">
        <f t="shared" si="188"/>
        <v>0</v>
      </c>
      <c r="AJ1292" s="126" t="e">
        <v>#N/A</v>
      </c>
      <c r="AK1292" s="80">
        <f t="shared" si="196"/>
        <v>0</v>
      </c>
      <c r="AM1292" s="85"/>
    </row>
    <row r="1293" spans="1:39" hidden="1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189"/>
        <v>7.2300000000104774</v>
      </c>
      <c r="X1293" s="18">
        <f t="shared" si="190"/>
        <v>0</v>
      </c>
      <c r="Y1293" s="13">
        <f t="shared" si="192"/>
        <v>0</v>
      </c>
      <c r="Z1293" s="14">
        <v>0</v>
      </c>
      <c r="AA1293" s="4">
        <v>0</v>
      </c>
      <c r="AB1293" s="4">
        <f t="shared" si="193"/>
        <v>0</v>
      </c>
      <c r="AC1293" s="6">
        <f t="shared" si="194"/>
        <v>0</v>
      </c>
      <c r="AD1293" s="6">
        <f t="shared" si="191"/>
        <v>0</v>
      </c>
      <c r="AE1293" s="2">
        <v>7.0000000000000007E-2</v>
      </c>
      <c r="AF1293" s="5">
        <f t="shared" si="195"/>
        <v>0</v>
      </c>
      <c r="AG1293" s="14">
        <v>0</v>
      </c>
      <c r="AH1293" s="19">
        <f t="shared" si="188"/>
        <v>0</v>
      </c>
      <c r="AJ1293" s="126" t="e">
        <v>#N/A</v>
      </c>
      <c r="AK1293" s="80">
        <f t="shared" si="196"/>
        <v>0</v>
      </c>
      <c r="AM1293" s="85"/>
    </row>
    <row r="1294" spans="1:39" hidden="1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189"/>
        <v>-70.300000000337604</v>
      </c>
      <c r="X1294" s="18">
        <f t="shared" si="190"/>
        <v>0</v>
      </c>
      <c r="Y1294" s="13">
        <f t="shared" si="192"/>
        <v>0</v>
      </c>
      <c r="Z1294" s="14">
        <v>0</v>
      </c>
      <c r="AA1294" s="4">
        <v>0</v>
      </c>
      <c r="AB1294" s="4">
        <f t="shared" si="193"/>
        <v>0</v>
      </c>
      <c r="AC1294" s="6">
        <f t="shared" si="194"/>
        <v>0</v>
      </c>
      <c r="AD1294" s="6">
        <f t="shared" si="191"/>
        <v>0</v>
      </c>
      <c r="AE1294" s="2">
        <v>7.0000000000000007E-2</v>
      </c>
      <c r="AF1294" s="5">
        <f t="shared" si="195"/>
        <v>0</v>
      </c>
      <c r="AG1294" s="14">
        <v>0</v>
      </c>
      <c r="AH1294" s="19">
        <f t="shared" si="188"/>
        <v>0</v>
      </c>
      <c r="AJ1294" s="126" t="e">
        <v>#N/A</v>
      </c>
      <c r="AK1294" s="80">
        <f t="shared" si="196"/>
        <v>0</v>
      </c>
      <c r="AM1294" s="85"/>
    </row>
    <row r="1295" spans="1:39" hidden="1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189"/>
        <v>-0.9</v>
      </c>
      <c r="X1295" s="18">
        <f t="shared" si="190"/>
        <v>0</v>
      </c>
      <c r="Y1295" s="13">
        <f t="shared" si="192"/>
        <v>0</v>
      </c>
      <c r="Z1295" s="14">
        <v>0</v>
      </c>
      <c r="AA1295" s="4">
        <v>0</v>
      </c>
      <c r="AB1295" s="4">
        <f t="shared" si="193"/>
        <v>0</v>
      </c>
      <c r="AC1295" s="6">
        <f t="shared" si="194"/>
        <v>0</v>
      </c>
      <c r="AD1295" s="6">
        <f t="shared" si="191"/>
        <v>0</v>
      </c>
      <c r="AE1295" s="2">
        <v>7.0000000000000007E-2</v>
      </c>
      <c r="AF1295" s="5">
        <f t="shared" si="195"/>
        <v>0</v>
      </c>
      <c r="AG1295" s="14">
        <v>0</v>
      </c>
      <c r="AH1295" s="19">
        <f t="shared" si="188"/>
        <v>0</v>
      </c>
      <c r="AJ1295" s="126" t="e">
        <v>#N/A</v>
      </c>
      <c r="AK1295" s="80">
        <f t="shared" si="196"/>
        <v>0</v>
      </c>
      <c r="AM1295" s="85"/>
    </row>
    <row r="1296" spans="1:39" hidden="1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189"/>
        <v>15000</v>
      </c>
      <c r="X1296" s="18">
        <f t="shared" si="190"/>
        <v>0</v>
      </c>
      <c r="Y1296" s="13">
        <f t="shared" si="192"/>
        <v>0</v>
      </c>
      <c r="Z1296" s="14">
        <v>0</v>
      </c>
      <c r="AA1296" s="4">
        <v>0</v>
      </c>
      <c r="AB1296" s="4">
        <f t="shared" si="193"/>
        <v>0</v>
      </c>
      <c r="AC1296" s="6">
        <f t="shared" si="194"/>
        <v>0</v>
      </c>
      <c r="AD1296" s="6">
        <f t="shared" si="191"/>
        <v>0</v>
      </c>
      <c r="AE1296" s="2">
        <v>0.12</v>
      </c>
      <c r="AF1296" s="5">
        <f t="shared" si="195"/>
        <v>0</v>
      </c>
      <c r="AG1296" s="14">
        <v>0</v>
      </c>
      <c r="AH1296" s="19">
        <f t="shared" si="188"/>
        <v>0</v>
      </c>
      <c r="AJ1296" s="126" t="e">
        <v>#N/A</v>
      </c>
      <c r="AK1296" s="80">
        <f t="shared" si="196"/>
        <v>0</v>
      </c>
      <c r="AM1296" s="85"/>
    </row>
    <row r="1297" spans="1:39" hidden="1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189"/>
        <v>0</v>
      </c>
      <c r="X1297" s="18">
        <f t="shared" si="190"/>
        <v>36411.058823529384</v>
      </c>
      <c r="Y1297" s="13">
        <f t="shared" si="192"/>
        <v>14166.291914998419</v>
      </c>
      <c r="Z1297" s="14">
        <v>0</v>
      </c>
      <c r="AA1297" s="4">
        <v>0</v>
      </c>
      <c r="AB1297" s="4">
        <f t="shared" si="193"/>
        <v>36411.058823529384</v>
      </c>
      <c r="AC1297" s="6">
        <f t="shared" si="194"/>
        <v>728.22117647058622</v>
      </c>
      <c r="AD1297" s="6">
        <f t="shared" si="191"/>
        <v>22244.766908530964</v>
      </c>
      <c r="AE1297" s="2">
        <v>7.0000000000000007E-2</v>
      </c>
      <c r="AF1297" s="5">
        <f t="shared" si="195"/>
        <v>1557.1336835971676</v>
      </c>
      <c r="AG1297" s="14">
        <v>0</v>
      </c>
      <c r="AH1297" s="19">
        <f t="shared" si="188"/>
        <v>37139.27999999997</v>
      </c>
      <c r="AJ1297" s="126" t="e">
        <v>#N/A</v>
      </c>
      <c r="AK1297" s="80">
        <f t="shared" si="196"/>
        <v>0</v>
      </c>
      <c r="AM1297" s="85"/>
    </row>
    <row r="1298" spans="1:39" hidden="1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189"/>
        <v>412.40000000000146</v>
      </c>
      <c r="X1298" s="18">
        <f t="shared" si="190"/>
        <v>847.05882352941171</v>
      </c>
      <c r="Y1298" s="13">
        <f t="shared" si="192"/>
        <v>329.56148354407094</v>
      </c>
      <c r="Z1298" s="14">
        <v>0</v>
      </c>
      <c r="AA1298" s="4">
        <v>0</v>
      </c>
      <c r="AB1298" s="4">
        <f t="shared" si="193"/>
        <v>847.05882352941171</v>
      </c>
      <c r="AC1298" s="6">
        <f t="shared" si="194"/>
        <v>16.941176470588289</v>
      </c>
      <c r="AD1298" s="6">
        <f t="shared" si="191"/>
        <v>517.49733998534077</v>
      </c>
      <c r="AE1298" s="2">
        <v>7.0000000000000007E-2</v>
      </c>
      <c r="AF1298" s="5">
        <f t="shared" si="195"/>
        <v>36.224813798973855</v>
      </c>
      <c r="AG1298" s="14">
        <v>0</v>
      </c>
      <c r="AH1298" s="19">
        <f t="shared" si="188"/>
        <v>864</v>
      </c>
      <c r="AJ1298" s="126" t="e">
        <v>#N/A</v>
      </c>
      <c r="AK1298" s="80">
        <f t="shared" si="196"/>
        <v>0</v>
      </c>
      <c r="AM1298" s="85"/>
    </row>
    <row r="1299" spans="1:39" hidden="1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189"/>
        <v>0</v>
      </c>
      <c r="X1299" s="18">
        <f t="shared" si="190"/>
        <v>15545.558823529398</v>
      </c>
      <c r="Y1299" s="13">
        <f t="shared" si="192"/>
        <v>6048.2427974213533</v>
      </c>
      <c r="Z1299" s="14">
        <v>0</v>
      </c>
      <c r="AA1299" s="4">
        <v>0</v>
      </c>
      <c r="AB1299" s="4">
        <f t="shared" si="193"/>
        <v>15545.558823529398</v>
      </c>
      <c r="AC1299" s="6">
        <f t="shared" si="194"/>
        <v>310.91117647058854</v>
      </c>
      <c r="AD1299" s="6">
        <f t="shared" si="191"/>
        <v>9497.3160261080448</v>
      </c>
      <c r="AE1299" s="2">
        <v>7.0000000000000007E-2</v>
      </c>
      <c r="AF1299" s="5">
        <f t="shared" si="195"/>
        <v>664.81212182756315</v>
      </c>
      <c r="AG1299" s="14">
        <v>0</v>
      </c>
      <c r="AH1299" s="19">
        <f t="shared" si="188"/>
        <v>15856.469999999987</v>
      </c>
      <c r="AJ1299" s="126" t="e">
        <v>#N/A</v>
      </c>
      <c r="AK1299" s="80">
        <f t="shared" si="196"/>
        <v>0</v>
      </c>
      <c r="AM1299" s="85"/>
    </row>
    <row r="1300" spans="1:39" hidden="1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189"/>
        <v>0</v>
      </c>
      <c r="X1300" s="18">
        <f t="shared" si="190"/>
        <v>18749.127450980435</v>
      </c>
      <c r="Y1300" s="13">
        <f t="shared" si="192"/>
        <v>7294.6412766898356</v>
      </c>
      <c r="Z1300" s="14">
        <v>0</v>
      </c>
      <c r="AA1300" s="4">
        <v>0</v>
      </c>
      <c r="AB1300" s="4">
        <f t="shared" si="193"/>
        <v>18749.127450980435</v>
      </c>
      <c r="AC1300" s="6">
        <f t="shared" si="194"/>
        <v>374.982549019609</v>
      </c>
      <c r="AD1300" s="6">
        <f t="shared" si="191"/>
        <v>11454.4861742906</v>
      </c>
      <c r="AE1300" s="2">
        <v>7.0000000000000007E-2</v>
      </c>
      <c r="AF1300" s="5">
        <f t="shared" si="195"/>
        <v>801.81403220034201</v>
      </c>
      <c r="AG1300" s="14">
        <v>0</v>
      </c>
      <c r="AH1300" s="19">
        <f t="shared" si="188"/>
        <v>19124.110000000044</v>
      </c>
      <c r="AJ1300" s="126" t="e">
        <v>#N/A</v>
      </c>
      <c r="AK1300" s="80">
        <f t="shared" si="196"/>
        <v>0</v>
      </c>
      <c r="AM1300" s="85"/>
    </row>
    <row r="1301" spans="1:39" hidden="1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189"/>
        <v>442.49999999999636</v>
      </c>
      <c r="X1301" s="18">
        <f t="shared" si="190"/>
        <v>3152.5</v>
      </c>
      <c r="Y1301" s="13">
        <f t="shared" si="192"/>
        <v>1264.29355983358</v>
      </c>
      <c r="Z1301" s="14">
        <v>0</v>
      </c>
      <c r="AA1301" s="4">
        <v>0</v>
      </c>
      <c r="AB1301" s="4">
        <f t="shared" si="193"/>
        <v>3152.5</v>
      </c>
      <c r="AC1301" s="6">
        <f t="shared" si="194"/>
        <v>0</v>
      </c>
      <c r="AD1301" s="6">
        <f t="shared" si="191"/>
        <v>1888.20644016642</v>
      </c>
      <c r="AE1301" s="2">
        <v>7.0000000000000007E-2</v>
      </c>
      <c r="AF1301" s="5">
        <f t="shared" si="195"/>
        <v>132.17445081164942</v>
      </c>
      <c r="AG1301" s="14">
        <v>0</v>
      </c>
      <c r="AH1301" s="19">
        <f t="shared" ref="AH1301:AH1364" si="197">V1301</f>
        <v>3152.5</v>
      </c>
      <c r="AJ1301" s="126" t="e">
        <v>#N/A</v>
      </c>
      <c r="AK1301" s="80">
        <f t="shared" si="196"/>
        <v>0</v>
      </c>
      <c r="AM1301" s="85"/>
    </row>
    <row r="1302" spans="1:39" hidden="1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189"/>
        <v>0</v>
      </c>
      <c r="X1302" s="18">
        <f t="shared" si="190"/>
        <v>15158.088235294124</v>
      </c>
      <c r="Y1302" s="13">
        <f t="shared" si="192"/>
        <v>5897.491304914085</v>
      </c>
      <c r="Z1302" s="14">
        <v>0</v>
      </c>
      <c r="AA1302" s="4">
        <v>0</v>
      </c>
      <c r="AB1302" s="4">
        <f t="shared" si="193"/>
        <v>15158.088235294124</v>
      </c>
      <c r="AC1302" s="6">
        <f t="shared" si="194"/>
        <v>303.16176470588289</v>
      </c>
      <c r="AD1302" s="6">
        <f t="shared" si="191"/>
        <v>9260.5969303800393</v>
      </c>
      <c r="AE1302" s="2">
        <v>7.0000000000000007E-2</v>
      </c>
      <c r="AF1302" s="5">
        <f t="shared" si="195"/>
        <v>648.24178512660285</v>
      </c>
      <c r="AG1302" s="14">
        <v>0</v>
      </c>
      <c r="AH1302" s="19">
        <f t="shared" si="197"/>
        <v>15461.250000000007</v>
      </c>
      <c r="AJ1302" s="126" t="e">
        <v>#N/A</v>
      </c>
      <c r="AK1302" s="80">
        <f t="shared" si="196"/>
        <v>0</v>
      </c>
      <c r="AM1302" s="85"/>
    </row>
    <row r="1303" spans="1:39" hidden="1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189"/>
        <v>-0.1</v>
      </c>
      <c r="X1303" s="18">
        <f t="shared" si="190"/>
        <v>0</v>
      </c>
      <c r="Y1303" s="13">
        <f t="shared" si="192"/>
        <v>0</v>
      </c>
      <c r="Z1303" s="14">
        <v>0</v>
      </c>
      <c r="AA1303" s="4">
        <v>0</v>
      </c>
      <c r="AB1303" s="4">
        <f t="shared" si="193"/>
        <v>0</v>
      </c>
      <c r="AC1303" s="6">
        <f t="shared" si="194"/>
        <v>0</v>
      </c>
      <c r="AD1303" s="6">
        <f t="shared" si="191"/>
        <v>0</v>
      </c>
      <c r="AE1303" s="2">
        <v>7.0000000000000007E-2</v>
      </c>
      <c r="AF1303" s="5">
        <f t="shared" si="195"/>
        <v>0</v>
      </c>
      <c r="AG1303" s="14">
        <v>0</v>
      </c>
      <c r="AH1303" s="19">
        <f t="shared" si="197"/>
        <v>0</v>
      </c>
      <c r="AJ1303" s="126" t="e">
        <v>#N/A</v>
      </c>
      <c r="AK1303" s="80">
        <f t="shared" si="196"/>
        <v>0</v>
      </c>
      <c r="AM1303" s="85"/>
    </row>
    <row r="1304" spans="1:39" hidden="1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198">T1304+U1304-V1304</f>
        <v>569024.13454000012</v>
      </c>
      <c r="X1304" s="18">
        <f t="shared" si="190"/>
        <v>0</v>
      </c>
      <c r="Y1304" s="13">
        <f t="shared" si="192"/>
        <v>0</v>
      </c>
      <c r="Z1304" s="14">
        <v>0</v>
      </c>
      <c r="AA1304" s="4">
        <v>0</v>
      </c>
      <c r="AB1304" s="4">
        <f t="shared" si="193"/>
        <v>0</v>
      </c>
      <c r="AC1304" s="6">
        <f t="shared" si="194"/>
        <v>0</v>
      </c>
      <c r="AD1304" s="6">
        <f t="shared" si="191"/>
        <v>0</v>
      </c>
      <c r="AE1304" s="2">
        <v>0.12</v>
      </c>
      <c r="AF1304" s="5">
        <f t="shared" si="195"/>
        <v>0</v>
      </c>
      <c r="AG1304" s="14">
        <v>0</v>
      </c>
      <c r="AH1304" s="19">
        <f t="shared" si="197"/>
        <v>0</v>
      </c>
      <c r="AJ1304" s="126" t="e">
        <v>#N/A</v>
      </c>
      <c r="AK1304" s="80">
        <f t="shared" si="196"/>
        <v>0</v>
      </c>
      <c r="AM1304" s="85"/>
    </row>
    <row r="1305" spans="1:39" hidden="1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198"/>
        <v>-95730.62</v>
      </c>
      <c r="X1305" s="18">
        <f t="shared" si="190"/>
        <v>0</v>
      </c>
      <c r="Y1305" s="13">
        <f t="shared" si="192"/>
        <v>0</v>
      </c>
      <c r="Z1305" s="14">
        <v>0</v>
      </c>
      <c r="AA1305" s="4">
        <v>0</v>
      </c>
      <c r="AB1305" s="4">
        <f t="shared" si="193"/>
        <v>0</v>
      </c>
      <c r="AC1305" s="6">
        <f t="shared" si="194"/>
        <v>0</v>
      </c>
      <c r="AD1305" s="6">
        <f t="shared" si="191"/>
        <v>0</v>
      </c>
      <c r="AE1305" s="2">
        <v>7.0000000000000007E-2</v>
      </c>
      <c r="AF1305" s="5">
        <f t="shared" si="195"/>
        <v>0</v>
      </c>
      <c r="AG1305" s="14">
        <v>0</v>
      </c>
      <c r="AH1305" s="19">
        <f t="shared" si="197"/>
        <v>0</v>
      </c>
      <c r="AJ1305" s="126" t="e">
        <v>#N/A</v>
      </c>
      <c r="AK1305" s="80">
        <f t="shared" si="196"/>
        <v>0</v>
      </c>
      <c r="AM1305" s="85"/>
    </row>
    <row r="1306" spans="1:39" hidden="1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198"/>
        <v>-69520.026129999998</v>
      </c>
      <c r="X1306" s="18">
        <f t="shared" si="190"/>
        <v>0</v>
      </c>
      <c r="Y1306" s="13">
        <f t="shared" si="192"/>
        <v>0</v>
      </c>
      <c r="Z1306" s="14">
        <v>0</v>
      </c>
      <c r="AA1306" s="4">
        <v>0</v>
      </c>
      <c r="AB1306" s="4">
        <f t="shared" si="193"/>
        <v>0</v>
      </c>
      <c r="AC1306" s="6">
        <f t="shared" si="194"/>
        <v>0</v>
      </c>
      <c r="AD1306" s="6">
        <f t="shared" si="191"/>
        <v>0</v>
      </c>
      <c r="AE1306" s="2">
        <v>0.12</v>
      </c>
      <c r="AF1306" s="5">
        <f t="shared" si="195"/>
        <v>0</v>
      </c>
      <c r="AG1306" s="14">
        <v>0</v>
      </c>
      <c r="AH1306" s="19">
        <f t="shared" si="197"/>
        <v>0</v>
      </c>
      <c r="AJ1306" s="126" t="e">
        <v>#N/A</v>
      </c>
      <c r="AK1306" s="80">
        <f t="shared" si="196"/>
        <v>0</v>
      </c>
      <c r="AM1306" s="85"/>
    </row>
    <row r="1307" spans="1:39" hidden="1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198"/>
        <v>95503.372560000047</v>
      </c>
      <c r="X1307" s="18">
        <f t="shared" si="190"/>
        <v>1345.2380952380952</v>
      </c>
      <c r="Y1307" s="13">
        <f t="shared" si="192"/>
        <v>499.21379809770872</v>
      </c>
      <c r="Z1307" s="14">
        <v>0</v>
      </c>
      <c r="AA1307" s="4">
        <v>0</v>
      </c>
      <c r="AB1307" s="4">
        <f t="shared" si="193"/>
        <v>1345.2380952380952</v>
      </c>
      <c r="AC1307" s="6">
        <f t="shared" si="194"/>
        <v>67.261904761904816</v>
      </c>
      <c r="AD1307" s="6">
        <f t="shared" si="191"/>
        <v>846.02429714038647</v>
      </c>
      <c r="AE1307" s="2">
        <v>7.0000000000000007E-2</v>
      </c>
      <c r="AF1307" s="5">
        <f t="shared" si="195"/>
        <v>59.221700799827062</v>
      </c>
      <c r="AG1307" s="14">
        <v>0</v>
      </c>
      <c r="AH1307" s="19">
        <f t="shared" si="197"/>
        <v>1412.5</v>
      </c>
      <c r="AJ1307" s="126" t="e">
        <v>#N/A</v>
      </c>
      <c r="AK1307" s="80">
        <f t="shared" si="196"/>
        <v>0</v>
      </c>
      <c r="AM1307" s="85"/>
    </row>
    <row r="1308" spans="1:39" hidden="1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198"/>
        <v>13516.5</v>
      </c>
      <c r="X1308" s="18">
        <f t="shared" si="190"/>
        <v>34124.199999999997</v>
      </c>
      <c r="Y1308" s="13">
        <f t="shared" si="192"/>
        <v>13685.331100546566</v>
      </c>
      <c r="Z1308" s="14">
        <v>0</v>
      </c>
      <c r="AA1308" s="4">
        <v>0</v>
      </c>
      <c r="AB1308" s="4">
        <f t="shared" si="193"/>
        <v>34124.199999999997</v>
      </c>
      <c r="AC1308" s="6">
        <f t="shared" si="194"/>
        <v>0</v>
      </c>
      <c r="AD1308" s="6">
        <f t="shared" si="191"/>
        <v>20438.868899453431</v>
      </c>
      <c r="AE1308" s="2">
        <v>7.0000000000000007E-2</v>
      </c>
      <c r="AF1308" s="5">
        <f t="shared" si="195"/>
        <v>1430.7208229617404</v>
      </c>
      <c r="AG1308" s="14">
        <v>0</v>
      </c>
      <c r="AH1308" s="19">
        <f t="shared" si="197"/>
        <v>34124.199999999997</v>
      </c>
      <c r="AJ1308" s="126" t="e">
        <v>#N/A</v>
      </c>
      <c r="AK1308" s="80">
        <f t="shared" si="196"/>
        <v>0</v>
      </c>
      <c r="AM1308" s="85"/>
    </row>
    <row r="1309" spans="1:39" hidden="1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198"/>
        <v>0</v>
      </c>
      <c r="X1309" s="18">
        <f t="shared" si="190"/>
        <v>0</v>
      </c>
      <c r="Y1309" s="13">
        <f t="shared" si="192"/>
        <v>0</v>
      </c>
      <c r="Z1309" s="14">
        <v>0</v>
      </c>
      <c r="AA1309" s="4">
        <v>0</v>
      </c>
      <c r="AB1309" s="4">
        <f t="shared" si="193"/>
        <v>0</v>
      </c>
      <c r="AC1309" s="6">
        <f t="shared" si="194"/>
        <v>0</v>
      </c>
      <c r="AD1309" s="18">
        <f>V1309</f>
        <v>0</v>
      </c>
      <c r="AE1309" s="2">
        <v>0</v>
      </c>
      <c r="AF1309" s="5">
        <f t="shared" si="195"/>
        <v>0</v>
      </c>
      <c r="AG1309" s="14">
        <v>0</v>
      </c>
      <c r="AH1309" s="19">
        <f t="shared" si="197"/>
        <v>0</v>
      </c>
      <c r="AJ1309" s="126" t="e">
        <v>#N/A</v>
      </c>
      <c r="AK1309" s="80">
        <f t="shared" si="196"/>
        <v>0</v>
      </c>
      <c r="AM1309" s="85"/>
    </row>
    <row r="1310" spans="1:39" hidden="1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198"/>
        <v>-1.3</v>
      </c>
      <c r="X1310" s="18">
        <f t="shared" si="190"/>
        <v>0</v>
      </c>
      <c r="Y1310" s="13">
        <f t="shared" si="192"/>
        <v>0</v>
      </c>
      <c r="Z1310" s="14">
        <v>0</v>
      </c>
      <c r="AA1310" s="4">
        <v>0</v>
      </c>
      <c r="AB1310" s="4">
        <f t="shared" si="193"/>
        <v>0</v>
      </c>
      <c r="AC1310" s="6">
        <f t="shared" si="194"/>
        <v>0</v>
      </c>
      <c r="AD1310" s="6">
        <f t="shared" ref="AD1310:AD1373" si="199">V1310*0.598955254612663</f>
        <v>0</v>
      </c>
      <c r="AE1310" s="2">
        <v>7.0000000000000007E-2</v>
      </c>
      <c r="AF1310" s="5">
        <f t="shared" si="195"/>
        <v>0</v>
      </c>
      <c r="AG1310" s="14">
        <v>0</v>
      </c>
      <c r="AH1310" s="19">
        <f t="shared" si="197"/>
        <v>0</v>
      </c>
      <c r="AJ1310" s="126" t="e">
        <v>#N/A</v>
      </c>
      <c r="AK1310" s="80">
        <f t="shared" si="196"/>
        <v>0</v>
      </c>
      <c r="AM1310" s="85"/>
    </row>
    <row r="1311" spans="1:39" hidden="1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190"/>
        <v>0.8</v>
      </c>
      <c r="Y1311" s="13">
        <f t="shared" si="192"/>
        <v>0.32083579630986964</v>
      </c>
      <c r="Z1311" s="14">
        <v>0</v>
      </c>
      <c r="AA1311" s="4">
        <v>0</v>
      </c>
      <c r="AB1311" s="4">
        <f t="shared" si="193"/>
        <v>0.8</v>
      </c>
      <c r="AC1311" s="6">
        <f t="shared" si="194"/>
        <v>0</v>
      </c>
      <c r="AD1311" s="6">
        <f t="shared" si="199"/>
        <v>0.47916420369013041</v>
      </c>
      <c r="AE1311" s="2">
        <v>0.12</v>
      </c>
      <c r="AF1311" s="5">
        <f t="shared" si="195"/>
        <v>5.7499704442815644E-2</v>
      </c>
      <c r="AG1311" s="14">
        <v>0</v>
      </c>
      <c r="AH1311" s="19">
        <f t="shared" si="197"/>
        <v>0.8</v>
      </c>
      <c r="AJ1311" s="126" t="e">
        <v>#N/A</v>
      </c>
      <c r="AK1311" s="80">
        <f t="shared" si="196"/>
        <v>0</v>
      </c>
      <c r="AM1311" s="85"/>
    </row>
    <row r="1312" spans="1:39" hidden="1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198"/>
        <v>-42.80000000003929</v>
      </c>
      <c r="X1312" s="18">
        <f t="shared" si="190"/>
        <v>0</v>
      </c>
      <c r="Y1312" s="13">
        <f t="shared" si="192"/>
        <v>0</v>
      </c>
      <c r="Z1312" s="14">
        <v>0</v>
      </c>
      <c r="AA1312" s="4">
        <v>0</v>
      </c>
      <c r="AB1312" s="4">
        <f t="shared" si="193"/>
        <v>0</v>
      </c>
      <c r="AC1312" s="6">
        <f t="shared" si="194"/>
        <v>0</v>
      </c>
      <c r="AD1312" s="6">
        <f t="shared" si="199"/>
        <v>0</v>
      </c>
      <c r="AE1312" s="2">
        <v>7.0000000000000007E-2</v>
      </c>
      <c r="AF1312" s="5">
        <f t="shared" si="195"/>
        <v>0</v>
      </c>
      <c r="AG1312" s="14">
        <v>0</v>
      </c>
      <c r="AH1312" s="19">
        <f t="shared" si="197"/>
        <v>0</v>
      </c>
      <c r="AJ1312" s="126" t="e">
        <v>#N/A</v>
      </c>
      <c r="AK1312" s="80">
        <f t="shared" si="196"/>
        <v>0</v>
      </c>
      <c r="AM1312" s="85"/>
    </row>
    <row r="1313" spans="1:39" hidden="1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198"/>
        <v>-117.30000000010477</v>
      </c>
      <c r="X1313" s="18">
        <f t="shared" si="190"/>
        <v>0</v>
      </c>
      <c r="Y1313" s="13">
        <f t="shared" si="192"/>
        <v>0</v>
      </c>
      <c r="Z1313" s="14">
        <v>0</v>
      </c>
      <c r="AA1313" s="4">
        <v>0</v>
      </c>
      <c r="AB1313" s="4">
        <f t="shared" si="193"/>
        <v>0</v>
      </c>
      <c r="AC1313" s="6">
        <f t="shared" si="194"/>
        <v>0</v>
      </c>
      <c r="AD1313" s="6">
        <f t="shared" si="199"/>
        <v>0</v>
      </c>
      <c r="AE1313" s="2">
        <v>7.0000000000000007E-2</v>
      </c>
      <c r="AF1313" s="5">
        <f t="shared" si="195"/>
        <v>0</v>
      </c>
      <c r="AG1313" s="14">
        <v>0</v>
      </c>
      <c r="AH1313" s="19">
        <f t="shared" si="197"/>
        <v>0</v>
      </c>
      <c r="AJ1313" s="126" t="e">
        <v>#N/A</v>
      </c>
      <c r="AK1313" s="80">
        <f t="shared" si="196"/>
        <v>0</v>
      </c>
      <c r="AM1313" s="85"/>
    </row>
    <row r="1314" spans="1:39" hidden="1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198"/>
        <v>518666.41804000008</v>
      </c>
      <c r="X1314" s="18">
        <f t="shared" si="190"/>
        <v>0.75271698113207541</v>
      </c>
      <c r="Y1314" s="13">
        <f t="shared" si="192"/>
        <v>0.27482256258172388</v>
      </c>
      <c r="Z1314" s="14">
        <v>0</v>
      </c>
      <c r="AA1314" s="4">
        <v>0</v>
      </c>
      <c r="AB1314" s="4">
        <f t="shared" si="193"/>
        <v>0.75271698113207541</v>
      </c>
      <c r="AC1314" s="6">
        <f t="shared" si="194"/>
        <v>4.516301886792462E-2</v>
      </c>
      <c r="AD1314" s="6">
        <f t="shared" si="199"/>
        <v>0.47789441855035153</v>
      </c>
      <c r="AE1314" s="2">
        <v>0.12</v>
      </c>
      <c r="AF1314" s="5">
        <f t="shared" si="195"/>
        <v>5.734733022604218E-2</v>
      </c>
      <c r="AG1314" s="14">
        <v>0</v>
      </c>
      <c r="AH1314" s="19">
        <f t="shared" si="197"/>
        <v>0.79788000000000003</v>
      </c>
      <c r="AJ1314" s="126" t="e">
        <v>#N/A</v>
      </c>
      <c r="AK1314" s="80">
        <f t="shared" si="196"/>
        <v>0</v>
      </c>
      <c r="AM1314" s="85"/>
    </row>
    <row r="1315" spans="1:39" hidden="1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198"/>
        <v>805462.72551999986</v>
      </c>
      <c r="X1315" s="18">
        <f t="shared" si="190"/>
        <v>9.432075471698112E-2</v>
      </c>
      <c r="Y1315" s="13">
        <f t="shared" si="192"/>
        <v>3.4437208360807076E-2</v>
      </c>
      <c r="Z1315" s="14">
        <v>0</v>
      </c>
      <c r="AA1315" s="4">
        <v>0</v>
      </c>
      <c r="AB1315" s="4">
        <f t="shared" si="193"/>
        <v>9.432075471698112E-2</v>
      </c>
      <c r="AC1315" s="6">
        <f t="shared" si="194"/>
        <v>5.6592452830188794E-3</v>
      </c>
      <c r="AD1315" s="6">
        <f t="shared" si="199"/>
        <v>5.9883546356174044E-2</v>
      </c>
      <c r="AE1315" s="2">
        <v>0.12</v>
      </c>
      <c r="AF1315" s="5">
        <f t="shared" si="195"/>
        <v>7.1860255627408847E-3</v>
      </c>
      <c r="AG1315" s="14">
        <v>0</v>
      </c>
      <c r="AH1315" s="19">
        <f t="shared" si="197"/>
        <v>9.9979999999999999E-2</v>
      </c>
      <c r="AJ1315" s="126" t="e">
        <v>#N/A</v>
      </c>
      <c r="AK1315" s="80">
        <f t="shared" si="196"/>
        <v>0</v>
      </c>
      <c r="AM1315" s="85"/>
    </row>
    <row r="1316" spans="1:39" hidden="1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198"/>
        <v>579763.91428000014</v>
      </c>
      <c r="X1316" s="18">
        <f t="shared" si="190"/>
        <v>0.48153773584905663</v>
      </c>
      <c r="Y1316" s="13">
        <f t="shared" si="192"/>
        <v>0.17581300523711502</v>
      </c>
      <c r="Z1316" s="14">
        <v>0</v>
      </c>
      <c r="AA1316" s="4">
        <v>0</v>
      </c>
      <c r="AB1316" s="4">
        <f t="shared" si="193"/>
        <v>0.48153773584905663</v>
      </c>
      <c r="AC1316" s="6">
        <f t="shared" si="194"/>
        <v>2.8892264150943425E-2</v>
      </c>
      <c r="AD1316" s="6">
        <f t="shared" si="199"/>
        <v>0.30572473061194161</v>
      </c>
      <c r="AE1316" s="2">
        <v>0.12</v>
      </c>
      <c r="AF1316" s="5">
        <f t="shared" si="195"/>
        <v>3.6686967673432991E-2</v>
      </c>
      <c r="AG1316" s="14">
        <v>0</v>
      </c>
      <c r="AH1316" s="19">
        <f t="shared" si="197"/>
        <v>0.51043000000000005</v>
      </c>
      <c r="AJ1316" s="126" t="e">
        <v>#N/A</v>
      </c>
      <c r="AK1316" s="80">
        <f t="shared" si="196"/>
        <v>0</v>
      </c>
      <c r="AM1316" s="85"/>
    </row>
    <row r="1317" spans="1:39" hidden="1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198"/>
        <v>-0.7</v>
      </c>
      <c r="X1317" s="18">
        <f t="shared" si="190"/>
        <v>0</v>
      </c>
      <c r="Y1317" s="13">
        <f t="shared" si="192"/>
        <v>0</v>
      </c>
      <c r="Z1317" s="14">
        <v>0</v>
      </c>
      <c r="AA1317" s="4">
        <v>0</v>
      </c>
      <c r="AB1317" s="4">
        <f t="shared" si="193"/>
        <v>0</v>
      </c>
      <c r="AC1317" s="6">
        <f t="shared" si="194"/>
        <v>0</v>
      </c>
      <c r="AD1317" s="6">
        <f t="shared" si="199"/>
        <v>0</v>
      </c>
      <c r="AE1317" s="2">
        <v>7.0000000000000007E-2</v>
      </c>
      <c r="AF1317" s="5">
        <f t="shared" si="195"/>
        <v>0</v>
      </c>
      <c r="AG1317" s="14">
        <v>0</v>
      </c>
      <c r="AH1317" s="19">
        <f t="shared" si="197"/>
        <v>0</v>
      </c>
      <c r="AJ1317" s="126" t="e">
        <v>#N/A</v>
      </c>
      <c r="AK1317" s="80">
        <f t="shared" si="196"/>
        <v>0</v>
      </c>
      <c r="AM1317" s="85"/>
    </row>
    <row r="1318" spans="1:39" hidden="1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198"/>
        <v>5564.7349999999997</v>
      </c>
      <c r="X1318" s="18">
        <f t="shared" ref="X1318:X1381" si="200">IF(P1318="折扣",V1318*Q1318,IF(P1318="返现",V1318,V1318/(1+Q1318)))</f>
        <v>4183.2</v>
      </c>
      <c r="Y1318" s="13">
        <f t="shared" si="192"/>
        <v>1677.6503789043081</v>
      </c>
      <c r="Z1318" s="14">
        <v>0</v>
      </c>
      <c r="AA1318" s="4">
        <v>0</v>
      </c>
      <c r="AB1318" s="4">
        <f t="shared" si="193"/>
        <v>4183.2</v>
      </c>
      <c r="AC1318" s="6">
        <f t="shared" si="194"/>
        <v>0</v>
      </c>
      <c r="AD1318" s="6">
        <f t="shared" si="199"/>
        <v>2505.5496210956917</v>
      </c>
      <c r="AE1318" s="2">
        <v>7.0000000000000007E-2</v>
      </c>
      <c r="AF1318" s="5">
        <f t="shared" si="195"/>
        <v>175.38847347669844</v>
      </c>
      <c r="AG1318" s="14">
        <v>0</v>
      </c>
      <c r="AH1318" s="19">
        <f t="shared" si="197"/>
        <v>4183.2</v>
      </c>
      <c r="AJ1318" s="126" t="e">
        <v>#N/A</v>
      </c>
      <c r="AK1318" s="80">
        <f t="shared" si="196"/>
        <v>0</v>
      </c>
      <c r="AM1318" s="85"/>
    </row>
    <row r="1319" spans="1:39" hidden="1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198"/>
        <v>10439.330000000002</v>
      </c>
      <c r="X1319" s="18">
        <f t="shared" si="200"/>
        <v>0</v>
      </c>
      <c r="Y1319" s="13">
        <f t="shared" si="192"/>
        <v>0</v>
      </c>
      <c r="Z1319" s="14">
        <v>0</v>
      </c>
      <c r="AA1319" s="4">
        <v>0</v>
      </c>
      <c r="AB1319" s="4">
        <f t="shared" si="193"/>
        <v>0</v>
      </c>
      <c r="AC1319" s="6">
        <f t="shared" si="194"/>
        <v>0</v>
      </c>
      <c r="AD1319" s="6">
        <f t="shared" si="199"/>
        <v>0</v>
      </c>
      <c r="AE1319" s="2">
        <v>7.0000000000000007E-2</v>
      </c>
      <c r="AF1319" s="5">
        <f t="shared" si="195"/>
        <v>0</v>
      </c>
      <c r="AG1319" s="14">
        <v>0</v>
      </c>
      <c r="AH1319" s="19">
        <f t="shared" si="197"/>
        <v>0</v>
      </c>
      <c r="AJ1319" s="126" t="e">
        <v>#N/A</v>
      </c>
      <c r="AK1319" s="80">
        <f t="shared" si="196"/>
        <v>0</v>
      </c>
      <c r="AM1319" s="85"/>
    </row>
    <row r="1320" spans="1:39" hidden="1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198"/>
        <v>-0.4</v>
      </c>
      <c r="X1320" s="18">
        <f t="shared" si="200"/>
        <v>0</v>
      </c>
      <c r="Y1320" s="13">
        <f t="shared" si="192"/>
        <v>0</v>
      </c>
      <c r="Z1320" s="14">
        <v>0</v>
      </c>
      <c r="AA1320" s="4">
        <v>0</v>
      </c>
      <c r="AB1320" s="4">
        <f t="shared" si="193"/>
        <v>0</v>
      </c>
      <c r="AC1320" s="6">
        <f t="shared" si="194"/>
        <v>0</v>
      </c>
      <c r="AD1320" s="6">
        <f t="shared" si="199"/>
        <v>0</v>
      </c>
      <c r="AE1320" s="2">
        <v>7.0000000000000007E-2</v>
      </c>
      <c r="AF1320" s="5">
        <f t="shared" si="195"/>
        <v>0</v>
      </c>
      <c r="AG1320" s="14">
        <v>0</v>
      </c>
      <c r="AH1320" s="19">
        <f t="shared" si="197"/>
        <v>0</v>
      </c>
      <c r="AJ1320" s="126" t="e">
        <v>#N/A</v>
      </c>
      <c r="AK1320" s="80">
        <f t="shared" si="196"/>
        <v>0</v>
      </c>
      <c r="AM1320" s="85"/>
    </row>
    <row r="1321" spans="1:39" hidden="1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198"/>
        <v>-0.3</v>
      </c>
      <c r="X1321" s="18">
        <f t="shared" si="200"/>
        <v>0</v>
      </c>
      <c r="Y1321" s="13">
        <f t="shared" si="192"/>
        <v>0</v>
      </c>
      <c r="Z1321" s="14">
        <v>0</v>
      </c>
      <c r="AA1321" s="4">
        <v>0</v>
      </c>
      <c r="AB1321" s="4">
        <f t="shared" si="193"/>
        <v>0</v>
      </c>
      <c r="AC1321" s="6">
        <f t="shared" si="194"/>
        <v>0</v>
      </c>
      <c r="AD1321" s="6">
        <f t="shared" si="199"/>
        <v>0</v>
      </c>
      <c r="AE1321" s="2">
        <v>7.0000000000000007E-2</v>
      </c>
      <c r="AF1321" s="5">
        <f t="shared" si="195"/>
        <v>0</v>
      </c>
      <c r="AG1321" s="14">
        <v>0</v>
      </c>
      <c r="AH1321" s="19">
        <f t="shared" si="197"/>
        <v>0</v>
      </c>
      <c r="AJ1321" s="126" t="e">
        <v>#N/A</v>
      </c>
      <c r="AK1321" s="80">
        <f t="shared" si="196"/>
        <v>0</v>
      </c>
      <c r="AM1321" s="85"/>
    </row>
    <row r="1322" spans="1:39" hidden="1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198"/>
        <v>0</v>
      </c>
      <c r="X1322" s="18">
        <f t="shared" si="200"/>
        <v>25605.142196078439</v>
      </c>
      <c r="Y1322" s="13">
        <f t="shared" si="192"/>
        <v>9962.0810433639253</v>
      </c>
      <c r="Z1322" s="14">
        <v>0</v>
      </c>
      <c r="AA1322" s="4">
        <v>0</v>
      </c>
      <c r="AB1322" s="4">
        <f t="shared" si="193"/>
        <v>25605.142196078439</v>
      </c>
      <c r="AC1322" s="6">
        <f t="shared" si="194"/>
        <v>512.10284392156973</v>
      </c>
      <c r="AD1322" s="6">
        <f t="shared" si="199"/>
        <v>15643.061152714514</v>
      </c>
      <c r="AE1322" s="2">
        <v>7.0000000000000007E-2</v>
      </c>
      <c r="AF1322" s="5">
        <f t="shared" si="195"/>
        <v>1095.014280690016</v>
      </c>
      <c r="AG1322" s="14">
        <v>0</v>
      </c>
      <c r="AH1322" s="19">
        <f t="shared" si="197"/>
        <v>26117.245040000009</v>
      </c>
      <c r="AJ1322" s="126" t="e">
        <v>#N/A</v>
      </c>
      <c r="AK1322" s="80">
        <f t="shared" si="196"/>
        <v>0</v>
      </c>
      <c r="AM1322" s="85"/>
    </row>
    <row r="1323" spans="1:39" hidden="1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198"/>
        <v>0</v>
      </c>
      <c r="X1323" s="18">
        <f t="shared" si="200"/>
        <v>1098.9803921568976</v>
      </c>
      <c r="Y1323" s="13">
        <f t="shared" si="192"/>
        <v>427.57550994626558</v>
      </c>
      <c r="Z1323" s="14">
        <v>0</v>
      </c>
      <c r="AA1323" s="4">
        <v>0</v>
      </c>
      <c r="AB1323" s="4">
        <f t="shared" si="193"/>
        <v>1098.9803921568976</v>
      </c>
      <c r="AC1323" s="6">
        <f t="shared" si="194"/>
        <v>21.979607843137956</v>
      </c>
      <c r="AD1323" s="6">
        <f t="shared" si="199"/>
        <v>671.40488221063197</v>
      </c>
      <c r="AE1323" s="2">
        <v>7.0000000000000007E-2</v>
      </c>
      <c r="AF1323" s="5">
        <f t="shared" si="195"/>
        <v>46.998341754744246</v>
      </c>
      <c r="AG1323" s="14">
        <v>0</v>
      </c>
      <c r="AH1323" s="19">
        <f t="shared" si="197"/>
        <v>1120.9600000000355</v>
      </c>
      <c r="AJ1323" s="126" t="e">
        <v>#N/A</v>
      </c>
      <c r="AK1323" s="80">
        <f t="shared" si="196"/>
        <v>0</v>
      </c>
      <c r="AM1323" s="85"/>
    </row>
    <row r="1324" spans="1:39" hidden="1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198"/>
        <v>517.75000000003342</v>
      </c>
      <c r="X1324" s="18">
        <f t="shared" si="200"/>
        <v>1435.5686274509803</v>
      </c>
      <c r="Y1324" s="13">
        <f t="shared" si="192"/>
        <v>558.53042722675025</v>
      </c>
      <c r="Z1324" s="14">
        <v>0</v>
      </c>
      <c r="AA1324" s="4">
        <v>0</v>
      </c>
      <c r="AB1324" s="4">
        <f t="shared" si="193"/>
        <v>1435.5686274509803</v>
      </c>
      <c r="AC1324" s="6">
        <f t="shared" si="194"/>
        <v>28.711372549019643</v>
      </c>
      <c r="AD1324" s="6">
        <f t="shared" si="199"/>
        <v>877.03820022423008</v>
      </c>
      <c r="AE1324" s="2">
        <v>7.0000000000000007E-2</v>
      </c>
      <c r="AF1324" s="5">
        <f t="shared" si="195"/>
        <v>61.392674015696109</v>
      </c>
      <c r="AG1324" s="14">
        <v>0</v>
      </c>
      <c r="AH1324" s="19">
        <f t="shared" si="197"/>
        <v>1464.28</v>
      </c>
      <c r="AJ1324" s="126" t="e">
        <v>#N/A</v>
      </c>
      <c r="AK1324" s="80">
        <f t="shared" si="196"/>
        <v>0</v>
      </c>
      <c r="AM1324" s="85"/>
    </row>
    <row r="1325" spans="1:39" hidden="1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198"/>
        <v>0</v>
      </c>
      <c r="X1325" s="18">
        <f t="shared" si="200"/>
        <v>296.41176470588607</v>
      </c>
      <c r="Y1325" s="13">
        <f t="shared" si="192"/>
        <v>115.32363302629128</v>
      </c>
      <c r="Z1325" s="14">
        <v>0</v>
      </c>
      <c r="AA1325" s="4">
        <v>0</v>
      </c>
      <c r="AB1325" s="4">
        <f t="shared" si="193"/>
        <v>296.41176470588607</v>
      </c>
      <c r="AC1325" s="6">
        <f t="shared" si="194"/>
        <v>5.9282352941177123</v>
      </c>
      <c r="AD1325" s="6">
        <f t="shared" si="199"/>
        <v>181.0881316795948</v>
      </c>
      <c r="AE1325" s="2">
        <v>7.0000000000000007E-2</v>
      </c>
      <c r="AF1325" s="5">
        <f t="shared" si="195"/>
        <v>12.676169217571637</v>
      </c>
      <c r="AG1325" s="14">
        <v>0</v>
      </c>
      <c r="AH1325" s="19">
        <f t="shared" si="197"/>
        <v>302.34000000000378</v>
      </c>
      <c r="AJ1325" s="126" t="e">
        <v>#N/A</v>
      </c>
      <c r="AK1325" s="80">
        <f t="shared" si="196"/>
        <v>0</v>
      </c>
      <c r="AM1325" s="85"/>
    </row>
    <row r="1326" spans="1:39" hidden="1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198"/>
        <v>339.39999999999782</v>
      </c>
      <c r="X1326" s="18">
        <f t="shared" si="200"/>
        <v>9417.7000000000007</v>
      </c>
      <c r="Y1326" s="13">
        <f t="shared" si="192"/>
        <v>3776.9190986343247</v>
      </c>
      <c r="Z1326" s="14">
        <v>0</v>
      </c>
      <c r="AA1326" s="4">
        <v>0</v>
      </c>
      <c r="AB1326" s="4">
        <f t="shared" si="193"/>
        <v>9417.7000000000007</v>
      </c>
      <c r="AC1326" s="6">
        <f t="shared" si="194"/>
        <v>0</v>
      </c>
      <c r="AD1326" s="6">
        <f t="shared" si="199"/>
        <v>5640.7809013656761</v>
      </c>
      <c r="AE1326" s="2">
        <v>7.0000000000000007E-2</v>
      </c>
      <c r="AF1326" s="5">
        <f t="shared" si="195"/>
        <v>394.85466309559735</v>
      </c>
      <c r="AG1326" s="14">
        <v>0</v>
      </c>
      <c r="AH1326" s="19">
        <f t="shared" si="197"/>
        <v>9417.7000000000007</v>
      </c>
      <c r="AJ1326" s="126" t="e">
        <v>#N/A</v>
      </c>
      <c r="AK1326" s="80">
        <f t="shared" si="196"/>
        <v>0</v>
      </c>
      <c r="AM1326" s="85"/>
    </row>
    <row r="1327" spans="1:39" hidden="1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198"/>
        <v>0</v>
      </c>
      <c r="X1327" s="18">
        <f t="shared" si="200"/>
        <v>11731.284313725471</v>
      </c>
      <c r="Y1327" s="13">
        <f t="shared" si="192"/>
        <v>4564.2396430032722</v>
      </c>
      <c r="Z1327" s="14">
        <v>0</v>
      </c>
      <c r="AA1327" s="4">
        <v>0</v>
      </c>
      <c r="AB1327" s="4">
        <f t="shared" si="193"/>
        <v>11731.284313725471</v>
      </c>
      <c r="AC1327" s="6">
        <f t="shared" si="194"/>
        <v>234.62568627451037</v>
      </c>
      <c r="AD1327" s="6">
        <f t="shared" si="199"/>
        <v>7167.044670722199</v>
      </c>
      <c r="AE1327" s="2">
        <v>7.0000000000000007E-2</v>
      </c>
      <c r="AF1327" s="5">
        <f t="shared" si="195"/>
        <v>501.69312695055396</v>
      </c>
      <c r="AG1327" s="14">
        <v>0</v>
      </c>
      <c r="AH1327" s="19">
        <f t="shared" si="197"/>
        <v>11965.909999999982</v>
      </c>
      <c r="AJ1327" s="126" t="e">
        <v>#N/A</v>
      </c>
      <c r="AK1327" s="80">
        <f t="shared" si="196"/>
        <v>0</v>
      </c>
      <c r="AM1327" s="85"/>
    </row>
    <row r="1328" spans="1:39" hidden="1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198"/>
        <v>0</v>
      </c>
      <c r="X1328" s="18">
        <f t="shared" si="200"/>
        <v>8618.0392156862745</v>
      </c>
      <c r="Y1328" s="13">
        <f t="shared" si="192"/>
        <v>3352.9829455391218</v>
      </c>
      <c r="Z1328" s="14">
        <v>0</v>
      </c>
      <c r="AA1328" s="4">
        <v>0</v>
      </c>
      <c r="AB1328" s="4">
        <f t="shared" si="193"/>
        <v>8618.0392156862745</v>
      </c>
      <c r="AC1328" s="6">
        <f t="shared" si="194"/>
        <v>172.36078431372516</v>
      </c>
      <c r="AD1328" s="6">
        <f t="shared" si="199"/>
        <v>5265.0562701471526</v>
      </c>
      <c r="AE1328" s="2">
        <v>7.0000000000000007E-2</v>
      </c>
      <c r="AF1328" s="5">
        <f t="shared" si="195"/>
        <v>368.5539389103007</v>
      </c>
      <c r="AG1328" s="14">
        <v>0</v>
      </c>
      <c r="AH1328" s="19">
        <f t="shared" si="197"/>
        <v>8790.4</v>
      </c>
      <c r="AJ1328" s="126" t="e">
        <v>#N/A</v>
      </c>
      <c r="AK1328" s="80">
        <f t="shared" si="196"/>
        <v>0</v>
      </c>
      <c r="AM1328" s="85"/>
    </row>
    <row r="1329" spans="1:39" hidden="1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198"/>
        <v>0</v>
      </c>
      <c r="X1329" s="18">
        <f t="shared" si="200"/>
        <v>4891.6666666666824</v>
      </c>
      <c r="Y1329" s="13">
        <f t="shared" si="192"/>
        <v>1903.1794237767908</v>
      </c>
      <c r="Z1329" s="14">
        <v>0</v>
      </c>
      <c r="AA1329" s="4">
        <v>0</v>
      </c>
      <c r="AB1329" s="4">
        <f t="shared" si="193"/>
        <v>4891.6666666666824</v>
      </c>
      <c r="AC1329" s="6">
        <f t="shared" si="194"/>
        <v>97.83333333333394</v>
      </c>
      <c r="AD1329" s="6">
        <f t="shared" si="199"/>
        <v>2988.4872428898916</v>
      </c>
      <c r="AE1329" s="2">
        <v>7.0000000000000007E-2</v>
      </c>
      <c r="AF1329" s="5">
        <f t="shared" si="195"/>
        <v>209.19410700229244</v>
      </c>
      <c r="AG1329" s="14">
        <v>0</v>
      </c>
      <c r="AH1329" s="19">
        <f t="shared" si="197"/>
        <v>4989.5000000000164</v>
      </c>
      <c r="AJ1329" s="126" t="e">
        <v>#N/A</v>
      </c>
      <c r="AK1329" s="80">
        <f t="shared" si="196"/>
        <v>0</v>
      </c>
      <c r="AM1329" s="85"/>
    </row>
    <row r="1330" spans="1:39" hidden="1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198"/>
        <v>10006.083050000005</v>
      </c>
      <c r="X1330" s="18">
        <f t="shared" si="200"/>
        <v>7687.7149326923072</v>
      </c>
      <c r="Y1330" s="13">
        <f t="shared" si="192"/>
        <v>2898.9337875960027</v>
      </c>
      <c r="Z1330" s="14">
        <v>0</v>
      </c>
      <c r="AA1330" s="4">
        <v>0</v>
      </c>
      <c r="AB1330" s="4">
        <f t="shared" si="193"/>
        <v>7687.7149326923072</v>
      </c>
      <c r="AC1330" s="6">
        <f t="shared" si="194"/>
        <v>307.50859730769298</v>
      </c>
      <c r="AD1330" s="6">
        <f t="shared" si="199"/>
        <v>4788.7811450963045</v>
      </c>
      <c r="AE1330" s="2">
        <v>0.12</v>
      </c>
      <c r="AF1330" s="5">
        <f t="shared" si="195"/>
        <v>574.65373741155656</v>
      </c>
      <c r="AG1330" s="14">
        <v>0</v>
      </c>
      <c r="AH1330" s="19">
        <f t="shared" si="197"/>
        <v>7995.2235300000002</v>
      </c>
      <c r="AJ1330" s="126" t="e">
        <v>#N/A</v>
      </c>
      <c r="AK1330" s="80">
        <f t="shared" si="196"/>
        <v>0</v>
      </c>
      <c r="AM1330" s="85"/>
    </row>
    <row r="1331" spans="1:39" hidden="1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198"/>
        <v>45488.899999999994</v>
      </c>
      <c r="X1331" s="18">
        <f t="shared" si="200"/>
        <v>102112.6</v>
      </c>
      <c r="Y1331" s="13">
        <f t="shared" si="192"/>
        <v>40951.721667838996</v>
      </c>
      <c r="Z1331" s="14">
        <v>0</v>
      </c>
      <c r="AA1331" s="4">
        <v>0</v>
      </c>
      <c r="AB1331" s="4">
        <f t="shared" si="193"/>
        <v>102112.6</v>
      </c>
      <c r="AC1331" s="6">
        <f t="shared" si="194"/>
        <v>0</v>
      </c>
      <c r="AD1331" s="6">
        <f t="shared" si="199"/>
        <v>61160.87833216101</v>
      </c>
      <c r="AE1331" s="2">
        <v>7.0000000000000007E-2</v>
      </c>
      <c r="AF1331" s="5">
        <f t="shared" si="195"/>
        <v>4281.2614832512709</v>
      </c>
      <c r="AG1331" s="14">
        <v>0</v>
      </c>
      <c r="AH1331" s="19">
        <f t="shared" si="197"/>
        <v>102112.6</v>
      </c>
      <c r="AJ1331" s="126" t="e">
        <v>#N/A</v>
      </c>
      <c r="AK1331" s="80">
        <f t="shared" si="196"/>
        <v>0</v>
      </c>
      <c r="AM1331" s="85"/>
    </row>
    <row r="1332" spans="1:39" hidden="1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198"/>
        <v>0</v>
      </c>
      <c r="X1332" s="18">
        <f t="shared" si="200"/>
        <v>8770.6078431372589</v>
      </c>
      <c r="Y1332" s="13">
        <f t="shared" si="19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194"/>
        <v>175.41215686274518</v>
      </c>
      <c r="AD1332" s="6">
        <f t="shared" si="199"/>
        <v>5358.2656868699778</v>
      </c>
      <c r="AE1332" s="2">
        <v>7.0000000000000007E-2</v>
      </c>
      <c r="AF1332" s="5">
        <f t="shared" si="195"/>
        <v>375.07859808089847</v>
      </c>
      <c r="AG1332" s="14">
        <v>0</v>
      </c>
      <c r="AH1332" s="19">
        <f t="shared" si="197"/>
        <v>8946.0200000000041</v>
      </c>
      <c r="AJ1332" s="126" t="s">
        <v>4225</v>
      </c>
      <c r="AK1332" s="80">
        <f t="shared" si="196"/>
        <v>0</v>
      </c>
      <c r="AM1332" s="85"/>
    </row>
    <row r="1333" spans="1:39" hidden="1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198"/>
        <v>-0.8999999999888928</v>
      </c>
      <c r="X1333" s="18">
        <f t="shared" si="200"/>
        <v>0</v>
      </c>
      <c r="Y1333" s="13">
        <f t="shared" si="192"/>
        <v>0</v>
      </c>
      <c r="Z1333" s="14">
        <v>0</v>
      </c>
      <c r="AA1333" s="4">
        <v>0</v>
      </c>
      <c r="AB1333" s="4">
        <f t="shared" si="193"/>
        <v>0</v>
      </c>
      <c r="AC1333" s="6">
        <f t="shared" si="194"/>
        <v>0</v>
      </c>
      <c r="AD1333" s="6">
        <f t="shared" si="199"/>
        <v>0</v>
      </c>
      <c r="AE1333" s="2">
        <v>7.0000000000000007E-2</v>
      </c>
      <c r="AF1333" s="5">
        <f t="shared" si="195"/>
        <v>0</v>
      </c>
      <c r="AG1333" s="14">
        <v>0</v>
      </c>
      <c r="AH1333" s="19">
        <f t="shared" si="197"/>
        <v>0</v>
      </c>
      <c r="AJ1333" s="126" t="e">
        <v>#N/A</v>
      </c>
      <c r="AK1333" s="80">
        <f t="shared" si="196"/>
        <v>0</v>
      </c>
      <c r="AM1333" s="85"/>
    </row>
    <row r="1334" spans="1:39" hidden="1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198"/>
        <v>-1</v>
      </c>
      <c r="X1334" s="18">
        <f t="shared" si="200"/>
        <v>0</v>
      </c>
      <c r="Y1334" s="13">
        <f t="shared" si="192"/>
        <v>0</v>
      </c>
      <c r="Z1334" s="14">
        <v>0</v>
      </c>
      <c r="AA1334" s="4">
        <v>0</v>
      </c>
      <c r="AB1334" s="4"/>
      <c r="AC1334" s="6">
        <f t="shared" si="194"/>
        <v>0</v>
      </c>
      <c r="AD1334" s="6">
        <f t="shared" si="199"/>
        <v>0</v>
      </c>
      <c r="AE1334" s="2">
        <v>7.0000000000000007E-2</v>
      </c>
      <c r="AF1334" s="5">
        <f t="shared" si="195"/>
        <v>0</v>
      </c>
      <c r="AG1334" s="14">
        <v>0</v>
      </c>
      <c r="AH1334" s="19">
        <f t="shared" si="197"/>
        <v>0</v>
      </c>
      <c r="AJ1334" s="126">
        <v>81</v>
      </c>
      <c r="AK1334" s="80">
        <f t="shared" si="196"/>
        <v>0</v>
      </c>
      <c r="AM1334" s="85"/>
    </row>
    <row r="1335" spans="1:39" hidden="1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198"/>
        <v>-1.26</v>
      </c>
      <c r="X1335" s="18">
        <f t="shared" si="200"/>
        <v>0</v>
      </c>
      <c r="Y1335" s="13">
        <f t="shared" si="192"/>
        <v>0</v>
      </c>
      <c r="Z1335" s="14">
        <v>0</v>
      </c>
      <c r="AA1335" s="4">
        <v>0</v>
      </c>
      <c r="AB1335" s="4">
        <f t="shared" si="193"/>
        <v>0</v>
      </c>
      <c r="AC1335" s="6">
        <f t="shared" si="194"/>
        <v>0</v>
      </c>
      <c r="AD1335" s="6">
        <f t="shared" si="199"/>
        <v>0</v>
      </c>
      <c r="AE1335" s="2">
        <v>7.0000000000000007E-2</v>
      </c>
      <c r="AF1335" s="5">
        <f t="shared" si="195"/>
        <v>0</v>
      </c>
      <c r="AG1335" s="14">
        <v>0</v>
      </c>
      <c r="AH1335" s="19">
        <f t="shared" si="197"/>
        <v>0</v>
      </c>
      <c r="AJ1335" s="126" t="e">
        <v>#N/A</v>
      </c>
      <c r="AK1335" s="80">
        <f t="shared" si="196"/>
        <v>0</v>
      </c>
      <c r="AM1335" s="85"/>
    </row>
    <row r="1336" spans="1:39" hidden="1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198"/>
        <v>0</v>
      </c>
      <c r="X1336" s="18">
        <f t="shared" si="200"/>
        <v>40334.990196078434</v>
      </c>
      <c r="Y1336" s="13">
        <f t="shared" si="192"/>
        <v>15692.958786933181</v>
      </c>
      <c r="Z1336" s="14">
        <v>0</v>
      </c>
      <c r="AA1336" s="4">
        <v>0</v>
      </c>
      <c r="AB1336" s="4">
        <f t="shared" si="193"/>
        <v>40334.990196078434</v>
      </c>
      <c r="AC1336" s="6">
        <f t="shared" si="194"/>
        <v>806.69980392156867</v>
      </c>
      <c r="AD1336" s="6">
        <f t="shared" si="199"/>
        <v>24642.031409145253</v>
      </c>
      <c r="AE1336" s="2">
        <v>7.0000000000000007E-2</v>
      </c>
      <c r="AF1336" s="5">
        <f t="shared" si="195"/>
        <v>1724.9421986401678</v>
      </c>
      <c r="AG1336" s="14">
        <v>0</v>
      </c>
      <c r="AH1336" s="19">
        <f t="shared" si="197"/>
        <v>41141.69</v>
      </c>
      <c r="AJ1336" s="126" t="e">
        <v>#N/A</v>
      </c>
      <c r="AK1336" s="80">
        <f t="shared" si="196"/>
        <v>0</v>
      </c>
      <c r="AM1336" s="85"/>
    </row>
    <row r="1337" spans="1:39" hidden="1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198"/>
        <v>16064.199999999997</v>
      </c>
      <c r="X1337" s="18">
        <f t="shared" si="200"/>
        <v>0</v>
      </c>
      <c r="Y1337" s="13">
        <f t="shared" si="192"/>
        <v>0</v>
      </c>
      <c r="Z1337" s="14">
        <v>0</v>
      </c>
      <c r="AA1337" s="4">
        <v>0</v>
      </c>
      <c r="AB1337" s="4">
        <f t="shared" si="193"/>
        <v>0</v>
      </c>
      <c r="AC1337" s="6">
        <f t="shared" si="194"/>
        <v>0</v>
      </c>
      <c r="AD1337" s="6">
        <f t="shared" si="199"/>
        <v>0</v>
      </c>
      <c r="AE1337" s="2">
        <v>7.0000000000000007E-2</v>
      </c>
      <c r="AF1337" s="5">
        <f t="shared" si="195"/>
        <v>0</v>
      </c>
      <c r="AG1337" s="14">
        <v>0</v>
      </c>
      <c r="AH1337" s="19">
        <f t="shared" si="197"/>
        <v>0</v>
      </c>
      <c r="AJ1337" s="126" t="e">
        <v>#N/A</v>
      </c>
      <c r="AK1337" s="80">
        <f t="shared" si="196"/>
        <v>0</v>
      </c>
      <c r="AM1337" s="85"/>
    </row>
    <row r="1338" spans="1:39" hidden="1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198"/>
        <v>0</v>
      </c>
      <c r="X1338" s="18">
        <f t="shared" si="200"/>
        <v>8876.2999999999993</v>
      </c>
      <c r="Y1338" s="13">
        <f t="shared" si="192"/>
        <v>3559.793473481619</v>
      </c>
      <c r="Z1338" s="14">
        <v>0</v>
      </c>
      <c r="AA1338" s="4">
        <v>0</v>
      </c>
      <c r="AB1338" s="4">
        <f t="shared" si="193"/>
        <v>8876.2999999999993</v>
      </c>
      <c r="AC1338" s="6">
        <f t="shared" si="194"/>
        <v>0</v>
      </c>
      <c r="AD1338" s="6">
        <f t="shared" si="199"/>
        <v>5316.5065265183803</v>
      </c>
      <c r="AE1338" s="2">
        <v>7.0000000000000007E-2</v>
      </c>
      <c r="AF1338" s="5">
        <f t="shared" si="195"/>
        <v>372.15545685628666</v>
      </c>
      <c r="AG1338" s="14">
        <v>0</v>
      </c>
      <c r="AH1338" s="19">
        <f t="shared" si="197"/>
        <v>8876.2999999999993</v>
      </c>
      <c r="AJ1338" s="126" t="e">
        <v>#N/A</v>
      </c>
      <c r="AK1338" s="80">
        <f t="shared" si="196"/>
        <v>0</v>
      </c>
      <c r="AM1338" s="85"/>
    </row>
    <row r="1339" spans="1:39" hidden="1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198"/>
        <v>0</v>
      </c>
      <c r="X1339" s="18">
        <f t="shared" si="200"/>
        <v>8267.2799999999988</v>
      </c>
      <c r="Y1339" s="13">
        <f t="shared" si="192"/>
        <v>3315.5492026458232</v>
      </c>
      <c r="Z1339" s="14">
        <v>0</v>
      </c>
      <c r="AA1339" s="4">
        <v>0</v>
      </c>
      <c r="AB1339" s="4">
        <f t="shared" si="193"/>
        <v>8267.2799999999988</v>
      </c>
      <c r="AC1339" s="6">
        <f t="shared" si="194"/>
        <v>0</v>
      </c>
      <c r="AD1339" s="6">
        <f t="shared" si="199"/>
        <v>4951.7307973541756</v>
      </c>
      <c r="AE1339" s="2">
        <v>7.0000000000000007E-2</v>
      </c>
      <c r="AF1339" s="5">
        <f t="shared" si="195"/>
        <v>346.6211558147923</v>
      </c>
      <c r="AG1339" s="14">
        <v>0</v>
      </c>
      <c r="AH1339" s="19">
        <f t="shared" si="197"/>
        <v>8267.2799999999988</v>
      </c>
      <c r="AJ1339" s="126" t="e">
        <v>#N/A</v>
      </c>
      <c r="AK1339" s="80">
        <f t="shared" si="196"/>
        <v>0</v>
      </c>
      <c r="AM1339" s="85"/>
    </row>
    <row r="1340" spans="1:39" hidden="1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198"/>
        <v>0</v>
      </c>
      <c r="X1340" s="18">
        <f t="shared" si="200"/>
        <v>18334.2</v>
      </c>
      <c r="Y1340" s="13">
        <f t="shared" si="192"/>
        <v>7352.8345708805155</v>
      </c>
      <c r="Z1340" s="14">
        <v>0</v>
      </c>
      <c r="AA1340" s="4">
        <v>0</v>
      </c>
      <c r="AB1340" s="4">
        <f t="shared" si="193"/>
        <v>18334.2</v>
      </c>
      <c r="AC1340" s="6">
        <f t="shared" si="194"/>
        <v>0</v>
      </c>
      <c r="AD1340" s="6">
        <f t="shared" si="199"/>
        <v>10981.365429119485</v>
      </c>
      <c r="AE1340" s="2">
        <v>7.0000000000000007E-2</v>
      </c>
      <c r="AF1340" s="5">
        <f t="shared" si="195"/>
        <v>768.69558003836403</v>
      </c>
      <c r="AG1340" s="14">
        <v>0</v>
      </c>
      <c r="AH1340" s="19">
        <f t="shared" si="197"/>
        <v>18334.2</v>
      </c>
      <c r="AJ1340" s="126" t="e">
        <v>#N/A</v>
      </c>
      <c r="AK1340" s="80">
        <f t="shared" si="196"/>
        <v>0</v>
      </c>
      <c r="AM1340" s="85"/>
    </row>
    <row r="1341" spans="1:39" hidden="1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198"/>
        <v>458.29000000000087</v>
      </c>
      <c r="X1341" s="18">
        <f t="shared" si="200"/>
        <v>19533.686274509804</v>
      </c>
      <c r="Y1341" s="13">
        <f t="shared" si="192"/>
        <v>7599.8861577154457</v>
      </c>
      <c r="Z1341" s="14">
        <v>0</v>
      </c>
      <c r="AA1341" s="4">
        <v>0</v>
      </c>
      <c r="AB1341" s="4">
        <f t="shared" si="193"/>
        <v>19533.686274509804</v>
      </c>
      <c r="AC1341" s="6">
        <f t="shared" si="194"/>
        <v>390.67372549019638</v>
      </c>
      <c r="AD1341" s="6">
        <f t="shared" si="199"/>
        <v>11933.800116794358</v>
      </c>
      <c r="AE1341" s="2">
        <v>7.0000000000000007E-2</v>
      </c>
      <c r="AF1341" s="5">
        <f t="shared" si="195"/>
        <v>835.3660081756052</v>
      </c>
      <c r="AG1341" s="14">
        <v>0</v>
      </c>
      <c r="AH1341" s="19">
        <f t="shared" si="197"/>
        <v>19924.36</v>
      </c>
      <c r="AJ1341" s="126" t="e">
        <v>#N/A</v>
      </c>
      <c r="AK1341" s="80">
        <f t="shared" si="196"/>
        <v>0</v>
      </c>
      <c r="AM1341" s="85"/>
    </row>
    <row r="1342" spans="1:39" hidden="1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198"/>
        <v>386</v>
      </c>
      <c r="X1342" s="18">
        <f t="shared" si="200"/>
        <v>2745.3921568627452</v>
      </c>
      <c r="Y1342" s="13">
        <f t="shared" si="192"/>
        <v>1068.1377573709049</v>
      </c>
      <c r="Z1342" s="14">
        <v>0</v>
      </c>
      <c r="AA1342" s="4">
        <v>0</v>
      </c>
      <c r="AB1342" s="4">
        <f t="shared" si="193"/>
        <v>2745.3921568627452</v>
      </c>
      <c r="AC1342" s="6">
        <f t="shared" si="194"/>
        <v>54.907843137254986</v>
      </c>
      <c r="AD1342" s="6">
        <f t="shared" si="199"/>
        <v>1677.2543994918403</v>
      </c>
      <c r="AE1342" s="2">
        <v>7.0000000000000007E-2</v>
      </c>
      <c r="AF1342" s="5">
        <f t="shared" si="195"/>
        <v>117.40780796442884</v>
      </c>
      <c r="AG1342" s="14">
        <v>0</v>
      </c>
      <c r="AH1342" s="19">
        <f t="shared" si="197"/>
        <v>2800.3</v>
      </c>
      <c r="AJ1342" s="126" t="e">
        <v>#N/A</v>
      </c>
      <c r="AK1342" s="80">
        <f t="shared" si="196"/>
        <v>0</v>
      </c>
      <c r="AM1342" s="85"/>
    </row>
    <row r="1343" spans="1:39" hidden="1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198"/>
        <v>0.99999999998544808</v>
      </c>
      <c r="X1343" s="18">
        <f t="shared" si="200"/>
        <v>0</v>
      </c>
      <c r="Y1343" s="13">
        <f t="shared" si="192"/>
        <v>0</v>
      </c>
      <c r="Z1343" s="14">
        <v>0</v>
      </c>
      <c r="AA1343" s="4">
        <v>0</v>
      </c>
      <c r="AB1343" s="4">
        <f t="shared" si="193"/>
        <v>0</v>
      </c>
      <c r="AC1343" s="6">
        <f t="shared" si="194"/>
        <v>0</v>
      </c>
      <c r="AD1343" s="6">
        <f t="shared" si="199"/>
        <v>0</v>
      </c>
      <c r="AE1343" s="2">
        <v>7.0000000000000007E-2</v>
      </c>
      <c r="AF1343" s="5">
        <f t="shared" si="195"/>
        <v>0</v>
      </c>
      <c r="AG1343" s="14">
        <v>0</v>
      </c>
      <c r="AH1343" s="19">
        <f t="shared" si="197"/>
        <v>0</v>
      </c>
      <c r="AJ1343" s="126" t="e">
        <v>#N/A</v>
      </c>
      <c r="AK1343" s="80">
        <f t="shared" si="196"/>
        <v>0</v>
      </c>
      <c r="AM1343" s="85"/>
    </row>
    <row r="1344" spans="1:39" hidden="1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198"/>
        <v>0</v>
      </c>
      <c r="X1344" s="18">
        <f t="shared" si="200"/>
        <v>12449.711538461563</v>
      </c>
      <c r="Y1344" s="13">
        <f t="shared" si="192"/>
        <v>4694.6185883131702</v>
      </c>
      <c r="Z1344" s="14">
        <v>0</v>
      </c>
      <c r="AA1344" s="4">
        <v>0</v>
      </c>
      <c r="AB1344" s="4">
        <f t="shared" si="193"/>
        <v>12449.711538461563</v>
      </c>
      <c r="AC1344" s="6">
        <f t="shared" si="194"/>
        <v>497.98846153846353</v>
      </c>
      <c r="AD1344" s="6">
        <f t="shared" si="199"/>
        <v>7755.0929501483924</v>
      </c>
      <c r="AE1344" s="2">
        <v>7.0000000000000007E-2</v>
      </c>
      <c r="AF1344" s="5">
        <f t="shared" si="195"/>
        <v>542.85650651038748</v>
      </c>
      <c r="AG1344" s="14">
        <v>0</v>
      </c>
      <c r="AH1344" s="19">
        <f t="shared" si="197"/>
        <v>12947.700000000026</v>
      </c>
      <c r="AJ1344" s="126" t="e">
        <v>#N/A</v>
      </c>
      <c r="AK1344" s="80">
        <f t="shared" si="196"/>
        <v>0</v>
      </c>
      <c r="AM1344" s="85"/>
    </row>
    <row r="1345" spans="1:39" hidden="1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198"/>
        <v>-1.3</v>
      </c>
      <c r="X1345" s="18">
        <f t="shared" si="200"/>
        <v>0</v>
      </c>
      <c r="Y1345" s="13">
        <f t="shared" si="192"/>
        <v>0</v>
      </c>
      <c r="Z1345" s="14">
        <v>0</v>
      </c>
      <c r="AA1345" s="4">
        <v>0</v>
      </c>
      <c r="AB1345" s="4">
        <f t="shared" si="193"/>
        <v>0</v>
      </c>
      <c r="AC1345" s="6">
        <f t="shared" si="194"/>
        <v>0</v>
      </c>
      <c r="AD1345" s="6">
        <f t="shared" si="199"/>
        <v>0</v>
      </c>
      <c r="AE1345" s="2">
        <v>7.0000000000000007E-2</v>
      </c>
      <c r="AF1345" s="5">
        <f t="shared" si="195"/>
        <v>0</v>
      </c>
      <c r="AG1345" s="14">
        <v>0</v>
      </c>
      <c r="AH1345" s="19">
        <f t="shared" si="197"/>
        <v>0</v>
      </c>
      <c r="AJ1345" s="126" t="e">
        <v>#N/A</v>
      </c>
      <c r="AK1345" s="80">
        <f t="shared" si="196"/>
        <v>0</v>
      </c>
      <c r="AM1345" s="85"/>
    </row>
    <row r="1346" spans="1:39" hidden="1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198"/>
        <v>7195.4000000000015</v>
      </c>
      <c r="X1346" s="18">
        <f t="shared" si="200"/>
        <v>12804.599999999999</v>
      </c>
      <c r="Y1346" s="13">
        <f t="shared" si="192"/>
        <v>5135.2175467866955</v>
      </c>
      <c r="Z1346" s="14">
        <v>0</v>
      </c>
      <c r="AA1346" s="4">
        <v>0</v>
      </c>
      <c r="AB1346" s="4">
        <f t="shared" si="193"/>
        <v>12804.599999999999</v>
      </c>
      <c r="AC1346" s="6">
        <f t="shared" si="194"/>
        <v>0</v>
      </c>
      <c r="AD1346" s="6">
        <f t="shared" si="199"/>
        <v>7669.3824532133031</v>
      </c>
      <c r="AE1346" s="2">
        <v>7.0000000000000007E-2</v>
      </c>
      <c r="AF1346" s="5">
        <f t="shared" si="195"/>
        <v>536.85677172493126</v>
      </c>
      <c r="AG1346" s="14">
        <v>0</v>
      </c>
      <c r="AH1346" s="19">
        <f t="shared" si="197"/>
        <v>12804.599999999999</v>
      </c>
      <c r="AJ1346" s="126" t="e">
        <v>#N/A</v>
      </c>
      <c r="AK1346" s="80">
        <f t="shared" si="196"/>
        <v>0</v>
      </c>
      <c r="AM1346" s="85"/>
    </row>
    <row r="1347" spans="1:39" hidden="1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198"/>
        <v>0</v>
      </c>
      <c r="X1347" s="18">
        <f t="shared" si="200"/>
        <v>8790.1960784313724</v>
      </c>
      <c r="Y1347" s="13">
        <f t="shared" ref="Y1347:Y1410" si="20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02">X1347+AA1347</f>
        <v>8790.1960784313724</v>
      </c>
      <c r="AC1347" s="6">
        <f t="shared" ref="AC1347:AC1410" si="203">IF(P1347="返现",X1347*Q1347,V1347-X1347)</f>
        <v>175.80392156862763</v>
      </c>
      <c r="AD1347" s="6">
        <f t="shared" si="199"/>
        <v>5370.2328128571362</v>
      </c>
      <c r="AE1347" s="2">
        <v>7.0000000000000007E-2</v>
      </c>
      <c r="AF1347" s="5">
        <f t="shared" ref="AF1347:AF1410" si="204">AD1347*AE1347</f>
        <v>375.91629689999957</v>
      </c>
      <c r="AG1347" s="14">
        <v>0</v>
      </c>
      <c r="AH1347" s="19">
        <f t="shared" si="197"/>
        <v>8966</v>
      </c>
      <c r="AJ1347" s="126" t="e">
        <v>#N/A</v>
      </c>
      <c r="AK1347" s="80">
        <f t="shared" ref="AK1347:AK1410" si="205">X1347+AA1347-AB1347</f>
        <v>0</v>
      </c>
      <c r="AM1347" s="85"/>
    </row>
    <row r="1348" spans="1:39" hidden="1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198"/>
        <v>234.00000000000182</v>
      </c>
      <c r="X1348" s="18">
        <f t="shared" si="200"/>
        <v>10458.155339805824</v>
      </c>
      <c r="Y1348" s="13">
        <f t="shared" si="201"/>
        <v>4006.26923264368</v>
      </c>
      <c r="Z1348" s="14">
        <v>0</v>
      </c>
      <c r="AA1348" s="4">
        <v>0</v>
      </c>
      <c r="AB1348" s="4"/>
      <c r="AC1348" s="6">
        <f t="shared" si="203"/>
        <v>313.74466019417559</v>
      </c>
      <c r="AD1348" s="6">
        <f t="shared" si="199"/>
        <v>6451.8861071621441</v>
      </c>
      <c r="AE1348" s="2">
        <v>7.0000000000000007E-2</v>
      </c>
      <c r="AF1348" s="5">
        <f t="shared" si="204"/>
        <v>451.63202750135014</v>
      </c>
      <c r="AG1348" s="14">
        <v>0</v>
      </c>
      <c r="AH1348" s="19">
        <f t="shared" si="197"/>
        <v>10771.9</v>
      </c>
      <c r="AJ1348" s="126">
        <v>110</v>
      </c>
      <c r="AK1348" s="80">
        <f t="shared" si="205"/>
        <v>10458.155339805824</v>
      </c>
      <c r="AM1348" s="85"/>
    </row>
    <row r="1349" spans="1:39" hidden="1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198"/>
        <v>64863.840000000026</v>
      </c>
      <c r="X1349" s="18">
        <f t="shared" si="200"/>
        <v>10174.019607843136</v>
      </c>
      <c r="Y1349" s="13">
        <f t="shared" si="201"/>
        <v>3958.3614531002268</v>
      </c>
      <c r="Z1349" s="14">
        <v>0</v>
      </c>
      <c r="AA1349" s="4">
        <v>0</v>
      </c>
      <c r="AB1349" s="4">
        <f t="shared" si="202"/>
        <v>10174.019607843136</v>
      </c>
      <c r="AC1349" s="6">
        <f t="shared" si="203"/>
        <v>203.48039215686367</v>
      </c>
      <c r="AD1349" s="6">
        <f t="shared" si="199"/>
        <v>6215.6581547429096</v>
      </c>
      <c r="AE1349" s="2">
        <v>7.0000000000000007E-2</v>
      </c>
      <c r="AF1349" s="5">
        <f t="shared" si="204"/>
        <v>435.0960708320037</v>
      </c>
      <c r="AG1349" s="14">
        <v>0</v>
      </c>
      <c r="AH1349" s="19">
        <f t="shared" si="197"/>
        <v>10377.5</v>
      </c>
      <c r="AJ1349" s="126" t="e">
        <v>#N/A</v>
      </c>
      <c r="AK1349" s="80">
        <f t="shared" si="205"/>
        <v>0</v>
      </c>
      <c r="AM1349" s="85"/>
    </row>
    <row r="1350" spans="1:39" hidden="1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198"/>
        <v>-1.4</v>
      </c>
      <c r="X1350" s="18">
        <f t="shared" si="200"/>
        <v>0</v>
      </c>
      <c r="Y1350" s="13">
        <f t="shared" si="201"/>
        <v>0</v>
      </c>
      <c r="Z1350" s="14">
        <v>0</v>
      </c>
      <c r="AA1350" s="4">
        <v>0</v>
      </c>
      <c r="AB1350" s="4"/>
      <c r="AC1350" s="6">
        <f t="shared" si="203"/>
        <v>0</v>
      </c>
      <c r="AD1350" s="6">
        <f t="shared" si="199"/>
        <v>0</v>
      </c>
      <c r="AE1350" s="2">
        <v>7.0000000000000007E-2</v>
      </c>
      <c r="AF1350" s="5">
        <f t="shared" si="204"/>
        <v>0</v>
      </c>
      <c r="AG1350" s="14">
        <v>0</v>
      </c>
      <c r="AH1350" s="19">
        <f t="shared" si="197"/>
        <v>0</v>
      </c>
      <c r="AJ1350" s="126">
        <v>17</v>
      </c>
      <c r="AK1350" s="80">
        <f t="shared" si="205"/>
        <v>0</v>
      </c>
      <c r="AM1350" s="85"/>
    </row>
    <row r="1351" spans="1:39" hidden="1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198"/>
        <v>-619057.95222000009</v>
      </c>
      <c r="X1351" s="18">
        <f t="shared" si="200"/>
        <v>0</v>
      </c>
      <c r="Y1351" s="13">
        <f t="shared" si="201"/>
        <v>0</v>
      </c>
      <c r="Z1351" s="14">
        <v>0</v>
      </c>
      <c r="AA1351" s="4">
        <v>0</v>
      </c>
      <c r="AB1351" s="4">
        <f t="shared" si="202"/>
        <v>0</v>
      </c>
      <c r="AC1351" s="6">
        <f t="shared" si="203"/>
        <v>0</v>
      </c>
      <c r="AD1351" s="6">
        <f t="shared" si="199"/>
        <v>0</v>
      </c>
      <c r="AE1351" s="2">
        <v>0.12</v>
      </c>
      <c r="AF1351" s="5">
        <f t="shared" si="204"/>
        <v>0</v>
      </c>
      <c r="AG1351" s="14">
        <v>0</v>
      </c>
      <c r="AH1351" s="19">
        <f t="shared" si="197"/>
        <v>0</v>
      </c>
      <c r="AJ1351" s="126" t="e">
        <v>#N/A</v>
      </c>
      <c r="AK1351" s="80">
        <f t="shared" si="205"/>
        <v>0</v>
      </c>
      <c r="AM1351" s="85"/>
    </row>
    <row r="1352" spans="1:39" hidden="1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198"/>
        <v>718898.98</v>
      </c>
      <c r="X1352" s="18">
        <f t="shared" si="200"/>
        <v>0</v>
      </c>
      <c r="Y1352" s="13">
        <f t="shared" si="201"/>
        <v>0</v>
      </c>
      <c r="Z1352" s="14">
        <v>0.02</v>
      </c>
      <c r="AA1352" s="6">
        <f>X1352/(1-Z1352)*Z1352</f>
        <v>0</v>
      </c>
      <c r="AB1352" s="4">
        <f t="shared" si="202"/>
        <v>0</v>
      </c>
      <c r="AC1352" s="6">
        <f t="shared" si="203"/>
        <v>0</v>
      </c>
      <c r="AD1352" s="6">
        <f t="shared" si="199"/>
        <v>0</v>
      </c>
      <c r="AE1352" s="2">
        <v>7.0000000000000007E-2</v>
      </c>
      <c r="AF1352" s="5">
        <f t="shared" si="204"/>
        <v>0</v>
      </c>
      <c r="AG1352" s="14">
        <v>0</v>
      </c>
      <c r="AH1352" s="19">
        <f t="shared" si="197"/>
        <v>0</v>
      </c>
      <c r="AJ1352" s="126" t="e">
        <v>#N/A</v>
      </c>
      <c r="AK1352" s="80">
        <f t="shared" si="205"/>
        <v>0</v>
      </c>
      <c r="AM1352" s="85"/>
    </row>
    <row r="1353" spans="1:39" hidden="1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198"/>
        <v>0.99999999999965894</v>
      </c>
      <c r="X1353" s="18">
        <f t="shared" si="200"/>
        <v>0</v>
      </c>
      <c r="Y1353" s="13">
        <f t="shared" si="201"/>
        <v>0</v>
      </c>
      <c r="Z1353" s="14">
        <v>0</v>
      </c>
      <c r="AA1353" s="4">
        <v>0</v>
      </c>
      <c r="AB1353" s="4">
        <f t="shared" si="202"/>
        <v>0</v>
      </c>
      <c r="AC1353" s="6">
        <f t="shared" si="203"/>
        <v>0</v>
      </c>
      <c r="AD1353" s="6">
        <f t="shared" si="199"/>
        <v>0</v>
      </c>
      <c r="AE1353" s="2">
        <v>7.0000000000000007E-2</v>
      </c>
      <c r="AF1353" s="5">
        <f t="shared" si="204"/>
        <v>0</v>
      </c>
      <c r="AG1353" s="14">
        <v>0</v>
      </c>
      <c r="AH1353" s="19">
        <f t="shared" si="197"/>
        <v>0</v>
      </c>
      <c r="AJ1353" s="126" t="e">
        <v>#N/A</v>
      </c>
      <c r="AK1353" s="80">
        <f t="shared" si="205"/>
        <v>0</v>
      </c>
      <c r="AM1353" s="85"/>
    </row>
    <row r="1354" spans="1:39" hidden="1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198"/>
        <v>485.58999999999651</v>
      </c>
      <c r="X1354" s="18">
        <f t="shared" si="200"/>
        <v>0</v>
      </c>
      <c r="Y1354" s="13">
        <f t="shared" si="201"/>
        <v>0</v>
      </c>
      <c r="Z1354" s="14">
        <v>0</v>
      </c>
      <c r="AA1354" s="4">
        <v>0</v>
      </c>
      <c r="AB1354" s="4">
        <f t="shared" si="202"/>
        <v>0</v>
      </c>
      <c r="AC1354" s="6">
        <f t="shared" si="203"/>
        <v>0</v>
      </c>
      <c r="AD1354" s="6">
        <f t="shared" si="199"/>
        <v>0</v>
      </c>
      <c r="AE1354" s="2">
        <v>7.0000000000000007E-2</v>
      </c>
      <c r="AF1354" s="5">
        <f t="shared" si="204"/>
        <v>0</v>
      </c>
      <c r="AG1354" s="14">
        <v>0</v>
      </c>
      <c r="AH1354" s="19">
        <f t="shared" si="197"/>
        <v>0</v>
      </c>
      <c r="AJ1354" s="126" t="e">
        <v>#N/A</v>
      </c>
      <c r="AK1354" s="80">
        <f t="shared" si="205"/>
        <v>0</v>
      </c>
      <c r="AM1354" s="85"/>
    </row>
    <row r="1355" spans="1:39" hidden="1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198"/>
        <v>-3.6999999999970896</v>
      </c>
      <c r="X1355" s="18">
        <f t="shared" si="200"/>
        <v>0</v>
      </c>
      <c r="Y1355" s="13">
        <f t="shared" si="201"/>
        <v>0</v>
      </c>
      <c r="Z1355" s="14">
        <v>0</v>
      </c>
      <c r="AA1355" s="4">
        <v>0</v>
      </c>
      <c r="AB1355" s="4">
        <f t="shared" si="202"/>
        <v>0</v>
      </c>
      <c r="AC1355" s="6">
        <f t="shared" si="203"/>
        <v>0</v>
      </c>
      <c r="AD1355" s="6">
        <f t="shared" si="199"/>
        <v>0</v>
      </c>
      <c r="AE1355" s="2">
        <v>7.0000000000000007E-2</v>
      </c>
      <c r="AF1355" s="5">
        <f t="shared" si="204"/>
        <v>0</v>
      </c>
      <c r="AG1355" s="14">
        <v>0</v>
      </c>
      <c r="AH1355" s="19">
        <f t="shared" si="197"/>
        <v>0</v>
      </c>
      <c r="AJ1355" s="126" t="e">
        <v>#N/A</v>
      </c>
      <c r="AK1355" s="80">
        <f t="shared" si="205"/>
        <v>0</v>
      </c>
      <c r="AM1355" s="85"/>
    </row>
    <row r="1356" spans="1:39" hidden="1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198"/>
        <v>19056.900000000005</v>
      </c>
      <c r="X1356" s="18">
        <f t="shared" si="200"/>
        <v>15903.137254901962</v>
      </c>
      <c r="Y1356" s="13">
        <f t="shared" si="201"/>
        <v>6187.3642787790322</v>
      </c>
      <c r="Z1356" s="14">
        <v>0</v>
      </c>
      <c r="AA1356" s="4">
        <v>0</v>
      </c>
      <c r="AB1356" s="4">
        <f t="shared" si="202"/>
        <v>15903.137254901962</v>
      </c>
      <c r="AC1356" s="6">
        <f t="shared" si="203"/>
        <v>318.06274509803916</v>
      </c>
      <c r="AD1356" s="6">
        <f t="shared" si="199"/>
        <v>9715.7729761229293</v>
      </c>
      <c r="AE1356" s="2">
        <v>7.0000000000000007E-2</v>
      </c>
      <c r="AF1356" s="5">
        <f t="shared" si="204"/>
        <v>680.10410832860509</v>
      </c>
      <c r="AG1356" s="14">
        <v>0</v>
      </c>
      <c r="AH1356" s="19">
        <f t="shared" si="197"/>
        <v>16221.2</v>
      </c>
      <c r="AJ1356" s="126" t="e">
        <v>#N/A</v>
      </c>
      <c r="AK1356" s="80">
        <f t="shared" si="205"/>
        <v>0</v>
      </c>
      <c r="AM1356" s="85"/>
    </row>
    <row r="1357" spans="1:39" hidden="1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198"/>
        <v>0</v>
      </c>
      <c r="X1357" s="18">
        <f t="shared" si="200"/>
        <v>1450.3431372549021</v>
      </c>
      <c r="Y1357" s="13">
        <f t="shared" si="201"/>
        <v>564.27868134365906</v>
      </c>
      <c r="Z1357" s="14">
        <v>0</v>
      </c>
      <c r="AA1357" s="4">
        <v>0</v>
      </c>
      <c r="AB1357" s="4">
        <f t="shared" si="202"/>
        <v>1450.3431372549021</v>
      </c>
      <c r="AC1357" s="6">
        <f t="shared" si="203"/>
        <v>29.006862745098033</v>
      </c>
      <c r="AD1357" s="6">
        <f t="shared" si="199"/>
        <v>886.06445591124304</v>
      </c>
      <c r="AE1357" s="2">
        <v>7.0000000000000007E-2</v>
      </c>
      <c r="AF1357" s="5">
        <f t="shared" si="204"/>
        <v>62.024511913787016</v>
      </c>
      <c r="AG1357" s="14">
        <v>0</v>
      </c>
      <c r="AH1357" s="19">
        <f t="shared" si="197"/>
        <v>1479.3500000000001</v>
      </c>
      <c r="AJ1357" s="126" t="e">
        <v>#N/A</v>
      </c>
      <c r="AK1357" s="80">
        <f t="shared" si="205"/>
        <v>0</v>
      </c>
      <c r="AM1357" s="85"/>
    </row>
    <row r="1358" spans="1:39" hidden="1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198"/>
        <v>10222.209999999999</v>
      </c>
      <c r="X1358" s="18">
        <f t="shared" si="200"/>
        <v>0</v>
      </c>
      <c r="Y1358" s="13">
        <f t="shared" si="201"/>
        <v>0</v>
      </c>
      <c r="Z1358" s="14">
        <v>0</v>
      </c>
      <c r="AA1358" s="4">
        <v>0</v>
      </c>
      <c r="AB1358" s="4">
        <f t="shared" si="202"/>
        <v>0</v>
      </c>
      <c r="AC1358" s="6">
        <f t="shared" si="203"/>
        <v>0</v>
      </c>
      <c r="AD1358" s="6">
        <f t="shared" si="199"/>
        <v>0</v>
      </c>
      <c r="AE1358" s="2">
        <v>7.0000000000000007E-2</v>
      </c>
      <c r="AF1358" s="5">
        <f t="shared" si="204"/>
        <v>0</v>
      </c>
      <c r="AG1358" s="14">
        <v>0</v>
      </c>
      <c r="AH1358" s="19">
        <f t="shared" si="197"/>
        <v>0</v>
      </c>
      <c r="AJ1358" s="126" t="e">
        <v>#N/A</v>
      </c>
      <c r="AK1358" s="80">
        <f t="shared" si="205"/>
        <v>0</v>
      </c>
      <c r="AM1358" s="85"/>
    </row>
    <row r="1359" spans="1:39" hidden="1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198"/>
        <v>0</v>
      </c>
      <c r="X1359" s="18">
        <f t="shared" si="200"/>
        <v>3119.6450288461515</v>
      </c>
      <c r="Y1359" s="13">
        <f t="shared" si="201"/>
        <v>1176.3761349903295</v>
      </c>
      <c r="Z1359" s="14">
        <v>0</v>
      </c>
      <c r="AA1359" s="4">
        <v>0</v>
      </c>
      <c r="AB1359" s="4">
        <f t="shared" si="202"/>
        <v>3119.6450288461515</v>
      </c>
      <c r="AC1359" s="6">
        <f t="shared" si="203"/>
        <v>124.78580115384602</v>
      </c>
      <c r="AD1359" s="6">
        <f t="shared" si="199"/>
        <v>1943.2688938558219</v>
      </c>
      <c r="AE1359" s="2">
        <v>0.12</v>
      </c>
      <c r="AF1359" s="5">
        <f t="shared" si="204"/>
        <v>233.19226726269864</v>
      </c>
      <c r="AG1359" s="14">
        <v>0</v>
      </c>
      <c r="AH1359" s="19">
        <f t="shared" si="197"/>
        <v>3244.4308299999975</v>
      </c>
      <c r="AJ1359" s="126" t="e">
        <v>#N/A</v>
      </c>
      <c r="AK1359" s="80">
        <f t="shared" si="205"/>
        <v>0</v>
      </c>
      <c r="AM1359" s="85"/>
    </row>
    <row r="1360" spans="1:39" hidden="1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198"/>
        <v>30</v>
      </c>
      <c r="X1360" s="18">
        <f t="shared" si="200"/>
        <v>0</v>
      </c>
      <c r="Y1360" s="13">
        <f t="shared" si="201"/>
        <v>0</v>
      </c>
      <c r="Z1360" s="14">
        <v>0</v>
      </c>
      <c r="AA1360" s="4">
        <v>0</v>
      </c>
      <c r="AB1360" s="4">
        <f t="shared" si="202"/>
        <v>0</v>
      </c>
      <c r="AC1360" s="6">
        <f t="shared" si="203"/>
        <v>0</v>
      </c>
      <c r="AD1360" s="6">
        <f t="shared" si="199"/>
        <v>0</v>
      </c>
      <c r="AE1360" s="2">
        <v>7.0000000000000007E-2</v>
      </c>
      <c r="AF1360" s="5">
        <f t="shared" si="204"/>
        <v>0</v>
      </c>
      <c r="AG1360" s="14">
        <v>0</v>
      </c>
      <c r="AH1360" s="19">
        <f t="shared" si="197"/>
        <v>0</v>
      </c>
      <c r="AJ1360" s="126" t="e">
        <v>#N/A</v>
      </c>
      <c r="AK1360" s="80">
        <f t="shared" si="205"/>
        <v>0</v>
      </c>
      <c r="AM1360" s="85"/>
    </row>
    <row r="1361" spans="1:39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198"/>
        <v>459.70000000000073</v>
      </c>
      <c r="X1361" s="18">
        <f t="shared" si="200"/>
        <v>0</v>
      </c>
      <c r="Y1361" s="13">
        <f t="shared" si="201"/>
        <v>0</v>
      </c>
      <c r="Z1361" s="14">
        <v>0</v>
      </c>
      <c r="AA1361" s="4">
        <v>0</v>
      </c>
      <c r="AB1361" s="4">
        <f t="shared" si="202"/>
        <v>0</v>
      </c>
      <c r="AC1361" s="6">
        <f t="shared" si="203"/>
        <v>0</v>
      </c>
      <c r="AD1361" s="6">
        <f t="shared" si="199"/>
        <v>0</v>
      </c>
      <c r="AE1361" s="2">
        <v>7.0000000000000007E-2</v>
      </c>
      <c r="AF1361" s="5">
        <f t="shared" si="204"/>
        <v>0</v>
      </c>
      <c r="AG1361" s="14">
        <v>0</v>
      </c>
      <c r="AH1361" s="19">
        <f t="shared" si="197"/>
        <v>0</v>
      </c>
      <c r="AJ1361" s="126" t="e">
        <v>#N/A</v>
      </c>
      <c r="AK1361" s="80">
        <f t="shared" si="205"/>
        <v>0</v>
      </c>
      <c r="AM1361" s="85"/>
    </row>
    <row r="1362" spans="1:39" hidden="1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198"/>
        <v>7180.6399999999994</v>
      </c>
      <c r="X1362" s="18">
        <f t="shared" si="200"/>
        <v>744.6</v>
      </c>
      <c r="Y1362" s="13">
        <f t="shared" si="201"/>
        <v>298.61791741541117</v>
      </c>
      <c r="Z1362" s="14">
        <v>0</v>
      </c>
      <c r="AA1362" s="4">
        <v>0</v>
      </c>
      <c r="AB1362" s="4">
        <f t="shared" si="202"/>
        <v>744.6</v>
      </c>
      <c r="AC1362" s="6">
        <f t="shared" si="203"/>
        <v>0</v>
      </c>
      <c r="AD1362" s="6">
        <f t="shared" si="199"/>
        <v>445.98208258458885</v>
      </c>
      <c r="AE1362" s="2">
        <v>7.0000000000000007E-2</v>
      </c>
      <c r="AF1362" s="5">
        <f t="shared" si="204"/>
        <v>31.218745780921221</v>
      </c>
      <c r="AG1362" s="14">
        <v>0</v>
      </c>
      <c r="AH1362" s="19">
        <f t="shared" si="197"/>
        <v>744.6</v>
      </c>
      <c r="AJ1362" s="126" t="e">
        <v>#N/A</v>
      </c>
      <c r="AK1362" s="80">
        <f t="shared" si="205"/>
        <v>0</v>
      </c>
      <c r="AM1362" s="85"/>
    </row>
    <row r="1363" spans="1:39" hidden="1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198"/>
        <v>473.05999999999767</v>
      </c>
      <c r="X1363" s="18">
        <f t="shared" si="200"/>
        <v>0</v>
      </c>
      <c r="Y1363" s="13">
        <f t="shared" si="201"/>
        <v>0</v>
      </c>
      <c r="Z1363" s="14">
        <v>0</v>
      </c>
      <c r="AA1363" s="4">
        <v>0</v>
      </c>
      <c r="AB1363" s="4">
        <f t="shared" si="202"/>
        <v>0</v>
      </c>
      <c r="AC1363" s="6">
        <f t="shared" si="203"/>
        <v>0</v>
      </c>
      <c r="AD1363" s="6">
        <f t="shared" si="199"/>
        <v>0</v>
      </c>
      <c r="AE1363" s="2">
        <v>7.0000000000000007E-2</v>
      </c>
      <c r="AF1363" s="5">
        <f t="shared" si="204"/>
        <v>0</v>
      </c>
      <c r="AG1363" s="14">
        <v>0</v>
      </c>
      <c r="AH1363" s="19">
        <f t="shared" si="197"/>
        <v>0</v>
      </c>
      <c r="AJ1363" s="126" t="e">
        <v>#N/A</v>
      </c>
      <c r="AK1363" s="80">
        <f t="shared" si="205"/>
        <v>0</v>
      </c>
      <c r="AM1363" s="85"/>
    </row>
    <row r="1364" spans="1:39" hidden="1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198"/>
        <v>1161555.46</v>
      </c>
      <c r="X1364" s="18">
        <f t="shared" si="200"/>
        <v>0</v>
      </c>
      <c r="Y1364" s="13">
        <f t="shared" si="201"/>
        <v>0</v>
      </c>
      <c r="Z1364" s="14">
        <v>0</v>
      </c>
      <c r="AA1364" s="4">
        <v>0</v>
      </c>
      <c r="AB1364" s="4">
        <f t="shared" si="202"/>
        <v>0</v>
      </c>
      <c r="AC1364" s="6">
        <f t="shared" si="203"/>
        <v>0</v>
      </c>
      <c r="AD1364" s="6">
        <f t="shared" si="199"/>
        <v>0</v>
      </c>
      <c r="AE1364" s="2">
        <v>0.12</v>
      </c>
      <c r="AF1364" s="5">
        <f t="shared" si="204"/>
        <v>0</v>
      </c>
      <c r="AG1364" s="14">
        <v>0</v>
      </c>
      <c r="AH1364" s="19">
        <f t="shared" si="197"/>
        <v>0</v>
      </c>
      <c r="AJ1364" s="126" t="e">
        <v>#N/A</v>
      </c>
      <c r="AK1364" s="80">
        <f t="shared" si="205"/>
        <v>0</v>
      </c>
      <c r="AM1364" s="85"/>
    </row>
    <row r="1365" spans="1:39" hidden="1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198"/>
        <v>466.36999999999972</v>
      </c>
      <c r="X1365" s="18">
        <f t="shared" si="200"/>
        <v>28.285714285714285</v>
      </c>
      <c r="Y1365" s="13">
        <f t="shared" si="201"/>
        <v>10.496743223718195</v>
      </c>
      <c r="Z1365" s="14">
        <v>0</v>
      </c>
      <c r="AA1365" s="4">
        <v>0</v>
      </c>
      <c r="AB1365" s="4">
        <f t="shared" si="202"/>
        <v>28.285714285714285</v>
      </c>
      <c r="AC1365" s="6">
        <f t="shared" si="203"/>
        <v>1.4142857142857146</v>
      </c>
      <c r="AD1365" s="6">
        <f t="shared" si="199"/>
        <v>17.78897106199609</v>
      </c>
      <c r="AE1365" s="2">
        <v>7.0000000000000007E-2</v>
      </c>
      <c r="AF1365" s="5">
        <f t="shared" si="204"/>
        <v>1.2452279743397263</v>
      </c>
      <c r="AG1365" s="14">
        <v>0</v>
      </c>
      <c r="AH1365" s="19">
        <f t="shared" ref="AH1365:AH1428" si="206">V1365</f>
        <v>29.7</v>
      </c>
      <c r="AJ1365" s="126" t="e">
        <v>#N/A</v>
      </c>
      <c r="AK1365" s="80">
        <f t="shared" si="205"/>
        <v>0</v>
      </c>
      <c r="AM1365" s="85"/>
    </row>
    <row r="1366" spans="1:39" hidden="1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198"/>
        <v>0</v>
      </c>
      <c r="X1366" s="18">
        <f t="shared" si="200"/>
        <v>1987.4019607843009</v>
      </c>
      <c r="Y1366" s="13">
        <f t="shared" si="201"/>
        <v>773.22981639624891</v>
      </c>
      <c r="Z1366" s="14">
        <v>0</v>
      </c>
      <c r="AA1366" s="4">
        <v>0</v>
      </c>
      <c r="AB1366" s="4">
        <f t="shared" si="202"/>
        <v>1987.4019607843009</v>
      </c>
      <c r="AC1366" s="6">
        <f t="shared" si="203"/>
        <v>39.748039215686049</v>
      </c>
      <c r="AD1366" s="6">
        <f t="shared" si="199"/>
        <v>1214.1721443880519</v>
      </c>
      <c r="AE1366" s="2">
        <v>7.0000000000000007E-2</v>
      </c>
      <c r="AF1366" s="5">
        <f t="shared" si="204"/>
        <v>84.992050107163649</v>
      </c>
      <c r="AG1366" s="14">
        <v>0</v>
      </c>
      <c r="AH1366" s="19">
        <f t="shared" si="206"/>
        <v>2027.1499999999869</v>
      </c>
      <c r="AJ1366" s="126" t="e">
        <v>#N/A</v>
      </c>
      <c r="AK1366" s="80">
        <f t="shared" si="205"/>
        <v>0</v>
      </c>
      <c r="AM1366" s="85"/>
    </row>
    <row r="1367" spans="1:39" hidden="1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198"/>
        <v>485.10000000000036</v>
      </c>
      <c r="X1367" s="18">
        <f t="shared" si="200"/>
        <v>0</v>
      </c>
      <c r="Y1367" s="13">
        <f t="shared" si="201"/>
        <v>0</v>
      </c>
      <c r="Z1367" s="14">
        <v>0</v>
      </c>
      <c r="AA1367" s="4">
        <v>0</v>
      </c>
      <c r="AB1367" s="4">
        <f t="shared" si="202"/>
        <v>0</v>
      </c>
      <c r="AC1367" s="6">
        <f t="shared" si="203"/>
        <v>0</v>
      </c>
      <c r="AD1367" s="6">
        <f t="shared" si="199"/>
        <v>0</v>
      </c>
      <c r="AE1367" s="2">
        <v>7.0000000000000007E-2</v>
      </c>
      <c r="AF1367" s="5">
        <f t="shared" si="204"/>
        <v>0</v>
      </c>
      <c r="AG1367" s="14">
        <v>0</v>
      </c>
      <c r="AH1367" s="19">
        <f t="shared" si="206"/>
        <v>0</v>
      </c>
      <c r="AJ1367" s="126" t="e">
        <v>#N/A</v>
      </c>
      <c r="AK1367" s="80">
        <f t="shared" si="205"/>
        <v>0</v>
      </c>
      <c r="AM1367" s="85"/>
    </row>
    <row r="1368" spans="1:39" hidden="1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07">T1368+U1368-V1368</f>
        <v>0</v>
      </c>
      <c r="X1368" s="18">
        <f t="shared" si="200"/>
        <v>452.40384615384613</v>
      </c>
      <c r="Y1368" s="13">
        <f t="shared" si="201"/>
        <v>170.59539885858823</v>
      </c>
      <c r="Z1368" s="14">
        <v>0</v>
      </c>
      <c r="AA1368" s="4">
        <v>0</v>
      </c>
      <c r="AB1368" s="4">
        <f t="shared" si="202"/>
        <v>452.40384615384613</v>
      </c>
      <c r="AC1368" s="6">
        <f t="shared" si="203"/>
        <v>18.096153846153868</v>
      </c>
      <c r="AD1368" s="6">
        <f t="shared" si="199"/>
        <v>281.80844729525791</v>
      </c>
      <c r="AE1368" s="2">
        <v>7.0000000000000007E-2</v>
      </c>
      <c r="AF1368" s="5">
        <f t="shared" si="204"/>
        <v>19.726591310668056</v>
      </c>
      <c r="AG1368" s="14">
        <v>0</v>
      </c>
      <c r="AH1368" s="19">
        <f t="shared" si="206"/>
        <v>470.5</v>
      </c>
      <c r="AJ1368" s="126" t="e">
        <v>#N/A</v>
      </c>
      <c r="AK1368" s="80">
        <f t="shared" si="205"/>
        <v>0</v>
      </c>
      <c r="AM1368" s="85"/>
    </row>
    <row r="1369" spans="1:39" hidden="1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07"/>
        <v>489.29999999999927</v>
      </c>
      <c r="X1369" s="18">
        <f t="shared" si="200"/>
        <v>0</v>
      </c>
      <c r="Y1369" s="13">
        <f t="shared" si="201"/>
        <v>0</v>
      </c>
      <c r="Z1369" s="14">
        <v>0</v>
      </c>
      <c r="AA1369" s="4">
        <v>0</v>
      </c>
      <c r="AB1369" s="4">
        <f t="shared" si="202"/>
        <v>0</v>
      </c>
      <c r="AC1369" s="6">
        <f t="shared" si="203"/>
        <v>0</v>
      </c>
      <c r="AD1369" s="6">
        <f t="shared" si="199"/>
        <v>0</v>
      </c>
      <c r="AE1369" s="2">
        <v>7.0000000000000007E-2</v>
      </c>
      <c r="AF1369" s="5">
        <f t="shared" si="204"/>
        <v>0</v>
      </c>
      <c r="AG1369" s="14">
        <v>0</v>
      </c>
      <c r="AH1369" s="19">
        <f t="shared" si="206"/>
        <v>0</v>
      </c>
      <c r="AJ1369" s="126" t="e">
        <v>#N/A</v>
      </c>
      <c r="AK1369" s="80">
        <f t="shared" si="205"/>
        <v>0</v>
      </c>
      <c r="AM1369" s="85"/>
    </row>
    <row r="1370" spans="1:39" hidden="1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07"/>
        <v>0</v>
      </c>
      <c r="X1370" s="18">
        <f t="shared" si="200"/>
        <v>0</v>
      </c>
      <c r="Y1370" s="13">
        <f t="shared" si="201"/>
        <v>0</v>
      </c>
      <c r="Z1370" s="14">
        <v>0</v>
      </c>
      <c r="AA1370" s="4">
        <v>0</v>
      </c>
      <c r="AB1370" s="4">
        <f t="shared" si="202"/>
        <v>0</v>
      </c>
      <c r="AC1370" s="6">
        <f t="shared" si="203"/>
        <v>0</v>
      </c>
      <c r="AD1370" s="6">
        <f t="shared" si="199"/>
        <v>0</v>
      </c>
      <c r="AE1370" s="2">
        <v>7.0000000000000007E-2</v>
      </c>
      <c r="AF1370" s="5">
        <f t="shared" si="204"/>
        <v>0</v>
      </c>
      <c r="AG1370" s="14">
        <v>0</v>
      </c>
      <c r="AH1370" s="19">
        <f t="shared" si="206"/>
        <v>0</v>
      </c>
      <c r="AJ1370" s="126" t="e">
        <v>#N/A</v>
      </c>
      <c r="AK1370" s="80">
        <f t="shared" si="205"/>
        <v>0</v>
      </c>
      <c r="AM1370" s="85"/>
    </row>
    <row r="1371" spans="1:39" hidden="1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07"/>
        <v>4407.9000000000005</v>
      </c>
      <c r="X1371" s="18">
        <f t="shared" si="200"/>
        <v>0</v>
      </c>
      <c r="Y1371" s="13">
        <f t="shared" si="201"/>
        <v>0</v>
      </c>
      <c r="Z1371" s="14">
        <v>0</v>
      </c>
      <c r="AA1371" s="4">
        <v>0</v>
      </c>
      <c r="AB1371" s="4">
        <f t="shared" si="202"/>
        <v>0</v>
      </c>
      <c r="AC1371" s="6">
        <f t="shared" si="203"/>
        <v>0</v>
      </c>
      <c r="AD1371" s="6">
        <f t="shared" si="199"/>
        <v>0</v>
      </c>
      <c r="AE1371" s="2">
        <v>7.0000000000000007E-2</v>
      </c>
      <c r="AF1371" s="5">
        <f t="shared" si="204"/>
        <v>0</v>
      </c>
      <c r="AG1371" s="14">
        <v>0</v>
      </c>
      <c r="AH1371" s="19">
        <f t="shared" si="206"/>
        <v>0</v>
      </c>
      <c r="AJ1371" s="126" t="e">
        <v>#N/A</v>
      </c>
      <c r="AK1371" s="80">
        <f t="shared" si="205"/>
        <v>0</v>
      </c>
      <c r="AM1371" s="85"/>
    </row>
    <row r="1372" spans="1:39" hidden="1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07"/>
        <v>496.09999999999746</v>
      </c>
      <c r="X1372" s="18">
        <f t="shared" si="200"/>
        <v>0</v>
      </c>
      <c r="Y1372" s="13">
        <f t="shared" si="201"/>
        <v>0</v>
      </c>
      <c r="Z1372" s="14">
        <v>0</v>
      </c>
      <c r="AA1372" s="4">
        <v>0</v>
      </c>
      <c r="AB1372" s="4">
        <f t="shared" si="202"/>
        <v>0</v>
      </c>
      <c r="AC1372" s="6">
        <f t="shared" si="203"/>
        <v>0</v>
      </c>
      <c r="AD1372" s="6">
        <f t="shared" si="199"/>
        <v>0</v>
      </c>
      <c r="AE1372" s="2">
        <v>7.0000000000000007E-2</v>
      </c>
      <c r="AF1372" s="5">
        <f t="shared" si="204"/>
        <v>0</v>
      </c>
      <c r="AG1372" s="14">
        <v>0</v>
      </c>
      <c r="AH1372" s="19">
        <f t="shared" si="206"/>
        <v>0</v>
      </c>
      <c r="AJ1372" s="126" t="e">
        <v>#N/A</v>
      </c>
      <c r="AK1372" s="80">
        <f t="shared" si="205"/>
        <v>0</v>
      </c>
      <c r="AM1372" s="85"/>
    </row>
    <row r="1373" spans="1:39" hidden="1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07"/>
        <v>12320.839999999971</v>
      </c>
      <c r="X1373" s="18">
        <f t="shared" si="200"/>
        <v>6084.5419999999995</v>
      </c>
      <c r="Y1373" s="13">
        <f t="shared" si="201"/>
        <v>2384.675601206658</v>
      </c>
      <c r="Z1373" s="14">
        <v>0</v>
      </c>
      <c r="AA1373" s="4">
        <v>0</v>
      </c>
      <c r="AB1373" s="4">
        <f t="shared" si="202"/>
        <v>6084.5419999999995</v>
      </c>
      <c r="AC1373" s="6">
        <f t="shared" si="203"/>
        <v>92.658000000000357</v>
      </c>
      <c r="AD1373" s="6">
        <f t="shared" si="199"/>
        <v>3699.8663987933414</v>
      </c>
      <c r="AE1373" s="2">
        <v>7.0000000000000007E-2</v>
      </c>
      <c r="AF1373" s="5">
        <f t="shared" si="204"/>
        <v>258.99064791553394</v>
      </c>
      <c r="AG1373" s="14">
        <v>0</v>
      </c>
      <c r="AH1373" s="19">
        <f t="shared" si="206"/>
        <v>6177.2</v>
      </c>
      <c r="AJ1373" s="126" t="e">
        <v>#N/A</v>
      </c>
      <c r="AK1373" s="80">
        <f t="shared" si="205"/>
        <v>0</v>
      </c>
      <c r="AM1373" s="85"/>
    </row>
    <row r="1374" spans="1:39" hidden="1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00"/>
        <v>0</v>
      </c>
      <c r="Y1374" s="13">
        <f t="shared" si="201"/>
        <v>0</v>
      </c>
      <c r="Z1374" s="14">
        <v>0</v>
      </c>
      <c r="AA1374" s="4">
        <v>0</v>
      </c>
      <c r="AB1374" s="4">
        <f t="shared" si="202"/>
        <v>0</v>
      </c>
      <c r="AC1374" s="6">
        <f t="shared" si="203"/>
        <v>0</v>
      </c>
      <c r="AD1374" s="6">
        <f>V1374*0.598955254612663</f>
        <v>0</v>
      </c>
      <c r="AE1374" s="2">
        <v>0.12</v>
      </c>
      <c r="AF1374" s="5">
        <f t="shared" si="204"/>
        <v>0</v>
      </c>
      <c r="AG1374" s="14">
        <v>0</v>
      </c>
      <c r="AH1374" s="19">
        <f t="shared" si="206"/>
        <v>0</v>
      </c>
      <c r="AJ1374" s="126" t="e">
        <v>#N/A</v>
      </c>
      <c r="AK1374" s="80">
        <f t="shared" si="205"/>
        <v>0</v>
      </c>
      <c r="AM1374" s="85"/>
    </row>
    <row r="1375" spans="1:39" hidden="1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07"/>
        <v>60018.100000000006</v>
      </c>
      <c r="X1375" s="18">
        <f t="shared" si="200"/>
        <v>0</v>
      </c>
      <c r="Y1375" s="13">
        <f t="shared" si="201"/>
        <v>0</v>
      </c>
      <c r="Z1375" s="14">
        <v>0</v>
      </c>
      <c r="AA1375" s="4">
        <v>0</v>
      </c>
      <c r="AB1375" s="4">
        <f t="shared" si="202"/>
        <v>0</v>
      </c>
      <c r="AC1375" s="6">
        <f t="shared" si="203"/>
        <v>0</v>
      </c>
      <c r="AD1375" s="18">
        <f>V1375</f>
        <v>0</v>
      </c>
      <c r="AE1375" s="2">
        <v>0.02</v>
      </c>
      <c r="AF1375" s="5">
        <f t="shared" si="204"/>
        <v>0</v>
      </c>
      <c r="AG1375" s="14">
        <v>0</v>
      </c>
      <c r="AH1375" s="19">
        <f t="shared" si="206"/>
        <v>0</v>
      </c>
      <c r="AJ1375" s="126" t="e">
        <v>#N/A</v>
      </c>
      <c r="AK1375" s="80">
        <f t="shared" si="205"/>
        <v>0</v>
      </c>
      <c r="AM1375" s="85"/>
    </row>
    <row r="1376" spans="1:39" hidden="1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07"/>
        <v>286.97000000000116</v>
      </c>
      <c r="X1376" s="18">
        <f t="shared" si="200"/>
        <v>0</v>
      </c>
      <c r="Y1376" s="13">
        <f t="shared" si="201"/>
        <v>0</v>
      </c>
      <c r="Z1376" s="14">
        <v>0</v>
      </c>
      <c r="AA1376" s="4">
        <v>0</v>
      </c>
      <c r="AB1376" s="4">
        <f t="shared" si="202"/>
        <v>0</v>
      </c>
      <c r="AC1376" s="6">
        <f t="shared" si="203"/>
        <v>0</v>
      </c>
      <c r="AD1376" s="6">
        <f t="shared" ref="AD1376:AD1398" si="208">V1376*0.598955254612663</f>
        <v>0</v>
      </c>
      <c r="AE1376" s="2">
        <v>7.0000000000000007E-2</v>
      </c>
      <c r="AF1376" s="5">
        <f t="shared" si="204"/>
        <v>0</v>
      </c>
      <c r="AG1376" s="14">
        <v>0</v>
      </c>
      <c r="AH1376" s="19">
        <f t="shared" si="206"/>
        <v>0</v>
      </c>
      <c r="AJ1376" s="126" t="e">
        <v>#N/A</v>
      </c>
      <c r="AK1376" s="80">
        <f t="shared" si="205"/>
        <v>0</v>
      </c>
      <c r="AM1376" s="85"/>
    </row>
    <row r="1377" spans="1:39" hidden="1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07"/>
        <v>-76668.102480000001</v>
      </c>
      <c r="X1377" s="18">
        <f t="shared" si="200"/>
        <v>2.4424528301886791E-2</v>
      </c>
      <c r="Y1377" s="13">
        <f t="shared" si="201"/>
        <v>8.9175767599649469E-3</v>
      </c>
      <c r="Z1377" s="14">
        <v>0</v>
      </c>
      <c r="AA1377" s="4">
        <v>0</v>
      </c>
      <c r="AB1377" s="4">
        <f t="shared" si="202"/>
        <v>2.4424528301886791E-2</v>
      </c>
      <c r="AC1377" s="6">
        <f t="shared" si="203"/>
        <v>1.465471698113209E-3</v>
      </c>
      <c r="AD1377" s="6">
        <f t="shared" si="208"/>
        <v>1.5506951541921844E-2</v>
      </c>
      <c r="AE1377" s="2">
        <v>0.12</v>
      </c>
      <c r="AF1377" s="5">
        <f t="shared" si="204"/>
        <v>1.8608341850306213E-3</v>
      </c>
      <c r="AG1377" s="14">
        <v>0</v>
      </c>
      <c r="AH1377" s="19">
        <f t="shared" si="206"/>
        <v>2.589E-2</v>
      </c>
      <c r="AJ1377" s="126" t="e">
        <v>#N/A</v>
      </c>
      <c r="AK1377" s="80">
        <f t="shared" si="205"/>
        <v>0</v>
      </c>
      <c r="AM1377" s="85"/>
    </row>
    <row r="1378" spans="1:39" hidden="1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07"/>
        <v>18883.900000000001</v>
      </c>
      <c r="X1378" s="18">
        <f t="shared" si="200"/>
        <v>0</v>
      </c>
      <c r="Y1378" s="13">
        <f t="shared" si="201"/>
        <v>0</v>
      </c>
      <c r="Z1378" s="14">
        <v>0</v>
      </c>
      <c r="AA1378" s="4">
        <v>0</v>
      </c>
      <c r="AB1378" s="4">
        <f t="shared" si="202"/>
        <v>0</v>
      </c>
      <c r="AC1378" s="6">
        <f t="shared" si="203"/>
        <v>0</v>
      </c>
      <c r="AD1378" s="6">
        <f t="shared" si="208"/>
        <v>0</v>
      </c>
      <c r="AE1378" s="2">
        <v>7.0000000000000007E-2</v>
      </c>
      <c r="AF1378" s="5">
        <f t="shared" si="204"/>
        <v>0</v>
      </c>
      <c r="AG1378" s="14">
        <v>0</v>
      </c>
      <c r="AH1378" s="19">
        <f t="shared" si="206"/>
        <v>0</v>
      </c>
      <c r="AJ1378" s="126" t="e">
        <v>#N/A</v>
      </c>
      <c r="AK1378" s="80">
        <f t="shared" si="205"/>
        <v>0</v>
      </c>
      <c r="AM1378" s="85"/>
    </row>
    <row r="1379" spans="1:39" hidden="1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07"/>
        <v>1676.5299999999988</v>
      </c>
      <c r="X1379" s="18">
        <f t="shared" si="200"/>
        <v>0</v>
      </c>
      <c r="Y1379" s="13">
        <f t="shared" si="201"/>
        <v>0</v>
      </c>
      <c r="Z1379" s="14">
        <v>0</v>
      </c>
      <c r="AA1379" s="4">
        <v>0</v>
      </c>
      <c r="AB1379" s="4"/>
      <c r="AC1379" s="6">
        <f t="shared" si="203"/>
        <v>0</v>
      </c>
      <c r="AD1379" s="6">
        <f t="shared" si="208"/>
        <v>0</v>
      </c>
      <c r="AE1379" s="2">
        <v>0.12</v>
      </c>
      <c r="AF1379" s="5">
        <f t="shared" si="204"/>
        <v>0</v>
      </c>
      <c r="AG1379" s="14">
        <v>0</v>
      </c>
      <c r="AH1379" s="19">
        <f t="shared" si="206"/>
        <v>0</v>
      </c>
      <c r="AJ1379" s="126">
        <v>20</v>
      </c>
      <c r="AK1379" s="80">
        <f t="shared" si="205"/>
        <v>0</v>
      </c>
      <c r="AM1379" s="85"/>
    </row>
    <row r="1380" spans="1:39" hidden="1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07"/>
        <v>0</v>
      </c>
      <c r="X1380" s="18">
        <f t="shared" si="200"/>
        <v>-1731.8699999999899</v>
      </c>
      <c r="Y1380" s="13">
        <f t="shared" si="201"/>
        <v>0</v>
      </c>
      <c r="Z1380" s="14">
        <v>0</v>
      </c>
      <c r="AA1380" s="4">
        <v>0</v>
      </c>
      <c r="AB1380" s="4">
        <f t="shared" si="202"/>
        <v>-1731.8699999999899</v>
      </c>
      <c r="AC1380" s="6">
        <f t="shared" si="203"/>
        <v>0</v>
      </c>
      <c r="AD1380" s="6">
        <f t="shared" si="208"/>
        <v>-1037.3126368060266</v>
      </c>
      <c r="AE1380" s="2">
        <v>7.0000000000000007E-2</v>
      </c>
      <c r="AF1380" s="5">
        <f t="shared" si="204"/>
        <v>-72.611884576421872</v>
      </c>
      <c r="AG1380" s="14">
        <v>0</v>
      </c>
      <c r="AH1380" s="19">
        <f t="shared" si="206"/>
        <v>-1731.8699999999899</v>
      </c>
      <c r="AJ1380" s="126" t="e">
        <v>#N/A</v>
      </c>
      <c r="AK1380" s="80">
        <f t="shared" si="205"/>
        <v>0</v>
      </c>
      <c r="AM1380" s="85"/>
    </row>
    <row r="1381" spans="1:39" hidden="1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07"/>
        <v>1716.83</v>
      </c>
      <c r="X1381" s="18">
        <f t="shared" si="200"/>
        <v>0</v>
      </c>
      <c r="Y1381" s="13">
        <f t="shared" si="201"/>
        <v>0</v>
      </c>
      <c r="Z1381" s="14">
        <v>0</v>
      </c>
      <c r="AA1381" s="4">
        <v>0</v>
      </c>
      <c r="AB1381" s="4">
        <f t="shared" si="202"/>
        <v>0</v>
      </c>
      <c r="AC1381" s="6">
        <f t="shared" si="203"/>
        <v>0</v>
      </c>
      <c r="AD1381" s="6">
        <f t="shared" si="208"/>
        <v>0</v>
      </c>
      <c r="AE1381" s="2">
        <v>7.0000000000000007E-2</v>
      </c>
      <c r="AF1381" s="5">
        <f t="shared" si="204"/>
        <v>0</v>
      </c>
      <c r="AG1381" s="14">
        <v>0</v>
      </c>
      <c r="AH1381" s="19">
        <f t="shared" si="206"/>
        <v>0</v>
      </c>
      <c r="AJ1381" s="126" t="e">
        <v>#N/A</v>
      </c>
      <c r="AK1381" s="80">
        <f t="shared" si="205"/>
        <v>0</v>
      </c>
      <c r="AM1381" s="85"/>
    </row>
    <row r="1382" spans="1:39" hidden="1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07"/>
        <v>2.0199999999895226</v>
      </c>
      <c r="X1382" s="18">
        <f t="shared" ref="X1382:X1445" si="209">IF(P1382="折扣",V1382*Q1382,IF(P1382="返现",V1382,V1382/(1+Q1382)))</f>
        <v>0</v>
      </c>
      <c r="Y1382" s="13">
        <f t="shared" si="201"/>
        <v>0</v>
      </c>
      <c r="Z1382" s="14">
        <v>0</v>
      </c>
      <c r="AA1382" s="4">
        <v>0</v>
      </c>
      <c r="AB1382" s="4">
        <f t="shared" si="202"/>
        <v>0</v>
      </c>
      <c r="AC1382" s="6">
        <f t="shared" si="203"/>
        <v>0</v>
      </c>
      <c r="AD1382" s="6">
        <f t="shared" si="208"/>
        <v>0</v>
      </c>
      <c r="AE1382" s="2">
        <v>7.0000000000000007E-2</v>
      </c>
      <c r="AF1382" s="5">
        <f t="shared" si="204"/>
        <v>0</v>
      </c>
      <c r="AG1382" s="14">
        <v>0</v>
      </c>
      <c r="AH1382" s="19">
        <f t="shared" si="206"/>
        <v>0</v>
      </c>
      <c r="AJ1382" s="126" t="e">
        <v>#N/A</v>
      </c>
      <c r="AK1382" s="80">
        <f t="shared" si="205"/>
        <v>0</v>
      </c>
      <c r="AM1382" s="85"/>
    </row>
    <row r="1383" spans="1:39" hidden="1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07"/>
        <v>2027.2165199999936</v>
      </c>
      <c r="X1383" s="18">
        <f t="shared" si="209"/>
        <v>0</v>
      </c>
      <c r="Y1383" s="13">
        <f t="shared" si="201"/>
        <v>0</v>
      </c>
      <c r="Z1383" s="14">
        <v>0</v>
      </c>
      <c r="AA1383" s="4">
        <v>0</v>
      </c>
      <c r="AB1383" s="4">
        <f t="shared" si="202"/>
        <v>0</v>
      </c>
      <c r="AC1383" s="6">
        <f t="shared" si="203"/>
        <v>0</v>
      </c>
      <c r="AD1383" s="6">
        <f t="shared" si="208"/>
        <v>0</v>
      </c>
      <c r="AE1383" s="2">
        <v>0.12</v>
      </c>
      <c r="AF1383" s="5">
        <f t="shared" si="204"/>
        <v>0</v>
      </c>
      <c r="AG1383" s="14">
        <v>0</v>
      </c>
      <c r="AH1383" s="19">
        <f t="shared" si="206"/>
        <v>0</v>
      </c>
      <c r="AJ1383" s="126" t="e">
        <v>#N/A</v>
      </c>
      <c r="AK1383" s="80">
        <f t="shared" si="205"/>
        <v>0</v>
      </c>
      <c r="AM1383" s="85"/>
    </row>
    <row r="1384" spans="1:39" hidden="1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07"/>
        <v>0</v>
      </c>
      <c r="X1384" s="18">
        <f t="shared" si="209"/>
        <v>6073.9215686274501</v>
      </c>
      <c r="Y1384" s="13">
        <f t="shared" si="201"/>
        <v>2363.1541842001584</v>
      </c>
      <c r="Z1384" s="14">
        <v>0</v>
      </c>
      <c r="AA1384" s="4">
        <v>0</v>
      </c>
      <c r="AB1384" s="4">
        <f t="shared" si="202"/>
        <v>6073.9215686274501</v>
      </c>
      <c r="AC1384" s="6">
        <f t="shared" si="203"/>
        <v>121.47843137254949</v>
      </c>
      <c r="AD1384" s="6">
        <f t="shared" si="208"/>
        <v>3710.7673844272917</v>
      </c>
      <c r="AE1384" s="2">
        <v>7.0000000000000007E-2</v>
      </c>
      <c r="AF1384" s="5">
        <f t="shared" si="204"/>
        <v>259.75371690991045</v>
      </c>
      <c r="AG1384" s="14">
        <v>0</v>
      </c>
      <c r="AH1384" s="19">
        <f t="shared" si="206"/>
        <v>6195.4</v>
      </c>
      <c r="AJ1384" s="126" t="e">
        <v>#N/A</v>
      </c>
      <c r="AK1384" s="80">
        <f t="shared" si="205"/>
        <v>0</v>
      </c>
      <c r="AM1384" s="85"/>
    </row>
    <row r="1385" spans="1:39" hidden="1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07"/>
        <v>397.55999999999403</v>
      </c>
      <c r="X1385" s="18">
        <f t="shared" si="209"/>
        <v>0</v>
      </c>
      <c r="Y1385" s="13">
        <f t="shared" si="201"/>
        <v>0</v>
      </c>
      <c r="Z1385" s="14">
        <v>0</v>
      </c>
      <c r="AA1385" s="4">
        <v>0</v>
      </c>
      <c r="AB1385" s="4">
        <f t="shared" si="202"/>
        <v>0</v>
      </c>
      <c r="AC1385" s="6">
        <f t="shared" si="203"/>
        <v>0</v>
      </c>
      <c r="AD1385" s="6">
        <f t="shared" si="208"/>
        <v>0</v>
      </c>
      <c r="AE1385" s="2">
        <v>7.0000000000000007E-2</v>
      </c>
      <c r="AF1385" s="5">
        <f t="shared" si="204"/>
        <v>0</v>
      </c>
      <c r="AG1385" s="14">
        <v>0</v>
      </c>
      <c r="AH1385" s="19">
        <f t="shared" si="206"/>
        <v>0</v>
      </c>
      <c r="AJ1385" s="126" t="s">
        <v>4222</v>
      </c>
      <c r="AK1385" s="80">
        <f t="shared" si="205"/>
        <v>0</v>
      </c>
      <c r="AL1385" s="150"/>
      <c r="AM1385" s="85"/>
    </row>
    <row r="1386" spans="1:39" hidden="1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07"/>
        <v>8138.9999999999927</v>
      </c>
      <c r="X1386" s="18">
        <f t="shared" si="209"/>
        <v>0</v>
      </c>
      <c r="Y1386" s="13">
        <f t="shared" si="201"/>
        <v>0</v>
      </c>
      <c r="Z1386" s="14">
        <v>0</v>
      </c>
      <c r="AA1386" s="4">
        <v>0</v>
      </c>
      <c r="AB1386" s="4">
        <f t="shared" si="202"/>
        <v>0</v>
      </c>
      <c r="AC1386" s="6">
        <f t="shared" si="203"/>
        <v>0</v>
      </c>
      <c r="AD1386" s="6">
        <f t="shared" si="208"/>
        <v>0</v>
      </c>
      <c r="AE1386" s="2">
        <v>7.0000000000000007E-2</v>
      </c>
      <c r="AF1386" s="5">
        <f t="shared" si="204"/>
        <v>0</v>
      </c>
      <c r="AG1386" s="14">
        <v>0</v>
      </c>
      <c r="AH1386" s="19">
        <f t="shared" si="206"/>
        <v>0</v>
      </c>
      <c r="AJ1386" s="126" t="e">
        <v>#N/A</v>
      </c>
      <c r="AK1386" s="80">
        <f t="shared" si="205"/>
        <v>0</v>
      </c>
      <c r="AM1386" s="85"/>
    </row>
    <row r="1387" spans="1:39" hidden="1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07"/>
        <v>0</v>
      </c>
      <c r="X1387" s="18">
        <f t="shared" si="209"/>
        <v>0</v>
      </c>
      <c r="Y1387" s="13">
        <f t="shared" si="201"/>
        <v>0</v>
      </c>
      <c r="Z1387" s="14">
        <v>0</v>
      </c>
      <c r="AA1387" s="4">
        <v>0</v>
      </c>
      <c r="AB1387" s="4">
        <f t="shared" si="202"/>
        <v>0</v>
      </c>
      <c r="AC1387" s="6">
        <f t="shared" si="203"/>
        <v>0</v>
      </c>
      <c r="AD1387" s="6">
        <f t="shared" si="208"/>
        <v>0</v>
      </c>
      <c r="AE1387" s="2">
        <v>0.12</v>
      </c>
      <c r="AF1387" s="5">
        <f t="shared" si="204"/>
        <v>0</v>
      </c>
      <c r="AG1387" s="14">
        <v>0</v>
      </c>
      <c r="AH1387" s="19">
        <f t="shared" si="206"/>
        <v>0</v>
      </c>
      <c r="AJ1387" s="126" t="e">
        <v>#N/A</v>
      </c>
      <c r="AK1387" s="80">
        <f t="shared" si="205"/>
        <v>0</v>
      </c>
      <c r="AM1387" s="85"/>
    </row>
    <row r="1388" spans="1:39" hidden="1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07"/>
        <v>2957.1000000000004</v>
      </c>
      <c r="X1388" s="18">
        <f t="shared" si="209"/>
        <v>0</v>
      </c>
      <c r="Y1388" s="13">
        <f t="shared" si="201"/>
        <v>0</v>
      </c>
      <c r="Z1388" s="14">
        <v>0</v>
      </c>
      <c r="AA1388" s="4">
        <v>0</v>
      </c>
      <c r="AB1388" s="4">
        <f t="shared" si="202"/>
        <v>0</v>
      </c>
      <c r="AC1388" s="6">
        <f t="shared" si="203"/>
        <v>0</v>
      </c>
      <c r="AD1388" s="6">
        <f t="shared" si="208"/>
        <v>0</v>
      </c>
      <c r="AE1388" s="2">
        <v>7.0000000000000007E-2</v>
      </c>
      <c r="AF1388" s="5">
        <f t="shared" si="204"/>
        <v>0</v>
      </c>
      <c r="AG1388" s="14">
        <v>0</v>
      </c>
      <c r="AH1388" s="19">
        <f t="shared" si="206"/>
        <v>0</v>
      </c>
      <c r="AJ1388" s="126" t="e">
        <v>#N/A</v>
      </c>
      <c r="AK1388" s="80">
        <f t="shared" si="205"/>
        <v>0</v>
      </c>
      <c r="AM1388" s="85"/>
    </row>
    <row r="1389" spans="1:39" hidden="1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07"/>
        <v>376.56999999999971</v>
      </c>
      <c r="X1389" s="18">
        <f t="shared" si="209"/>
        <v>0</v>
      </c>
      <c r="Y1389" s="13">
        <f t="shared" si="201"/>
        <v>0</v>
      </c>
      <c r="Z1389" s="14">
        <v>0</v>
      </c>
      <c r="AA1389" s="4">
        <v>0</v>
      </c>
      <c r="AB1389" s="4">
        <f t="shared" si="202"/>
        <v>0</v>
      </c>
      <c r="AC1389" s="6">
        <f t="shared" si="203"/>
        <v>0</v>
      </c>
      <c r="AD1389" s="6">
        <f t="shared" si="208"/>
        <v>0</v>
      </c>
      <c r="AE1389" s="2">
        <v>7.0000000000000007E-2</v>
      </c>
      <c r="AF1389" s="5">
        <f t="shared" si="204"/>
        <v>0</v>
      </c>
      <c r="AG1389" s="14">
        <v>0</v>
      </c>
      <c r="AH1389" s="19">
        <f t="shared" si="206"/>
        <v>0</v>
      </c>
      <c r="AJ1389" s="126" t="e">
        <v>#N/A</v>
      </c>
      <c r="AK1389" s="80">
        <f t="shared" si="205"/>
        <v>0</v>
      </c>
      <c r="AM1389" s="85"/>
    </row>
    <row r="1390" spans="1:39" hidden="1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07"/>
        <v>459.09999999999854</v>
      </c>
      <c r="X1390" s="18">
        <f t="shared" si="209"/>
        <v>0</v>
      </c>
      <c r="Y1390" s="13">
        <f t="shared" si="201"/>
        <v>0</v>
      </c>
      <c r="Z1390" s="14">
        <v>0</v>
      </c>
      <c r="AA1390" s="4">
        <v>0</v>
      </c>
      <c r="AB1390" s="4">
        <f t="shared" si="202"/>
        <v>0</v>
      </c>
      <c r="AC1390" s="6">
        <f t="shared" si="203"/>
        <v>0</v>
      </c>
      <c r="AD1390" s="6">
        <f t="shared" si="208"/>
        <v>0</v>
      </c>
      <c r="AE1390" s="2">
        <v>7.0000000000000007E-2</v>
      </c>
      <c r="AF1390" s="5">
        <f t="shared" si="204"/>
        <v>0</v>
      </c>
      <c r="AG1390" s="14">
        <v>0</v>
      </c>
      <c r="AH1390" s="19">
        <f t="shared" si="206"/>
        <v>0</v>
      </c>
      <c r="AJ1390" s="126" t="e">
        <v>#N/A</v>
      </c>
      <c r="AK1390" s="80">
        <f t="shared" si="205"/>
        <v>0</v>
      </c>
      <c r="AM1390" s="85"/>
    </row>
    <row r="1391" spans="1:39" hidden="1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07"/>
        <v>-36306.883640000022</v>
      </c>
      <c r="X1391" s="18">
        <f t="shared" si="209"/>
        <v>0</v>
      </c>
      <c r="Y1391" s="13">
        <f t="shared" si="201"/>
        <v>0</v>
      </c>
      <c r="Z1391" s="14">
        <v>0</v>
      </c>
      <c r="AA1391" s="4">
        <v>0</v>
      </c>
      <c r="AB1391" s="4">
        <f t="shared" si="202"/>
        <v>0</v>
      </c>
      <c r="AC1391" s="6">
        <f t="shared" si="203"/>
        <v>0</v>
      </c>
      <c r="AD1391" s="6">
        <f t="shared" si="208"/>
        <v>0</v>
      </c>
      <c r="AE1391" s="2">
        <v>0.12</v>
      </c>
      <c r="AF1391" s="5">
        <f t="shared" si="204"/>
        <v>0</v>
      </c>
      <c r="AG1391" s="14">
        <v>0</v>
      </c>
      <c r="AH1391" s="19">
        <f t="shared" si="206"/>
        <v>0</v>
      </c>
      <c r="AJ1391" s="126" t="e">
        <v>#N/A</v>
      </c>
      <c r="AK1391" s="80">
        <f t="shared" si="205"/>
        <v>0</v>
      </c>
      <c r="AM1391" s="85"/>
    </row>
    <row r="1392" spans="1:39" hidden="1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07"/>
        <v>-1590008.6081399997</v>
      </c>
      <c r="X1392" s="18">
        <f t="shared" si="209"/>
        <v>0</v>
      </c>
      <c r="Y1392" s="13">
        <f t="shared" si="201"/>
        <v>0</v>
      </c>
      <c r="Z1392" s="14">
        <v>0</v>
      </c>
      <c r="AA1392" s="4">
        <v>0</v>
      </c>
      <c r="AB1392" s="4">
        <f t="shared" si="202"/>
        <v>0</v>
      </c>
      <c r="AC1392" s="6">
        <f t="shared" si="203"/>
        <v>0</v>
      </c>
      <c r="AD1392" s="6">
        <f t="shared" si="208"/>
        <v>0</v>
      </c>
      <c r="AE1392" s="2">
        <v>0.12</v>
      </c>
      <c r="AF1392" s="5">
        <f t="shared" si="204"/>
        <v>0</v>
      </c>
      <c r="AG1392" s="14">
        <v>0</v>
      </c>
      <c r="AH1392" s="19">
        <f t="shared" si="206"/>
        <v>0</v>
      </c>
      <c r="AJ1392" s="126" t="e">
        <v>#N/A</v>
      </c>
      <c r="AK1392" s="80">
        <f t="shared" si="205"/>
        <v>0</v>
      </c>
      <c r="AM1392" s="85"/>
    </row>
    <row r="1393" spans="1:39" hidden="1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07"/>
        <v>492.5</v>
      </c>
      <c r="X1393" s="18">
        <f t="shared" si="209"/>
        <v>0</v>
      </c>
      <c r="Y1393" s="13">
        <f t="shared" si="201"/>
        <v>0</v>
      </c>
      <c r="Z1393" s="14">
        <v>0</v>
      </c>
      <c r="AA1393" s="4">
        <v>0</v>
      </c>
      <c r="AB1393" s="4">
        <f t="shared" si="202"/>
        <v>0</v>
      </c>
      <c r="AC1393" s="6">
        <f t="shared" si="203"/>
        <v>0</v>
      </c>
      <c r="AD1393" s="6">
        <f t="shared" si="208"/>
        <v>0</v>
      </c>
      <c r="AE1393" s="2">
        <v>7.0000000000000007E-2</v>
      </c>
      <c r="AF1393" s="5">
        <f t="shared" si="204"/>
        <v>0</v>
      </c>
      <c r="AG1393" s="14">
        <v>0</v>
      </c>
      <c r="AH1393" s="19">
        <f t="shared" si="206"/>
        <v>0</v>
      </c>
      <c r="AJ1393" s="126" t="e">
        <v>#N/A</v>
      </c>
      <c r="AK1393" s="80">
        <f t="shared" si="205"/>
        <v>0</v>
      </c>
      <c r="AM1393" s="85"/>
    </row>
    <row r="1394" spans="1:39" hidden="1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07"/>
        <v>1.8000000000029104</v>
      </c>
      <c r="X1394" s="18">
        <f t="shared" si="209"/>
        <v>0</v>
      </c>
      <c r="Y1394" s="13">
        <f t="shared" si="201"/>
        <v>0</v>
      </c>
      <c r="Z1394" s="14">
        <v>0</v>
      </c>
      <c r="AA1394" s="4">
        <v>0</v>
      </c>
      <c r="AB1394" s="4">
        <f t="shared" si="202"/>
        <v>0</v>
      </c>
      <c r="AC1394" s="6">
        <f t="shared" si="203"/>
        <v>0</v>
      </c>
      <c r="AD1394" s="6">
        <f t="shared" si="208"/>
        <v>0</v>
      </c>
      <c r="AE1394" s="2">
        <v>7.0000000000000007E-2</v>
      </c>
      <c r="AF1394" s="5">
        <f t="shared" si="204"/>
        <v>0</v>
      </c>
      <c r="AG1394" s="14">
        <v>0</v>
      </c>
      <c r="AH1394" s="19">
        <f t="shared" si="206"/>
        <v>0</v>
      </c>
      <c r="AJ1394" s="126" t="e">
        <v>#N/A</v>
      </c>
      <c r="AK1394" s="80">
        <f t="shared" si="205"/>
        <v>0</v>
      </c>
      <c r="AM1394" s="85"/>
    </row>
    <row r="1395" spans="1:39" hidden="1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07"/>
        <v>476.60000000000036</v>
      </c>
      <c r="X1395" s="18">
        <f t="shared" si="209"/>
        <v>0</v>
      </c>
      <c r="Y1395" s="13">
        <f t="shared" si="201"/>
        <v>0</v>
      </c>
      <c r="Z1395" s="14">
        <v>0</v>
      </c>
      <c r="AA1395" s="4">
        <v>0</v>
      </c>
      <c r="AB1395" s="4">
        <f t="shared" si="202"/>
        <v>0</v>
      </c>
      <c r="AC1395" s="6">
        <f t="shared" si="203"/>
        <v>0</v>
      </c>
      <c r="AD1395" s="6">
        <f t="shared" si="208"/>
        <v>0</v>
      </c>
      <c r="AE1395" s="2">
        <v>7.0000000000000007E-2</v>
      </c>
      <c r="AF1395" s="5">
        <f t="shared" si="204"/>
        <v>0</v>
      </c>
      <c r="AG1395" s="14">
        <v>0</v>
      </c>
      <c r="AH1395" s="19">
        <f t="shared" si="206"/>
        <v>0</v>
      </c>
      <c r="AJ1395" s="126" t="e">
        <v>#N/A</v>
      </c>
      <c r="AK1395" s="80">
        <f t="shared" si="205"/>
        <v>0</v>
      </c>
      <c r="AM1395" s="85"/>
    </row>
    <row r="1396" spans="1:39" hidden="1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07"/>
        <v>78867.899999999994</v>
      </c>
      <c r="X1396" s="18">
        <f t="shared" si="209"/>
        <v>0</v>
      </c>
      <c r="Y1396" s="13">
        <f t="shared" si="201"/>
        <v>0</v>
      </c>
      <c r="Z1396" s="14">
        <v>0</v>
      </c>
      <c r="AA1396" s="4">
        <v>0</v>
      </c>
      <c r="AB1396" s="4">
        <f t="shared" si="202"/>
        <v>0</v>
      </c>
      <c r="AC1396" s="6">
        <f t="shared" si="203"/>
        <v>0</v>
      </c>
      <c r="AD1396" s="6">
        <f t="shared" si="208"/>
        <v>0</v>
      </c>
      <c r="AE1396" s="2">
        <v>7.0000000000000007E-2</v>
      </c>
      <c r="AF1396" s="5">
        <f t="shared" si="204"/>
        <v>0</v>
      </c>
      <c r="AG1396" s="14">
        <v>0</v>
      </c>
      <c r="AH1396" s="19">
        <f t="shared" si="206"/>
        <v>0</v>
      </c>
      <c r="AJ1396" s="126" t="e">
        <v>#N/A</v>
      </c>
      <c r="AK1396" s="80">
        <f t="shared" si="205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07"/>
        <v>30000</v>
      </c>
      <c r="X1397" s="18">
        <f t="shared" si="209"/>
        <v>0</v>
      </c>
      <c r="Y1397" s="13">
        <f t="shared" si="201"/>
        <v>0</v>
      </c>
      <c r="Z1397" s="14">
        <v>0</v>
      </c>
      <c r="AA1397" s="4">
        <v>0</v>
      </c>
      <c r="AB1397" s="4">
        <f t="shared" si="202"/>
        <v>0</v>
      </c>
      <c r="AC1397" s="6">
        <f t="shared" si="203"/>
        <v>0</v>
      </c>
      <c r="AD1397" s="6">
        <f t="shared" si="208"/>
        <v>0</v>
      </c>
      <c r="AE1397" s="2">
        <v>7.0000000000000007E-2</v>
      </c>
      <c r="AF1397" s="5">
        <f t="shared" si="204"/>
        <v>0</v>
      </c>
      <c r="AG1397" s="14">
        <v>0</v>
      </c>
      <c r="AH1397" s="19">
        <f t="shared" si="206"/>
        <v>0</v>
      </c>
      <c r="AJ1397" s="126" t="e">
        <v>#N/A</v>
      </c>
      <c r="AK1397" s="80">
        <f t="shared" si="205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07"/>
        <v>7976.3767700000008</v>
      </c>
      <c r="X1398" s="18">
        <f t="shared" si="209"/>
        <v>0</v>
      </c>
      <c r="Y1398" s="13">
        <f t="shared" si="201"/>
        <v>0</v>
      </c>
      <c r="Z1398" s="14">
        <v>0</v>
      </c>
      <c r="AA1398" s="4">
        <v>0</v>
      </c>
      <c r="AB1398" s="4">
        <f t="shared" si="202"/>
        <v>0</v>
      </c>
      <c r="AC1398" s="6">
        <f t="shared" si="203"/>
        <v>0</v>
      </c>
      <c r="AD1398" s="6">
        <f t="shared" si="208"/>
        <v>0</v>
      </c>
      <c r="AE1398" s="2">
        <v>0.12</v>
      </c>
      <c r="AF1398" s="5">
        <f t="shared" si="204"/>
        <v>0</v>
      </c>
      <c r="AG1398" s="14">
        <v>0</v>
      </c>
      <c r="AH1398" s="19">
        <f t="shared" si="206"/>
        <v>0</v>
      </c>
      <c r="AJ1398" s="126" t="e">
        <v>#N/A</v>
      </c>
      <c r="AK1398" s="80">
        <f t="shared" si="205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07"/>
        <v>48179.8</v>
      </c>
      <c r="X1399" s="18">
        <f t="shared" si="209"/>
        <v>0</v>
      </c>
      <c r="Y1399" s="13">
        <f t="shared" si="201"/>
        <v>0</v>
      </c>
      <c r="Z1399" s="14">
        <v>0</v>
      </c>
      <c r="AA1399" s="4">
        <v>0</v>
      </c>
      <c r="AB1399" s="4">
        <f t="shared" si="202"/>
        <v>0</v>
      </c>
      <c r="AC1399" s="6">
        <f t="shared" si="203"/>
        <v>0</v>
      </c>
      <c r="AD1399" s="18">
        <f>V1399</f>
        <v>0</v>
      </c>
      <c r="AE1399" s="2">
        <v>0</v>
      </c>
      <c r="AF1399" s="5">
        <f t="shared" si="204"/>
        <v>0</v>
      </c>
      <c r="AG1399" s="14">
        <v>0</v>
      </c>
      <c r="AH1399" s="19">
        <f t="shared" si="206"/>
        <v>0</v>
      </c>
      <c r="AJ1399" s="126" t="e">
        <v>#N/A</v>
      </c>
      <c r="AK1399" s="80">
        <f t="shared" si="205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07"/>
        <v>-14.2</v>
      </c>
      <c r="X1400" s="18">
        <f t="shared" si="209"/>
        <v>0</v>
      </c>
      <c r="Y1400" s="13">
        <f t="shared" si="201"/>
        <v>0</v>
      </c>
      <c r="Z1400" s="14">
        <v>0</v>
      </c>
      <c r="AA1400" s="4">
        <v>0</v>
      </c>
      <c r="AB1400" s="4">
        <f t="shared" si="202"/>
        <v>0</v>
      </c>
      <c r="AC1400" s="6">
        <f t="shared" si="203"/>
        <v>0</v>
      </c>
      <c r="AD1400" s="18">
        <f>V1400</f>
        <v>0</v>
      </c>
      <c r="AE1400" s="2">
        <v>0</v>
      </c>
      <c r="AF1400" s="5">
        <f t="shared" si="204"/>
        <v>0</v>
      </c>
      <c r="AG1400" s="14">
        <v>0</v>
      </c>
      <c r="AH1400" s="19">
        <f t="shared" si="206"/>
        <v>0</v>
      </c>
      <c r="AJ1400" s="126" t="e">
        <v>#N/A</v>
      </c>
      <c r="AK1400" s="80">
        <f t="shared" si="205"/>
        <v>0</v>
      </c>
      <c r="AM1400" s="85"/>
    </row>
    <row r="1401" spans="1:39" hidden="1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09"/>
        <v>0</v>
      </c>
      <c r="Y1401" s="13">
        <f t="shared" si="201"/>
        <v>0</v>
      </c>
      <c r="Z1401" s="14">
        <v>0</v>
      </c>
      <c r="AA1401" s="4">
        <v>0</v>
      </c>
      <c r="AB1401" s="4">
        <f t="shared" si="202"/>
        <v>0</v>
      </c>
      <c r="AC1401" s="6">
        <f t="shared" si="203"/>
        <v>0</v>
      </c>
      <c r="AD1401" s="18">
        <f>V1401</f>
        <v>0</v>
      </c>
      <c r="AE1401" s="2">
        <v>0</v>
      </c>
      <c r="AF1401" s="5">
        <f t="shared" si="204"/>
        <v>0</v>
      </c>
      <c r="AG1401" s="14">
        <v>0</v>
      </c>
      <c r="AH1401" s="19">
        <f t="shared" si="206"/>
        <v>0</v>
      </c>
      <c r="AJ1401" s="126" t="e">
        <v>#N/A</v>
      </c>
      <c r="AK1401" s="80">
        <f t="shared" si="205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07"/>
        <v>5697.7</v>
      </c>
      <c r="X1402" s="18">
        <f t="shared" si="209"/>
        <v>0</v>
      </c>
      <c r="Y1402" s="13">
        <f t="shared" si="201"/>
        <v>0</v>
      </c>
      <c r="Z1402" s="14">
        <v>0</v>
      </c>
      <c r="AA1402" s="4">
        <v>0</v>
      </c>
      <c r="AB1402" s="4">
        <f t="shared" si="202"/>
        <v>0</v>
      </c>
      <c r="AC1402" s="6">
        <f t="shared" si="203"/>
        <v>0</v>
      </c>
      <c r="AD1402" s="18">
        <f>V1402</f>
        <v>0</v>
      </c>
      <c r="AE1402" s="2">
        <v>0.02</v>
      </c>
      <c r="AF1402" s="5">
        <f t="shared" si="204"/>
        <v>0</v>
      </c>
      <c r="AG1402" s="14">
        <v>0</v>
      </c>
      <c r="AH1402" s="19">
        <f t="shared" si="206"/>
        <v>0</v>
      </c>
      <c r="AJ1402" s="126" t="e">
        <v>#N/A</v>
      </c>
      <c r="AK1402" s="80">
        <f t="shared" si="205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07"/>
        <v>0</v>
      </c>
      <c r="X1403" s="18">
        <f t="shared" si="209"/>
        <v>0</v>
      </c>
      <c r="Y1403" s="13">
        <f t="shared" si="201"/>
        <v>0</v>
      </c>
      <c r="Z1403" s="14">
        <v>0</v>
      </c>
      <c r="AA1403" s="4">
        <v>0</v>
      </c>
      <c r="AB1403" s="4">
        <f t="shared" si="202"/>
        <v>0</v>
      </c>
      <c r="AC1403" s="6">
        <f t="shared" si="203"/>
        <v>0</v>
      </c>
      <c r="AD1403" s="6">
        <f t="shared" ref="AD1403:AD1466" si="210">V1403*0.598955254612663</f>
        <v>0</v>
      </c>
      <c r="AE1403" s="2">
        <v>7.0000000000000007E-2</v>
      </c>
      <c r="AF1403" s="5">
        <f t="shared" si="204"/>
        <v>0</v>
      </c>
      <c r="AG1403" s="14">
        <v>0</v>
      </c>
      <c r="AH1403" s="19">
        <f t="shared" si="206"/>
        <v>0</v>
      </c>
      <c r="AJ1403" s="126" t="e">
        <v>#N/A</v>
      </c>
      <c r="AK1403" s="80">
        <f t="shared" si="205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07"/>
        <v>-936905.81706000003</v>
      </c>
      <c r="X1404" s="18">
        <f t="shared" si="209"/>
        <v>0</v>
      </c>
      <c r="Y1404" s="13">
        <f t="shared" si="201"/>
        <v>0</v>
      </c>
      <c r="Z1404" s="14">
        <v>0</v>
      </c>
      <c r="AA1404" s="4">
        <v>0</v>
      </c>
      <c r="AB1404" s="4">
        <f t="shared" si="202"/>
        <v>0</v>
      </c>
      <c r="AC1404" s="6">
        <f t="shared" si="203"/>
        <v>0</v>
      </c>
      <c r="AD1404" s="6">
        <f t="shared" si="210"/>
        <v>0</v>
      </c>
      <c r="AE1404" s="2">
        <v>0.12</v>
      </c>
      <c r="AF1404" s="5">
        <f t="shared" si="204"/>
        <v>0</v>
      </c>
      <c r="AG1404" s="14">
        <v>0</v>
      </c>
      <c r="AH1404" s="19">
        <f t="shared" si="206"/>
        <v>0</v>
      </c>
      <c r="AJ1404" s="126" t="e">
        <v>#N/A</v>
      </c>
      <c r="AK1404" s="80">
        <f t="shared" si="205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07"/>
        <v>-185345.80999999997</v>
      </c>
      <c r="X1405" s="18">
        <f t="shared" si="209"/>
        <v>0</v>
      </c>
      <c r="Y1405" s="13">
        <f t="shared" si="201"/>
        <v>0</v>
      </c>
      <c r="Z1405" s="14">
        <v>0</v>
      </c>
      <c r="AA1405" s="4">
        <v>0</v>
      </c>
      <c r="AB1405" s="4">
        <f t="shared" si="202"/>
        <v>0</v>
      </c>
      <c r="AC1405" s="6">
        <f t="shared" si="203"/>
        <v>0</v>
      </c>
      <c r="AD1405" s="6">
        <f t="shared" si="210"/>
        <v>0</v>
      </c>
      <c r="AE1405" s="2">
        <v>0.15</v>
      </c>
      <c r="AF1405" s="5">
        <f t="shared" si="204"/>
        <v>0</v>
      </c>
      <c r="AG1405" s="14">
        <v>0</v>
      </c>
      <c r="AH1405" s="19">
        <f t="shared" si="206"/>
        <v>0</v>
      </c>
      <c r="AJ1405" s="126" t="e">
        <v>#N/A</v>
      </c>
      <c r="AK1405" s="80">
        <f t="shared" si="205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07"/>
        <v>-43803.945879999999</v>
      </c>
      <c r="X1406" s="18">
        <f t="shared" si="209"/>
        <v>0</v>
      </c>
      <c r="Y1406" s="13">
        <f t="shared" si="201"/>
        <v>0</v>
      </c>
      <c r="Z1406" s="14">
        <v>0</v>
      </c>
      <c r="AA1406" s="4">
        <v>0</v>
      </c>
      <c r="AB1406" s="4">
        <f t="shared" si="202"/>
        <v>0</v>
      </c>
      <c r="AC1406" s="6">
        <f t="shared" si="203"/>
        <v>0</v>
      </c>
      <c r="AD1406" s="6">
        <f t="shared" si="210"/>
        <v>0</v>
      </c>
      <c r="AE1406" s="2">
        <v>0.12</v>
      </c>
      <c r="AF1406" s="5">
        <f t="shared" si="204"/>
        <v>0</v>
      </c>
      <c r="AG1406" s="14">
        <v>0</v>
      </c>
      <c r="AH1406" s="19">
        <f t="shared" si="206"/>
        <v>0</v>
      </c>
      <c r="AJ1406" s="126" t="e">
        <v>#N/A</v>
      </c>
      <c r="AK1406" s="80">
        <f t="shared" si="205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07"/>
        <v>-1556696.7951199999</v>
      </c>
      <c r="X1407" s="18">
        <f t="shared" si="209"/>
        <v>1496823.8414615383</v>
      </c>
      <c r="Y1407" s="13">
        <f t="shared" si="201"/>
        <v>564432.11618572241</v>
      </c>
      <c r="Z1407" s="14">
        <v>0</v>
      </c>
      <c r="AA1407" s="4">
        <v>0</v>
      </c>
      <c r="AB1407" s="4">
        <f t="shared" si="202"/>
        <v>1496823.8414615383</v>
      </c>
      <c r="AC1407" s="6">
        <f t="shared" si="203"/>
        <v>59872.953658461571</v>
      </c>
      <c r="AD1407" s="6">
        <f t="shared" si="210"/>
        <v>932391.72527581593</v>
      </c>
      <c r="AE1407" s="2">
        <v>0.15</v>
      </c>
      <c r="AF1407" s="5">
        <f t="shared" si="204"/>
        <v>139858.75879137238</v>
      </c>
      <c r="AG1407" s="14">
        <v>0</v>
      </c>
      <c r="AH1407" s="19">
        <f t="shared" si="206"/>
        <v>1556696.7951199999</v>
      </c>
      <c r="AJ1407" s="126" t="e">
        <v>#N/A</v>
      </c>
      <c r="AK1407" s="80">
        <f t="shared" si="205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07"/>
        <v>1111.7</v>
      </c>
      <c r="X1408" s="18">
        <f t="shared" si="209"/>
        <v>0</v>
      </c>
      <c r="Y1408" s="13">
        <f t="shared" si="201"/>
        <v>0</v>
      </c>
      <c r="Z1408" s="14">
        <v>0</v>
      </c>
      <c r="AA1408" s="4">
        <v>0</v>
      </c>
      <c r="AB1408" s="4">
        <f t="shared" si="202"/>
        <v>0</v>
      </c>
      <c r="AC1408" s="6">
        <f t="shared" si="203"/>
        <v>0</v>
      </c>
      <c r="AD1408" s="6">
        <f t="shared" si="210"/>
        <v>0</v>
      </c>
      <c r="AE1408" s="2">
        <v>7.0000000000000007E-2</v>
      </c>
      <c r="AF1408" s="5">
        <f t="shared" si="204"/>
        <v>0</v>
      </c>
      <c r="AG1408" s="14">
        <v>0</v>
      </c>
      <c r="AH1408" s="19">
        <f t="shared" si="206"/>
        <v>0</v>
      </c>
      <c r="AJ1408" s="126" t="e">
        <v>#N/A</v>
      </c>
      <c r="AK1408" s="80">
        <f t="shared" si="205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07"/>
        <v>-23338.6</v>
      </c>
      <c r="X1409" s="18">
        <f t="shared" si="209"/>
        <v>0</v>
      </c>
      <c r="Y1409" s="13">
        <f t="shared" si="201"/>
        <v>0</v>
      </c>
      <c r="Z1409" s="14">
        <v>0</v>
      </c>
      <c r="AA1409" s="4">
        <v>0</v>
      </c>
      <c r="AB1409" s="4">
        <f t="shared" si="202"/>
        <v>0</v>
      </c>
      <c r="AC1409" s="6">
        <f t="shared" si="203"/>
        <v>0</v>
      </c>
      <c r="AD1409" s="6">
        <f t="shared" si="210"/>
        <v>0</v>
      </c>
      <c r="AE1409" s="2">
        <v>0.15</v>
      </c>
      <c r="AF1409" s="5">
        <f t="shared" si="204"/>
        <v>0</v>
      </c>
      <c r="AG1409" s="14">
        <v>0</v>
      </c>
      <c r="AH1409" s="19">
        <f t="shared" si="206"/>
        <v>0</v>
      </c>
      <c r="AJ1409" s="126" t="e">
        <v>#N/A</v>
      </c>
      <c r="AK1409" s="80">
        <f t="shared" si="205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07"/>
        <v>12.47</v>
      </c>
      <c r="X1410" s="18">
        <f t="shared" si="209"/>
        <v>0</v>
      </c>
      <c r="Y1410" s="13">
        <f t="shared" si="201"/>
        <v>0</v>
      </c>
      <c r="Z1410" s="14">
        <v>0</v>
      </c>
      <c r="AA1410" s="4">
        <v>0</v>
      </c>
      <c r="AB1410" s="4">
        <f t="shared" si="202"/>
        <v>0</v>
      </c>
      <c r="AC1410" s="6">
        <f t="shared" si="203"/>
        <v>0</v>
      </c>
      <c r="AD1410" s="6">
        <f t="shared" si="210"/>
        <v>0</v>
      </c>
      <c r="AE1410" s="2">
        <v>0.12</v>
      </c>
      <c r="AF1410" s="5">
        <f t="shared" si="204"/>
        <v>0</v>
      </c>
      <c r="AG1410" s="14">
        <v>0</v>
      </c>
      <c r="AH1410" s="19">
        <f t="shared" si="206"/>
        <v>0</v>
      </c>
      <c r="AJ1410" s="126" t="e">
        <v>#N/A</v>
      </c>
      <c r="AK1410" s="80">
        <f t="shared" si="205"/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07"/>
        <v>450.89999999998997</v>
      </c>
      <c r="X1411" s="18">
        <f t="shared" si="209"/>
        <v>0</v>
      </c>
      <c r="Y1411" s="13">
        <f t="shared" ref="Y1411:Y1474" si="21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12">X1411+AA1411</f>
        <v>0</v>
      </c>
      <c r="AC1411" s="6">
        <f t="shared" ref="AC1411:AC1474" si="213">IF(P1411="返现",X1411*Q1411,V1411-X1411)</f>
        <v>0</v>
      </c>
      <c r="AD1411" s="6">
        <f t="shared" si="210"/>
        <v>0</v>
      </c>
      <c r="AE1411" s="2">
        <v>7.0000000000000007E-2</v>
      </c>
      <c r="AF1411" s="5">
        <f t="shared" ref="AF1411:AF1474" si="214">AD1411*AE1411</f>
        <v>0</v>
      </c>
      <c r="AG1411" s="14">
        <v>0</v>
      </c>
      <c r="AH1411" s="19">
        <f t="shared" si="206"/>
        <v>0</v>
      </c>
      <c r="AJ1411" s="126" t="e">
        <v>#N/A</v>
      </c>
      <c r="AK1411" s="80">
        <f t="shared" ref="AK1411:AK1474" si="215">X1411+AA1411-AB1411</f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07"/>
        <v>4.9999999999954498E-2</v>
      </c>
      <c r="X1412" s="18">
        <f t="shared" si="209"/>
        <v>0</v>
      </c>
      <c r="Y1412" s="13">
        <f t="shared" si="211"/>
        <v>0</v>
      </c>
      <c r="Z1412" s="14">
        <v>0</v>
      </c>
      <c r="AA1412" s="4">
        <v>0</v>
      </c>
      <c r="AB1412" s="4">
        <f t="shared" si="212"/>
        <v>0</v>
      </c>
      <c r="AC1412" s="6">
        <f t="shared" si="213"/>
        <v>0</v>
      </c>
      <c r="AD1412" s="6">
        <f t="shared" si="210"/>
        <v>0</v>
      </c>
      <c r="AE1412" s="2">
        <v>0.12</v>
      </c>
      <c r="AF1412" s="5">
        <f t="shared" si="214"/>
        <v>0</v>
      </c>
      <c r="AG1412" s="14">
        <v>0</v>
      </c>
      <c r="AH1412" s="19">
        <f t="shared" si="206"/>
        <v>0</v>
      </c>
      <c r="AJ1412" s="126" t="e">
        <v>#N/A</v>
      </c>
      <c r="AK1412" s="80">
        <f t="shared" si="215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07"/>
        <v>1.1000000000000001</v>
      </c>
      <c r="X1413" s="18">
        <f t="shared" si="209"/>
        <v>0</v>
      </c>
      <c r="Y1413" s="13">
        <f t="shared" si="211"/>
        <v>0</v>
      </c>
      <c r="Z1413" s="14">
        <v>0</v>
      </c>
      <c r="AA1413" s="4">
        <v>0</v>
      </c>
      <c r="AB1413" s="4">
        <f t="shared" si="212"/>
        <v>0</v>
      </c>
      <c r="AC1413" s="6">
        <f t="shared" si="213"/>
        <v>0</v>
      </c>
      <c r="AD1413" s="6">
        <f t="shared" si="210"/>
        <v>0</v>
      </c>
      <c r="AE1413" s="2">
        <v>7.0000000000000007E-2</v>
      </c>
      <c r="AF1413" s="5">
        <f t="shared" si="214"/>
        <v>0</v>
      </c>
      <c r="AG1413" s="14">
        <v>0</v>
      </c>
      <c r="AH1413" s="19">
        <f t="shared" si="206"/>
        <v>0</v>
      </c>
      <c r="AJ1413" s="126" t="e">
        <v>#N/A</v>
      </c>
      <c r="AK1413" s="80">
        <f t="shared" si="215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07"/>
        <v>447.35000000001003</v>
      </c>
      <c r="X1414" s="18">
        <f t="shared" si="209"/>
        <v>0</v>
      </c>
      <c r="Y1414" s="13">
        <f t="shared" si="211"/>
        <v>0</v>
      </c>
      <c r="Z1414" s="14">
        <v>0</v>
      </c>
      <c r="AA1414" s="4">
        <v>0</v>
      </c>
      <c r="AB1414" s="4"/>
      <c r="AC1414" s="6">
        <f t="shared" si="213"/>
        <v>0</v>
      </c>
      <c r="AD1414" s="6">
        <f t="shared" si="210"/>
        <v>0</v>
      </c>
      <c r="AE1414" s="2">
        <v>0.12</v>
      </c>
      <c r="AF1414" s="5">
        <f t="shared" si="214"/>
        <v>0</v>
      </c>
      <c r="AG1414" s="14">
        <v>0</v>
      </c>
      <c r="AH1414" s="19">
        <f t="shared" si="206"/>
        <v>0</v>
      </c>
      <c r="AJ1414" s="126">
        <v>66</v>
      </c>
      <c r="AK1414" s="80">
        <f t="shared" si="215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07"/>
        <v>3627.9</v>
      </c>
      <c r="X1415" s="18">
        <f t="shared" si="209"/>
        <v>0</v>
      </c>
      <c r="Y1415" s="13">
        <f t="shared" si="211"/>
        <v>0</v>
      </c>
      <c r="Z1415" s="14">
        <v>0</v>
      </c>
      <c r="AA1415" s="4">
        <v>0</v>
      </c>
      <c r="AB1415" s="4">
        <f t="shared" si="212"/>
        <v>0</v>
      </c>
      <c r="AC1415" s="6">
        <f t="shared" si="213"/>
        <v>0</v>
      </c>
      <c r="AD1415" s="6">
        <f t="shared" si="210"/>
        <v>0</v>
      </c>
      <c r="AE1415" s="2">
        <v>7.0000000000000007E-2</v>
      </c>
      <c r="AF1415" s="5">
        <f t="shared" si="214"/>
        <v>0</v>
      </c>
      <c r="AG1415" s="14">
        <v>0</v>
      </c>
      <c r="AH1415" s="19">
        <f t="shared" si="206"/>
        <v>0</v>
      </c>
      <c r="AJ1415" s="126" t="e">
        <v>#N/A</v>
      </c>
      <c r="AK1415" s="80">
        <f t="shared" si="215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07"/>
        <v>-180715.45261000001</v>
      </c>
      <c r="X1416" s="18">
        <f t="shared" si="209"/>
        <v>0</v>
      </c>
      <c r="Y1416" s="13">
        <f t="shared" si="211"/>
        <v>0</v>
      </c>
      <c r="Z1416" s="14">
        <v>0</v>
      </c>
      <c r="AA1416" s="4">
        <v>0</v>
      </c>
      <c r="AB1416" s="4">
        <f t="shared" si="212"/>
        <v>0</v>
      </c>
      <c r="AC1416" s="6">
        <f t="shared" si="213"/>
        <v>0</v>
      </c>
      <c r="AD1416" s="6">
        <f t="shared" si="210"/>
        <v>0</v>
      </c>
      <c r="AE1416" s="2">
        <v>0.12</v>
      </c>
      <c r="AF1416" s="5">
        <f t="shared" si="214"/>
        <v>0</v>
      </c>
      <c r="AG1416" s="14">
        <v>0</v>
      </c>
      <c r="AH1416" s="19">
        <f t="shared" si="206"/>
        <v>0</v>
      </c>
      <c r="AJ1416" s="126" t="e">
        <v>#N/A</v>
      </c>
      <c r="AK1416" s="80">
        <f t="shared" si="215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07"/>
        <v>-4350.87</v>
      </c>
      <c r="X1417" s="18">
        <f t="shared" si="209"/>
        <v>0</v>
      </c>
      <c r="Y1417" s="13">
        <f t="shared" si="211"/>
        <v>0</v>
      </c>
      <c r="Z1417" s="14">
        <v>0</v>
      </c>
      <c r="AA1417" s="4">
        <v>0</v>
      </c>
      <c r="AB1417" s="4">
        <f t="shared" si="212"/>
        <v>0</v>
      </c>
      <c r="AC1417" s="6">
        <f t="shared" si="213"/>
        <v>0</v>
      </c>
      <c r="AD1417" s="6">
        <f t="shared" si="210"/>
        <v>0</v>
      </c>
      <c r="AE1417" s="2">
        <v>0.15</v>
      </c>
      <c r="AF1417" s="5">
        <f t="shared" si="214"/>
        <v>0</v>
      </c>
      <c r="AG1417" s="14">
        <v>0</v>
      </c>
      <c r="AH1417" s="19">
        <f t="shared" si="206"/>
        <v>0</v>
      </c>
      <c r="AJ1417" s="126" t="e">
        <v>#N/A</v>
      </c>
      <c r="AK1417" s="80">
        <f t="shared" si="215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07"/>
        <v>-5507.8273900000013</v>
      </c>
      <c r="X1418" s="18">
        <f t="shared" si="209"/>
        <v>0</v>
      </c>
      <c r="Y1418" s="13">
        <f t="shared" si="211"/>
        <v>0</v>
      </c>
      <c r="Z1418" s="14">
        <v>0</v>
      </c>
      <c r="AA1418" s="4">
        <v>0</v>
      </c>
      <c r="AB1418" s="4">
        <f t="shared" si="212"/>
        <v>0</v>
      </c>
      <c r="AC1418" s="6">
        <f t="shared" si="213"/>
        <v>0</v>
      </c>
      <c r="AD1418" s="6">
        <f t="shared" si="210"/>
        <v>0</v>
      </c>
      <c r="AE1418" s="2">
        <v>0.12</v>
      </c>
      <c r="AF1418" s="5">
        <f t="shared" si="214"/>
        <v>0</v>
      </c>
      <c r="AG1418" s="14">
        <v>0</v>
      </c>
      <c r="AH1418" s="19">
        <f t="shared" si="206"/>
        <v>0</v>
      </c>
      <c r="AJ1418" s="126" t="e">
        <v>#N/A</v>
      </c>
      <c r="AK1418" s="80">
        <f t="shared" si="215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07"/>
        <v>2728.4</v>
      </c>
      <c r="X1419" s="18">
        <f t="shared" si="209"/>
        <v>0</v>
      </c>
      <c r="Y1419" s="13">
        <f t="shared" si="211"/>
        <v>0</v>
      </c>
      <c r="Z1419" s="14">
        <v>0</v>
      </c>
      <c r="AA1419" s="4">
        <v>0</v>
      </c>
      <c r="AB1419" s="4">
        <f t="shared" si="212"/>
        <v>0</v>
      </c>
      <c r="AC1419" s="6">
        <f t="shared" si="213"/>
        <v>0</v>
      </c>
      <c r="AD1419" s="6">
        <f t="shared" si="210"/>
        <v>0</v>
      </c>
      <c r="AE1419" s="2">
        <v>7.0000000000000007E-2</v>
      </c>
      <c r="AF1419" s="5">
        <f t="shared" si="214"/>
        <v>0</v>
      </c>
      <c r="AG1419" s="14">
        <v>0</v>
      </c>
      <c r="AH1419" s="19">
        <f t="shared" si="206"/>
        <v>0</v>
      </c>
      <c r="AJ1419" s="126" t="e">
        <v>#N/A</v>
      </c>
      <c r="AK1419" s="80">
        <f t="shared" si="215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07"/>
        <v>5706.5</v>
      </c>
      <c r="X1420" s="18">
        <f t="shared" si="209"/>
        <v>0</v>
      </c>
      <c r="Y1420" s="13">
        <f t="shared" si="211"/>
        <v>0</v>
      </c>
      <c r="Z1420" s="14">
        <v>0</v>
      </c>
      <c r="AA1420" s="4">
        <v>0</v>
      </c>
      <c r="AB1420" s="4">
        <f t="shared" si="212"/>
        <v>0</v>
      </c>
      <c r="AC1420" s="6">
        <f t="shared" si="213"/>
        <v>0</v>
      </c>
      <c r="AD1420" s="6">
        <f t="shared" si="210"/>
        <v>0</v>
      </c>
      <c r="AE1420" s="2">
        <v>0.12</v>
      </c>
      <c r="AF1420" s="5">
        <f t="shared" si="214"/>
        <v>0</v>
      </c>
      <c r="AG1420" s="14">
        <v>0</v>
      </c>
      <c r="AH1420" s="19">
        <f t="shared" si="206"/>
        <v>0</v>
      </c>
      <c r="AJ1420" s="126" t="e">
        <v>#N/A</v>
      </c>
      <c r="AK1420" s="80">
        <f t="shared" si="215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07"/>
        <v>352.30000000000098</v>
      </c>
      <c r="X1421" s="18">
        <f t="shared" si="209"/>
        <v>0</v>
      </c>
      <c r="Y1421" s="13">
        <f t="shared" si="211"/>
        <v>0</v>
      </c>
      <c r="Z1421" s="14">
        <v>0</v>
      </c>
      <c r="AA1421" s="4">
        <v>0</v>
      </c>
      <c r="AB1421" s="4">
        <f t="shared" si="212"/>
        <v>0</v>
      </c>
      <c r="AC1421" s="6">
        <f t="shared" si="213"/>
        <v>0</v>
      </c>
      <c r="AD1421" s="6">
        <f t="shared" si="210"/>
        <v>0</v>
      </c>
      <c r="AE1421" s="2">
        <v>7.0000000000000007E-2</v>
      </c>
      <c r="AF1421" s="5">
        <f t="shared" si="214"/>
        <v>0</v>
      </c>
      <c r="AG1421" s="14">
        <v>0</v>
      </c>
      <c r="AH1421" s="19">
        <f t="shared" si="206"/>
        <v>0</v>
      </c>
      <c r="AJ1421" s="126" t="e">
        <v>#N/A</v>
      </c>
      <c r="AK1421" s="80">
        <f t="shared" si="215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07"/>
        <v>720.7599999999984</v>
      </c>
      <c r="X1422" s="18">
        <f t="shared" si="209"/>
        <v>0</v>
      </c>
      <c r="Y1422" s="13">
        <f t="shared" si="211"/>
        <v>0</v>
      </c>
      <c r="Z1422" s="14">
        <v>0</v>
      </c>
      <c r="AA1422" s="4">
        <v>0</v>
      </c>
      <c r="AB1422" s="4">
        <f t="shared" si="212"/>
        <v>0</v>
      </c>
      <c r="AC1422" s="6">
        <f t="shared" si="213"/>
        <v>0</v>
      </c>
      <c r="AD1422" s="6">
        <f t="shared" si="210"/>
        <v>0</v>
      </c>
      <c r="AE1422" s="2">
        <v>7.0000000000000007E-2</v>
      </c>
      <c r="AF1422" s="5">
        <f t="shared" si="214"/>
        <v>0</v>
      </c>
      <c r="AG1422" s="14">
        <v>0</v>
      </c>
      <c r="AH1422" s="19">
        <f t="shared" si="206"/>
        <v>0</v>
      </c>
      <c r="AJ1422" s="126" t="e">
        <v>#N/A</v>
      </c>
      <c r="AK1422" s="80">
        <f t="shared" si="215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07"/>
        <v>120.71</v>
      </c>
      <c r="X1423" s="18">
        <f t="shared" si="209"/>
        <v>0</v>
      </c>
      <c r="Y1423" s="13">
        <f t="shared" si="211"/>
        <v>0</v>
      </c>
      <c r="Z1423" s="14">
        <v>0</v>
      </c>
      <c r="AA1423" s="4">
        <v>0</v>
      </c>
      <c r="AB1423" s="4">
        <f t="shared" si="212"/>
        <v>0</v>
      </c>
      <c r="AC1423" s="6">
        <f t="shared" si="213"/>
        <v>0</v>
      </c>
      <c r="AD1423" s="6">
        <f t="shared" si="210"/>
        <v>0</v>
      </c>
      <c r="AE1423" s="2">
        <v>0.12</v>
      </c>
      <c r="AF1423" s="5">
        <f t="shared" si="214"/>
        <v>0</v>
      </c>
      <c r="AG1423" s="14">
        <v>0</v>
      </c>
      <c r="AH1423" s="19">
        <f t="shared" si="206"/>
        <v>0</v>
      </c>
      <c r="AJ1423" s="126" t="e">
        <v>#N/A</v>
      </c>
      <c r="AK1423" s="80">
        <f t="shared" si="215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07"/>
        <v>0.100000000000023</v>
      </c>
      <c r="X1424" s="18">
        <f t="shared" si="209"/>
        <v>0</v>
      </c>
      <c r="Y1424" s="13">
        <f t="shared" si="211"/>
        <v>0</v>
      </c>
      <c r="Z1424" s="14">
        <v>0</v>
      </c>
      <c r="AA1424" s="4">
        <v>0</v>
      </c>
      <c r="AB1424" s="4">
        <f t="shared" si="212"/>
        <v>0</v>
      </c>
      <c r="AC1424" s="6">
        <f t="shared" si="213"/>
        <v>0</v>
      </c>
      <c r="AD1424" s="6">
        <f t="shared" si="210"/>
        <v>0</v>
      </c>
      <c r="AE1424" s="2">
        <v>0.12</v>
      </c>
      <c r="AF1424" s="5">
        <f t="shared" si="214"/>
        <v>0</v>
      </c>
      <c r="AG1424" s="14">
        <v>0</v>
      </c>
      <c r="AH1424" s="19">
        <f t="shared" si="206"/>
        <v>0</v>
      </c>
      <c r="AJ1424" s="126" t="e">
        <v>#N/A</v>
      </c>
      <c r="AK1424" s="80">
        <f t="shared" si="215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07"/>
        <v>-1687065.62026</v>
      </c>
      <c r="X1425" s="18">
        <f t="shared" si="209"/>
        <v>0.73272000000000004</v>
      </c>
      <c r="Y1425" s="13">
        <f t="shared" si="211"/>
        <v>0.29385350584020958</v>
      </c>
      <c r="Z1425" s="14">
        <v>0</v>
      </c>
      <c r="AA1425" s="4">
        <v>0</v>
      </c>
      <c r="AB1425" s="4">
        <f t="shared" si="212"/>
        <v>0.73272000000000004</v>
      </c>
      <c r="AC1425" s="6">
        <f t="shared" si="213"/>
        <v>0</v>
      </c>
      <c r="AD1425" s="6">
        <f t="shared" si="210"/>
        <v>0.43886649415979045</v>
      </c>
      <c r="AE1425" s="2">
        <v>0.12</v>
      </c>
      <c r="AF1425" s="5">
        <f t="shared" si="214"/>
        <v>5.2663979299174851E-2</v>
      </c>
      <c r="AG1425" s="14">
        <v>0</v>
      </c>
      <c r="AH1425" s="19">
        <f t="shared" si="206"/>
        <v>0.73272000000000004</v>
      </c>
      <c r="AJ1425" s="126" t="e">
        <v>#N/A</v>
      </c>
      <c r="AK1425" s="80">
        <f t="shared" si="215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07"/>
        <v>-1855135.3655000001</v>
      </c>
      <c r="X1426" s="18">
        <f t="shared" si="209"/>
        <v>1.27871</v>
      </c>
      <c r="Y1426" s="13">
        <f t="shared" si="211"/>
        <v>0.51281992637424179</v>
      </c>
      <c r="Z1426" s="14">
        <v>0</v>
      </c>
      <c r="AA1426" s="4">
        <v>0</v>
      </c>
      <c r="AB1426" s="4">
        <f t="shared" si="212"/>
        <v>1.27871</v>
      </c>
      <c r="AC1426" s="6">
        <f t="shared" si="213"/>
        <v>0</v>
      </c>
      <c r="AD1426" s="6">
        <f t="shared" si="210"/>
        <v>0.76589007362575823</v>
      </c>
      <c r="AE1426" s="2">
        <v>0.15</v>
      </c>
      <c r="AF1426" s="5">
        <f t="shared" si="214"/>
        <v>0.11488351104386373</v>
      </c>
      <c r="AG1426" s="14">
        <v>0</v>
      </c>
      <c r="AH1426" s="19">
        <f t="shared" si="206"/>
        <v>1.27871</v>
      </c>
      <c r="AJ1426" s="126" t="e">
        <v>#N/A</v>
      </c>
      <c r="AK1426" s="80">
        <f t="shared" si="215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07"/>
        <v>-78646.579059999989</v>
      </c>
      <c r="X1427" s="18">
        <f t="shared" si="209"/>
        <v>0.26506999999999997</v>
      </c>
      <c r="Y1427" s="13">
        <f t="shared" si="211"/>
        <v>0.10630493065982141</v>
      </c>
      <c r="Z1427" s="14">
        <v>0</v>
      </c>
      <c r="AA1427" s="4">
        <v>0</v>
      </c>
      <c r="AB1427" s="4">
        <f t="shared" si="212"/>
        <v>0.26506999999999997</v>
      </c>
      <c r="AC1427" s="6">
        <f t="shared" si="213"/>
        <v>0</v>
      </c>
      <c r="AD1427" s="6">
        <f t="shared" si="210"/>
        <v>0.15876506934017856</v>
      </c>
      <c r="AE1427" s="2">
        <v>0.12</v>
      </c>
      <c r="AF1427" s="5">
        <f t="shared" si="214"/>
        <v>1.9051808320821425E-2</v>
      </c>
      <c r="AG1427" s="14">
        <v>0</v>
      </c>
      <c r="AH1427" s="19">
        <f t="shared" si="206"/>
        <v>0.26506999999999997</v>
      </c>
      <c r="AJ1427" s="126" t="e">
        <v>#N/A</v>
      </c>
      <c r="AK1427" s="80">
        <f t="shared" si="215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07"/>
        <v>59364.5</v>
      </c>
      <c r="X1428" s="18">
        <f t="shared" si="209"/>
        <v>0</v>
      </c>
      <c r="Y1428" s="13">
        <f t="shared" si="211"/>
        <v>0</v>
      </c>
      <c r="Z1428" s="14">
        <v>0</v>
      </c>
      <c r="AA1428" s="4">
        <v>0</v>
      </c>
      <c r="AB1428" s="4">
        <f t="shared" si="212"/>
        <v>0</v>
      </c>
      <c r="AC1428" s="6">
        <f t="shared" si="213"/>
        <v>0</v>
      </c>
      <c r="AD1428" s="6">
        <f t="shared" si="210"/>
        <v>0</v>
      </c>
      <c r="AE1428" s="2">
        <v>7.0000000000000007E-2</v>
      </c>
      <c r="AF1428" s="5">
        <f t="shared" si="214"/>
        <v>0</v>
      </c>
      <c r="AG1428" s="14">
        <v>0</v>
      </c>
      <c r="AH1428" s="19">
        <f t="shared" si="206"/>
        <v>0</v>
      </c>
      <c r="AJ1428" s="126" t="e">
        <v>#N/A</v>
      </c>
      <c r="AK1428" s="80">
        <f t="shared" si="215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07"/>
        <v>73906.899999999994</v>
      </c>
      <c r="X1429" s="18">
        <f t="shared" si="209"/>
        <v>0</v>
      </c>
      <c r="Y1429" s="13">
        <f t="shared" si="211"/>
        <v>0</v>
      </c>
      <c r="Z1429" s="14">
        <v>0</v>
      </c>
      <c r="AA1429" s="4">
        <v>0</v>
      </c>
      <c r="AB1429" s="4">
        <f t="shared" si="212"/>
        <v>0</v>
      </c>
      <c r="AC1429" s="6">
        <f t="shared" si="213"/>
        <v>0</v>
      </c>
      <c r="AD1429" s="6">
        <f t="shared" si="210"/>
        <v>0</v>
      </c>
      <c r="AE1429" s="2">
        <v>7.0000000000000007E-2</v>
      </c>
      <c r="AF1429" s="5">
        <f t="shared" si="214"/>
        <v>0</v>
      </c>
      <c r="AG1429" s="14">
        <v>0</v>
      </c>
      <c r="AH1429" s="19">
        <f t="shared" ref="AH1429:AH1492" si="216">V1429</f>
        <v>0</v>
      </c>
      <c r="AJ1429" s="126" t="e">
        <v>#N/A</v>
      </c>
      <c r="AK1429" s="80">
        <f t="shared" si="215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07"/>
        <v>21552</v>
      </c>
      <c r="X1430" s="18">
        <f t="shared" si="209"/>
        <v>0</v>
      </c>
      <c r="Y1430" s="13">
        <f t="shared" si="211"/>
        <v>0</v>
      </c>
      <c r="Z1430" s="14">
        <v>0</v>
      </c>
      <c r="AA1430" s="4">
        <v>0</v>
      </c>
      <c r="AB1430" s="4">
        <f t="shared" si="212"/>
        <v>0</v>
      </c>
      <c r="AC1430" s="6">
        <f t="shared" si="213"/>
        <v>0</v>
      </c>
      <c r="AD1430" s="6">
        <f t="shared" si="210"/>
        <v>0</v>
      </c>
      <c r="AE1430" s="2">
        <v>7.0000000000000007E-2</v>
      </c>
      <c r="AF1430" s="5">
        <f t="shared" si="214"/>
        <v>0</v>
      </c>
      <c r="AG1430" s="14">
        <v>0</v>
      </c>
      <c r="AH1430" s="19">
        <f t="shared" si="216"/>
        <v>0</v>
      </c>
      <c r="AJ1430" s="126" t="e">
        <v>#N/A</v>
      </c>
      <c r="AK1430" s="80">
        <f t="shared" si="215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07"/>
        <v>-7905515.2958499994</v>
      </c>
      <c r="X1431" s="18">
        <f t="shared" si="209"/>
        <v>0</v>
      </c>
      <c r="Y1431" s="13">
        <f t="shared" si="211"/>
        <v>0</v>
      </c>
      <c r="Z1431" s="14">
        <v>0</v>
      </c>
      <c r="AA1431" s="4">
        <v>0</v>
      </c>
      <c r="AB1431" s="4">
        <f t="shared" si="212"/>
        <v>0</v>
      </c>
      <c r="AC1431" s="6">
        <f t="shared" si="213"/>
        <v>0</v>
      </c>
      <c r="AD1431" s="6">
        <f t="shared" si="210"/>
        <v>0</v>
      </c>
      <c r="AE1431" s="2">
        <v>0.15</v>
      </c>
      <c r="AF1431" s="5">
        <f t="shared" si="214"/>
        <v>0</v>
      </c>
      <c r="AG1431" s="14">
        <v>0</v>
      </c>
      <c r="AH1431" s="19">
        <f t="shared" si="216"/>
        <v>0</v>
      </c>
      <c r="AJ1431" s="126" t="e">
        <v>#N/A</v>
      </c>
      <c r="AK1431" s="80">
        <f t="shared" si="215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17">T1432+U1432-V1432</f>
        <v>9.6800000000100699</v>
      </c>
      <c r="X1432" s="18">
        <f t="shared" si="209"/>
        <v>0</v>
      </c>
      <c r="Y1432" s="13">
        <f t="shared" si="211"/>
        <v>0</v>
      </c>
      <c r="Z1432" s="14">
        <v>0</v>
      </c>
      <c r="AA1432" s="4">
        <v>0</v>
      </c>
      <c r="AB1432" s="4"/>
      <c r="AC1432" s="6">
        <f t="shared" si="213"/>
        <v>0</v>
      </c>
      <c r="AD1432" s="6">
        <f t="shared" si="210"/>
        <v>0</v>
      </c>
      <c r="AE1432" s="2">
        <v>0.12</v>
      </c>
      <c r="AF1432" s="5">
        <f t="shared" si="214"/>
        <v>0</v>
      </c>
      <c r="AG1432" s="14">
        <v>0</v>
      </c>
      <c r="AH1432" s="19">
        <f t="shared" si="216"/>
        <v>0</v>
      </c>
      <c r="AJ1432" s="126">
        <v>31</v>
      </c>
      <c r="AK1432" s="80">
        <f t="shared" si="215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17"/>
        <v>5.0000000001034599E-2</v>
      </c>
      <c r="X1433" s="18">
        <f t="shared" si="209"/>
        <v>0</v>
      </c>
      <c r="Y1433" s="13">
        <f t="shared" si="211"/>
        <v>0</v>
      </c>
      <c r="Z1433" s="14">
        <v>0</v>
      </c>
      <c r="AA1433" s="4">
        <v>0</v>
      </c>
      <c r="AB1433" s="4">
        <f t="shared" si="212"/>
        <v>0</v>
      </c>
      <c r="AC1433" s="6">
        <f t="shared" si="213"/>
        <v>0</v>
      </c>
      <c r="AD1433" s="6">
        <f t="shared" si="210"/>
        <v>0</v>
      </c>
      <c r="AE1433" s="2">
        <v>0.12</v>
      </c>
      <c r="AF1433" s="5">
        <f t="shared" si="214"/>
        <v>0</v>
      </c>
      <c r="AG1433" s="14">
        <v>0</v>
      </c>
      <c r="AH1433" s="19">
        <f t="shared" si="216"/>
        <v>0</v>
      </c>
      <c r="AJ1433" s="126" t="e">
        <v>#N/A</v>
      </c>
      <c r="AK1433" s="80">
        <f t="shared" si="215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17"/>
        <v>492.7</v>
      </c>
      <c r="X1434" s="18">
        <f t="shared" si="209"/>
        <v>0</v>
      </c>
      <c r="Y1434" s="13">
        <f t="shared" si="211"/>
        <v>0</v>
      </c>
      <c r="Z1434" s="14">
        <v>0</v>
      </c>
      <c r="AA1434" s="4">
        <v>0</v>
      </c>
      <c r="AB1434" s="4">
        <f t="shared" si="212"/>
        <v>0</v>
      </c>
      <c r="AC1434" s="6">
        <f t="shared" si="213"/>
        <v>0</v>
      </c>
      <c r="AD1434" s="6">
        <f t="shared" si="210"/>
        <v>0</v>
      </c>
      <c r="AE1434" s="2">
        <v>7.0000000000000007E-2</v>
      </c>
      <c r="AF1434" s="5">
        <f t="shared" si="214"/>
        <v>0</v>
      </c>
      <c r="AG1434" s="14">
        <v>0</v>
      </c>
      <c r="AH1434" s="19">
        <f t="shared" si="216"/>
        <v>0</v>
      </c>
      <c r="AJ1434" s="126" t="e">
        <v>#N/A</v>
      </c>
      <c r="AK1434" s="80">
        <f t="shared" si="215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17"/>
        <v>16886.5</v>
      </c>
      <c r="X1435" s="18">
        <f t="shared" si="209"/>
        <v>0</v>
      </c>
      <c r="Y1435" s="13">
        <f t="shared" si="211"/>
        <v>0</v>
      </c>
      <c r="Z1435" s="14">
        <v>0</v>
      </c>
      <c r="AA1435" s="4">
        <v>0</v>
      </c>
      <c r="AB1435" s="4">
        <f t="shared" si="212"/>
        <v>0</v>
      </c>
      <c r="AC1435" s="6">
        <f t="shared" si="213"/>
        <v>0</v>
      </c>
      <c r="AD1435" s="6">
        <f t="shared" si="210"/>
        <v>0</v>
      </c>
      <c r="AE1435" s="2">
        <v>7.0000000000000007E-2</v>
      </c>
      <c r="AF1435" s="5">
        <f t="shared" si="214"/>
        <v>0</v>
      </c>
      <c r="AG1435" s="14">
        <v>0</v>
      </c>
      <c r="AH1435" s="19">
        <f t="shared" si="216"/>
        <v>0</v>
      </c>
      <c r="AJ1435" s="126" t="e">
        <v>#N/A</v>
      </c>
      <c r="AK1435" s="80">
        <f t="shared" si="215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17"/>
        <v>3.4399999999995998</v>
      </c>
      <c r="X1436" s="18">
        <f t="shared" si="209"/>
        <v>343.75</v>
      </c>
      <c r="Y1436" s="13">
        <f t="shared" si="211"/>
        <v>129.62349647597298</v>
      </c>
      <c r="Z1436" s="14">
        <v>0</v>
      </c>
      <c r="AA1436" s="4">
        <v>0</v>
      </c>
      <c r="AB1436" s="4">
        <f t="shared" si="212"/>
        <v>343.75</v>
      </c>
      <c r="AC1436" s="6">
        <f t="shared" si="213"/>
        <v>13.75</v>
      </c>
      <c r="AD1436" s="6">
        <f t="shared" si="210"/>
        <v>214.12650352402702</v>
      </c>
      <c r="AE1436" s="2">
        <v>7.0000000000000007E-2</v>
      </c>
      <c r="AF1436" s="5">
        <f t="shared" si="214"/>
        <v>14.988855246681892</v>
      </c>
      <c r="AG1436" s="14">
        <v>0</v>
      </c>
      <c r="AH1436" s="19">
        <f t="shared" si="216"/>
        <v>357.5</v>
      </c>
      <c r="AJ1436" s="126" t="e">
        <v>#N/A</v>
      </c>
      <c r="AK1436" s="80">
        <f t="shared" si="215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17"/>
        <v>184.4</v>
      </c>
      <c r="X1437" s="18">
        <f t="shared" si="209"/>
        <v>0</v>
      </c>
      <c r="Y1437" s="13">
        <f t="shared" si="211"/>
        <v>0</v>
      </c>
      <c r="Z1437" s="14">
        <v>0</v>
      </c>
      <c r="AA1437" s="4">
        <v>0</v>
      </c>
      <c r="AB1437" s="4">
        <f t="shared" si="212"/>
        <v>0</v>
      </c>
      <c r="AC1437" s="6">
        <f t="shared" si="213"/>
        <v>0</v>
      </c>
      <c r="AD1437" s="6">
        <f t="shared" si="210"/>
        <v>0</v>
      </c>
      <c r="AE1437" s="2">
        <v>7.0000000000000007E-2</v>
      </c>
      <c r="AF1437" s="5">
        <f t="shared" si="214"/>
        <v>0</v>
      </c>
      <c r="AG1437" s="14">
        <v>0</v>
      </c>
      <c r="AH1437" s="19">
        <f t="shared" si="216"/>
        <v>0</v>
      </c>
      <c r="AJ1437" s="126" t="e">
        <v>#N/A</v>
      </c>
      <c r="AK1437" s="80">
        <f t="shared" si="215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17"/>
        <v>-1028420.64298</v>
      </c>
      <c r="X1438" s="18">
        <f t="shared" si="209"/>
        <v>0</v>
      </c>
      <c r="Y1438" s="13">
        <f t="shared" si="211"/>
        <v>0</v>
      </c>
      <c r="Z1438" s="14">
        <v>0</v>
      </c>
      <c r="AA1438" s="4">
        <v>0</v>
      </c>
      <c r="AB1438" s="4">
        <f t="shared" si="212"/>
        <v>0</v>
      </c>
      <c r="AC1438" s="6">
        <f t="shared" si="213"/>
        <v>0</v>
      </c>
      <c r="AD1438" s="6">
        <f t="shared" si="210"/>
        <v>0</v>
      </c>
      <c r="AE1438" s="2">
        <v>0.12</v>
      </c>
      <c r="AF1438" s="5">
        <f t="shared" si="214"/>
        <v>0</v>
      </c>
      <c r="AG1438" s="14">
        <v>0</v>
      </c>
      <c r="AH1438" s="19">
        <f t="shared" si="216"/>
        <v>0</v>
      </c>
      <c r="AJ1438" s="126" t="e">
        <v>#N/A</v>
      </c>
      <c r="AK1438" s="80">
        <f t="shared" si="215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17"/>
        <v>-1595747.2432499998</v>
      </c>
      <c r="X1439" s="18">
        <f t="shared" si="209"/>
        <v>0</v>
      </c>
      <c r="Y1439" s="13">
        <f t="shared" si="211"/>
        <v>0</v>
      </c>
      <c r="Z1439" s="14">
        <v>0</v>
      </c>
      <c r="AA1439" s="4">
        <v>0</v>
      </c>
      <c r="AB1439" s="4">
        <f t="shared" si="212"/>
        <v>0</v>
      </c>
      <c r="AC1439" s="6">
        <f t="shared" si="213"/>
        <v>0</v>
      </c>
      <c r="AD1439" s="6">
        <f t="shared" si="210"/>
        <v>0</v>
      </c>
      <c r="AE1439" s="2">
        <v>0.15</v>
      </c>
      <c r="AF1439" s="5">
        <f t="shared" si="214"/>
        <v>0</v>
      </c>
      <c r="AG1439" s="14">
        <v>0</v>
      </c>
      <c r="AH1439" s="19">
        <f t="shared" si="216"/>
        <v>0</v>
      </c>
      <c r="AJ1439" s="126" t="e">
        <v>#N/A</v>
      </c>
      <c r="AK1439" s="80">
        <f t="shared" si="215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17"/>
        <v>-144447.58701999995</v>
      </c>
      <c r="X1440" s="18">
        <f t="shared" si="209"/>
        <v>0</v>
      </c>
      <c r="Y1440" s="13">
        <f t="shared" si="211"/>
        <v>0</v>
      </c>
      <c r="Z1440" s="14">
        <v>0</v>
      </c>
      <c r="AA1440" s="4">
        <v>0</v>
      </c>
      <c r="AB1440" s="4">
        <f t="shared" si="212"/>
        <v>0</v>
      </c>
      <c r="AC1440" s="6">
        <f t="shared" si="213"/>
        <v>0</v>
      </c>
      <c r="AD1440" s="6">
        <f t="shared" si="210"/>
        <v>0</v>
      </c>
      <c r="AE1440" s="2">
        <v>0.12</v>
      </c>
      <c r="AF1440" s="5">
        <f t="shared" si="214"/>
        <v>0</v>
      </c>
      <c r="AG1440" s="14">
        <v>0</v>
      </c>
      <c r="AH1440" s="19">
        <f t="shared" si="216"/>
        <v>0</v>
      </c>
      <c r="AJ1440" s="126" t="e">
        <v>#N/A</v>
      </c>
      <c r="AK1440" s="80">
        <f t="shared" si="215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17"/>
        <v>34.220000000000255</v>
      </c>
      <c r="X1441" s="18">
        <f t="shared" si="209"/>
        <v>0</v>
      </c>
      <c r="Y1441" s="13">
        <f t="shared" si="211"/>
        <v>0</v>
      </c>
      <c r="Z1441" s="14">
        <v>0</v>
      </c>
      <c r="AA1441" s="4">
        <v>0</v>
      </c>
      <c r="AB1441" s="4">
        <f t="shared" si="212"/>
        <v>0</v>
      </c>
      <c r="AC1441" s="6">
        <f t="shared" si="213"/>
        <v>0</v>
      </c>
      <c r="AD1441" s="6">
        <f t="shared" si="210"/>
        <v>0</v>
      </c>
      <c r="AE1441" s="2">
        <v>7.0000000000000007E-2</v>
      </c>
      <c r="AF1441" s="5">
        <f t="shared" si="214"/>
        <v>0</v>
      </c>
      <c r="AG1441" s="14">
        <v>0</v>
      </c>
      <c r="AH1441" s="19">
        <f t="shared" si="216"/>
        <v>0</v>
      </c>
      <c r="AJ1441" s="126" t="e">
        <v>#N/A</v>
      </c>
      <c r="AK1441" s="80">
        <f t="shared" si="215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17"/>
        <v>0.24000000000523899</v>
      </c>
      <c r="X1442" s="18">
        <f t="shared" si="209"/>
        <v>0</v>
      </c>
      <c r="Y1442" s="13">
        <f t="shared" si="211"/>
        <v>0</v>
      </c>
      <c r="Z1442" s="14">
        <v>0</v>
      </c>
      <c r="AA1442" s="4">
        <v>0</v>
      </c>
      <c r="AB1442" s="4">
        <f t="shared" si="212"/>
        <v>0</v>
      </c>
      <c r="AC1442" s="6">
        <f t="shared" si="213"/>
        <v>0</v>
      </c>
      <c r="AD1442" s="6">
        <f t="shared" si="210"/>
        <v>0</v>
      </c>
      <c r="AE1442" s="2">
        <v>0.12</v>
      </c>
      <c r="AF1442" s="5">
        <f t="shared" si="214"/>
        <v>0</v>
      </c>
      <c r="AG1442" s="14">
        <v>0</v>
      </c>
      <c r="AH1442" s="19">
        <f t="shared" si="216"/>
        <v>0</v>
      </c>
      <c r="AJ1442" s="126" t="e">
        <v>#N/A</v>
      </c>
      <c r="AK1442" s="80">
        <f t="shared" si="215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17"/>
        <v>0.59999999999945397</v>
      </c>
      <c r="X1443" s="18">
        <f t="shared" si="209"/>
        <v>0</v>
      </c>
      <c r="Y1443" s="13">
        <f t="shared" si="211"/>
        <v>0</v>
      </c>
      <c r="Z1443" s="14">
        <v>0</v>
      </c>
      <c r="AA1443" s="4">
        <v>0</v>
      </c>
      <c r="AB1443" s="4">
        <f t="shared" si="212"/>
        <v>0</v>
      </c>
      <c r="AC1443" s="6">
        <f t="shared" si="213"/>
        <v>0</v>
      </c>
      <c r="AD1443" s="6">
        <f t="shared" si="210"/>
        <v>0</v>
      </c>
      <c r="AE1443" s="2">
        <v>7.0000000000000007E-2</v>
      </c>
      <c r="AF1443" s="5">
        <f t="shared" si="214"/>
        <v>0</v>
      </c>
      <c r="AG1443" s="14">
        <v>0</v>
      </c>
      <c r="AH1443" s="19">
        <f t="shared" si="216"/>
        <v>0</v>
      </c>
      <c r="AJ1443" s="126" t="e">
        <v>#N/A</v>
      </c>
      <c r="AK1443" s="80">
        <f t="shared" si="215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17"/>
        <v>5.3500000000301497</v>
      </c>
      <c r="X1444" s="18">
        <f t="shared" si="209"/>
        <v>0</v>
      </c>
      <c r="Y1444" s="13">
        <f t="shared" si="211"/>
        <v>0</v>
      </c>
      <c r="Z1444" s="14">
        <v>0</v>
      </c>
      <c r="AA1444" s="4">
        <v>0</v>
      </c>
      <c r="AB1444" s="4"/>
      <c r="AC1444" s="6">
        <f t="shared" si="213"/>
        <v>0</v>
      </c>
      <c r="AD1444" s="6">
        <f t="shared" si="210"/>
        <v>0</v>
      </c>
      <c r="AE1444" s="2">
        <v>0.12</v>
      </c>
      <c r="AF1444" s="5">
        <f t="shared" si="214"/>
        <v>0</v>
      </c>
      <c r="AG1444" s="14">
        <v>0</v>
      </c>
      <c r="AH1444" s="19">
        <f t="shared" si="216"/>
        <v>0</v>
      </c>
      <c r="AJ1444" s="126">
        <v>62</v>
      </c>
      <c r="AK1444" s="80">
        <f t="shared" si="215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17"/>
        <v>5541.4</v>
      </c>
      <c r="X1445" s="18">
        <f t="shared" si="209"/>
        <v>0</v>
      </c>
      <c r="Y1445" s="13">
        <f t="shared" si="211"/>
        <v>0</v>
      </c>
      <c r="Z1445" s="14">
        <v>0</v>
      </c>
      <c r="AA1445" s="4">
        <v>0</v>
      </c>
      <c r="AB1445" s="4">
        <f t="shared" si="212"/>
        <v>0</v>
      </c>
      <c r="AC1445" s="6">
        <f t="shared" si="213"/>
        <v>0</v>
      </c>
      <c r="AD1445" s="6">
        <f t="shared" si="210"/>
        <v>0</v>
      </c>
      <c r="AE1445" s="2">
        <v>7.0000000000000007E-2</v>
      </c>
      <c r="AF1445" s="5">
        <f t="shared" si="214"/>
        <v>0</v>
      </c>
      <c r="AG1445" s="14">
        <v>0</v>
      </c>
      <c r="AH1445" s="19">
        <f t="shared" si="216"/>
        <v>0</v>
      </c>
      <c r="AJ1445" s="126" t="e">
        <v>#N/A</v>
      </c>
      <c r="AK1445" s="80">
        <f t="shared" si="215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17"/>
        <v>589.11</v>
      </c>
      <c r="X1446" s="18">
        <f t="shared" ref="X1446:X1509" si="218">IF(P1446="折扣",V1446*Q1446,IF(P1446="返现",V1446,V1446/(1+Q1446)))</f>
        <v>0</v>
      </c>
      <c r="Y1446" s="13">
        <f t="shared" si="211"/>
        <v>0</v>
      </c>
      <c r="Z1446" s="14">
        <v>0</v>
      </c>
      <c r="AA1446" s="4">
        <v>0</v>
      </c>
      <c r="AB1446" s="4">
        <f t="shared" si="212"/>
        <v>0</v>
      </c>
      <c r="AC1446" s="6">
        <f t="shared" si="213"/>
        <v>0</v>
      </c>
      <c r="AD1446" s="6">
        <f t="shared" si="210"/>
        <v>0</v>
      </c>
      <c r="AE1446" s="2">
        <v>0.12</v>
      </c>
      <c r="AF1446" s="5">
        <f t="shared" si="214"/>
        <v>0</v>
      </c>
      <c r="AG1446" s="14">
        <v>0</v>
      </c>
      <c r="AH1446" s="19">
        <f t="shared" si="216"/>
        <v>0</v>
      </c>
      <c r="AJ1446" s="126" t="e">
        <v>#N/A</v>
      </c>
      <c r="AK1446" s="80">
        <f t="shared" si="215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17"/>
        <v>593.24</v>
      </c>
      <c r="X1447" s="18">
        <f t="shared" si="218"/>
        <v>0</v>
      </c>
      <c r="Y1447" s="13">
        <f t="shared" si="211"/>
        <v>0</v>
      </c>
      <c r="Z1447" s="14">
        <v>0</v>
      </c>
      <c r="AA1447" s="4">
        <v>0</v>
      </c>
      <c r="AB1447" s="4">
        <f t="shared" si="212"/>
        <v>0</v>
      </c>
      <c r="AC1447" s="6">
        <f t="shared" si="213"/>
        <v>0</v>
      </c>
      <c r="AD1447" s="6">
        <f t="shared" si="210"/>
        <v>0</v>
      </c>
      <c r="AE1447" s="2">
        <v>7.0000000000000007E-2</v>
      </c>
      <c r="AF1447" s="5">
        <f t="shared" si="214"/>
        <v>0</v>
      </c>
      <c r="AG1447" s="14">
        <v>0</v>
      </c>
      <c r="AH1447" s="19">
        <f t="shared" si="216"/>
        <v>0</v>
      </c>
      <c r="AJ1447" s="126" t="e">
        <v>#N/A</v>
      </c>
      <c r="AK1447" s="80">
        <f t="shared" si="215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17"/>
        <v>10.049999999999301</v>
      </c>
      <c r="X1448" s="18">
        <f t="shared" si="218"/>
        <v>0</v>
      </c>
      <c r="Y1448" s="13">
        <f t="shared" si="211"/>
        <v>0</v>
      </c>
      <c r="Z1448" s="14">
        <v>0</v>
      </c>
      <c r="AA1448" s="4">
        <v>0</v>
      </c>
      <c r="AB1448" s="4"/>
      <c r="AC1448" s="6">
        <f t="shared" si="213"/>
        <v>0</v>
      </c>
      <c r="AD1448" s="6">
        <f t="shared" si="210"/>
        <v>0</v>
      </c>
      <c r="AE1448" s="2">
        <v>0.12</v>
      </c>
      <c r="AF1448" s="5">
        <f t="shared" si="214"/>
        <v>0</v>
      </c>
      <c r="AG1448" s="14">
        <v>0</v>
      </c>
      <c r="AH1448" s="19">
        <f t="shared" si="216"/>
        <v>0</v>
      </c>
      <c r="AJ1448" s="126">
        <v>64</v>
      </c>
      <c r="AK1448" s="80">
        <f t="shared" si="215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17"/>
        <v>9.8799999998882395</v>
      </c>
      <c r="X1449" s="18">
        <f t="shared" si="218"/>
        <v>0</v>
      </c>
      <c r="Y1449" s="13">
        <f t="shared" si="211"/>
        <v>0</v>
      </c>
      <c r="Z1449" s="14">
        <v>0</v>
      </c>
      <c r="AA1449" s="4">
        <v>0</v>
      </c>
      <c r="AB1449" s="4"/>
      <c r="AC1449" s="6">
        <f t="shared" si="213"/>
        <v>0</v>
      </c>
      <c r="AD1449" s="6">
        <f t="shared" si="210"/>
        <v>0</v>
      </c>
      <c r="AE1449" s="2">
        <v>0.12</v>
      </c>
      <c r="AF1449" s="5">
        <f t="shared" si="214"/>
        <v>0</v>
      </c>
      <c r="AG1449" s="14">
        <v>0</v>
      </c>
      <c r="AH1449" s="19">
        <f t="shared" si="216"/>
        <v>0</v>
      </c>
      <c r="AJ1449" s="126">
        <v>63</v>
      </c>
      <c r="AK1449" s="80">
        <f t="shared" si="215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17"/>
        <v>3015.2</v>
      </c>
      <c r="X1450" s="18">
        <f t="shared" si="218"/>
        <v>0</v>
      </c>
      <c r="Y1450" s="13">
        <f t="shared" si="211"/>
        <v>0</v>
      </c>
      <c r="Z1450" s="14">
        <v>0</v>
      </c>
      <c r="AA1450" s="4">
        <v>0</v>
      </c>
      <c r="AB1450" s="4">
        <f t="shared" si="212"/>
        <v>0</v>
      </c>
      <c r="AC1450" s="6">
        <f t="shared" si="213"/>
        <v>0</v>
      </c>
      <c r="AD1450" s="6">
        <f t="shared" si="210"/>
        <v>0</v>
      </c>
      <c r="AE1450" s="2">
        <v>7.0000000000000007E-2</v>
      </c>
      <c r="AF1450" s="5">
        <f t="shared" si="214"/>
        <v>0</v>
      </c>
      <c r="AG1450" s="14">
        <v>0</v>
      </c>
      <c r="AH1450" s="19">
        <f t="shared" si="216"/>
        <v>0</v>
      </c>
      <c r="AJ1450" s="126" t="e">
        <v>#N/A</v>
      </c>
      <c r="AK1450" s="80">
        <f t="shared" si="215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17"/>
        <v>1135.989999999998</v>
      </c>
      <c r="X1451" s="18">
        <f t="shared" si="218"/>
        <v>0</v>
      </c>
      <c r="Y1451" s="13">
        <f t="shared" si="211"/>
        <v>0</v>
      </c>
      <c r="Z1451" s="14">
        <v>0</v>
      </c>
      <c r="AA1451" s="4">
        <v>0</v>
      </c>
      <c r="AB1451" s="4">
        <f t="shared" si="212"/>
        <v>0</v>
      </c>
      <c r="AC1451" s="6">
        <f t="shared" si="213"/>
        <v>0</v>
      </c>
      <c r="AD1451" s="6">
        <f t="shared" si="210"/>
        <v>0</v>
      </c>
      <c r="AE1451" s="2">
        <v>7.0000000000000007E-2</v>
      </c>
      <c r="AF1451" s="5">
        <f t="shared" si="214"/>
        <v>0</v>
      </c>
      <c r="AG1451" s="14">
        <v>0</v>
      </c>
      <c r="AH1451" s="19">
        <f t="shared" si="216"/>
        <v>0</v>
      </c>
      <c r="AJ1451" s="126" t="e">
        <v>#N/A</v>
      </c>
      <c r="AK1451" s="80">
        <f t="shared" si="215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17"/>
        <v>20021.52</v>
      </c>
      <c r="X1452" s="18">
        <f t="shared" si="218"/>
        <v>0</v>
      </c>
      <c r="Y1452" s="13">
        <f t="shared" si="211"/>
        <v>0</v>
      </c>
      <c r="Z1452" s="14">
        <v>0</v>
      </c>
      <c r="AA1452" s="4">
        <v>0</v>
      </c>
      <c r="AB1452" s="4">
        <f t="shared" si="212"/>
        <v>0</v>
      </c>
      <c r="AC1452" s="6">
        <f t="shared" si="213"/>
        <v>0</v>
      </c>
      <c r="AD1452" s="6">
        <f t="shared" si="210"/>
        <v>0</v>
      </c>
      <c r="AE1452" s="2">
        <v>7.0000000000000007E-2</v>
      </c>
      <c r="AF1452" s="5">
        <f t="shared" si="214"/>
        <v>0</v>
      </c>
      <c r="AG1452" s="14">
        <v>0</v>
      </c>
      <c r="AH1452" s="19">
        <f t="shared" si="216"/>
        <v>0</v>
      </c>
      <c r="AJ1452" s="126" t="e">
        <v>#N/A</v>
      </c>
      <c r="AK1452" s="80">
        <f t="shared" si="215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17"/>
        <v>434.58</v>
      </c>
      <c r="X1453" s="18">
        <f t="shared" si="218"/>
        <v>0</v>
      </c>
      <c r="Y1453" s="13">
        <f t="shared" si="211"/>
        <v>0</v>
      </c>
      <c r="Z1453" s="14">
        <v>0</v>
      </c>
      <c r="AA1453" s="4">
        <v>0</v>
      </c>
      <c r="AB1453" s="4">
        <f t="shared" si="212"/>
        <v>0</v>
      </c>
      <c r="AC1453" s="6">
        <f t="shared" si="213"/>
        <v>0</v>
      </c>
      <c r="AD1453" s="6">
        <f t="shared" si="210"/>
        <v>0</v>
      </c>
      <c r="AE1453" s="2">
        <v>7.0000000000000007E-2</v>
      </c>
      <c r="AF1453" s="5">
        <f t="shared" si="214"/>
        <v>0</v>
      </c>
      <c r="AG1453" s="14">
        <v>0</v>
      </c>
      <c r="AH1453" s="19">
        <f t="shared" si="216"/>
        <v>0</v>
      </c>
      <c r="AJ1453" s="126" t="e">
        <v>#N/A</v>
      </c>
      <c r="AK1453" s="80">
        <f t="shared" si="215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17"/>
        <v>440.79999999998802</v>
      </c>
      <c r="X1454" s="18">
        <f t="shared" si="218"/>
        <v>0</v>
      </c>
      <c r="Y1454" s="13">
        <f t="shared" si="211"/>
        <v>0</v>
      </c>
      <c r="Z1454" s="14">
        <v>0</v>
      </c>
      <c r="AA1454" s="4">
        <v>0</v>
      </c>
      <c r="AB1454" s="4">
        <f t="shared" si="212"/>
        <v>0</v>
      </c>
      <c r="AC1454" s="6">
        <f t="shared" si="213"/>
        <v>0</v>
      </c>
      <c r="AD1454" s="6">
        <f t="shared" si="210"/>
        <v>0</v>
      </c>
      <c r="AE1454" s="2">
        <v>7.0000000000000007E-2</v>
      </c>
      <c r="AF1454" s="5">
        <f t="shared" si="214"/>
        <v>0</v>
      </c>
      <c r="AG1454" s="14">
        <v>0</v>
      </c>
      <c r="AH1454" s="19">
        <f t="shared" si="216"/>
        <v>0</v>
      </c>
      <c r="AJ1454" s="126" t="e">
        <v>#N/A</v>
      </c>
      <c r="AK1454" s="80">
        <f t="shared" si="215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17"/>
        <v>4033.89</v>
      </c>
      <c r="X1455" s="18">
        <f t="shared" si="218"/>
        <v>0</v>
      </c>
      <c r="Y1455" s="13">
        <f t="shared" si="211"/>
        <v>0</v>
      </c>
      <c r="Z1455" s="14">
        <v>0</v>
      </c>
      <c r="AA1455" s="4">
        <v>0</v>
      </c>
      <c r="AB1455" s="4">
        <f t="shared" si="212"/>
        <v>0</v>
      </c>
      <c r="AC1455" s="6">
        <f t="shared" si="213"/>
        <v>0</v>
      </c>
      <c r="AD1455" s="6">
        <f t="shared" si="210"/>
        <v>0</v>
      </c>
      <c r="AE1455" s="2">
        <v>0.12</v>
      </c>
      <c r="AF1455" s="5">
        <f t="shared" si="214"/>
        <v>0</v>
      </c>
      <c r="AG1455" s="14">
        <v>0</v>
      </c>
      <c r="AH1455" s="19">
        <f t="shared" si="216"/>
        <v>0</v>
      </c>
      <c r="AJ1455" s="126" t="e">
        <v>#N/A</v>
      </c>
      <c r="AK1455" s="80">
        <f t="shared" si="215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17"/>
        <v>-801.2</v>
      </c>
      <c r="X1456" s="18">
        <f t="shared" si="218"/>
        <v>0</v>
      </c>
      <c r="Y1456" s="13">
        <f t="shared" si="211"/>
        <v>0</v>
      </c>
      <c r="Z1456" s="14">
        <v>0</v>
      </c>
      <c r="AA1456" s="4">
        <v>0</v>
      </c>
      <c r="AB1456" s="4">
        <f t="shared" si="212"/>
        <v>0</v>
      </c>
      <c r="AC1456" s="6">
        <f t="shared" si="213"/>
        <v>0</v>
      </c>
      <c r="AD1456" s="6">
        <f t="shared" si="210"/>
        <v>0</v>
      </c>
      <c r="AE1456" s="2">
        <v>0.15</v>
      </c>
      <c r="AF1456" s="5">
        <f t="shared" si="214"/>
        <v>0</v>
      </c>
      <c r="AG1456" s="14">
        <v>0</v>
      </c>
      <c r="AH1456" s="19">
        <f t="shared" si="216"/>
        <v>0</v>
      </c>
      <c r="AJ1456" s="126" t="e">
        <v>#N/A</v>
      </c>
      <c r="AK1456" s="80">
        <f t="shared" si="215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17"/>
        <v>18770.099999999999</v>
      </c>
      <c r="X1457" s="18">
        <f t="shared" si="218"/>
        <v>0</v>
      </c>
      <c r="Y1457" s="13">
        <f t="shared" si="211"/>
        <v>0</v>
      </c>
      <c r="Z1457" s="14">
        <v>0</v>
      </c>
      <c r="AA1457" s="4">
        <v>0</v>
      </c>
      <c r="AB1457" s="4">
        <f t="shared" si="212"/>
        <v>0</v>
      </c>
      <c r="AC1457" s="6">
        <f t="shared" si="213"/>
        <v>0</v>
      </c>
      <c r="AD1457" s="6">
        <f t="shared" si="210"/>
        <v>0</v>
      </c>
      <c r="AE1457" s="2">
        <v>7.0000000000000007E-2</v>
      </c>
      <c r="AF1457" s="5">
        <f t="shared" si="214"/>
        <v>0</v>
      </c>
      <c r="AG1457" s="14">
        <v>0</v>
      </c>
      <c r="AH1457" s="19">
        <f t="shared" si="216"/>
        <v>0</v>
      </c>
      <c r="AJ1457" s="126" t="e">
        <v>#N/A</v>
      </c>
      <c r="AK1457" s="80">
        <f t="shared" si="215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17"/>
        <v>67.989999999999995</v>
      </c>
      <c r="X1458" s="18">
        <f t="shared" si="218"/>
        <v>0</v>
      </c>
      <c r="Y1458" s="13">
        <f t="shared" si="211"/>
        <v>0</v>
      </c>
      <c r="Z1458" s="14">
        <v>0</v>
      </c>
      <c r="AA1458" s="4">
        <v>0</v>
      </c>
      <c r="AB1458" s="4">
        <f t="shared" si="212"/>
        <v>0</v>
      </c>
      <c r="AC1458" s="6">
        <f t="shared" si="213"/>
        <v>0</v>
      </c>
      <c r="AD1458" s="6">
        <f t="shared" si="210"/>
        <v>0</v>
      </c>
      <c r="AE1458" s="2">
        <v>0.12</v>
      </c>
      <c r="AF1458" s="5">
        <f t="shared" si="214"/>
        <v>0</v>
      </c>
      <c r="AG1458" s="14">
        <v>0</v>
      </c>
      <c r="AH1458" s="19">
        <f t="shared" si="216"/>
        <v>0</v>
      </c>
      <c r="AJ1458" s="126" t="e">
        <v>#N/A</v>
      </c>
      <c r="AK1458" s="80">
        <f t="shared" si="215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17"/>
        <v>1475.2</v>
      </c>
      <c r="X1459" s="18">
        <f t="shared" si="218"/>
        <v>0</v>
      </c>
      <c r="Y1459" s="13">
        <f t="shared" si="211"/>
        <v>0</v>
      </c>
      <c r="Z1459" s="14">
        <v>0</v>
      </c>
      <c r="AA1459" s="4">
        <v>0</v>
      </c>
      <c r="AB1459" s="4">
        <f t="shared" si="212"/>
        <v>0</v>
      </c>
      <c r="AC1459" s="6">
        <f t="shared" si="213"/>
        <v>0</v>
      </c>
      <c r="AD1459" s="6">
        <f t="shared" si="210"/>
        <v>0</v>
      </c>
      <c r="AE1459" s="2">
        <v>0.12</v>
      </c>
      <c r="AF1459" s="5">
        <f t="shared" si="214"/>
        <v>0</v>
      </c>
      <c r="AG1459" s="14">
        <v>0</v>
      </c>
      <c r="AH1459" s="19">
        <f t="shared" si="216"/>
        <v>0</v>
      </c>
      <c r="AJ1459" s="126" t="e">
        <v>#N/A</v>
      </c>
      <c r="AK1459" s="80">
        <f t="shared" si="215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17"/>
        <v>10400</v>
      </c>
      <c r="X1460" s="18">
        <f t="shared" si="218"/>
        <v>0</v>
      </c>
      <c r="Y1460" s="13">
        <f t="shared" si="211"/>
        <v>0</v>
      </c>
      <c r="Z1460" s="14">
        <v>0</v>
      </c>
      <c r="AA1460" s="4">
        <v>0</v>
      </c>
      <c r="AB1460" s="4">
        <f t="shared" si="212"/>
        <v>0</v>
      </c>
      <c r="AC1460" s="6">
        <f t="shared" si="213"/>
        <v>0</v>
      </c>
      <c r="AD1460" s="6">
        <f t="shared" si="210"/>
        <v>0</v>
      </c>
      <c r="AE1460" s="2">
        <v>0.12</v>
      </c>
      <c r="AF1460" s="5">
        <f t="shared" si="214"/>
        <v>0</v>
      </c>
      <c r="AG1460" s="14">
        <v>0</v>
      </c>
      <c r="AH1460" s="19">
        <f t="shared" si="216"/>
        <v>0</v>
      </c>
      <c r="AJ1460" s="126" t="e">
        <v>#N/A</v>
      </c>
      <c r="AK1460" s="80">
        <f t="shared" si="215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17"/>
        <v>32251.5</v>
      </c>
      <c r="X1461" s="18">
        <f t="shared" si="218"/>
        <v>0</v>
      </c>
      <c r="Y1461" s="13">
        <f t="shared" si="211"/>
        <v>0</v>
      </c>
      <c r="Z1461" s="14">
        <v>0</v>
      </c>
      <c r="AA1461" s="4">
        <v>0</v>
      </c>
      <c r="AB1461" s="4">
        <f t="shared" si="212"/>
        <v>0</v>
      </c>
      <c r="AC1461" s="6">
        <f t="shared" si="213"/>
        <v>0</v>
      </c>
      <c r="AD1461" s="6">
        <f t="shared" si="210"/>
        <v>0</v>
      </c>
      <c r="AE1461" s="2">
        <v>7.0000000000000007E-2</v>
      </c>
      <c r="AF1461" s="5">
        <f t="shared" si="214"/>
        <v>0</v>
      </c>
      <c r="AG1461" s="14">
        <v>0</v>
      </c>
      <c r="AH1461" s="19">
        <f t="shared" si="216"/>
        <v>0</v>
      </c>
      <c r="AJ1461" s="126" t="e">
        <v>#N/A</v>
      </c>
      <c r="AK1461" s="80">
        <f t="shared" si="215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17"/>
        <v>360.6</v>
      </c>
      <c r="X1462" s="18">
        <f t="shared" si="218"/>
        <v>0</v>
      </c>
      <c r="Y1462" s="13">
        <f t="shared" si="211"/>
        <v>0</v>
      </c>
      <c r="Z1462" s="14">
        <v>0</v>
      </c>
      <c r="AA1462" s="4">
        <v>0</v>
      </c>
      <c r="AB1462" s="4">
        <f t="shared" si="212"/>
        <v>0</v>
      </c>
      <c r="AC1462" s="6">
        <f t="shared" si="213"/>
        <v>0</v>
      </c>
      <c r="AD1462" s="6">
        <f t="shared" si="210"/>
        <v>0</v>
      </c>
      <c r="AE1462" s="2">
        <v>7.0000000000000007E-2</v>
      </c>
      <c r="AF1462" s="5">
        <f t="shared" si="214"/>
        <v>0</v>
      </c>
      <c r="AG1462" s="14">
        <v>0</v>
      </c>
      <c r="AH1462" s="19">
        <f t="shared" si="216"/>
        <v>0</v>
      </c>
      <c r="AJ1462" s="126" t="e">
        <v>#N/A</v>
      </c>
      <c r="AK1462" s="80">
        <f t="shared" si="215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17"/>
        <v>483.22</v>
      </c>
      <c r="X1463" s="18">
        <f t="shared" si="218"/>
        <v>0</v>
      </c>
      <c r="Y1463" s="13">
        <f t="shared" si="211"/>
        <v>0</v>
      </c>
      <c r="Z1463" s="14">
        <v>0</v>
      </c>
      <c r="AA1463" s="4">
        <v>0</v>
      </c>
      <c r="AB1463" s="4">
        <f t="shared" si="212"/>
        <v>0</v>
      </c>
      <c r="AC1463" s="6">
        <f t="shared" si="213"/>
        <v>0</v>
      </c>
      <c r="AD1463" s="6">
        <f t="shared" si="210"/>
        <v>0</v>
      </c>
      <c r="AE1463" s="2">
        <v>0.12</v>
      </c>
      <c r="AF1463" s="5">
        <f t="shared" si="214"/>
        <v>0</v>
      </c>
      <c r="AG1463" s="14">
        <v>0</v>
      </c>
      <c r="AH1463" s="19">
        <f t="shared" si="216"/>
        <v>0</v>
      </c>
      <c r="AJ1463" s="126" t="e">
        <v>#N/A</v>
      </c>
      <c r="AK1463" s="80">
        <f t="shared" si="215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17"/>
        <v>61.709999999999098</v>
      </c>
      <c r="X1464" s="18">
        <f t="shared" si="218"/>
        <v>0</v>
      </c>
      <c r="Y1464" s="13">
        <f t="shared" si="211"/>
        <v>0</v>
      </c>
      <c r="Z1464" s="14">
        <v>0</v>
      </c>
      <c r="AA1464" s="4">
        <v>0</v>
      </c>
      <c r="AB1464" s="4">
        <f t="shared" si="212"/>
        <v>0</v>
      </c>
      <c r="AC1464" s="6">
        <f t="shared" si="213"/>
        <v>0</v>
      </c>
      <c r="AD1464" s="6">
        <f t="shared" si="210"/>
        <v>0</v>
      </c>
      <c r="AE1464" s="2">
        <v>0.12</v>
      </c>
      <c r="AF1464" s="5">
        <f t="shared" si="214"/>
        <v>0</v>
      </c>
      <c r="AG1464" s="14">
        <v>0</v>
      </c>
      <c r="AH1464" s="19">
        <f t="shared" si="216"/>
        <v>0</v>
      </c>
      <c r="AJ1464" s="126" t="e">
        <v>#N/A</v>
      </c>
      <c r="AK1464" s="80">
        <f t="shared" si="215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17"/>
        <v>6.9999999992433004E-2</v>
      </c>
      <c r="X1465" s="18">
        <f t="shared" si="218"/>
        <v>0</v>
      </c>
      <c r="Y1465" s="13">
        <f t="shared" si="211"/>
        <v>0</v>
      </c>
      <c r="Z1465" s="14">
        <v>0</v>
      </c>
      <c r="AA1465" s="4">
        <v>0</v>
      </c>
      <c r="AB1465" s="4">
        <f t="shared" si="212"/>
        <v>0</v>
      </c>
      <c r="AC1465" s="6">
        <f t="shared" si="213"/>
        <v>0</v>
      </c>
      <c r="AD1465" s="6">
        <f t="shared" si="210"/>
        <v>0</v>
      </c>
      <c r="AE1465" s="2">
        <v>0.12</v>
      </c>
      <c r="AF1465" s="5">
        <f t="shared" si="214"/>
        <v>0</v>
      </c>
      <c r="AG1465" s="14">
        <v>0</v>
      </c>
      <c r="AH1465" s="19">
        <f t="shared" si="216"/>
        <v>0</v>
      </c>
      <c r="AJ1465" s="126" t="e">
        <v>#N/A</v>
      </c>
      <c r="AK1465" s="80">
        <f t="shared" si="215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17"/>
        <v>2.5599999999976699</v>
      </c>
      <c r="X1466" s="18">
        <f t="shared" si="218"/>
        <v>0</v>
      </c>
      <c r="Y1466" s="13">
        <f t="shared" si="211"/>
        <v>0</v>
      </c>
      <c r="Z1466" s="14">
        <v>0</v>
      </c>
      <c r="AA1466" s="4">
        <v>0</v>
      </c>
      <c r="AB1466" s="4">
        <f t="shared" si="212"/>
        <v>0</v>
      </c>
      <c r="AC1466" s="6">
        <f t="shared" si="213"/>
        <v>0</v>
      </c>
      <c r="AD1466" s="6">
        <f t="shared" si="210"/>
        <v>0</v>
      </c>
      <c r="AE1466" s="2">
        <v>7.0000000000000007E-2</v>
      </c>
      <c r="AF1466" s="5">
        <f t="shared" si="214"/>
        <v>0</v>
      </c>
      <c r="AG1466" s="14">
        <v>0</v>
      </c>
      <c r="AH1466" s="19">
        <f t="shared" si="216"/>
        <v>0</v>
      </c>
      <c r="AJ1466" s="126" t="e">
        <v>#N/A</v>
      </c>
      <c r="AK1466" s="80">
        <f t="shared" si="215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17"/>
        <v>0</v>
      </c>
      <c r="X1467" s="18">
        <f t="shared" si="218"/>
        <v>0</v>
      </c>
      <c r="Y1467" s="13">
        <f t="shared" si="211"/>
        <v>0</v>
      </c>
      <c r="Z1467" s="14">
        <v>0</v>
      </c>
      <c r="AA1467" s="4">
        <v>0</v>
      </c>
      <c r="AB1467" s="4">
        <f t="shared" si="212"/>
        <v>0</v>
      </c>
      <c r="AC1467" s="6">
        <f t="shared" si="213"/>
        <v>0</v>
      </c>
      <c r="AD1467" s="6">
        <f t="shared" ref="AD1467:AD1530" si="219">V1467*0.598955254612663</f>
        <v>0</v>
      </c>
      <c r="AE1467" s="2">
        <v>0.12</v>
      </c>
      <c r="AF1467" s="5">
        <f t="shared" si="214"/>
        <v>0</v>
      </c>
      <c r="AG1467" s="14">
        <v>0</v>
      </c>
      <c r="AH1467" s="19">
        <f t="shared" si="216"/>
        <v>0</v>
      </c>
      <c r="AJ1467" s="126" t="e">
        <v>#N/A</v>
      </c>
      <c r="AK1467" s="80">
        <f t="shared" si="215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17"/>
        <v>0</v>
      </c>
      <c r="X1468" s="18">
        <f t="shared" si="218"/>
        <v>0</v>
      </c>
      <c r="Y1468" s="13">
        <f t="shared" si="211"/>
        <v>0</v>
      </c>
      <c r="Z1468" s="14">
        <v>0</v>
      </c>
      <c r="AA1468" s="4">
        <v>0</v>
      </c>
      <c r="AB1468" s="4">
        <f t="shared" si="212"/>
        <v>0</v>
      </c>
      <c r="AC1468" s="6">
        <f t="shared" si="213"/>
        <v>0</v>
      </c>
      <c r="AD1468" s="6">
        <f t="shared" si="219"/>
        <v>0</v>
      </c>
      <c r="AE1468" s="2">
        <v>0.12</v>
      </c>
      <c r="AF1468" s="5">
        <f t="shared" si="214"/>
        <v>0</v>
      </c>
      <c r="AG1468" s="14">
        <v>0</v>
      </c>
      <c r="AH1468" s="19">
        <f t="shared" si="216"/>
        <v>0</v>
      </c>
      <c r="AJ1468" s="126" t="e">
        <v>#N/A</v>
      </c>
      <c r="AK1468" s="80">
        <f t="shared" si="215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17"/>
        <v>5518.78</v>
      </c>
      <c r="X1469" s="18">
        <f t="shared" si="218"/>
        <v>0</v>
      </c>
      <c r="Y1469" s="13">
        <f t="shared" si="211"/>
        <v>0</v>
      </c>
      <c r="Z1469" s="14">
        <v>0</v>
      </c>
      <c r="AA1469" s="4">
        <v>0</v>
      </c>
      <c r="AB1469" s="4">
        <f t="shared" si="212"/>
        <v>0</v>
      </c>
      <c r="AC1469" s="6">
        <f t="shared" si="213"/>
        <v>0</v>
      </c>
      <c r="AD1469" s="6">
        <f t="shared" si="219"/>
        <v>0</v>
      </c>
      <c r="AE1469" s="2">
        <v>0.12</v>
      </c>
      <c r="AF1469" s="5">
        <f t="shared" si="214"/>
        <v>0</v>
      </c>
      <c r="AG1469" s="14">
        <v>0</v>
      </c>
      <c r="AH1469" s="19">
        <f t="shared" si="216"/>
        <v>0</v>
      </c>
      <c r="AJ1469" s="126" t="e">
        <v>#N/A</v>
      </c>
      <c r="AK1469" s="80">
        <f t="shared" si="215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17"/>
        <v>472</v>
      </c>
      <c r="X1470" s="18">
        <f t="shared" si="218"/>
        <v>0</v>
      </c>
      <c r="Y1470" s="13">
        <f t="shared" si="211"/>
        <v>0</v>
      </c>
      <c r="Z1470" s="14">
        <v>0</v>
      </c>
      <c r="AA1470" s="4">
        <v>0</v>
      </c>
      <c r="AB1470" s="4">
        <f t="shared" si="212"/>
        <v>0</v>
      </c>
      <c r="AC1470" s="6">
        <f t="shared" si="213"/>
        <v>0</v>
      </c>
      <c r="AD1470" s="6">
        <f t="shared" si="219"/>
        <v>0</v>
      </c>
      <c r="AE1470" s="2">
        <v>0.12</v>
      </c>
      <c r="AF1470" s="5">
        <f t="shared" si="214"/>
        <v>0</v>
      </c>
      <c r="AG1470" s="14">
        <v>0</v>
      </c>
      <c r="AH1470" s="19">
        <f t="shared" si="216"/>
        <v>0</v>
      </c>
      <c r="AJ1470" s="126" t="e">
        <v>#N/A</v>
      </c>
      <c r="AK1470" s="80">
        <f t="shared" si="215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17"/>
        <v>0.40000000000145502</v>
      </c>
      <c r="X1471" s="18">
        <f t="shared" si="218"/>
        <v>0</v>
      </c>
      <c r="Y1471" s="13">
        <f t="shared" si="211"/>
        <v>0</v>
      </c>
      <c r="Z1471" s="14">
        <v>0</v>
      </c>
      <c r="AA1471" s="4">
        <v>0</v>
      </c>
      <c r="AB1471" s="4">
        <f t="shared" si="212"/>
        <v>0</v>
      </c>
      <c r="AC1471" s="6">
        <f t="shared" si="213"/>
        <v>0</v>
      </c>
      <c r="AD1471" s="6">
        <f t="shared" si="219"/>
        <v>0</v>
      </c>
      <c r="AE1471" s="2">
        <v>7.0000000000000007E-2</v>
      </c>
      <c r="AF1471" s="5">
        <f t="shared" si="214"/>
        <v>0</v>
      </c>
      <c r="AG1471" s="14">
        <v>0</v>
      </c>
      <c r="AH1471" s="19">
        <f t="shared" si="216"/>
        <v>0</v>
      </c>
      <c r="AJ1471" s="126" t="e">
        <v>#N/A</v>
      </c>
      <c r="AK1471" s="80">
        <f t="shared" si="215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17"/>
        <v>475.77999999999975</v>
      </c>
      <c r="X1472" s="18">
        <f t="shared" si="218"/>
        <v>0</v>
      </c>
      <c r="Y1472" s="13">
        <f t="shared" si="211"/>
        <v>0</v>
      </c>
      <c r="Z1472" s="14">
        <v>0</v>
      </c>
      <c r="AA1472" s="4">
        <v>0</v>
      </c>
      <c r="AB1472" s="4">
        <f t="shared" si="212"/>
        <v>0</v>
      </c>
      <c r="AC1472" s="6">
        <f t="shared" si="213"/>
        <v>0</v>
      </c>
      <c r="AD1472" s="6">
        <f t="shared" si="219"/>
        <v>0</v>
      </c>
      <c r="AE1472" s="2">
        <v>7.0000000000000007E-2</v>
      </c>
      <c r="AF1472" s="5">
        <f t="shared" si="214"/>
        <v>0</v>
      </c>
      <c r="AG1472" s="14">
        <v>0</v>
      </c>
      <c r="AH1472" s="19">
        <f t="shared" si="216"/>
        <v>0</v>
      </c>
      <c r="AJ1472" s="126" t="e">
        <v>#N/A</v>
      </c>
      <c r="AK1472" s="80">
        <f t="shared" si="215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17"/>
        <v>-93069.676529999997</v>
      </c>
      <c r="X1473" s="18">
        <f t="shared" si="218"/>
        <v>4061.8209019607843</v>
      </c>
      <c r="Y1473" s="13">
        <f t="shared" si="211"/>
        <v>1580.3149499853275</v>
      </c>
      <c r="Z1473" s="14">
        <v>0</v>
      </c>
      <c r="AA1473" s="4">
        <v>0</v>
      </c>
      <c r="AB1473" s="4">
        <f t="shared" si="212"/>
        <v>4061.8209019607843</v>
      </c>
      <c r="AC1473" s="6">
        <f t="shared" si="213"/>
        <v>81.23641803921555</v>
      </c>
      <c r="AD1473" s="6">
        <f t="shared" si="219"/>
        <v>2481.5059519754568</v>
      </c>
      <c r="AE1473" s="2">
        <v>0.12</v>
      </c>
      <c r="AF1473" s="5">
        <f t="shared" si="214"/>
        <v>297.78071423705478</v>
      </c>
      <c r="AG1473" s="14">
        <v>0</v>
      </c>
      <c r="AH1473" s="19">
        <f t="shared" si="216"/>
        <v>4143.0573199999999</v>
      </c>
      <c r="AJ1473" s="126" t="e">
        <v>#N/A</v>
      </c>
      <c r="AK1473" s="80">
        <f t="shared" si="215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17"/>
        <v>29740.7</v>
      </c>
      <c r="X1474" s="18">
        <f t="shared" si="218"/>
        <v>0</v>
      </c>
      <c r="Y1474" s="13">
        <f t="shared" si="211"/>
        <v>0</v>
      </c>
      <c r="Z1474" s="14">
        <v>0</v>
      </c>
      <c r="AA1474" s="4">
        <v>0</v>
      </c>
      <c r="AB1474" s="4"/>
      <c r="AC1474" s="6">
        <f t="shared" si="213"/>
        <v>0</v>
      </c>
      <c r="AD1474" s="6">
        <f t="shared" si="219"/>
        <v>0</v>
      </c>
      <c r="AE1474" s="2">
        <v>7.0000000000000007E-2</v>
      </c>
      <c r="AF1474" s="5">
        <f t="shared" si="214"/>
        <v>0</v>
      </c>
      <c r="AG1474" s="14">
        <v>0</v>
      </c>
      <c r="AH1474" s="19">
        <f t="shared" si="216"/>
        <v>0</v>
      </c>
      <c r="AJ1474" s="126">
        <v>85</v>
      </c>
      <c r="AK1474" s="80">
        <f t="shared" si="215"/>
        <v>0</v>
      </c>
      <c r="AM1474" s="85"/>
    </row>
    <row r="1475" spans="1:39" hidden="1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17"/>
        <v>6.4</v>
      </c>
      <c r="X1475" s="18">
        <f t="shared" si="218"/>
        <v>0</v>
      </c>
      <c r="Y1475" s="13">
        <f t="shared" ref="Y1475:Y1538" si="22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21">X1475+AA1475</f>
        <v>0</v>
      </c>
      <c r="AC1475" s="6">
        <f t="shared" ref="AC1475:AC1538" si="222">IF(P1475="返现",X1475*Q1475,V1475-X1475)</f>
        <v>0</v>
      </c>
      <c r="AD1475" s="6">
        <f t="shared" si="219"/>
        <v>0</v>
      </c>
      <c r="AE1475" s="2">
        <v>0.12</v>
      </c>
      <c r="AF1475" s="5">
        <f t="shared" ref="AF1475:AF1538" si="223">AD1475*AE1475</f>
        <v>0</v>
      </c>
      <c r="AG1475" s="14">
        <v>0</v>
      </c>
      <c r="AH1475" s="19">
        <f t="shared" si="216"/>
        <v>0</v>
      </c>
      <c r="AJ1475" s="126" t="e">
        <v>#N/A</v>
      </c>
      <c r="AK1475" s="80">
        <f t="shared" ref="AK1475:AK1538" si="224">X1475+AA1475-AB1475</f>
        <v>0</v>
      </c>
      <c r="AM1475" s="85"/>
    </row>
    <row r="1476" spans="1:39" hidden="1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17"/>
        <v>4109.4000000000015</v>
      </c>
      <c r="X1476" s="18">
        <f t="shared" si="218"/>
        <v>0</v>
      </c>
      <c r="Y1476" s="13">
        <f t="shared" si="220"/>
        <v>0</v>
      </c>
      <c r="Z1476" s="14">
        <v>0</v>
      </c>
      <c r="AA1476" s="4">
        <v>0</v>
      </c>
      <c r="AB1476" s="4">
        <f t="shared" si="221"/>
        <v>0</v>
      </c>
      <c r="AC1476" s="6">
        <f t="shared" si="222"/>
        <v>0</v>
      </c>
      <c r="AD1476" s="6">
        <f t="shared" si="219"/>
        <v>0</v>
      </c>
      <c r="AE1476" s="2">
        <v>7.0000000000000007E-2</v>
      </c>
      <c r="AF1476" s="5">
        <f t="shared" si="223"/>
        <v>0</v>
      </c>
      <c r="AG1476" s="14">
        <v>0</v>
      </c>
      <c r="AH1476" s="19">
        <f t="shared" si="216"/>
        <v>0</v>
      </c>
      <c r="AJ1476" s="126" t="e">
        <v>#N/A</v>
      </c>
      <c r="AK1476" s="80">
        <f t="shared" si="224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17"/>
        <v>628.40999999999894</v>
      </c>
      <c r="X1477" s="18">
        <f t="shared" si="218"/>
        <v>0</v>
      </c>
      <c r="Y1477" s="13">
        <f t="shared" si="220"/>
        <v>0</v>
      </c>
      <c r="Z1477" s="14">
        <v>0</v>
      </c>
      <c r="AA1477" s="4">
        <v>0</v>
      </c>
      <c r="AB1477" s="4">
        <f t="shared" si="221"/>
        <v>0</v>
      </c>
      <c r="AC1477" s="6">
        <f t="shared" si="222"/>
        <v>0</v>
      </c>
      <c r="AD1477" s="6">
        <f t="shared" si="219"/>
        <v>0</v>
      </c>
      <c r="AE1477" s="2">
        <v>0.12</v>
      </c>
      <c r="AF1477" s="5">
        <f t="shared" si="223"/>
        <v>0</v>
      </c>
      <c r="AG1477" s="14">
        <v>0</v>
      </c>
      <c r="AH1477" s="19">
        <f t="shared" si="216"/>
        <v>0</v>
      </c>
      <c r="AJ1477" s="126" t="e">
        <v>#N/A</v>
      </c>
      <c r="AK1477" s="80">
        <f t="shared" si="224"/>
        <v>0</v>
      </c>
      <c r="AM1477" s="85"/>
    </row>
    <row r="1478" spans="1:39" hidden="1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17"/>
        <v>3445.4</v>
      </c>
      <c r="X1478" s="18">
        <f t="shared" si="218"/>
        <v>0</v>
      </c>
      <c r="Y1478" s="13">
        <f t="shared" si="220"/>
        <v>0</v>
      </c>
      <c r="Z1478" s="14">
        <v>0</v>
      </c>
      <c r="AA1478" s="4">
        <v>0</v>
      </c>
      <c r="AB1478" s="4">
        <f t="shared" si="221"/>
        <v>0</v>
      </c>
      <c r="AC1478" s="6">
        <f t="shared" si="222"/>
        <v>0</v>
      </c>
      <c r="AD1478" s="6">
        <f t="shared" si="219"/>
        <v>0</v>
      </c>
      <c r="AE1478" s="2">
        <v>7.0000000000000007E-2</v>
      </c>
      <c r="AF1478" s="5">
        <f t="shared" si="223"/>
        <v>0</v>
      </c>
      <c r="AG1478" s="14">
        <v>0</v>
      </c>
      <c r="AH1478" s="19">
        <f t="shared" si="216"/>
        <v>0</v>
      </c>
      <c r="AJ1478" s="126" t="e">
        <v>#N/A</v>
      </c>
      <c r="AK1478" s="80">
        <f t="shared" si="224"/>
        <v>0</v>
      </c>
      <c r="AM1478" s="85"/>
    </row>
    <row r="1479" spans="1:39" hidden="1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17"/>
        <v>9481.92</v>
      </c>
      <c r="X1479" s="18">
        <f t="shared" si="218"/>
        <v>0</v>
      </c>
      <c r="Y1479" s="13">
        <f t="shared" si="220"/>
        <v>0</v>
      </c>
      <c r="Z1479" s="14">
        <v>0</v>
      </c>
      <c r="AA1479" s="4">
        <v>0</v>
      </c>
      <c r="AB1479" s="4">
        <f t="shared" si="221"/>
        <v>0</v>
      </c>
      <c r="AC1479" s="6">
        <f t="shared" si="222"/>
        <v>0</v>
      </c>
      <c r="AD1479" s="6">
        <f t="shared" si="219"/>
        <v>0</v>
      </c>
      <c r="AE1479" s="2">
        <v>0.12</v>
      </c>
      <c r="AF1479" s="5">
        <f t="shared" si="223"/>
        <v>0</v>
      </c>
      <c r="AG1479" s="14">
        <v>0</v>
      </c>
      <c r="AH1479" s="19">
        <f t="shared" si="216"/>
        <v>0</v>
      </c>
      <c r="AJ1479" s="126" t="e">
        <v>#N/A</v>
      </c>
      <c r="AK1479" s="80">
        <f t="shared" si="224"/>
        <v>0</v>
      </c>
      <c r="AM1479" s="85"/>
    </row>
    <row r="1480" spans="1:39" hidden="1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17"/>
        <v>10200</v>
      </c>
      <c r="X1480" s="18">
        <f t="shared" si="218"/>
        <v>0</v>
      </c>
      <c r="Y1480" s="13">
        <f t="shared" si="220"/>
        <v>0</v>
      </c>
      <c r="Z1480" s="14">
        <v>0</v>
      </c>
      <c r="AA1480" s="4">
        <v>0</v>
      </c>
      <c r="AB1480" s="4">
        <f t="shared" si="221"/>
        <v>0</v>
      </c>
      <c r="AC1480" s="6">
        <f t="shared" si="222"/>
        <v>0</v>
      </c>
      <c r="AD1480" s="6">
        <f t="shared" si="219"/>
        <v>0</v>
      </c>
      <c r="AE1480" s="2">
        <v>7.0000000000000007E-2</v>
      </c>
      <c r="AF1480" s="5">
        <f t="shared" si="223"/>
        <v>0</v>
      </c>
      <c r="AG1480" s="14">
        <v>0</v>
      </c>
      <c r="AH1480" s="19">
        <f t="shared" si="216"/>
        <v>0</v>
      </c>
      <c r="AJ1480" s="126" t="e">
        <v>#N/A</v>
      </c>
      <c r="AK1480" s="80">
        <f t="shared" si="224"/>
        <v>0</v>
      </c>
      <c r="AM1480" s="85"/>
    </row>
    <row r="1481" spans="1:39" hidden="1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17"/>
        <v>3704.22</v>
      </c>
      <c r="X1481" s="18">
        <f t="shared" si="218"/>
        <v>0</v>
      </c>
      <c r="Y1481" s="13">
        <f t="shared" si="220"/>
        <v>0</v>
      </c>
      <c r="Z1481" s="14">
        <v>0</v>
      </c>
      <c r="AA1481" s="4">
        <v>0</v>
      </c>
      <c r="AB1481" s="4">
        <f t="shared" si="221"/>
        <v>0</v>
      </c>
      <c r="AC1481" s="6">
        <f t="shared" si="222"/>
        <v>0</v>
      </c>
      <c r="AD1481" s="6">
        <f t="shared" si="219"/>
        <v>0</v>
      </c>
      <c r="AE1481" s="2">
        <v>0.12</v>
      </c>
      <c r="AF1481" s="5">
        <f t="shared" si="223"/>
        <v>0</v>
      </c>
      <c r="AG1481" s="14">
        <v>0</v>
      </c>
      <c r="AH1481" s="19">
        <f t="shared" si="216"/>
        <v>0</v>
      </c>
      <c r="AJ1481" s="126" t="e">
        <v>#N/A</v>
      </c>
      <c r="AK1481" s="80">
        <f t="shared" si="224"/>
        <v>0</v>
      </c>
      <c r="AM1481" s="85"/>
    </row>
    <row r="1482" spans="1:39" hidden="1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17"/>
        <v>2.93</v>
      </c>
      <c r="X1482" s="18">
        <f t="shared" si="218"/>
        <v>0</v>
      </c>
      <c r="Y1482" s="13">
        <f t="shared" si="220"/>
        <v>0</v>
      </c>
      <c r="Z1482" s="14">
        <v>0</v>
      </c>
      <c r="AA1482" s="4">
        <v>0</v>
      </c>
      <c r="AB1482" s="4"/>
      <c r="AC1482" s="6">
        <f t="shared" si="222"/>
        <v>0</v>
      </c>
      <c r="AD1482" s="6">
        <f t="shared" si="219"/>
        <v>0</v>
      </c>
      <c r="AE1482" s="2">
        <v>0.12</v>
      </c>
      <c r="AF1482" s="5">
        <f t="shared" si="223"/>
        <v>0</v>
      </c>
      <c r="AG1482" s="14">
        <v>0</v>
      </c>
      <c r="AH1482" s="19">
        <f t="shared" si="216"/>
        <v>0</v>
      </c>
      <c r="AJ1482" s="126">
        <v>12</v>
      </c>
      <c r="AK1482" s="80">
        <f t="shared" si="224"/>
        <v>0</v>
      </c>
      <c r="AM1482" s="85"/>
    </row>
    <row r="1483" spans="1:39" hidden="1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17"/>
        <v>1166.5999999999999</v>
      </c>
      <c r="X1483" s="18">
        <f t="shared" si="218"/>
        <v>0</v>
      </c>
      <c r="Y1483" s="13">
        <f t="shared" si="220"/>
        <v>0</v>
      </c>
      <c r="Z1483" s="14">
        <v>0</v>
      </c>
      <c r="AA1483" s="4">
        <v>0</v>
      </c>
      <c r="AB1483" s="4">
        <f t="shared" si="221"/>
        <v>0</v>
      </c>
      <c r="AC1483" s="6">
        <f t="shared" si="222"/>
        <v>0</v>
      </c>
      <c r="AD1483" s="6">
        <f t="shared" si="219"/>
        <v>0</v>
      </c>
      <c r="AE1483" s="2">
        <v>7.0000000000000007E-2</v>
      </c>
      <c r="AF1483" s="5">
        <f t="shared" si="223"/>
        <v>0</v>
      </c>
      <c r="AG1483" s="14">
        <v>0</v>
      </c>
      <c r="AH1483" s="19">
        <f t="shared" si="216"/>
        <v>0</v>
      </c>
      <c r="AJ1483" s="126" t="e">
        <v>#N/A</v>
      </c>
      <c r="AK1483" s="80">
        <f t="shared" si="224"/>
        <v>0</v>
      </c>
      <c r="AM1483" s="85"/>
    </row>
    <row r="1484" spans="1:39" hidden="1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17"/>
        <v>4759</v>
      </c>
      <c r="X1484" s="18">
        <f t="shared" si="218"/>
        <v>0</v>
      </c>
      <c r="Y1484" s="13">
        <f t="shared" si="220"/>
        <v>0</v>
      </c>
      <c r="Z1484" s="14">
        <v>0</v>
      </c>
      <c r="AA1484" s="4">
        <v>0</v>
      </c>
      <c r="AB1484" s="4">
        <f t="shared" si="221"/>
        <v>0</v>
      </c>
      <c r="AC1484" s="6">
        <f t="shared" si="222"/>
        <v>0</v>
      </c>
      <c r="AD1484" s="6">
        <f t="shared" si="219"/>
        <v>0</v>
      </c>
      <c r="AE1484" s="2">
        <v>7.0000000000000007E-2</v>
      </c>
      <c r="AF1484" s="5">
        <f t="shared" si="223"/>
        <v>0</v>
      </c>
      <c r="AG1484" s="14">
        <v>0</v>
      </c>
      <c r="AH1484" s="19">
        <f t="shared" si="216"/>
        <v>0</v>
      </c>
      <c r="AJ1484" s="126" t="e">
        <v>#N/A</v>
      </c>
      <c r="AK1484" s="80">
        <f t="shared" si="224"/>
        <v>0</v>
      </c>
      <c r="AM1484" s="85"/>
    </row>
    <row r="1485" spans="1:39" hidden="1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17"/>
        <v>31033.109999999971</v>
      </c>
      <c r="X1485" s="18">
        <f t="shared" si="218"/>
        <v>0</v>
      </c>
      <c r="Y1485" s="13">
        <f t="shared" si="220"/>
        <v>0</v>
      </c>
      <c r="Z1485" s="14">
        <v>0</v>
      </c>
      <c r="AA1485" s="4">
        <v>0</v>
      </c>
      <c r="AB1485" s="4">
        <f t="shared" si="221"/>
        <v>0</v>
      </c>
      <c r="AC1485" s="6">
        <f t="shared" si="222"/>
        <v>0</v>
      </c>
      <c r="AD1485" s="6">
        <f t="shared" si="219"/>
        <v>0</v>
      </c>
      <c r="AE1485" s="2">
        <v>7.0000000000000007E-2</v>
      </c>
      <c r="AF1485" s="5">
        <f t="shared" si="223"/>
        <v>0</v>
      </c>
      <c r="AG1485" s="14">
        <v>0</v>
      </c>
      <c r="AH1485" s="19">
        <f t="shared" si="216"/>
        <v>0</v>
      </c>
      <c r="AJ1485" s="126" t="e">
        <v>#N/A</v>
      </c>
      <c r="AK1485" s="80">
        <f t="shared" si="224"/>
        <v>0</v>
      </c>
      <c r="AM1485" s="85"/>
    </row>
    <row r="1486" spans="1:39" hidden="1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17"/>
        <v>-1993.4765199999997</v>
      </c>
      <c r="X1486" s="18">
        <f t="shared" si="218"/>
        <v>0</v>
      </c>
      <c r="Y1486" s="13">
        <f t="shared" si="220"/>
        <v>0</v>
      </c>
      <c r="Z1486" s="14">
        <v>0</v>
      </c>
      <c r="AA1486" s="4">
        <v>0</v>
      </c>
      <c r="AB1486" s="4">
        <f t="shared" si="221"/>
        <v>0</v>
      </c>
      <c r="AC1486" s="6">
        <f t="shared" si="222"/>
        <v>0</v>
      </c>
      <c r="AD1486" s="6">
        <f t="shared" si="219"/>
        <v>0</v>
      </c>
      <c r="AE1486" s="2">
        <v>0.12</v>
      </c>
      <c r="AF1486" s="5">
        <f t="shared" si="223"/>
        <v>0</v>
      </c>
      <c r="AG1486" s="14">
        <v>0</v>
      </c>
      <c r="AH1486" s="19">
        <f t="shared" si="216"/>
        <v>0</v>
      </c>
      <c r="AJ1486" s="126" t="e">
        <v>#N/A</v>
      </c>
      <c r="AK1486" s="80">
        <f t="shared" si="224"/>
        <v>0</v>
      </c>
      <c r="AM1486" s="85"/>
    </row>
    <row r="1487" spans="1:39" hidden="1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17"/>
        <v>3139.3</v>
      </c>
      <c r="X1487" s="18">
        <f t="shared" si="218"/>
        <v>0</v>
      </c>
      <c r="Y1487" s="13">
        <f t="shared" si="220"/>
        <v>0</v>
      </c>
      <c r="Z1487" s="14">
        <v>0</v>
      </c>
      <c r="AA1487" s="4">
        <v>0</v>
      </c>
      <c r="AB1487" s="4">
        <f t="shared" si="221"/>
        <v>0</v>
      </c>
      <c r="AC1487" s="6">
        <f t="shared" si="222"/>
        <v>0</v>
      </c>
      <c r="AD1487" s="6">
        <f t="shared" si="219"/>
        <v>0</v>
      </c>
      <c r="AE1487" s="2">
        <v>7.0000000000000007E-2</v>
      </c>
      <c r="AF1487" s="5">
        <f t="shared" si="223"/>
        <v>0</v>
      </c>
      <c r="AG1487" s="14">
        <v>0</v>
      </c>
      <c r="AH1487" s="19">
        <f t="shared" si="216"/>
        <v>0</v>
      </c>
      <c r="AJ1487" s="126" t="e">
        <v>#N/A</v>
      </c>
      <c r="AK1487" s="80">
        <f t="shared" si="224"/>
        <v>0</v>
      </c>
      <c r="AM1487" s="85"/>
    </row>
    <row r="1488" spans="1:39" hidden="1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17"/>
        <v>4939.5</v>
      </c>
      <c r="X1488" s="18">
        <f t="shared" si="218"/>
        <v>0</v>
      </c>
      <c r="Y1488" s="13">
        <f t="shared" si="220"/>
        <v>0</v>
      </c>
      <c r="Z1488" s="14">
        <v>0</v>
      </c>
      <c r="AA1488" s="4">
        <v>0</v>
      </c>
      <c r="AB1488" s="4">
        <f t="shared" si="221"/>
        <v>0</v>
      </c>
      <c r="AC1488" s="6">
        <f t="shared" si="222"/>
        <v>0</v>
      </c>
      <c r="AD1488" s="6">
        <f t="shared" si="219"/>
        <v>0</v>
      </c>
      <c r="AE1488" s="2">
        <v>7.0000000000000007E-2</v>
      </c>
      <c r="AF1488" s="5">
        <f t="shared" si="223"/>
        <v>0</v>
      </c>
      <c r="AG1488" s="14">
        <v>0</v>
      </c>
      <c r="AH1488" s="19">
        <f t="shared" si="216"/>
        <v>0</v>
      </c>
      <c r="AJ1488" s="126" t="e">
        <v>#N/A</v>
      </c>
      <c r="AK1488" s="80">
        <f t="shared" si="224"/>
        <v>0</v>
      </c>
      <c r="AM1488" s="85"/>
    </row>
    <row r="1489" spans="1:39" hidden="1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17"/>
        <v>1</v>
      </c>
      <c r="X1489" s="18">
        <f t="shared" si="218"/>
        <v>0</v>
      </c>
      <c r="Y1489" s="13">
        <f t="shared" si="220"/>
        <v>0</v>
      </c>
      <c r="Z1489" s="14">
        <v>0</v>
      </c>
      <c r="AA1489" s="4">
        <v>0</v>
      </c>
      <c r="AB1489" s="4">
        <f t="shared" si="221"/>
        <v>0</v>
      </c>
      <c r="AC1489" s="6">
        <f t="shared" si="222"/>
        <v>0</v>
      </c>
      <c r="AD1489" s="6">
        <f t="shared" si="219"/>
        <v>0</v>
      </c>
      <c r="AE1489" s="2">
        <v>7.0000000000000007E-2</v>
      </c>
      <c r="AF1489" s="5">
        <f t="shared" si="223"/>
        <v>0</v>
      </c>
      <c r="AG1489" s="14">
        <v>0</v>
      </c>
      <c r="AH1489" s="19">
        <f t="shared" si="216"/>
        <v>0</v>
      </c>
      <c r="AJ1489" s="126" t="e">
        <v>#N/A</v>
      </c>
      <c r="AK1489" s="80">
        <f t="shared" si="224"/>
        <v>0</v>
      </c>
      <c r="AM1489" s="85"/>
    </row>
    <row r="1490" spans="1:39" hidden="1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17"/>
        <v>62.199999999999818</v>
      </c>
      <c r="X1490" s="18">
        <f t="shared" si="218"/>
        <v>0</v>
      </c>
      <c r="Y1490" s="13">
        <f t="shared" si="220"/>
        <v>0</v>
      </c>
      <c r="Z1490" s="14">
        <v>0</v>
      </c>
      <c r="AA1490" s="4">
        <v>0</v>
      </c>
      <c r="AB1490" s="4">
        <f t="shared" si="221"/>
        <v>0</v>
      </c>
      <c r="AC1490" s="6">
        <f t="shared" si="222"/>
        <v>0</v>
      </c>
      <c r="AD1490" s="6">
        <f t="shared" si="219"/>
        <v>0</v>
      </c>
      <c r="AE1490" s="2">
        <v>7.0000000000000007E-2</v>
      </c>
      <c r="AF1490" s="5">
        <f t="shared" si="223"/>
        <v>0</v>
      </c>
      <c r="AG1490" s="14">
        <v>0</v>
      </c>
      <c r="AH1490" s="19">
        <f t="shared" si="216"/>
        <v>0</v>
      </c>
      <c r="AJ1490" s="126" t="e">
        <v>#N/A</v>
      </c>
      <c r="AK1490" s="80">
        <f t="shared" si="224"/>
        <v>0</v>
      </c>
      <c r="AM1490" s="85"/>
    </row>
    <row r="1491" spans="1:39" hidden="1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17"/>
        <v>54.699999999999903</v>
      </c>
      <c r="X1491" s="18">
        <f t="shared" si="218"/>
        <v>0</v>
      </c>
      <c r="Y1491" s="13">
        <f t="shared" si="220"/>
        <v>0</v>
      </c>
      <c r="Z1491" s="14">
        <v>0</v>
      </c>
      <c r="AA1491" s="4">
        <v>0</v>
      </c>
      <c r="AB1491" s="4">
        <f t="shared" si="221"/>
        <v>0</v>
      </c>
      <c r="AC1491" s="6">
        <f t="shared" si="222"/>
        <v>0</v>
      </c>
      <c r="AD1491" s="6">
        <f t="shared" si="219"/>
        <v>0</v>
      </c>
      <c r="AE1491" s="2">
        <v>7.0000000000000007E-2</v>
      </c>
      <c r="AF1491" s="5">
        <f t="shared" si="223"/>
        <v>0</v>
      </c>
      <c r="AG1491" s="14">
        <v>0</v>
      </c>
      <c r="AH1491" s="19">
        <f t="shared" si="216"/>
        <v>0</v>
      </c>
      <c r="AJ1491" s="126" t="e">
        <v>#N/A</v>
      </c>
      <c r="AK1491" s="80">
        <f t="shared" si="224"/>
        <v>0</v>
      </c>
      <c r="AM1491" s="85"/>
    </row>
    <row r="1492" spans="1:39" hidden="1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17"/>
        <v>95600</v>
      </c>
      <c r="X1492" s="18">
        <f t="shared" si="218"/>
        <v>0</v>
      </c>
      <c r="Y1492" s="13">
        <f t="shared" si="220"/>
        <v>0</v>
      </c>
      <c r="Z1492" s="14">
        <v>0</v>
      </c>
      <c r="AA1492" s="4">
        <v>0</v>
      </c>
      <c r="AB1492" s="4">
        <f t="shared" si="221"/>
        <v>0</v>
      </c>
      <c r="AC1492" s="6">
        <f t="shared" si="222"/>
        <v>0</v>
      </c>
      <c r="AD1492" s="6">
        <f t="shared" si="219"/>
        <v>0</v>
      </c>
      <c r="AE1492" s="2">
        <v>0.12</v>
      </c>
      <c r="AF1492" s="5">
        <f t="shared" si="223"/>
        <v>0</v>
      </c>
      <c r="AG1492" s="14">
        <v>0</v>
      </c>
      <c r="AH1492" s="19">
        <f t="shared" si="216"/>
        <v>0</v>
      </c>
      <c r="AJ1492" s="126" t="e">
        <v>#N/A</v>
      </c>
      <c r="AK1492" s="80">
        <f t="shared" si="224"/>
        <v>0</v>
      </c>
      <c r="AM1492" s="85"/>
    </row>
    <row r="1493" spans="1:39" hidden="1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17"/>
        <v>-594818.11</v>
      </c>
      <c r="X1493" s="18">
        <f t="shared" si="218"/>
        <v>0</v>
      </c>
      <c r="Y1493" s="13">
        <f t="shared" si="220"/>
        <v>0</v>
      </c>
      <c r="Z1493" s="14">
        <v>0</v>
      </c>
      <c r="AA1493" s="4">
        <v>0</v>
      </c>
      <c r="AB1493" s="4">
        <f t="shared" si="221"/>
        <v>0</v>
      </c>
      <c r="AC1493" s="6">
        <f t="shared" si="222"/>
        <v>0</v>
      </c>
      <c r="AD1493" s="6">
        <f t="shared" si="219"/>
        <v>0</v>
      </c>
      <c r="AE1493" s="2">
        <v>0.15</v>
      </c>
      <c r="AF1493" s="5">
        <f t="shared" si="223"/>
        <v>0</v>
      </c>
      <c r="AG1493" s="14">
        <v>0</v>
      </c>
      <c r="AH1493" s="19">
        <f t="shared" ref="AH1493:AH1556" si="225">V1493</f>
        <v>0</v>
      </c>
      <c r="AJ1493" s="126" t="e">
        <v>#N/A</v>
      </c>
      <c r="AK1493" s="80">
        <f t="shared" si="224"/>
        <v>0</v>
      </c>
      <c r="AM1493" s="85"/>
    </row>
    <row r="1494" spans="1:39" hidden="1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17"/>
        <v>8603.76</v>
      </c>
      <c r="X1494" s="18">
        <f t="shared" si="218"/>
        <v>0</v>
      </c>
      <c r="Y1494" s="13">
        <f t="shared" si="220"/>
        <v>0</v>
      </c>
      <c r="Z1494" s="14">
        <v>0</v>
      </c>
      <c r="AA1494" s="4">
        <v>0</v>
      </c>
      <c r="AB1494" s="4">
        <f t="shared" si="221"/>
        <v>0</v>
      </c>
      <c r="AC1494" s="6">
        <f t="shared" si="222"/>
        <v>0</v>
      </c>
      <c r="AD1494" s="6">
        <f t="shared" si="219"/>
        <v>0</v>
      </c>
      <c r="AE1494" s="2">
        <v>7.0000000000000007E-2</v>
      </c>
      <c r="AF1494" s="5">
        <f t="shared" si="223"/>
        <v>0</v>
      </c>
      <c r="AG1494" s="14">
        <v>0</v>
      </c>
      <c r="AH1494" s="19">
        <f t="shared" si="225"/>
        <v>0</v>
      </c>
      <c r="AJ1494" s="126" t="e">
        <v>#N/A</v>
      </c>
      <c r="AK1494" s="80">
        <f t="shared" si="224"/>
        <v>0</v>
      </c>
      <c r="AM1494" s="85"/>
    </row>
    <row r="1495" spans="1:39" hidden="1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17"/>
        <v>9.9500000000007294</v>
      </c>
      <c r="X1495" s="18">
        <f t="shared" si="218"/>
        <v>0</v>
      </c>
      <c r="Y1495" s="13">
        <f t="shared" si="220"/>
        <v>0</v>
      </c>
      <c r="Z1495" s="14">
        <v>0</v>
      </c>
      <c r="AA1495" s="4">
        <v>0</v>
      </c>
      <c r="AB1495" s="4">
        <f t="shared" si="221"/>
        <v>0</v>
      </c>
      <c r="AC1495" s="6">
        <f t="shared" si="222"/>
        <v>0</v>
      </c>
      <c r="AD1495" s="6">
        <f t="shared" si="219"/>
        <v>0</v>
      </c>
      <c r="AE1495" s="2">
        <v>0.12</v>
      </c>
      <c r="AF1495" s="5">
        <f t="shared" si="223"/>
        <v>0</v>
      </c>
      <c r="AG1495" s="14">
        <v>0</v>
      </c>
      <c r="AH1495" s="19">
        <f t="shared" si="225"/>
        <v>0</v>
      </c>
      <c r="AJ1495" s="126" t="e">
        <v>#N/A</v>
      </c>
      <c r="AK1495" s="80">
        <f t="shared" si="224"/>
        <v>0</v>
      </c>
      <c r="AM1495" s="85"/>
    </row>
    <row r="1496" spans="1:39" hidden="1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26">T1496+U1496-V1496</f>
        <v>5157.2</v>
      </c>
      <c r="X1496" s="18">
        <f t="shared" si="218"/>
        <v>0</v>
      </c>
      <c r="Y1496" s="13">
        <f t="shared" si="220"/>
        <v>0</v>
      </c>
      <c r="Z1496" s="14">
        <v>0</v>
      </c>
      <c r="AA1496" s="4">
        <v>0</v>
      </c>
      <c r="AB1496" s="4">
        <f t="shared" si="221"/>
        <v>0</v>
      </c>
      <c r="AC1496" s="6">
        <f t="shared" si="222"/>
        <v>0</v>
      </c>
      <c r="AD1496" s="6">
        <f t="shared" si="219"/>
        <v>0</v>
      </c>
      <c r="AE1496" s="2">
        <v>0.12</v>
      </c>
      <c r="AF1496" s="5">
        <f t="shared" si="223"/>
        <v>0</v>
      </c>
      <c r="AG1496" s="14">
        <v>0</v>
      </c>
      <c r="AH1496" s="19">
        <f t="shared" si="225"/>
        <v>0</v>
      </c>
      <c r="AJ1496" s="126" t="e">
        <v>#N/A</v>
      </c>
      <c r="AK1496" s="80">
        <f t="shared" si="224"/>
        <v>0</v>
      </c>
      <c r="AM1496" s="85"/>
    </row>
    <row r="1497" spans="1:39" hidden="1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26"/>
        <v>-966783.75237999996</v>
      </c>
      <c r="X1497" s="18">
        <f t="shared" si="218"/>
        <v>0</v>
      </c>
      <c r="Y1497" s="13">
        <f t="shared" si="220"/>
        <v>0</v>
      </c>
      <c r="Z1497" s="14">
        <v>0</v>
      </c>
      <c r="AA1497" s="4">
        <v>0</v>
      </c>
      <c r="AB1497" s="4">
        <f t="shared" si="221"/>
        <v>0</v>
      </c>
      <c r="AC1497" s="6">
        <f t="shared" si="222"/>
        <v>0</v>
      </c>
      <c r="AD1497" s="6">
        <f t="shared" si="219"/>
        <v>0</v>
      </c>
      <c r="AE1497" s="2">
        <v>0.12</v>
      </c>
      <c r="AF1497" s="5">
        <f t="shared" si="223"/>
        <v>0</v>
      </c>
      <c r="AG1497" s="14">
        <v>0</v>
      </c>
      <c r="AH1497" s="19">
        <f t="shared" si="225"/>
        <v>0</v>
      </c>
      <c r="AJ1497" s="126" t="e">
        <v>#N/A</v>
      </c>
      <c r="AK1497" s="80">
        <f t="shared" si="224"/>
        <v>0</v>
      </c>
      <c r="AM1497" s="85"/>
    </row>
    <row r="1498" spans="1:39" hidden="1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26"/>
        <v>-796096.47025999986</v>
      </c>
      <c r="X1498" s="18">
        <f t="shared" si="218"/>
        <v>14482.699881188119</v>
      </c>
      <c r="Y1498" s="13">
        <f t="shared" si="220"/>
        <v>5721.465794424148</v>
      </c>
      <c r="Z1498" s="14">
        <v>0</v>
      </c>
      <c r="AA1498" s="4">
        <v>0</v>
      </c>
      <c r="AB1498" s="4">
        <f t="shared" si="221"/>
        <v>14482.699881188119</v>
      </c>
      <c r="AC1498" s="6">
        <f t="shared" si="222"/>
        <v>144.82699881188091</v>
      </c>
      <c r="AD1498" s="6">
        <f t="shared" si="219"/>
        <v>8761.2340867639705</v>
      </c>
      <c r="AE1498" s="2">
        <v>0.15</v>
      </c>
      <c r="AF1498" s="5">
        <f t="shared" si="223"/>
        <v>1314.1851130145956</v>
      </c>
      <c r="AG1498" s="14">
        <v>0</v>
      </c>
      <c r="AH1498" s="19">
        <f t="shared" si="225"/>
        <v>14627.526879999999</v>
      </c>
      <c r="AJ1498" s="126" t="e">
        <v>#N/A</v>
      </c>
      <c r="AK1498" s="80">
        <f t="shared" si="224"/>
        <v>0</v>
      </c>
      <c r="AM1498" s="85"/>
    </row>
    <row r="1499" spans="1:39" hidden="1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26"/>
        <v>-87014.13231999999</v>
      </c>
      <c r="X1499" s="18">
        <f t="shared" si="218"/>
        <v>17090.288643564356</v>
      </c>
      <c r="Y1499" s="13">
        <f t="shared" si="220"/>
        <v>6751.6072757952643</v>
      </c>
      <c r="Z1499" s="14">
        <v>0</v>
      </c>
      <c r="AA1499" s="4">
        <v>0</v>
      </c>
      <c r="AB1499" s="4">
        <f t="shared" si="221"/>
        <v>17090.288643564356</v>
      </c>
      <c r="AC1499" s="6">
        <f t="shared" si="222"/>
        <v>170.90288643564418</v>
      </c>
      <c r="AD1499" s="6">
        <f t="shared" si="219"/>
        <v>10338.681367769092</v>
      </c>
      <c r="AE1499" s="2">
        <v>0.15</v>
      </c>
      <c r="AF1499" s="5">
        <f t="shared" si="223"/>
        <v>1550.8022051653636</v>
      </c>
      <c r="AG1499" s="14">
        <v>0</v>
      </c>
      <c r="AH1499" s="19">
        <f t="shared" si="225"/>
        <v>17261.19153</v>
      </c>
      <c r="AJ1499" s="126" t="e">
        <v>#N/A</v>
      </c>
      <c r="AK1499" s="80">
        <f t="shared" si="224"/>
        <v>0</v>
      </c>
      <c r="AM1499" s="85"/>
    </row>
    <row r="1500" spans="1:39" hidden="1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26"/>
        <v>-7162.6865100000014</v>
      </c>
      <c r="X1500" s="18">
        <f t="shared" si="218"/>
        <v>0</v>
      </c>
      <c r="Y1500" s="13">
        <f t="shared" si="220"/>
        <v>0</v>
      </c>
      <c r="Z1500" s="14">
        <v>0</v>
      </c>
      <c r="AA1500" s="4">
        <v>0</v>
      </c>
      <c r="AB1500" s="4">
        <f t="shared" si="221"/>
        <v>0</v>
      </c>
      <c r="AC1500" s="6">
        <f t="shared" si="222"/>
        <v>0</v>
      </c>
      <c r="AD1500" s="6">
        <f t="shared" si="219"/>
        <v>0</v>
      </c>
      <c r="AE1500" s="2">
        <v>0.12</v>
      </c>
      <c r="AF1500" s="5">
        <f t="shared" si="223"/>
        <v>0</v>
      </c>
      <c r="AG1500" s="14">
        <v>0</v>
      </c>
      <c r="AH1500" s="19">
        <f t="shared" si="225"/>
        <v>0</v>
      </c>
      <c r="AJ1500" s="126" t="e">
        <v>#N/A</v>
      </c>
      <c r="AK1500" s="80">
        <f t="shared" si="224"/>
        <v>0</v>
      </c>
      <c r="AM1500" s="85"/>
    </row>
    <row r="1501" spans="1:39" hidden="1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26"/>
        <v>-113143.23625999999</v>
      </c>
      <c r="X1501" s="18">
        <f t="shared" si="218"/>
        <v>2718.9717227722772</v>
      </c>
      <c r="Y1501" s="13">
        <f t="shared" si="220"/>
        <v>1074.1438982696002</v>
      </c>
      <c r="Z1501" s="14">
        <v>0</v>
      </c>
      <c r="AA1501" s="4">
        <v>0</v>
      </c>
      <c r="AB1501" s="4">
        <f t="shared" si="221"/>
        <v>2718.9717227722772</v>
      </c>
      <c r="AC1501" s="6">
        <f t="shared" si="222"/>
        <v>27.189717227722667</v>
      </c>
      <c r="AD1501" s="6">
        <f t="shared" si="219"/>
        <v>1644.827824502677</v>
      </c>
      <c r="AE1501" s="2">
        <v>0.12</v>
      </c>
      <c r="AF1501" s="5">
        <f t="shared" si="223"/>
        <v>197.37933894032125</v>
      </c>
      <c r="AG1501" s="14">
        <v>0</v>
      </c>
      <c r="AH1501" s="19">
        <f t="shared" si="225"/>
        <v>2746.1614399999999</v>
      </c>
      <c r="AJ1501" s="126" t="e">
        <v>#N/A</v>
      </c>
      <c r="AK1501" s="80">
        <f t="shared" si="224"/>
        <v>0</v>
      </c>
      <c r="AM1501" s="85"/>
    </row>
    <row r="1502" spans="1:39" hidden="1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26"/>
        <v>-572269.48670999997</v>
      </c>
      <c r="X1502" s="18">
        <f t="shared" si="218"/>
        <v>45245.515188118814</v>
      </c>
      <c r="Y1502" s="13">
        <f t="shared" si="220"/>
        <v>17874.475727842193</v>
      </c>
      <c r="Z1502" s="14">
        <v>0</v>
      </c>
      <c r="AA1502" s="4">
        <v>0</v>
      </c>
      <c r="AB1502" s="4">
        <f t="shared" si="221"/>
        <v>45245.515188118814</v>
      </c>
      <c r="AC1502" s="6">
        <f t="shared" si="222"/>
        <v>452.45515188118588</v>
      </c>
      <c r="AD1502" s="6">
        <f t="shared" si="219"/>
        <v>27371.039460276621</v>
      </c>
      <c r="AE1502" s="2">
        <v>0.12</v>
      </c>
      <c r="AF1502" s="5">
        <f t="shared" si="223"/>
        <v>3284.5247352331944</v>
      </c>
      <c r="AG1502" s="14">
        <v>0</v>
      </c>
      <c r="AH1502" s="19">
        <f t="shared" si="225"/>
        <v>45697.97034</v>
      </c>
      <c r="AJ1502" s="126" t="e">
        <v>#N/A</v>
      </c>
      <c r="AK1502" s="80">
        <f t="shared" si="224"/>
        <v>0</v>
      </c>
      <c r="AM1502" s="85"/>
    </row>
    <row r="1503" spans="1:39" hidden="1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26"/>
        <v>0.16000000000349199</v>
      </c>
      <c r="X1503" s="18">
        <f t="shared" si="218"/>
        <v>0</v>
      </c>
      <c r="Y1503" s="13">
        <f t="shared" si="220"/>
        <v>0</v>
      </c>
      <c r="Z1503" s="14">
        <v>0</v>
      </c>
      <c r="AA1503" s="4">
        <v>0</v>
      </c>
      <c r="AB1503" s="4">
        <f t="shared" si="221"/>
        <v>0</v>
      </c>
      <c r="AC1503" s="6">
        <f t="shared" si="222"/>
        <v>0</v>
      </c>
      <c r="AD1503" s="6">
        <f t="shared" si="219"/>
        <v>0</v>
      </c>
      <c r="AE1503" s="2">
        <v>0.12</v>
      </c>
      <c r="AF1503" s="5">
        <f t="shared" si="223"/>
        <v>0</v>
      </c>
      <c r="AG1503" s="14">
        <v>0</v>
      </c>
      <c r="AH1503" s="19">
        <f t="shared" si="225"/>
        <v>0</v>
      </c>
      <c r="AJ1503" s="126" t="s">
        <v>4220</v>
      </c>
      <c r="AK1503" s="80">
        <f t="shared" si="224"/>
        <v>0</v>
      </c>
      <c r="AL1503" s="150"/>
      <c r="AM1503" s="85"/>
    </row>
    <row r="1504" spans="1:39" hidden="1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26"/>
        <v>1.2799999999988401</v>
      </c>
      <c r="X1504" s="18">
        <f t="shared" si="218"/>
        <v>0</v>
      </c>
      <c r="Y1504" s="13">
        <f t="shared" si="220"/>
        <v>0</v>
      </c>
      <c r="Z1504" s="14">
        <v>0</v>
      </c>
      <c r="AA1504" s="4">
        <v>0</v>
      </c>
      <c r="AB1504" s="4"/>
      <c r="AC1504" s="6">
        <f t="shared" si="222"/>
        <v>0</v>
      </c>
      <c r="AD1504" s="6">
        <f t="shared" si="219"/>
        <v>0</v>
      </c>
      <c r="AE1504" s="2">
        <v>7.0000000000000007E-2</v>
      </c>
      <c r="AF1504" s="5">
        <f t="shared" si="223"/>
        <v>0</v>
      </c>
      <c r="AG1504" s="14">
        <v>0</v>
      </c>
      <c r="AH1504" s="19">
        <f t="shared" si="225"/>
        <v>0</v>
      </c>
      <c r="AJ1504" s="126">
        <v>60</v>
      </c>
      <c r="AK1504" s="80">
        <f t="shared" si="224"/>
        <v>0</v>
      </c>
      <c r="AM1504" s="85"/>
    </row>
    <row r="1505" spans="1:39" hidden="1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26"/>
        <v>489.4</v>
      </c>
      <c r="X1505" s="18">
        <f t="shared" si="218"/>
        <v>0</v>
      </c>
      <c r="Y1505" s="13">
        <f t="shared" si="220"/>
        <v>0</v>
      </c>
      <c r="Z1505" s="14">
        <v>0</v>
      </c>
      <c r="AA1505" s="4">
        <v>0</v>
      </c>
      <c r="AB1505" s="4">
        <f t="shared" si="221"/>
        <v>0</v>
      </c>
      <c r="AC1505" s="6">
        <f t="shared" si="222"/>
        <v>0</v>
      </c>
      <c r="AD1505" s="6">
        <f t="shared" si="219"/>
        <v>0</v>
      </c>
      <c r="AE1505" s="2">
        <v>7.0000000000000007E-2</v>
      </c>
      <c r="AF1505" s="5">
        <f t="shared" si="223"/>
        <v>0</v>
      </c>
      <c r="AG1505" s="14">
        <v>0</v>
      </c>
      <c r="AH1505" s="19">
        <f t="shared" si="225"/>
        <v>0</v>
      </c>
      <c r="AJ1505" s="126" t="e">
        <v>#N/A</v>
      </c>
      <c r="AK1505" s="80">
        <f t="shared" si="224"/>
        <v>0</v>
      </c>
      <c r="AM1505" s="85"/>
    </row>
    <row r="1506" spans="1:39" hidden="1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26"/>
        <v>7206.97</v>
      </c>
      <c r="X1506" s="18">
        <f t="shared" si="218"/>
        <v>0</v>
      </c>
      <c r="Y1506" s="13">
        <f t="shared" si="220"/>
        <v>0</v>
      </c>
      <c r="Z1506" s="14">
        <v>0</v>
      </c>
      <c r="AA1506" s="4">
        <v>0</v>
      </c>
      <c r="AB1506" s="4">
        <f t="shared" si="221"/>
        <v>0</v>
      </c>
      <c r="AC1506" s="6">
        <f t="shared" si="222"/>
        <v>0</v>
      </c>
      <c r="AD1506" s="6">
        <f t="shared" si="219"/>
        <v>0</v>
      </c>
      <c r="AE1506" s="2">
        <v>0.12</v>
      </c>
      <c r="AF1506" s="5">
        <f t="shared" si="223"/>
        <v>0</v>
      </c>
      <c r="AG1506" s="14">
        <v>0</v>
      </c>
      <c r="AH1506" s="19">
        <f t="shared" si="225"/>
        <v>0</v>
      </c>
      <c r="AJ1506" s="126" t="e">
        <v>#N/A</v>
      </c>
      <c r="AK1506" s="80">
        <f t="shared" si="224"/>
        <v>0</v>
      </c>
      <c r="AM1506" s="85"/>
    </row>
    <row r="1507" spans="1:39" hidden="1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26"/>
        <v>-6242</v>
      </c>
      <c r="X1507" s="18">
        <f t="shared" si="218"/>
        <v>0</v>
      </c>
      <c r="Y1507" s="13">
        <f t="shared" si="220"/>
        <v>0</v>
      </c>
      <c r="Z1507" s="14">
        <v>0</v>
      </c>
      <c r="AA1507" s="4">
        <v>0</v>
      </c>
      <c r="AB1507" s="4">
        <f t="shared" si="221"/>
        <v>0</v>
      </c>
      <c r="AC1507" s="6">
        <f t="shared" si="222"/>
        <v>0</v>
      </c>
      <c r="AD1507" s="6">
        <f t="shared" si="219"/>
        <v>0</v>
      </c>
      <c r="AE1507" s="2">
        <v>7.0000000000000007E-2</v>
      </c>
      <c r="AF1507" s="5">
        <f t="shared" si="223"/>
        <v>0</v>
      </c>
      <c r="AG1507" s="14">
        <v>0</v>
      </c>
      <c r="AH1507" s="19">
        <f t="shared" si="225"/>
        <v>0</v>
      </c>
      <c r="AJ1507" s="126" t="e">
        <v>#N/A</v>
      </c>
      <c r="AK1507" s="80">
        <f t="shared" si="224"/>
        <v>0</v>
      </c>
      <c r="AM1507" s="85"/>
    </row>
    <row r="1508" spans="1:39" hidden="1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26"/>
        <v>-513.77</v>
      </c>
      <c r="X1508" s="18">
        <f t="shared" si="218"/>
        <v>0</v>
      </c>
      <c r="Y1508" s="13">
        <f t="shared" si="220"/>
        <v>0</v>
      </c>
      <c r="Z1508" s="14">
        <v>0</v>
      </c>
      <c r="AA1508" s="4">
        <v>0</v>
      </c>
      <c r="AB1508" s="4">
        <f t="shared" si="221"/>
        <v>0</v>
      </c>
      <c r="AC1508" s="6">
        <f t="shared" si="222"/>
        <v>0</v>
      </c>
      <c r="AD1508" s="6">
        <f t="shared" si="219"/>
        <v>0</v>
      </c>
      <c r="AE1508" s="2">
        <v>0.15</v>
      </c>
      <c r="AF1508" s="5">
        <f t="shared" si="223"/>
        <v>0</v>
      </c>
      <c r="AG1508" s="14">
        <v>0</v>
      </c>
      <c r="AH1508" s="19">
        <f t="shared" si="225"/>
        <v>0</v>
      </c>
      <c r="AJ1508" s="126" t="e">
        <v>#N/A</v>
      </c>
      <c r="AK1508" s="80">
        <f t="shared" si="224"/>
        <v>0</v>
      </c>
      <c r="AM1508" s="85"/>
    </row>
    <row r="1509" spans="1:39" hidden="1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26"/>
        <v>0.229999999999563</v>
      </c>
      <c r="X1509" s="18">
        <f t="shared" si="218"/>
        <v>0</v>
      </c>
      <c r="Y1509" s="13">
        <f t="shared" si="220"/>
        <v>0</v>
      </c>
      <c r="Z1509" s="14">
        <v>0</v>
      </c>
      <c r="AA1509" s="4">
        <v>0</v>
      </c>
      <c r="AB1509" s="4">
        <f t="shared" si="221"/>
        <v>0</v>
      </c>
      <c r="AC1509" s="6">
        <f t="shared" si="222"/>
        <v>0</v>
      </c>
      <c r="AD1509" s="6">
        <f t="shared" si="219"/>
        <v>0</v>
      </c>
      <c r="AE1509" s="2">
        <v>0.12</v>
      </c>
      <c r="AF1509" s="5">
        <f t="shared" si="223"/>
        <v>0</v>
      </c>
      <c r="AG1509" s="14">
        <v>0</v>
      </c>
      <c r="AH1509" s="19">
        <f t="shared" si="225"/>
        <v>0</v>
      </c>
      <c r="AJ1509" s="126" t="e">
        <v>#N/A</v>
      </c>
      <c r="AK1509" s="80">
        <f t="shared" si="224"/>
        <v>0</v>
      </c>
      <c r="AM1509" s="85"/>
    </row>
    <row r="1510" spans="1:39" hidden="1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26"/>
        <v>10000</v>
      </c>
      <c r="X1510" s="18">
        <f t="shared" ref="X1510:X1573" si="227">IF(P1510="折扣",V1510*Q1510,IF(P1510="返现",V1510,V1510/(1+Q1510)))</f>
        <v>0</v>
      </c>
      <c r="Y1510" s="13">
        <f t="shared" si="220"/>
        <v>0</v>
      </c>
      <c r="Z1510" s="14">
        <v>0</v>
      </c>
      <c r="AA1510" s="4">
        <v>0</v>
      </c>
      <c r="AB1510" s="4">
        <f t="shared" si="221"/>
        <v>0</v>
      </c>
      <c r="AC1510" s="6">
        <f t="shared" si="222"/>
        <v>0</v>
      </c>
      <c r="AD1510" s="6">
        <f t="shared" si="219"/>
        <v>0</v>
      </c>
      <c r="AE1510" s="2">
        <v>7.0000000000000007E-2</v>
      </c>
      <c r="AF1510" s="5">
        <f t="shared" si="223"/>
        <v>0</v>
      </c>
      <c r="AG1510" s="14">
        <v>0</v>
      </c>
      <c r="AH1510" s="19">
        <f t="shared" si="225"/>
        <v>0</v>
      </c>
      <c r="AJ1510" s="126" t="e">
        <v>#N/A</v>
      </c>
      <c r="AK1510" s="80">
        <f t="shared" si="224"/>
        <v>0</v>
      </c>
      <c r="AM1510" s="85"/>
    </row>
    <row r="1511" spans="1:39" hidden="1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26"/>
        <v>12.079999999999927</v>
      </c>
      <c r="X1511" s="18">
        <f t="shared" si="227"/>
        <v>0</v>
      </c>
      <c r="Y1511" s="13">
        <f t="shared" si="220"/>
        <v>0</v>
      </c>
      <c r="Z1511" s="14">
        <v>0</v>
      </c>
      <c r="AA1511" s="4">
        <v>0</v>
      </c>
      <c r="AB1511" s="4">
        <f t="shared" si="221"/>
        <v>0</v>
      </c>
      <c r="AC1511" s="6">
        <f t="shared" si="222"/>
        <v>0</v>
      </c>
      <c r="AD1511" s="6">
        <f t="shared" si="219"/>
        <v>0</v>
      </c>
      <c r="AE1511" s="2">
        <v>0.12</v>
      </c>
      <c r="AF1511" s="5">
        <f t="shared" si="223"/>
        <v>0</v>
      </c>
      <c r="AG1511" s="14">
        <v>0</v>
      </c>
      <c r="AH1511" s="19">
        <f t="shared" si="225"/>
        <v>0</v>
      </c>
      <c r="AJ1511" s="126" t="e">
        <v>#N/A</v>
      </c>
      <c r="AK1511" s="80">
        <f t="shared" si="224"/>
        <v>0</v>
      </c>
      <c r="AM1511" s="85"/>
    </row>
    <row r="1512" spans="1:39" hidden="1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26"/>
        <v>463.2</v>
      </c>
      <c r="X1512" s="18">
        <f t="shared" si="227"/>
        <v>0</v>
      </c>
      <c r="Y1512" s="13">
        <f t="shared" si="220"/>
        <v>0</v>
      </c>
      <c r="Z1512" s="14">
        <v>0</v>
      </c>
      <c r="AA1512" s="4">
        <v>0</v>
      </c>
      <c r="AB1512" s="4">
        <f t="shared" si="221"/>
        <v>0</v>
      </c>
      <c r="AC1512" s="6">
        <f t="shared" si="222"/>
        <v>0</v>
      </c>
      <c r="AD1512" s="6">
        <f t="shared" si="219"/>
        <v>0</v>
      </c>
      <c r="AE1512" s="2">
        <v>7.0000000000000007E-2</v>
      </c>
      <c r="AF1512" s="5">
        <f t="shared" si="223"/>
        <v>0</v>
      </c>
      <c r="AG1512" s="14">
        <v>0</v>
      </c>
      <c r="AH1512" s="19">
        <f t="shared" si="225"/>
        <v>0</v>
      </c>
      <c r="AJ1512" s="126" t="e">
        <v>#N/A</v>
      </c>
      <c r="AK1512" s="80">
        <f t="shared" si="224"/>
        <v>0</v>
      </c>
      <c r="AM1512" s="85"/>
    </row>
    <row r="1513" spans="1:39" hidden="1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26"/>
        <v>84.229999999999606</v>
      </c>
      <c r="X1513" s="18">
        <f t="shared" si="227"/>
        <v>0</v>
      </c>
      <c r="Y1513" s="13">
        <f t="shared" si="220"/>
        <v>0</v>
      </c>
      <c r="Z1513" s="14">
        <v>0</v>
      </c>
      <c r="AA1513" s="4">
        <v>0</v>
      </c>
      <c r="AB1513" s="4">
        <f t="shared" si="221"/>
        <v>0</v>
      </c>
      <c r="AC1513" s="6">
        <f t="shared" si="222"/>
        <v>0</v>
      </c>
      <c r="AD1513" s="6">
        <f t="shared" si="219"/>
        <v>0</v>
      </c>
      <c r="AE1513" s="2">
        <v>0.12</v>
      </c>
      <c r="AF1513" s="5">
        <f t="shared" si="223"/>
        <v>0</v>
      </c>
      <c r="AG1513" s="14">
        <v>0</v>
      </c>
      <c r="AH1513" s="19">
        <f t="shared" si="225"/>
        <v>0</v>
      </c>
      <c r="AJ1513" s="126" t="e">
        <v>#N/A</v>
      </c>
      <c r="AK1513" s="80">
        <f t="shared" si="224"/>
        <v>0</v>
      </c>
      <c r="AM1513" s="85"/>
    </row>
    <row r="1514" spans="1:39" hidden="1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26"/>
        <v>-77447.75</v>
      </c>
      <c r="X1514" s="18">
        <f t="shared" si="227"/>
        <v>0</v>
      </c>
      <c r="Y1514" s="13">
        <f t="shared" si="220"/>
        <v>0</v>
      </c>
      <c r="Z1514" s="14">
        <v>0</v>
      </c>
      <c r="AA1514" s="4">
        <v>0</v>
      </c>
      <c r="AB1514" s="4">
        <f t="shared" si="221"/>
        <v>0</v>
      </c>
      <c r="AC1514" s="6">
        <f t="shared" si="222"/>
        <v>0</v>
      </c>
      <c r="AD1514" s="6">
        <f t="shared" si="219"/>
        <v>0</v>
      </c>
      <c r="AE1514" s="2">
        <v>0.15</v>
      </c>
      <c r="AF1514" s="5">
        <f t="shared" si="223"/>
        <v>0</v>
      </c>
      <c r="AG1514" s="14">
        <v>0</v>
      </c>
      <c r="AH1514" s="19">
        <f t="shared" si="225"/>
        <v>0</v>
      </c>
      <c r="AJ1514" s="126" t="e">
        <v>#N/A</v>
      </c>
      <c r="AK1514" s="80">
        <f t="shared" si="224"/>
        <v>0</v>
      </c>
      <c r="AM1514" s="85"/>
    </row>
    <row r="1515" spans="1:39" hidden="1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26"/>
        <v>-22392.737779999999</v>
      </c>
      <c r="X1515" s="18">
        <f t="shared" si="227"/>
        <v>0</v>
      </c>
      <c r="Y1515" s="13">
        <f t="shared" si="220"/>
        <v>0</v>
      </c>
      <c r="Z1515" s="14">
        <v>0</v>
      </c>
      <c r="AA1515" s="4">
        <v>0</v>
      </c>
      <c r="AB1515" s="4">
        <f t="shared" si="221"/>
        <v>0</v>
      </c>
      <c r="AC1515" s="6">
        <f t="shared" si="222"/>
        <v>0</v>
      </c>
      <c r="AD1515" s="6">
        <f t="shared" si="219"/>
        <v>0</v>
      </c>
      <c r="AE1515" s="2">
        <v>0.12</v>
      </c>
      <c r="AF1515" s="5">
        <f t="shared" si="223"/>
        <v>0</v>
      </c>
      <c r="AG1515" s="14">
        <v>0</v>
      </c>
      <c r="AH1515" s="19">
        <f t="shared" si="225"/>
        <v>0</v>
      </c>
      <c r="AJ1515" s="126" t="e">
        <v>#N/A</v>
      </c>
      <c r="AK1515" s="80">
        <f t="shared" si="224"/>
        <v>0</v>
      </c>
      <c r="AM1515" s="85"/>
    </row>
    <row r="1516" spans="1:39" hidden="1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26"/>
        <v>-685889.37</v>
      </c>
      <c r="X1516" s="18">
        <f t="shared" si="227"/>
        <v>0</v>
      </c>
      <c r="Y1516" s="13">
        <f t="shared" si="220"/>
        <v>0</v>
      </c>
      <c r="Z1516" s="14">
        <v>0</v>
      </c>
      <c r="AA1516" s="4">
        <v>0</v>
      </c>
      <c r="AB1516" s="4">
        <f t="shared" si="221"/>
        <v>0</v>
      </c>
      <c r="AC1516" s="6">
        <f t="shared" si="222"/>
        <v>0</v>
      </c>
      <c r="AD1516" s="6">
        <f t="shared" si="219"/>
        <v>0</v>
      </c>
      <c r="AE1516" s="2">
        <v>0.12</v>
      </c>
      <c r="AF1516" s="5">
        <f t="shared" si="223"/>
        <v>0</v>
      </c>
      <c r="AG1516" s="14">
        <v>0</v>
      </c>
      <c r="AH1516" s="19">
        <f t="shared" si="225"/>
        <v>0</v>
      </c>
      <c r="AJ1516" s="126" t="e">
        <v>#N/A</v>
      </c>
      <c r="AK1516" s="80">
        <f t="shared" si="224"/>
        <v>0</v>
      </c>
      <c r="AM1516" s="85"/>
    </row>
    <row r="1517" spans="1:39" hidden="1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26"/>
        <v>-1504159.5518600002</v>
      </c>
      <c r="X1517" s="18">
        <f t="shared" si="227"/>
        <v>1.41004</v>
      </c>
      <c r="Y1517" s="13">
        <f t="shared" si="220"/>
        <v>0.56548913278596069</v>
      </c>
      <c r="Z1517" s="14">
        <v>0</v>
      </c>
      <c r="AA1517" s="4">
        <v>0</v>
      </c>
      <c r="AB1517" s="4">
        <f t="shared" si="221"/>
        <v>1.41004</v>
      </c>
      <c r="AC1517" s="6">
        <f t="shared" si="222"/>
        <v>0</v>
      </c>
      <c r="AD1517" s="6">
        <f t="shared" si="219"/>
        <v>0.84455086721403927</v>
      </c>
      <c r="AE1517" s="2">
        <v>0.12</v>
      </c>
      <c r="AF1517" s="5">
        <f t="shared" si="223"/>
        <v>0.10134610406568471</v>
      </c>
      <c r="AG1517" s="14">
        <v>0</v>
      </c>
      <c r="AH1517" s="19">
        <f t="shared" si="225"/>
        <v>1.41004</v>
      </c>
      <c r="AJ1517" s="126" t="e">
        <v>#N/A</v>
      </c>
      <c r="AK1517" s="80">
        <f t="shared" si="224"/>
        <v>0</v>
      </c>
      <c r="AM1517" s="85"/>
    </row>
    <row r="1518" spans="1:39" hidden="1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26"/>
        <v>-60204.99</v>
      </c>
      <c r="X1518" s="18">
        <f t="shared" si="227"/>
        <v>0</v>
      </c>
      <c r="Y1518" s="13">
        <f t="shared" si="220"/>
        <v>0</v>
      </c>
      <c r="Z1518" s="14">
        <v>0</v>
      </c>
      <c r="AA1518" s="4">
        <v>0</v>
      </c>
      <c r="AB1518" s="4">
        <f t="shared" si="221"/>
        <v>0</v>
      </c>
      <c r="AC1518" s="6">
        <f t="shared" si="222"/>
        <v>0</v>
      </c>
      <c r="AD1518" s="6">
        <f t="shared" si="219"/>
        <v>0</v>
      </c>
      <c r="AE1518" s="2">
        <v>0.15</v>
      </c>
      <c r="AF1518" s="5">
        <f t="shared" si="223"/>
        <v>0</v>
      </c>
      <c r="AG1518" s="14">
        <v>0</v>
      </c>
      <c r="AH1518" s="19">
        <f t="shared" si="225"/>
        <v>0</v>
      </c>
      <c r="AJ1518" s="126" t="e">
        <v>#N/A</v>
      </c>
      <c r="AK1518" s="80">
        <f t="shared" si="224"/>
        <v>0</v>
      </c>
      <c r="AM1518" s="85"/>
    </row>
    <row r="1519" spans="1:39" hidden="1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26"/>
        <v>-28357.105049999998</v>
      </c>
      <c r="X1519" s="18">
        <f t="shared" si="227"/>
        <v>0</v>
      </c>
      <c r="Y1519" s="13">
        <f t="shared" si="220"/>
        <v>0</v>
      </c>
      <c r="Z1519" s="14">
        <v>0</v>
      </c>
      <c r="AA1519" s="4">
        <v>0</v>
      </c>
      <c r="AB1519" s="4">
        <f t="shared" si="221"/>
        <v>0</v>
      </c>
      <c r="AC1519" s="6">
        <f t="shared" si="222"/>
        <v>0</v>
      </c>
      <c r="AD1519" s="6">
        <f t="shared" si="219"/>
        <v>0</v>
      </c>
      <c r="AE1519" s="2">
        <v>0.15</v>
      </c>
      <c r="AF1519" s="5">
        <f t="shared" si="223"/>
        <v>0</v>
      </c>
      <c r="AG1519" s="14">
        <v>0</v>
      </c>
      <c r="AH1519" s="19">
        <f t="shared" si="225"/>
        <v>0</v>
      </c>
      <c r="AJ1519" s="126" t="e">
        <v>#N/A</v>
      </c>
      <c r="AK1519" s="80">
        <f t="shared" si="224"/>
        <v>0</v>
      </c>
      <c r="AM1519" s="85"/>
    </row>
    <row r="1520" spans="1:39" hidden="1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26"/>
        <v>-771455.54529000004</v>
      </c>
      <c r="X1520" s="18">
        <f t="shared" si="227"/>
        <v>18.918579999999999</v>
      </c>
      <c r="Y1520" s="13">
        <f t="shared" si="220"/>
        <v>7.5871970991899662</v>
      </c>
      <c r="Z1520" s="14">
        <v>0</v>
      </c>
      <c r="AA1520" s="4">
        <v>0</v>
      </c>
      <c r="AB1520" s="4">
        <f t="shared" si="221"/>
        <v>18.918579999999999</v>
      </c>
      <c r="AC1520" s="6">
        <f t="shared" si="222"/>
        <v>0</v>
      </c>
      <c r="AD1520" s="6">
        <f t="shared" si="219"/>
        <v>11.331382900810032</v>
      </c>
      <c r="AE1520" s="2">
        <v>0.12</v>
      </c>
      <c r="AF1520" s="5">
        <f t="shared" si="223"/>
        <v>1.3597659480972037</v>
      </c>
      <c r="AG1520" s="14">
        <v>0</v>
      </c>
      <c r="AH1520" s="19">
        <f t="shared" si="225"/>
        <v>18.918579999999999</v>
      </c>
      <c r="AJ1520" s="126" t="e">
        <v>#N/A</v>
      </c>
      <c r="AK1520" s="80">
        <f t="shared" si="224"/>
        <v>0</v>
      </c>
      <c r="AM1520" s="85"/>
    </row>
    <row r="1521" spans="1:39" hidden="1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26"/>
        <v>15465.78</v>
      </c>
      <c r="X1521" s="18">
        <f t="shared" si="227"/>
        <v>0</v>
      </c>
      <c r="Y1521" s="13">
        <f t="shared" si="220"/>
        <v>0</v>
      </c>
      <c r="Z1521" s="14">
        <v>0</v>
      </c>
      <c r="AA1521" s="4">
        <v>0</v>
      </c>
      <c r="AB1521" s="4">
        <f t="shared" si="221"/>
        <v>0</v>
      </c>
      <c r="AC1521" s="6">
        <f t="shared" si="222"/>
        <v>0</v>
      </c>
      <c r="AD1521" s="6">
        <f t="shared" si="219"/>
        <v>0</v>
      </c>
      <c r="AE1521" s="2">
        <v>0.12</v>
      </c>
      <c r="AF1521" s="5">
        <f t="shared" si="223"/>
        <v>0</v>
      </c>
      <c r="AG1521" s="14">
        <v>0</v>
      </c>
      <c r="AH1521" s="19">
        <f t="shared" si="225"/>
        <v>0</v>
      </c>
      <c r="AJ1521" s="126" t="e">
        <v>#N/A</v>
      </c>
      <c r="AK1521" s="80">
        <f t="shared" si="224"/>
        <v>0</v>
      </c>
      <c r="AM1521" s="85"/>
    </row>
    <row r="1522" spans="1:39" hidden="1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26"/>
        <v>5801</v>
      </c>
      <c r="X1522" s="18">
        <f t="shared" si="227"/>
        <v>0</v>
      </c>
      <c r="Y1522" s="13">
        <f t="shared" si="220"/>
        <v>0</v>
      </c>
      <c r="Z1522" s="14">
        <v>0</v>
      </c>
      <c r="AA1522" s="4">
        <v>0</v>
      </c>
      <c r="AB1522" s="4">
        <f t="shared" si="221"/>
        <v>0</v>
      </c>
      <c r="AC1522" s="6">
        <f t="shared" si="222"/>
        <v>0</v>
      </c>
      <c r="AD1522" s="6">
        <f t="shared" si="219"/>
        <v>0</v>
      </c>
      <c r="AE1522" s="2">
        <v>7.0000000000000007E-2</v>
      </c>
      <c r="AF1522" s="5">
        <f t="shared" si="223"/>
        <v>0</v>
      </c>
      <c r="AG1522" s="14">
        <v>0</v>
      </c>
      <c r="AH1522" s="19">
        <f t="shared" si="225"/>
        <v>0</v>
      </c>
      <c r="AJ1522" s="126" t="e">
        <v>#N/A</v>
      </c>
      <c r="AK1522" s="80">
        <f t="shared" si="224"/>
        <v>0</v>
      </c>
      <c r="AM1522" s="85"/>
    </row>
    <row r="1523" spans="1:39" hidden="1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26"/>
        <v>489.46</v>
      </c>
      <c r="X1523" s="18">
        <f t="shared" si="227"/>
        <v>0</v>
      </c>
      <c r="Y1523" s="13">
        <f t="shared" si="220"/>
        <v>0</v>
      </c>
      <c r="Z1523" s="14">
        <v>0</v>
      </c>
      <c r="AA1523" s="4">
        <v>0</v>
      </c>
      <c r="AB1523" s="4">
        <f t="shared" si="221"/>
        <v>0</v>
      </c>
      <c r="AC1523" s="6">
        <f t="shared" si="222"/>
        <v>0</v>
      </c>
      <c r="AD1523" s="6">
        <f t="shared" si="219"/>
        <v>0</v>
      </c>
      <c r="AE1523" s="2">
        <v>7.0000000000000007E-2</v>
      </c>
      <c r="AF1523" s="5">
        <f t="shared" si="223"/>
        <v>0</v>
      </c>
      <c r="AG1523" s="14">
        <v>0</v>
      </c>
      <c r="AH1523" s="19">
        <f t="shared" si="225"/>
        <v>0</v>
      </c>
      <c r="AJ1523" s="126" t="e">
        <v>#N/A</v>
      </c>
      <c r="AK1523" s="80">
        <f t="shared" si="224"/>
        <v>0</v>
      </c>
      <c r="AM1523" s="85"/>
    </row>
    <row r="1524" spans="1:39" hidden="1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26"/>
        <v>16335.18</v>
      </c>
      <c r="X1524" s="18">
        <f t="shared" si="227"/>
        <v>0</v>
      </c>
      <c r="Y1524" s="13">
        <f t="shared" si="220"/>
        <v>0</v>
      </c>
      <c r="Z1524" s="14">
        <v>0</v>
      </c>
      <c r="AA1524" s="4">
        <v>0</v>
      </c>
      <c r="AB1524" s="4">
        <f t="shared" si="221"/>
        <v>0</v>
      </c>
      <c r="AC1524" s="6">
        <f t="shared" si="222"/>
        <v>0</v>
      </c>
      <c r="AD1524" s="6">
        <f t="shared" si="219"/>
        <v>0</v>
      </c>
      <c r="AE1524" s="2">
        <v>7.0000000000000007E-2</v>
      </c>
      <c r="AF1524" s="5">
        <f t="shared" si="223"/>
        <v>0</v>
      </c>
      <c r="AG1524" s="14">
        <v>0</v>
      </c>
      <c r="AH1524" s="19">
        <f t="shared" si="225"/>
        <v>0</v>
      </c>
      <c r="AJ1524" s="126" t="e">
        <v>#N/A</v>
      </c>
      <c r="AK1524" s="80">
        <f t="shared" si="224"/>
        <v>0</v>
      </c>
      <c r="AM1524" s="85"/>
    </row>
    <row r="1525" spans="1:39" hidden="1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26"/>
        <v>31601.200000000001</v>
      </c>
      <c r="X1525" s="18">
        <f t="shared" si="227"/>
        <v>0</v>
      </c>
      <c r="Y1525" s="13">
        <f t="shared" si="220"/>
        <v>0</v>
      </c>
      <c r="Z1525" s="14">
        <v>0</v>
      </c>
      <c r="AA1525" s="4">
        <v>0</v>
      </c>
      <c r="AB1525" s="4">
        <f t="shared" si="221"/>
        <v>0</v>
      </c>
      <c r="AC1525" s="6">
        <f t="shared" si="222"/>
        <v>0</v>
      </c>
      <c r="AD1525" s="6">
        <f t="shared" si="219"/>
        <v>0</v>
      </c>
      <c r="AE1525" s="2">
        <v>7.0000000000000007E-2</v>
      </c>
      <c r="AF1525" s="5">
        <f t="shared" si="223"/>
        <v>0</v>
      </c>
      <c r="AG1525" s="14">
        <v>0</v>
      </c>
      <c r="AH1525" s="19">
        <f t="shared" si="225"/>
        <v>0</v>
      </c>
      <c r="AJ1525" s="126" t="e">
        <v>#N/A</v>
      </c>
      <c r="AK1525" s="80">
        <f t="shared" si="224"/>
        <v>0</v>
      </c>
      <c r="AM1525" s="85"/>
    </row>
    <row r="1526" spans="1:39" hidden="1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26"/>
        <v>302.09999999999098</v>
      </c>
      <c r="X1526" s="18">
        <f t="shared" si="227"/>
        <v>0</v>
      </c>
      <c r="Y1526" s="13">
        <f t="shared" si="220"/>
        <v>0</v>
      </c>
      <c r="Z1526" s="14">
        <v>0</v>
      </c>
      <c r="AA1526" s="4">
        <v>0</v>
      </c>
      <c r="AB1526" s="4">
        <f t="shared" si="221"/>
        <v>0</v>
      </c>
      <c r="AC1526" s="6">
        <f t="shared" si="222"/>
        <v>0</v>
      </c>
      <c r="AD1526" s="6">
        <f t="shared" si="219"/>
        <v>0</v>
      </c>
      <c r="AE1526" s="2">
        <v>7.0000000000000007E-2</v>
      </c>
      <c r="AF1526" s="5">
        <f t="shared" si="223"/>
        <v>0</v>
      </c>
      <c r="AG1526" s="14">
        <v>0</v>
      </c>
      <c r="AH1526" s="19">
        <f t="shared" si="225"/>
        <v>0</v>
      </c>
      <c r="AJ1526" s="126" t="e">
        <v>#N/A</v>
      </c>
      <c r="AK1526" s="80">
        <f t="shared" si="224"/>
        <v>0</v>
      </c>
      <c r="AM1526" s="85"/>
    </row>
    <row r="1527" spans="1:39" hidden="1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26"/>
        <v>7428.92</v>
      </c>
      <c r="X1527" s="18">
        <f t="shared" si="227"/>
        <v>0</v>
      </c>
      <c r="Y1527" s="13">
        <f t="shared" si="220"/>
        <v>0</v>
      </c>
      <c r="Z1527" s="14">
        <v>0</v>
      </c>
      <c r="AA1527" s="4">
        <v>0</v>
      </c>
      <c r="AB1527" s="4">
        <f t="shared" si="221"/>
        <v>0</v>
      </c>
      <c r="AC1527" s="6">
        <f t="shared" si="222"/>
        <v>0</v>
      </c>
      <c r="AD1527" s="6">
        <f t="shared" si="219"/>
        <v>0</v>
      </c>
      <c r="AE1527" s="2">
        <v>7.0000000000000007E-2</v>
      </c>
      <c r="AF1527" s="5">
        <f t="shared" si="223"/>
        <v>0</v>
      </c>
      <c r="AG1527" s="14">
        <v>0</v>
      </c>
      <c r="AH1527" s="19">
        <f t="shared" si="225"/>
        <v>0</v>
      </c>
      <c r="AJ1527" s="126" t="e">
        <v>#N/A</v>
      </c>
      <c r="AK1527" s="80">
        <f t="shared" si="224"/>
        <v>0</v>
      </c>
      <c r="AM1527" s="85"/>
    </row>
    <row r="1528" spans="1:39" hidden="1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26"/>
        <v>487.4</v>
      </c>
      <c r="X1528" s="18">
        <f t="shared" si="227"/>
        <v>0</v>
      </c>
      <c r="Y1528" s="13">
        <f t="shared" si="220"/>
        <v>0</v>
      </c>
      <c r="Z1528" s="14">
        <v>0</v>
      </c>
      <c r="AA1528" s="4">
        <v>0</v>
      </c>
      <c r="AB1528" s="4">
        <f t="shared" si="221"/>
        <v>0</v>
      </c>
      <c r="AC1528" s="6">
        <f t="shared" si="222"/>
        <v>0</v>
      </c>
      <c r="AD1528" s="6">
        <f t="shared" si="219"/>
        <v>0</v>
      </c>
      <c r="AE1528" s="2">
        <v>7.0000000000000007E-2</v>
      </c>
      <c r="AF1528" s="5">
        <f t="shared" si="223"/>
        <v>0</v>
      </c>
      <c r="AG1528" s="14">
        <v>0</v>
      </c>
      <c r="AH1528" s="19">
        <f t="shared" si="225"/>
        <v>0</v>
      </c>
      <c r="AJ1528" s="126" t="e">
        <v>#N/A</v>
      </c>
      <c r="AK1528" s="80">
        <f t="shared" si="224"/>
        <v>0</v>
      </c>
      <c r="AM1528" s="85"/>
    </row>
    <row r="1529" spans="1:39" hidden="1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26"/>
        <v>5.9999999999490697E-2</v>
      </c>
      <c r="X1529" s="18">
        <f t="shared" si="227"/>
        <v>0</v>
      </c>
      <c r="Y1529" s="13">
        <f t="shared" si="220"/>
        <v>0</v>
      </c>
      <c r="Z1529" s="14">
        <v>0</v>
      </c>
      <c r="AA1529" s="4">
        <v>0</v>
      </c>
      <c r="AB1529" s="4">
        <f t="shared" si="221"/>
        <v>0</v>
      </c>
      <c r="AC1529" s="6">
        <f t="shared" si="222"/>
        <v>0</v>
      </c>
      <c r="AD1529" s="6">
        <f t="shared" si="219"/>
        <v>0</v>
      </c>
      <c r="AE1529" s="2">
        <v>0.12</v>
      </c>
      <c r="AF1529" s="5">
        <f t="shared" si="223"/>
        <v>0</v>
      </c>
      <c r="AG1529" s="14">
        <v>0</v>
      </c>
      <c r="AH1529" s="19">
        <f t="shared" si="225"/>
        <v>0</v>
      </c>
      <c r="AJ1529" s="126" t="s">
        <v>4222</v>
      </c>
      <c r="AK1529" s="80">
        <f t="shared" si="224"/>
        <v>0</v>
      </c>
      <c r="AL1529" s="150"/>
      <c r="AM1529" s="85"/>
    </row>
    <row r="1530" spans="1:39" hidden="1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26"/>
        <v>6189.5</v>
      </c>
      <c r="X1530" s="18">
        <f t="shared" si="227"/>
        <v>0</v>
      </c>
      <c r="Y1530" s="13">
        <f t="shared" si="220"/>
        <v>0</v>
      </c>
      <c r="Z1530" s="14">
        <v>0</v>
      </c>
      <c r="AA1530" s="4">
        <v>0</v>
      </c>
      <c r="AB1530" s="4">
        <f t="shared" si="221"/>
        <v>0</v>
      </c>
      <c r="AC1530" s="6">
        <f t="shared" si="222"/>
        <v>0</v>
      </c>
      <c r="AD1530" s="6">
        <f t="shared" si="219"/>
        <v>0</v>
      </c>
      <c r="AE1530" s="2">
        <v>7.0000000000000007E-2</v>
      </c>
      <c r="AF1530" s="5">
        <f t="shared" si="223"/>
        <v>0</v>
      </c>
      <c r="AG1530" s="14">
        <v>0</v>
      </c>
      <c r="AH1530" s="19">
        <f t="shared" si="225"/>
        <v>0</v>
      </c>
      <c r="AJ1530" s="126" t="e">
        <v>#N/A</v>
      </c>
      <c r="AK1530" s="80">
        <f t="shared" si="224"/>
        <v>0</v>
      </c>
      <c r="AM1530" s="85"/>
    </row>
    <row r="1531" spans="1:39" hidden="1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26"/>
        <v>1.8599999999900101</v>
      </c>
      <c r="X1531" s="18">
        <f t="shared" si="227"/>
        <v>0</v>
      </c>
      <c r="Y1531" s="13">
        <f t="shared" si="220"/>
        <v>0</v>
      </c>
      <c r="Z1531" s="14">
        <v>0</v>
      </c>
      <c r="AA1531" s="4">
        <v>0</v>
      </c>
      <c r="AB1531" s="4">
        <f t="shared" si="221"/>
        <v>0</v>
      </c>
      <c r="AC1531" s="6">
        <f t="shared" si="222"/>
        <v>0</v>
      </c>
      <c r="AD1531" s="6">
        <f t="shared" ref="AD1531:AD1570" si="228">V1531*0.598955254612663</f>
        <v>0</v>
      </c>
      <c r="AE1531" s="2">
        <v>7.0000000000000007E-2</v>
      </c>
      <c r="AF1531" s="5">
        <f t="shared" si="223"/>
        <v>0</v>
      </c>
      <c r="AG1531" s="14">
        <v>0</v>
      </c>
      <c r="AH1531" s="19">
        <f t="shared" si="225"/>
        <v>0</v>
      </c>
      <c r="AJ1531" s="126" t="e">
        <v>#N/A</v>
      </c>
      <c r="AK1531" s="80">
        <f t="shared" si="224"/>
        <v>0</v>
      </c>
      <c r="AM1531" s="85"/>
    </row>
    <row r="1532" spans="1:39" hidden="1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26"/>
        <v>484</v>
      </c>
      <c r="X1532" s="18">
        <f t="shared" si="227"/>
        <v>0</v>
      </c>
      <c r="Y1532" s="13">
        <f t="shared" si="220"/>
        <v>0</v>
      </c>
      <c r="Z1532" s="14">
        <v>0</v>
      </c>
      <c r="AA1532" s="4">
        <v>0</v>
      </c>
      <c r="AB1532" s="4">
        <f t="shared" si="221"/>
        <v>0</v>
      </c>
      <c r="AC1532" s="6">
        <f t="shared" si="222"/>
        <v>0</v>
      </c>
      <c r="AD1532" s="6">
        <f t="shared" si="228"/>
        <v>0</v>
      </c>
      <c r="AE1532" s="2">
        <v>7.0000000000000007E-2</v>
      </c>
      <c r="AF1532" s="5">
        <f t="shared" si="223"/>
        <v>0</v>
      </c>
      <c r="AG1532" s="14">
        <v>0</v>
      </c>
      <c r="AH1532" s="19">
        <f t="shared" si="225"/>
        <v>0</v>
      </c>
      <c r="AJ1532" s="126" t="e">
        <v>#N/A</v>
      </c>
      <c r="AK1532" s="80">
        <f t="shared" si="224"/>
        <v>0</v>
      </c>
      <c r="AM1532" s="85"/>
    </row>
    <row r="1533" spans="1:39" hidden="1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26"/>
        <v>1902.1</v>
      </c>
      <c r="X1533" s="18">
        <f t="shared" si="227"/>
        <v>0</v>
      </c>
      <c r="Y1533" s="13">
        <f t="shared" si="220"/>
        <v>0</v>
      </c>
      <c r="Z1533" s="14">
        <v>0</v>
      </c>
      <c r="AA1533" s="4">
        <v>0</v>
      </c>
      <c r="AB1533" s="4">
        <f t="shared" si="221"/>
        <v>0</v>
      </c>
      <c r="AC1533" s="6">
        <f t="shared" si="222"/>
        <v>0</v>
      </c>
      <c r="AD1533" s="6">
        <f t="shared" si="228"/>
        <v>0</v>
      </c>
      <c r="AE1533" s="2">
        <v>7.0000000000000007E-2</v>
      </c>
      <c r="AF1533" s="5">
        <f t="shared" si="223"/>
        <v>0</v>
      </c>
      <c r="AG1533" s="14">
        <v>0</v>
      </c>
      <c r="AH1533" s="19">
        <f t="shared" si="225"/>
        <v>0</v>
      </c>
      <c r="AJ1533" s="126" t="e">
        <v>#N/A</v>
      </c>
      <c r="AK1533" s="80">
        <f t="shared" si="224"/>
        <v>0</v>
      </c>
      <c r="AM1533" s="85"/>
    </row>
    <row r="1534" spans="1:39" hidden="1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26"/>
        <v>142.44999999999999</v>
      </c>
      <c r="X1534" s="18">
        <f t="shared" si="227"/>
        <v>0</v>
      </c>
      <c r="Y1534" s="13">
        <f t="shared" si="220"/>
        <v>0</v>
      </c>
      <c r="Z1534" s="14">
        <v>0</v>
      </c>
      <c r="AA1534" s="4">
        <v>0</v>
      </c>
      <c r="AB1534" s="4">
        <f t="shared" si="221"/>
        <v>0</v>
      </c>
      <c r="AC1534" s="6">
        <f t="shared" si="222"/>
        <v>0</v>
      </c>
      <c r="AD1534" s="6">
        <f t="shared" si="228"/>
        <v>0</v>
      </c>
      <c r="AE1534" s="2">
        <v>0.12</v>
      </c>
      <c r="AF1534" s="5">
        <f t="shared" si="223"/>
        <v>0</v>
      </c>
      <c r="AG1534" s="14">
        <v>0</v>
      </c>
      <c r="AH1534" s="19">
        <f t="shared" si="225"/>
        <v>0</v>
      </c>
      <c r="AJ1534" s="126" t="e">
        <v>#N/A</v>
      </c>
      <c r="AK1534" s="80">
        <f t="shared" si="224"/>
        <v>0</v>
      </c>
      <c r="AM1534" s="85"/>
    </row>
    <row r="1535" spans="1:39" hidden="1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26"/>
        <v>3.1000000000003598</v>
      </c>
      <c r="X1535" s="18">
        <f t="shared" si="227"/>
        <v>0</v>
      </c>
      <c r="Y1535" s="13">
        <f t="shared" si="220"/>
        <v>0</v>
      </c>
      <c r="Z1535" s="14">
        <v>0</v>
      </c>
      <c r="AA1535" s="4">
        <v>0</v>
      </c>
      <c r="AB1535" s="4">
        <f t="shared" si="221"/>
        <v>0</v>
      </c>
      <c r="AC1535" s="6">
        <f t="shared" si="222"/>
        <v>0</v>
      </c>
      <c r="AD1535" s="6">
        <f t="shared" si="228"/>
        <v>0</v>
      </c>
      <c r="AE1535" s="2">
        <v>7.0000000000000007E-2</v>
      </c>
      <c r="AF1535" s="5">
        <f t="shared" si="223"/>
        <v>0</v>
      </c>
      <c r="AG1535" s="14">
        <v>0</v>
      </c>
      <c r="AH1535" s="19">
        <f t="shared" si="225"/>
        <v>0</v>
      </c>
      <c r="AJ1535" s="126" t="e">
        <v>#N/A</v>
      </c>
      <c r="AK1535" s="80">
        <f t="shared" si="224"/>
        <v>0</v>
      </c>
      <c r="AM1535" s="85"/>
    </row>
    <row r="1536" spans="1:39" hidden="1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26"/>
        <v>464.88000000000102</v>
      </c>
      <c r="X1536" s="18">
        <f t="shared" si="227"/>
        <v>0</v>
      </c>
      <c r="Y1536" s="13">
        <f t="shared" si="220"/>
        <v>0</v>
      </c>
      <c r="Z1536" s="14">
        <v>0</v>
      </c>
      <c r="AA1536" s="4">
        <v>0</v>
      </c>
      <c r="AB1536" s="4"/>
      <c r="AC1536" s="6">
        <f t="shared" si="222"/>
        <v>0</v>
      </c>
      <c r="AD1536" s="6">
        <f t="shared" si="228"/>
        <v>0</v>
      </c>
      <c r="AE1536" s="2">
        <v>0.12</v>
      </c>
      <c r="AF1536" s="5">
        <f t="shared" si="223"/>
        <v>0</v>
      </c>
      <c r="AG1536" s="14">
        <v>0</v>
      </c>
      <c r="AH1536" s="19">
        <f t="shared" si="225"/>
        <v>0</v>
      </c>
      <c r="AJ1536" s="126">
        <v>61</v>
      </c>
      <c r="AK1536" s="80">
        <f t="shared" si="224"/>
        <v>0</v>
      </c>
      <c r="AM1536" s="85"/>
    </row>
    <row r="1537" spans="1:39" hidden="1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26"/>
        <v>347.59000000002601</v>
      </c>
      <c r="X1537" s="18">
        <f t="shared" si="227"/>
        <v>0</v>
      </c>
      <c r="Y1537" s="13">
        <f t="shared" si="220"/>
        <v>0</v>
      </c>
      <c r="Z1537" s="14">
        <v>0</v>
      </c>
      <c r="AA1537" s="4">
        <v>0</v>
      </c>
      <c r="AB1537" s="4"/>
      <c r="AC1537" s="6">
        <f t="shared" si="222"/>
        <v>0</v>
      </c>
      <c r="AD1537" s="6">
        <f t="shared" si="228"/>
        <v>0</v>
      </c>
      <c r="AE1537" s="2">
        <v>0.12</v>
      </c>
      <c r="AF1537" s="5">
        <f t="shared" si="223"/>
        <v>0</v>
      </c>
      <c r="AG1537" s="14">
        <v>0</v>
      </c>
      <c r="AH1537" s="19">
        <f t="shared" si="225"/>
        <v>0</v>
      </c>
      <c r="AJ1537" s="126">
        <v>61</v>
      </c>
      <c r="AK1537" s="80">
        <f t="shared" si="224"/>
        <v>0</v>
      </c>
      <c r="AM1537" s="85"/>
    </row>
    <row r="1538" spans="1:39" hidden="1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26"/>
        <v>9103.4</v>
      </c>
      <c r="X1538" s="18">
        <f t="shared" si="227"/>
        <v>0</v>
      </c>
      <c r="Y1538" s="13">
        <f t="shared" si="220"/>
        <v>0</v>
      </c>
      <c r="Z1538" s="14">
        <v>0</v>
      </c>
      <c r="AA1538" s="4">
        <v>0</v>
      </c>
      <c r="AB1538" s="4"/>
      <c r="AC1538" s="6">
        <f t="shared" si="222"/>
        <v>0</v>
      </c>
      <c r="AD1538" s="6">
        <f t="shared" si="228"/>
        <v>0</v>
      </c>
      <c r="AE1538" s="2">
        <v>0.12</v>
      </c>
      <c r="AF1538" s="5">
        <f t="shared" si="223"/>
        <v>0</v>
      </c>
      <c r="AG1538" s="14">
        <v>0</v>
      </c>
      <c r="AH1538" s="19">
        <f t="shared" si="225"/>
        <v>0</v>
      </c>
      <c r="AJ1538" s="126">
        <v>61</v>
      </c>
      <c r="AK1538" s="80">
        <f t="shared" si="224"/>
        <v>0</v>
      </c>
      <c r="AM1538" s="85"/>
    </row>
    <row r="1539" spans="1:39" hidden="1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26"/>
        <v>2374.2600000000002</v>
      </c>
      <c r="X1539" s="18">
        <f t="shared" si="227"/>
        <v>0</v>
      </c>
      <c r="Y1539" s="13">
        <f t="shared" ref="Y1539:Y1602" si="22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30">X1539+AA1539</f>
        <v>0</v>
      </c>
      <c r="AC1539" s="6">
        <f t="shared" ref="AC1539:AC1602" si="231">IF(P1539="返现",X1539*Q1539,V1539-X1539)</f>
        <v>0</v>
      </c>
      <c r="AD1539" s="6">
        <f t="shared" si="228"/>
        <v>0</v>
      </c>
      <c r="AE1539" s="2">
        <v>0.12</v>
      </c>
      <c r="AF1539" s="5">
        <f t="shared" ref="AF1539:AF1602" si="232">AD1539*AE1539</f>
        <v>0</v>
      </c>
      <c r="AG1539" s="14">
        <v>0</v>
      </c>
      <c r="AH1539" s="19">
        <f t="shared" si="225"/>
        <v>0</v>
      </c>
      <c r="AJ1539" s="126" t="e">
        <v>#N/A</v>
      </c>
      <c r="AK1539" s="80">
        <f t="shared" ref="AK1539:AK1602" si="233">X1539+AA1539-AB1539</f>
        <v>0</v>
      </c>
      <c r="AM1539" s="85"/>
    </row>
    <row r="1540" spans="1:39" hidden="1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26"/>
        <v>1959.5</v>
      </c>
      <c r="X1540" s="18">
        <f t="shared" si="227"/>
        <v>0</v>
      </c>
      <c r="Y1540" s="13">
        <f t="shared" si="229"/>
        <v>0</v>
      </c>
      <c r="Z1540" s="14">
        <v>0</v>
      </c>
      <c r="AA1540" s="4">
        <v>0</v>
      </c>
      <c r="AB1540" s="4">
        <f t="shared" si="230"/>
        <v>0</v>
      </c>
      <c r="AC1540" s="6">
        <f t="shared" si="231"/>
        <v>0</v>
      </c>
      <c r="AD1540" s="6">
        <f t="shared" si="228"/>
        <v>0</v>
      </c>
      <c r="AE1540" s="2">
        <v>7.0000000000000007E-2</v>
      </c>
      <c r="AF1540" s="5">
        <f t="shared" si="232"/>
        <v>0</v>
      </c>
      <c r="AG1540" s="14">
        <v>0</v>
      </c>
      <c r="AH1540" s="19">
        <f t="shared" si="225"/>
        <v>0</v>
      </c>
      <c r="AJ1540" s="126" t="e">
        <v>#N/A</v>
      </c>
      <c r="AK1540" s="80">
        <f t="shared" si="233"/>
        <v>0</v>
      </c>
      <c r="AM1540" s="85"/>
    </row>
    <row r="1541" spans="1:39" hidden="1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26"/>
        <v>-31310.400000000001</v>
      </c>
      <c r="X1541" s="18">
        <f t="shared" si="227"/>
        <v>0</v>
      </c>
      <c r="Y1541" s="13">
        <f t="shared" si="229"/>
        <v>0</v>
      </c>
      <c r="Z1541" s="14">
        <v>0</v>
      </c>
      <c r="AA1541" s="4">
        <v>0</v>
      </c>
      <c r="AB1541" s="4">
        <f t="shared" si="230"/>
        <v>0</v>
      </c>
      <c r="AC1541" s="6">
        <f t="shared" si="231"/>
        <v>0</v>
      </c>
      <c r="AD1541" s="6">
        <f t="shared" si="228"/>
        <v>0</v>
      </c>
      <c r="AE1541" s="2">
        <v>0.15</v>
      </c>
      <c r="AF1541" s="5">
        <f t="shared" si="232"/>
        <v>0</v>
      </c>
      <c r="AG1541" s="14">
        <v>0</v>
      </c>
      <c r="AH1541" s="19">
        <f t="shared" si="225"/>
        <v>0</v>
      </c>
      <c r="AJ1541" s="126" t="e">
        <v>#N/A</v>
      </c>
      <c r="AK1541" s="80">
        <f t="shared" si="233"/>
        <v>0</v>
      </c>
      <c r="AM1541" s="85"/>
    </row>
    <row r="1542" spans="1:39" hidden="1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26"/>
        <v>338.3</v>
      </c>
      <c r="X1542" s="18">
        <f t="shared" si="227"/>
        <v>0</v>
      </c>
      <c r="Y1542" s="13">
        <f t="shared" si="229"/>
        <v>0</v>
      </c>
      <c r="Z1542" s="14">
        <v>0</v>
      </c>
      <c r="AA1542" s="4">
        <v>0</v>
      </c>
      <c r="AB1542" s="4">
        <f t="shared" si="230"/>
        <v>0</v>
      </c>
      <c r="AC1542" s="6">
        <f t="shared" si="231"/>
        <v>0</v>
      </c>
      <c r="AD1542" s="6">
        <f t="shared" si="228"/>
        <v>0</v>
      </c>
      <c r="AE1542" s="2">
        <v>7.0000000000000007E-2</v>
      </c>
      <c r="AF1542" s="5">
        <f t="shared" si="232"/>
        <v>0</v>
      </c>
      <c r="AG1542" s="14">
        <v>0</v>
      </c>
      <c r="AH1542" s="19">
        <f t="shared" si="225"/>
        <v>0</v>
      </c>
      <c r="AJ1542" s="126" t="e">
        <v>#N/A</v>
      </c>
      <c r="AK1542" s="80">
        <f t="shared" si="233"/>
        <v>0</v>
      </c>
      <c r="AM1542" s="85"/>
    </row>
    <row r="1543" spans="1:39" hidden="1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26"/>
        <v>-431894.54719000001</v>
      </c>
      <c r="X1543" s="18">
        <f t="shared" si="227"/>
        <v>0</v>
      </c>
      <c r="Y1543" s="13">
        <f t="shared" si="229"/>
        <v>0</v>
      </c>
      <c r="Z1543" s="14">
        <v>0</v>
      </c>
      <c r="AA1543" s="4">
        <v>0</v>
      </c>
      <c r="AB1543" s="4">
        <f t="shared" si="230"/>
        <v>0</v>
      </c>
      <c r="AC1543" s="6">
        <f t="shared" si="231"/>
        <v>0</v>
      </c>
      <c r="AD1543" s="6">
        <f t="shared" si="228"/>
        <v>0</v>
      </c>
      <c r="AE1543" s="2">
        <v>0.15</v>
      </c>
      <c r="AF1543" s="5">
        <f t="shared" si="232"/>
        <v>0</v>
      </c>
      <c r="AG1543" s="14">
        <v>0</v>
      </c>
      <c r="AH1543" s="19">
        <f t="shared" si="225"/>
        <v>0</v>
      </c>
      <c r="AJ1543" s="126" t="e">
        <v>#N/A</v>
      </c>
      <c r="AK1543" s="80">
        <f t="shared" si="233"/>
        <v>0</v>
      </c>
      <c r="AM1543" s="85"/>
    </row>
    <row r="1544" spans="1:39" hidden="1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26"/>
        <v>-8740.7613600000022</v>
      </c>
      <c r="X1544" s="18">
        <f t="shared" si="227"/>
        <v>0</v>
      </c>
      <c r="Y1544" s="13">
        <f t="shared" si="229"/>
        <v>0</v>
      </c>
      <c r="Z1544" s="14">
        <v>0</v>
      </c>
      <c r="AA1544" s="4">
        <v>0</v>
      </c>
      <c r="AB1544" s="4">
        <f t="shared" si="230"/>
        <v>0</v>
      </c>
      <c r="AC1544" s="6">
        <f t="shared" si="231"/>
        <v>0</v>
      </c>
      <c r="AD1544" s="6">
        <f t="shared" si="228"/>
        <v>0</v>
      </c>
      <c r="AE1544" s="2">
        <v>0.12</v>
      </c>
      <c r="AF1544" s="5">
        <f t="shared" si="232"/>
        <v>0</v>
      </c>
      <c r="AG1544" s="14">
        <v>0</v>
      </c>
      <c r="AH1544" s="19">
        <f t="shared" si="225"/>
        <v>0</v>
      </c>
      <c r="AJ1544" s="126" t="e">
        <v>#N/A</v>
      </c>
      <c r="AK1544" s="80">
        <f t="shared" si="233"/>
        <v>0</v>
      </c>
      <c r="AM1544" s="85"/>
    </row>
    <row r="1545" spans="1:39" hidden="1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26"/>
        <v>-2096832.3865300003</v>
      </c>
      <c r="X1545" s="18">
        <f t="shared" si="227"/>
        <v>0</v>
      </c>
      <c r="Y1545" s="13">
        <f t="shared" si="229"/>
        <v>0</v>
      </c>
      <c r="Z1545" s="14">
        <v>0</v>
      </c>
      <c r="AA1545" s="4">
        <v>0</v>
      </c>
      <c r="AB1545" s="4">
        <f t="shared" si="230"/>
        <v>0</v>
      </c>
      <c r="AC1545" s="6">
        <f t="shared" si="231"/>
        <v>0</v>
      </c>
      <c r="AD1545" s="6">
        <f t="shared" si="228"/>
        <v>0</v>
      </c>
      <c r="AE1545" s="2">
        <v>0.15</v>
      </c>
      <c r="AF1545" s="5">
        <f t="shared" si="232"/>
        <v>0</v>
      </c>
      <c r="AG1545" s="14">
        <v>0</v>
      </c>
      <c r="AH1545" s="19">
        <f t="shared" si="225"/>
        <v>0</v>
      </c>
      <c r="AJ1545" s="126" t="e">
        <v>#N/A</v>
      </c>
      <c r="AK1545" s="80">
        <f t="shared" si="233"/>
        <v>0</v>
      </c>
      <c r="AM1545" s="85"/>
    </row>
    <row r="1546" spans="1:39" hidden="1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26"/>
        <v>-160558.42146000001</v>
      </c>
      <c r="X1546" s="18">
        <f t="shared" si="227"/>
        <v>0</v>
      </c>
      <c r="Y1546" s="13">
        <f t="shared" si="229"/>
        <v>0</v>
      </c>
      <c r="Z1546" s="14">
        <v>0</v>
      </c>
      <c r="AA1546" s="4">
        <v>0</v>
      </c>
      <c r="AB1546" s="4">
        <f t="shared" si="230"/>
        <v>0</v>
      </c>
      <c r="AC1546" s="6">
        <f t="shared" si="231"/>
        <v>0</v>
      </c>
      <c r="AD1546" s="6">
        <f t="shared" si="228"/>
        <v>0</v>
      </c>
      <c r="AE1546" s="2">
        <v>0.12</v>
      </c>
      <c r="AF1546" s="5">
        <f t="shared" si="232"/>
        <v>0</v>
      </c>
      <c r="AG1546" s="14">
        <v>0</v>
      </c>
      <c r="AH1546" s="19">
        <f t="shared" si="225"/>
        <v>0</v>
      </c>
      <c r="AJ1546" s="126" t="e">
        <v>#N/A</v>
      </c>
      <c r="AK1546" s="80">
        <f t="shared" si="233"/>
        <v>0</v>
      </c>
      <c r="AM1546" s="85"/>
    </row>
    <row r="1547" spans="1:39" hidden="1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26"/>
        <v>9993</v>
      </c>
      <c r="X1547" s="18">
        <f t="shared" si="227"/>
        <v>0</v>
      </c>
      <c r="Y1547" s="13">
        <f t="shared" si="229"/>
        <v>0</v>
      </c>
      <c r="Z1547" s="14">
        <v>0</v>
      </c>
      <c r="AA1547" s="4">
        <v>0</v>
      </c>
      <c r="AB1547" s="4">
        <f t="shared" si="230"/>
        <v>0</v>
      </c>
      <c r="AC1547" s="6">
        <f t="shared" si="231"/>
        <v>0</v>
      </c>
      <c r="AD1547" s="6">
        <f t="shared" si="228"/>
        <v>0</v>
      </c>
      <c r="AE1547" s="2">
        <v>7.0000000000000007E-2</v>
      </c>
      <c r="AF1547" s="5">
        <f t="shared" si="232"/>
        <v>0</v>
      </c>
      <c r="AG1547" s="14">
        <v>0</v>
      </c>
      <c r="AH1547" s="19">
        <f t="shared" si="225"/>
        <v>0</v>
      </c>
      <c r="AJ1547" s="126" t="e">
        <v>#N/A</v>
      </c>
      <c r="AK1547" s="80">
        <f t="shared" si="233"/>
        <v>0</v>
      </c>
      <c r="AM1547" s="85"/>
    </row>
    <row r="1548" spans="1:39" hidden="1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26"/>
        <v>169.4</v>
      </c>
      <c r="X1548" s="18">
        <f t="shared" si="227"/>
        <v>0</v>
      </c>
      <c r="Y1548" s="13">
        <f t="shared" si="229"/>
        <v>0</v>
      </c>
      <c r="Z1548" s="14">
        <v>0</v>
      </c>
      <c r="AA1548" s="4">
        <v>0</v>
      </c>
      <c r="AB1548" s="4">
        <f t="shared" si="230"/>
        <v>0</v>
      </c>
      <c r="AC1548" s="6">
        <f t="shared" si="231"/>
        <v>0</v>
      </c>
      <c r="AD1548" s="6">
        <f t="shared" si="228"/>
        <v>0</v>
      </c>
      <c r="AE1548" s="2">
        <v>7.0000000000000007E-2</v>
      </c>
      <c r="AF1548" s="5">
        <f t="shared" si="232"/>
        <v>0</v>
      </c>
      <c r="AG1548" s="14">
        <v>0</v>
      </c>
      <c r="AH1548" s="19">
        <f t="shared" si="225"/>
        <v>0</v>
      </c>
      <c r="AJ1548" s="126" t="e">
        <v>#N/A</v>
      </c>
      <c r="AK1548" s="80">
        <f t="shared" si="233"/>
        <v>0</v>
      </c>
      <c r="AM1548" s="85"/>
    </row>
    <row r="1549" spans="1:39" hidden="1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26"/>
        <v>-11218.59</v>
      </c>
      <c r="X1549" s="18">
        <f t="shared" si="227"/>
        <v>0</v>
      </c>
      <c r="Y1549" s="13">
        <f t="shared" si="229"/>
        <v>0</v>
      </c>
      <c r="Z1549" s="14">
        <v>0</v>
      </c>
      <c r="AA1549" s="4">
        <v>0</v>
      </c>
      <c r="AB1549" s="4">
        <f t="shared" si="230"/>
        <v>0</v>
      </c>
      <c r="AC1549" s="6">
        <f t="shared" si="231"/>
        <v>0</v>
      </c>
      <c r="AD1549" s="6">
        <f t="shared" si="228"/>
        <v>0</v>
      </c>
      <c r="AE1549" s="2">
        <v>0.12</v>
      </c>
      <c r="AF1549" s="5">
        <f t="shared" si="232"/>
        <v>0</v>
      </c>
      <c r="AG1549" s="14">
        <v>0</v>
      </c>
      <c r="AH1549" s="19">
        <f t="shared" si="225"/>
        <v>0</v>
      </c>
      <c r="AJ1549" s="126" t="e">
        <v>#N/A</v>
      </c>
      <c r="AK1549" s="80">
        <f t="shared" si="233"/>
        <v>0</v>
      </c>
      <c r="AM1549" s="85"/>
    </row>
    <row r="1550" spans="1:39" hidden="1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26"/>
        <v>-1161555.3900000001</v>
      </c>
      <c r="X1550" s="18">
        <f t="shared" si="227"/>
        <v>0</v>
      </c>
      <c r="Y1550" s="13">
        <f t="shared" si="229"/>
        <v>0</v>
      </c>
      <c r="Z1550" s="14">
        <v>0</v>
      </c>
      <c r="AA1550" s="4">
        <v>0</v>
      </c>
      <c r="AB1550" s="4">
        <f t="shared" si="230"/>
        <v>0</v>
      </c>
      <c r="AC1550" s="6">
        <f t="shared" si="231"/>
        <v>0</v>
      </c>
      <c r="AD1550" s="6">
        <f t="shared" si="228"/>
        <v>0</v>
      </c>
      <c r="AE1550" s="2">
        <v>0.15</v>
      </c>
      <c r="AF1550" s="5">
        <f t="shared" si="232"/>
        <v>0</v>
      </c>
      <c r="AG1550" s="14">
        <v>0</v>
      </c>
      <c r="AH1550" s="19">
        <f t="shared" si="225"/>
        <v>0</v>
      </c>
      <c r="AJ1550" s="126" t="e">
        <v>#N/A</v>
      </c>
      <c r="AK1550" s="80">
        <f t="shared" si="233"/>
        <v>0</v>
      </c>
      <c r="AM1550" s="85"/>
    </row>
    <row r="1551" spans="1:39" hidden="1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26"/>
        <v>-108033.89600000002</v>
      </c>
      <c r="X1551" s="18">
        <f t="shared" si="227"/>
        <v>0</v>
      </c>
      <c r="Y1551" s="13">
        <f t="shared" si="229"/>
        <v>0</v>
      </c>
      <c r="Z1551" s="14">
        <v>0</v>
      </c>
      <c r="AA1551" s="4">
        <v>0</v>
      </c>
      <c r="AB1551" s="4">
        <f t="shared" si="230"/>
        <v>0</v>
      </c>
      <c r="AC1551" s="6">
        <f t="shared" si="231"/>
        <v>0</v>
      </c>
      <c r="AD1551" s="6">
        <f t="shared" si="228"/>
        <v>0</v>
      </c>
      <c r="AE1551" s="2">
        <v>0.12</v>
      </c>
      <c r="AF1551" s="5">
        <f t="shared" si="232"/>
        <v>0</v>
      </c>
      <c r="AG1551" s="14">
        <v>0</v>
      </c>
      <c r="AH1551" s="19">
        <f t="shared" si="225"/>
        <v>0</v>
      </c>
      <c r="AJ1551" s="126" t="e">
        <v>#N/A</v>
      </c>
      <c r="AK1551" s="80">
        <f t="shared" si="233"/>
        <v>0</v>
      </c>
      <c r="AM1551" s="85"/>
    </row>
    <row r="1552" spans="1:39" hidden="1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26"/>
        <v>-1103.5149899999999</v>
      </c>
      <c r="X1552" s="18">
        <f t="shared" si="227"/>
        <v>1061.0721057692306</v>
      </c>
      <c r="Y1552" s="13">
        <f t="shared" si="229"/>
        <v>400.11600396489041</v>
      </c>
      <c r="Z1552" s="14">
        <v>0</v>
      </c>
      <c r="AA1552" s="4">
        <v>0</v>
      </c>
      <c r="AB1552" s="4">
        <f t="shared" si="230"/>
        <v>1061.0721057692306</v>
      </c>
      <c r="AC1552" s="6">
        <f t="shared" si="231"/>
        <v>42.442884230769323</v>
      </c>
      <c r="AD1552" s="6">
        <f t="shared" si="228"/>
        <v>660.95610180434016</v>
      </c>
      <c r="AE1552" s="2">
        <v>0.12</v>
      </c>
      <c r="AF1552" s="5">
        <f t="shared" si="232"/>
        <v>79.314732216520824</v>
      </c>
      <c r="AG1552" s="14">
        <v>0</v>
      </c>
      <c r="AH1552" s="19">
        <f t="shared" si="225"/>
        <v>1103.5149899999999</v>
      </c>
      <c r="AJ1552" s="126" t="e">
        <v>#N/A</v>
      </c>
      <c r="AK1552" s="80">
        <f t="shared" si="233"/>
        <v>0</v>
      </c>
      <c r="AM1552" s="85"/>
    </row>
    <row r="1553" spans="1:39" hidden="1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26"/>
        <v>-48658.655409999999</v>
      </c>
      <c r="X1553" s="18">
        <f t="shared" si="227"/>
        <v>0</v>
      </c>
      <c r="Y1553" s="13">
        <f t="shared" si="229"/>
        <v>0</v>
      </c>
      <c r="Z1553" s="14">
        <v>0</v>
      </c>
      <c r="AA1553" s="4">
        <v>0</v>
      </c>
      <c r="AB1553" s="4">
        <f t="shared" si="230"/>
        <v>0</v>
      </c>
      <c r="AC1553" s="6">
        <f t="shared" si="231"/>
        <v>0</v>
      </c>
      <c r="AD1553" s="6">
        <f t="shared" si="228"/>
        <v>0</v>
      </c>
      <c r="AE1553" s="2">
        <v>0.12</v>
      </c>
      <c r="AF1553" s="5">
        <f t="shared" si="232"/>
        <v>0</v>
      </c>
      <c r="AG1553" s="14">
        <v>0</v>
      </c>
      <c r="AH1553" s="19">
        <f t="shared" si="225"/>
        <v>0</v>
      </c>
      <c r="AJ1553" s="126" t="e">
        <v>#N/A</v>
      </c>
      <c r="AK1553" s="80">
        <f t="shared" si="233"/>
        <v>0</v>
      </c>
      <c r="AM1553" s="85"/>
    </row>
    <row r="1554" spans="1:39" hidden="1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26"/>
        <v>-130804.43295</v>
      </c>
      <c r="X1554" s="18">
        <f t="shared" si="227"/>
        <v>5345.1068415841592</v>
      </c>
      <c r="Y1554" s="13">
        <f t="shared" si="229"/>
        <v>2111.6122140589032</v>
      </c>
      <c r="Z1554" s="14">
        <v>0</v>
      </c>
      <c r="AA1554" s="4">
        <v>0</v>
      </c>
      <c r="AB1554" s="4">
        <f t="shared" si="230"/>
        <v>5345.1068415841592</v>
      </c>
      <c r="AC1554" s="6">
        <f t="shared" si="231"/>
        <v>53.451068415841291</v>
      </c>
      <c r="AD1554" s="6">
        <f t="shared" si="228"/>
        <v>3233.494627525256</v>
      </c>
      <c r="AE1554" s="2">
        <v>0.15</v>
      </c>
      <c r="AF1554" s="5">
        <f t="shared" si="232"/>
        <v>485.02419412878839</v>
      </c>
      <c r="AG1554" s="14">
        <v>0</v>
      </c>
      <c r="AH1554" s="19">
        <f t="shared" si="225"/>
        <v>5398.5579100000004</v>
      </c>
      <c r="AJ1554" s="126" t="e">
        <v>#N/A</v>
      </c>
      <c r="AK1554" s="80">
        <f t="shared" si="233"/>
        <v>0</v>
      </c>
      <c r="AM1554" s="85"/>
    </row>
    <row r="1555" spans="1:39" hidden="1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26"/>
        <v>-388.45465999999999</v>
      </c>
      <c r="X1555" s="18">
        <f t="shared" si="227"/>
        <v>373.51409615384614</v>
      </c>
      <c r="Y1555" s="13">
        <f t="shared" si="229"/>
        <v>140.84713636807072</v>
      </c>
      <c r="Z1555" s="14">
        <v>0</v>
      </c>
      <c r="AA1555" s="4">
        <v>0</v>
      </c>
      <c r="AB1555" s="4">
        <f t="shared" si="230"/>
        <v>373.51409615384614</v>
      </c>
      <c r="AC1555" s="6">
        <f t="shared" si="231"/>
        <v>14.94056384615385</v>
      </c>
      <c r="AD1555" s="6">
        <f t="shared" si="228"/>
        <v>232.66695978577542</v>
      </c>
      <c r="AE1555" s="2">
        <v>0.12</v>
      </c>
      <c r="AF1555" s="5">
        <f t="shared" si="232"/>
        <v>27.920035174293048</v>
      </c>
      <c r="AG1555" s="14">
        <v>0</v>
      </c>
      <c r="AH1555" s="19">
        <f t="shared" si="225"/>
        <v>388.45465999999999</v>
      </c>
      <c r="AJ1555" s="126" t="e">
        <v>#N/A</v>
      </c>
      <c r="AK1555" s="80">
        <f t="shared" si="233"/>
        <v>0</v>
      </c>
      <c r="AM1555" s="85"/>
    </row>
    <row r="1556" spans="1:39" hidden="1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26"/>
        <v>-58.8</v>
      </c>
      <c r="X1556" s="18">
        <f t="shared" si="227"/>
        <v>0</v>
      </c>
      <c r="Y1556" s="13">
        <f t="shared" si="229"/>
        <v>0</v>
      </c>
      <c r="Z1556" s="14">
        <v>0</v>
      </c>
      <c r="AA1556" s="4">
        <v>0</v>
      </c>
      <c r="AB1556" s="4">
        <f t="shared" si="230"/>
        <v>0</v>
      </c>
      <c r="AC1556" s="6">
        <f t="shared" si="231"/>
        <v>0</v>
      </c>
      <c r="AD1556" s="6">
        <f t="shared" si="228"/>
        <v>0</v>
      </c>
      <c r="AE1556" s="2">
        <v>0.12</v>
      </c>
      <c r="AF1556" s="5">
        <f t="shared" si="232"/>
        <v>0</v>
      </c>
      <c r="AG1556" s="14">
        <v>0</v>
      </c>
      <c r="AH1556" s="19">
        <f t="shared" si="225"/>
        <v>0</v>
      </c>
      <c r="AJ1556" s="126" t="e">
        <v>#N/A</v>
      </c>
      <c r="AK1556" s="80">
        <f t="shared" si="233"/>
        <v>0</v>
      </c>
      <c r="AM1556" s="85"/>
    </row>
    <row r="1557" spans="1:39" hidden="1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26"/>
        <v>-4203.9045400000005</v>
      </c>
      <c r="X1557" s="18">
        <f t="shared" si="227"/>
        <v>0</v>
      </c>
      <c r="Y1557" s="13">
        <f t="shared" si="229"/>
        <v>0</v>
      </c>
      <c r="Z1557" s="14">
        <v>0</v>
      </c>
      <c r="AA1557" s="4">
        <v>0</v>
      </c>
      <c r="AB1557" s="4">
        <f t="shared" si="230"/>
        <v>0</v>
      </c>
      <c r="AC1557" s="6">
        <f t="shared" si="231"/>
        <v>0</v>
      </c>
      <c r="AD1557" s="6">
        <f t="shared" si="228"/>
        <v>0</v>
      </c>
      <c r="AE1557" s="2">
        <v>0.12</v>
      </c>
      <c r="AF1557" s="5">
        <f t="shared" si="232"/>
        <v>0</v>
      </c>
      <c r="AG1557" s="14">
        <v>0</v>
      </c>
      <c r="AH1557" s="19">
        <f t="shared" ref="AH1557:AH1620" si="234">V1557</f>
        <v>0</v>
      </c>
      <c r="AJ1557" s="126" t="e">
        <v>#N/A</v>
      </c>
      <c r="AK1557" s="80">
        <f t="shared" si="233"/>
        <v>0</v>
      </c>
      <c r="AM1557" s="85"/>
    </row>
    <row r="1558" spans="1:39" hidden="1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26"/>
        <v>-14949.794690000001</v>
      </c>
      <c r="X1558" s="18">
        <f t="shared" si="227"/>
        <v>14949.794690000001</v>
      </c>
      <c r="Y1558" s="13">
        <f t="shared" si="229"/>
        <v>5995.5366050440134</v>
      </c>
      <c r="Z1558" s="14">
        <v>0</v>
      </c>
      <c r="AA1558" s="4">
        <v>0</v>
      </c>
      <c r="AB1558" s="4">
        <f t="shared" si="230"/>
        <v>14949.794690000001</v>
      </c>
      <c r="AC1558" s="6">
        <f t="shared" si="231"/>
        <v>0</v>
      </c>
      <c r="AD1558" s="6">
        <f t="shared" si="228"/>
        <v>8954.2580849559872</v>
      </c>
      <c r="AE1558" s="2">
        <v>0.12</v>
      </c>
      <c r="AF1558" s="5">
        <f t="shared" si="232"/>
        <v>1074.5109701947185</v>
      </c>
      <c r="AG1558" s="14">
        <v>0</v>
      </c>
      <c r="AH1558" s="19">
        <f t="shared" si="234"/>
        <v>14949.794690000001</v>
      </c>
      <c r="AJ1558" s="126" t="e">
        <v>#N/A</v>
      </c>
      <c r="AK1558" s="80">
        <f t="shared" si="233"/>
        <v>0</v>
      </c>
      <c r="AM1558" s="85"/>
    </row>
    <row r="1559" spans="1:39" hidden="1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26"/>
        <v>-15055.826570000001</v>
      </c>
      <c r="X1559" s="18">
        <f t="shared" si="227"/>
        <v>0</v>
      </c>
      <c r="Y1559" s="13">
        <f t="shared" si="229"/>
        <v>0</v>
      </c>
      <c r="Z1559" s="14">
        <v>0</v>
      </c>
      <c r="AA1559" s="4">
        <v>0</v>
      </c>
      <c r="AB1559" s="4">
        <f t="shared" si="230"/>
        <v>0</v>
      </c>
      <c r="AC1559" s="6">
        <f t="shared" si="231"/>
        <v>0</v>
      </c>
      <c r="AD1559" s="6">
        <f t="shared" si="228"/>
        <v>0</v>
      </c>
      <c r="AE1559" s="2">
        <v>0.12</v>
      </c>
      <c r="AF1559" s="5">
        <f t="shared" si="232"/>
        <v>0</v>
      </c>
      <c r="AG1559" s="14">
        <v>0</v>
      </c>
      <c r="AH1559" s="19">
        <f t="shared" si="234"/>
        <v>0</v>
      </c>
      <c r="AJ1559" s="126" t="e">
        <v>#N/A</v>
      </c>
      <c r="AK1559" s="80">
        <f t="shared" si="233"/>
        <v>0</v>
      </c>
      <c r="AM1559" s="85"/>
    </row>
    <row r="1560" spans="1:39" hidden="1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35">T1560+U1560-V1560</f>
        <v>-4160.0545899999988</v>
      </c>
      <c r="X1560" s="18">
        <f t="shared" si="227"/>
        <v>0</v>
      </c>
      <c r="Y1560" s="13">
        <f t="shared" si="229"/>
        <v>0</v>
      </c>
      <c r="Z1560" s="14">
        <v>0</v>
      </c>
      <c r="AA1560" s="4">
        <v>0</v>
      </c>
      <c r="AB1560" s="4">
        <f t="shared" si="230"/>
        <v>0</v>
      </c>
      <c r="AC1560" s="6">
        <f t="shared" si="231"/>
        <v>0</v>
      </c>
      <c r="AD1560" s="6">
        <f t="shared" si="228"/>
        <v>0</v>
      </c>
      <c r="AE1560" s="2">
        <v>0.12</v>
      </c>
      <c r="AF1560" s="5">
        <f t="shared" si="232"/>
        <v>0</v>
      </c>
      <c r="AG1560" s="14">
        <v>0</v>
      </c>
      <c r="AH1560" s="19">
        <f t="shared" si="234"/>
        <v>0</v>
      </c>
      <c r="AJ1560" s="126" t="e">
        <v>#N/A</v>
      </c>
      <c r="AK1560" s="80">
        <f t="shared" si="233"/>
        <v>0</v>
      </c>
      <c r="AM1560" s="85"/>
    </row>
    <row r="1561" spans="1:39" hidden="1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35"/>
        <v>484.13</v>
      </c>
      <c r="X1561" s="18">
        <f t="shared" si="227"/>
        <v>0</v>
      </c>
      <c r="Y1561" s="13">
        <f t="shared" si="229"/>
        <v>0</v>
      </c>
      <c r="Z1561" s="14">
        <v>0</v>
      </c>
      <c r="AA1561" s="4">
        <v>0</v>
      </c>
      <c r="AB1561" s="4">
        <f t="shared" si="230"/>
        <v>0</v>
      </c>
      <c r="AC1561" s="6">
        <f t="shared" si="231"/>
        <v>0</v>
      </c>
      <c r="AD1561" s="6">
        <f t="shared" si="228"/>
        <v>0</v>
      </c>
      <c r="AE1561" s="2">
        <v>7.0000000000000007E-2</v>
      </c>
      <c r="AF1561" s="5">
        <f t="shared" si="232"/>
        <v>0</v>
      </c>
      <c r="AG1561" s="14">
        <v>0</v>
      </c>
      <c r="AH1561" s="19">
        <f t="shared" si="234"/>
        <v>0</v>
      </c>
      <c r="AJ1561" s="126" t="e">
        <v>#N/A</v>
      </c>
      <c r="AK1561" s="80">
        <f t="shared" si="233"/>
        <v>0</v>
      </c>
      <c r="AM1561" s="85"/>
    </row>
    <row r="1562" spans="1:39" hidden="1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35"/>
        <v>487.91</v>
      </c>
      <c r="X1562" s="18">
        <f t="shared" si="227"/>
        <v>0</v>
      </c>
      <c r="Y1562" s="13">
        <f t="shared" si="229"/>
        <v>0</v>
      </c>
      <c r="Z1562" s="14">
        <v>0</v>
      </c>
      <c r="AA1562" s="4">
        <v>0</v>
      </c>
      <c r="AB1562" s="4">
        <f t="shared" si="230"/>
        <v>0</v>
      </c>
      <c r="AC1562" s="6">
        <f t="shared" si="231"/>
        <v>0</v>
      </c>
      <c r="AD1562" s="6">
        <f t="shared" si="228"/>
        <v>0</v>
      </c>
      <c r="AE1562" s="2">
        <v>0.12</v>
      </c>
      <c r="AF1562" s="5">
        <f t="shared" si="232"/>
        <v>0</v>
      </c>
      <c r="AG1562" s="14">
        <v>0</v>
      </c>
      <c r="AH1562" s="19">
        <f t="shared" si="234"/>
        <v>0</v>
      </c>
      <c r="AJ1562" s="126" t="e">
        <v>#N/A</v>
      </c>
      <c r="AK1562" s="80">
        <f t="shared" si="233"/>
        <v>0</v>
      </c>
      <c r="AM1562" s="85"/>
    </row>
    <row r="1563" spans="1:39" hidden="1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35"/>
        <v>149.78</v>
      </c>
      <c r="X1563" s="18">
        <f t="shared" si="227"/>
        <v>0</v>
      </c>
      <c r="Y1563" s="13">
        <f t="shared" si="229"/>
        <v>0</v>
      </c>
      <c r="Z1563" s="14">
        <v>0</v>
      </c>
      <c r="AA1563" s="4">
        <v>0</v>
      </c>
      <c r="AB1563" s="4">
        <f t="shared" si="230"/>
        <v>0</v>
      </c>
      <c r="AC1563" s="6">
        <f t="shared" si="231"/>
        <v>0</v>
      </c>
      <c r="AD1563" s="6">
        <f t="shared" si="228"/>
        <v>0</v>
      </c>
      <c r="AE1563" s="2">
        <v>7.0000000000000007E-2</v>
      </c>
      <c r="AF1563" s="5">
        <f t="shared" si="232"/>
        <v>0</v>
      </c>
      <c r="AG1563" s="14">
        <v>0</v>
      </c>
      <c r="AH1563" s="19">
        <f t="shared" si="234"/>
        <v>0</v>
      </c>
      <c r="AJ1563" s="126" t="e">
        <v>#N/A</v>
      </c>
      <c r="AK1563" s="80">
        <f t="shared" si="233"/>
        <v>0</v>
      </c>
      <c r="AM1563" s="85"/>
    </row>
    <row r="1564" spans="1:39" hidden="1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35"/>
        <v>1.37</v>
      </c>
      <c r="X1564" s="18">
        <f t="shared" si="227"/>
        <v>0</v>
      </c>
      <c r="Y1564" s="13">
        <f t="shared" si="229"/>
        <v>0</v>
      </c>
      <c r="Z1564" s="14">
        <v>0</v>
      </c>
      <c r="AA1564" s="4">
        <v>0</v>
      </c>
      <c r="AB1564" s="4">
        <f t="shared" si="230"/>
        <v>0</v>
      </c>
      <c r="AC1564" s="6">
        <f t="shared" si="231"/>
        <v>0</v>
      </c>
      <c r="AD1564" s="6">
        <f t="shared" si="228"/>
        <v>0</v>
      </c>
      <c r="AE1564" s="2">
        <v>7.0000000000000007E-2</v>
      </c>
      <c r="AF1564" s="5">
        <f t="shared" si="232"/>
        <v>0</v>
      </c>
      <c r="AG1564" s="14">
        <v>0</v>
      </c>
      <c r="AH1564" s="19">
        <f t="shared" si="234"/>
        <v>0</v>
      </c>
      <c r="AJ1564" s="126" t="e">
        <v>#N/A</v>
      </c>
      <c r="AK1564" s="80">
        <f t="shared" si="233"/>
        <v>0</v>
      </c>
      <c r="AM1564" s="85"/>
    </row>
    <row r="1565" spans="1:39" hidden="1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35"/>
        <v>495.16</v>
      </c>
      <c r="X1565" s="18">
        <f t="shared" si="227"/>
        <v>0</v>
      </c>
      <c r="Y1565" s="13">
        <f t="shared" si="229"/>
        <v>0</v>
      </c>
      <c r="Z1565" s="14">
        <v>0</v>
      </c>
      <c r="AA1565" s="4">
        <v>0</v>
      </c>
      <c r="AB1565" s="4">
        <f t="shared" si="230"/>
        <v>0</v>
      </c>
      <c r="AC1565" s="6">
        <f t="shared" si="231"/>
        <v>0</v>
      </c>
      <c r="AD1565" s="6">
        <f t="shared" si="228"/>
        <v>0</v>
      </c>
      <c r="AE1565" s="2">
        <v>0.12</v>
      </c>
      <c r="AF1565" s="5">
        <f t="shared" si="232"/>
        <v>0</v>
      </c>
      <c r="AG1565" s="14">
        <v>0</v>
      </c>
      <c r="AH1565" s="19">
        <f t="shared" si="234"/>
        <v>0</v>
      </c>
      <c r="AJ1565" s="126" t="e">
        <v>#N/A</v>
      </c>
      <c r="AK1565" s="80">
        <f t="shared" si="233"/>
        <v>0</v>
      </c>
      <c r="AM1565" s="85"/>
    </row>
    <row r="1566" spans="1:39" hidden="1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35"/>
        <v>-149226.14513000002</v>
      </c>
      <c r="X1566" s="18">
        <f t="shared" si="227"/>
        <v>0.34430476190476189</v>
      </c>
      <c r="Y1566" s="13">
        <f t="shared" si="229"/>
        <v>0.12777045825719197</v>
      </c>
      <c r="Z1566" s="14">
        <v>0</v>
      </c>
      <c r="AA1566" s="4">
        <v>0</v>
      </c>
      <c r="AB1566" s="4">
        <f t="shared" si="230"/>
        <v>0.34430476190476189</v>
      </c>
      <c r="AC1566" s="6">
        <f t="shared" si="231"/>
        <v>1.7215238095238117E-2</v>
      </c>
      <c r="AD1566" s="6">
        <f t="shared" si="228"/>
        <v>0.21653430364756993</v>
      </c>
      <c r="AE1566" s="2">
        <v>0.12</v>
      </c>
      <c r="AF1566" s="5">
        <f t="shared" si="232"/>
        <v>2.5984116437708388E-2</v>
      </c>
      <c r="AG1566" s="14">
        <v>0</v>
      </c>
      <c r="AH1566" s="19">
        <f t="shared" si="234"/>
        <v>0.36152000000000001</v>
      </c>
      <c r="AJ1566" s="126" t="e">
        <v>#N/A</v>
      </c>
      <c r="AK1566" s="80">
        <f t="shared" si="233"/>
        <v>0</v>
      </c>
      <c r="AM1566" s="85"/>
    </row>
    <row r="1567" spans="1:39" hidden="1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35"/>
        <v>-7327.4572599999992</v>
      </c>
      <c r="X1567" s="18">
        <f t="shared" si="227"/>
        <v>1642.5295346534651</v>
      </c>
      <c r="Y1567" s="13">
        <f t="shared" si="229"/>
        <v>648.88982205990817</v>
      </c>
      <c r="Z1567" s="14">
        <v>0</v>
      </c>
      <c r="AA1567" s="4">
        <v>0</v>
      </c>
      <c r="AB1567" s="4">
        <f t="shared" si="230"/>
        <v>1642.5295346534651</v>
      </c>
      <c r="AC1567" s="6">
        <f t="shared" si="231"/>
        <v>16.425295346534767</v>
      </c>
      <c r="AD1567" s="6">
        <f t="shared" si="228"/>
        <v>993.63971259355696</v>
      </c>
      <c r="AE1567" s="2">
        <v>0.12</v>
      </c>
      <c r="AF1567" s="5">
        <f t="shared" si="232"/>
        <v>119.23676551122684</v>
      </c>
      <c r="AG1567" s="14">
        <v>0</v>
      </c>
      <c r="AH1567" s="19">
        <f t="shared" si="234"/>
        <v>1658.9548299999999</v>
      </c>
      <c r="AJ1567" s="126" t="e">
        <v>#N/A</v>
      </c>
      <c r="AK1567" s="80">
        <f t="shared" si="233"/>
        <v>0</v>
      </c>
      <c r="AM1567" s="85"/>
    </row>
    <row r="1568" spans="1:39" hidden="1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35"/>
        <v>1.2</v>
      </c>
      <c r="X1568" s="18">
        <f t="shared" si="227"/>
        <v>0</v>
      </c>
      <c r="Y1568" s="13">
        <f t="shared" si="229"/>
        <v>0</v>
      </c>
      <c r="Z1568" s="14">
        <v>0</v>
      </c>
      <c r="AA1568" s="4">
        <v>0</v>
      </c>
      <c r="AB1568" s="4">
        <f t="shared" si="230"/>
        <v>0</v>
      </c>
      <c r="AC1568" s="6">
        <f t="shared" si="231"/>
        <v>0</v>
      </c>
      <c r="AD1568" s="6">
        <f t="shared" si="228"/>
        <v>0</v>
      </c>
      <c r="AE1568" s="2">
        <v>7.0000000000000007E-2</v>
      </c>
      <c r="AF1568" s="5">
        <f t="shared" si="232"/>
        <v>0</v>
      </c>
      <c r="AG1568" s="14">
        <v>0</v>
      </c>
      <c r="AH1568" s="19">
        <f t="shared" si="234"/>
        <v>0</v>
      </c>
      <c r="AJ1568" s="126" t="e">
        <v>#N/A</v>
      </c>
      <c r="AK1568" s="80">
        <f t="shared" si="233"/>
        <v>0</v>
      </c>
      <c r="AM1568" s="85"/>
    </row>
    <row r="1569" spans="1:39" hidden="1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35"/>
        <v>7945.19</v>
      </c>
      <c r="X1569" s="18">
        <f t="shared" si="227"/>
        <v>0</v>
      </c>
      <c r="Y1569" s="13">
        <f t="shared" si="229"/>
        <v>0</v>
      </c>
      <c r="Z1569" s="14">
        <v>0</v>
      </c>
      <c r="AA1569" s="4">
        <v>0</v>
      </c>
      <c r="AB1569" s="4">
        <f t="shared" si="230"/>
        <v>0</v>
      </c>
      <c r="AC1569" s="6">
        <f t="shared" si="231"/>
        <v>0</v>
      </c>
      <c r="AD1569" s="6">
        <f t="shared" si="228"/>
        <v>0</v>
      </c>
      <c r="AE1569" s="2">
        <v>0.12</v>
      </c>
      <c r="AF1569" s="5">
        <f t="shared" si="232"/>
        <v>0</v>
      </c>
      <c r="AG1569" s="14">
        <v>0</v>
      </c>
      <c r="AH1569" s="19">
        <f t="shared" si="234"/>
        <v>0</v>
      </c>
      <c r="AJ1569" s="126" t="e">
        <v>#N/A</v>
      </c>
      <c r="AK1569" s="80">
        <f t="shared" si="233"/>
        <v>0</v>
      </c>
      <c r="AM1569" s="85"/>
    </row>
    <row r="1570" spans="1:39" hidden="1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35"/>
        <v>1547.3</v>
      </c>
      <c r="X1570" s="18">
        <f t="shared" si="227"/>
        <v>0</v>
      </c>
      <c r="Y1570" s="13">
        <f t="shared" si="229"/>
        <v>0</v>
      </c>
      <c r="Z1570" s="14">
        <v>0</v>
      </c>
      <c r="AA1570" s="4">
        <v>0</v>
      </c>
      <c r="AB1570" s="4">
        <f t="shared" si="230"/>
        <v>0</v>
      </c>
      <c r="AC1570" s="6">
        <f t="shared" si="231"/>
        <v>0</v>
      </c>
      <c r="AD1570" s="6">
        <f t="shared" si="228"/>
        <v>0</v>
      </c>
      <c r="AE1570" s="2">
        <v>7.0000000000000007E-2</v>
      </c>
      <c r="AF1570" s="5">
        <f t="shared" si="232"/>
        <v>0</v>
      </c>
      <c r="AG1570" s="14">
        <v>0</v>
      </c>
      <c r="AH1570" s="19">
        <f t="shared" si="234"/>
        <v>0</v>
      </c>
      <c r="AJ1570" s="126" t="e">
        <v>#N/A</v>
      </c>
      <c r="AK1570" s="80">
        <f t="shared" si="233"/>
        <v>0</v>
      </c>
      <c r="AM1570" s="85"/>
    </row>
    <row r="1571" spans="1:39" hidden="1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35"/>
        <v>2.4</v>
      </c>
      <c r="X1571" s="18">
        <f t="shared" si="227"/>
        <v>0</v>
      </c>
      <c r="Y1571" s="13">
        <f t="shared" si="229"/>
        <v>0</v>
      </c>
      <c r="Z1571" s="14">
        <v>0</v>
      </c>
      <c r="AA1571" s="4">
        <v>0</v>
      </c>
      <c r="AB1571" s="4">
        <f t="shared" si="230"/>
        <v>0</v>
      </c>
      <c r="AC1571" s="6">
        <f t="shared" si="231"/>
        <v>0</v>
      </c>
      <c r="AD1571" s="18">
        <f>V1571</f>
        <v>0</v>
      </c>
      <c r="AE1571" s="2">
        <v>0</v>
      </c>
      <c r="AF1571" s="5">
        <f t="shared" si="232"/>
        <v>0</v>
      </c>
      <c r="AG1571" s="14">
        <v>0</v>
      </c>
      <c r="AH1571" s="19">
        <f t="shared" si="234"/>
        <v>0</v>
      </c>
      <c r="AJ1571" s="126" t="e">
        <v>#N/A</v>
      </c>
      <c r="AK1571" s="80">
        <f t="shared" si="233"/>
        <v>0</v>
      </c>
      <c r="AM1571" s="85"/>
    </row>
    <row r="1572" spans="1:39" hidden="1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35"/>
        <v>-417979.23726000002</v>
      </c>
      <c r="X1572" s="18">
        <f t="shared" si="227"/>
        <v>2.808877358490566</v>
      </c>
      <c r="Y1572" s="13">
        <f t="shared" si="229"/>
        <v>1.0255419938542771</v>
      </c>
      <c r="Z1572" s="14">
        <v>0</v>
      </c>
      <c r="AA1572" s="4">
        <v>0</v>
      </c>
      <c r="AB1572" s="4">
        <f t="shared" si="230"/>
        <v>2.808877358490566</v>
      </c>
      <c r="AC1572" s="6">
        <f t="shared" si="231"/>
        <v>0.16853264150943392</v>
      </c>
      <c r="AD1572" s="6">
        <f t="shared" ref="AD1572:AD1607" si="236">V1572*0.598955254612663</f>
        <v>1.7833353646362888</v>
      </c>
      <c r="AE1572" s="2">
        <v>0.15</v>
      </c>
      <c r="AF1572" s="5">
        <f t="shared" si="232"/>
        <v>0.26750030469544334</v>
      </c>
      <c r="AG1572" s="14">
        <v>0</v>
      </c>
      <c r="AH1572" s="19">
        <f t="shared" si="234"/>
        <v>2.9774099999999999</v>
      </c>
      <c r="AJ1572" s="126" t="e">
        <v>#N/A</v>
      </c>
      <c r="AK1572" s="80">
        <f t="shared" si="233"/>
        <v>0</v>
      </c>
      <c r="AM1572" s="85"/>
    </row>
    <row r="1573" spans="1:39" hidden="1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35"/>
        <v>-527129.25081999996</v>
      </c>
      <c r="X1573" s="18">
        <f t="shared" si="227"/>
        <v>215405.15217647058</v>
      </c>
      <c r="Y1573" s="13">
        <f t="shared" si="229"/>
        <v>83806.7434543985</v>
      </c>
      <c r="Z1573" s="14">
        <v>0</v>
      </c>
      <c r="AA1573" s="4">
        <v>0</v>
      </c>
      <c r="AB1573" s="4">
        <f t="shared" si="230"/>
        <v>215405.15217647058</v>
      </c>
      <c r="AC1573" s="6">
        <f t="shared" si="231"/>
        <v>4308.1030435294088</v>
      </c>
      <c r="AD1573" s="6">
        <f t="shared" si="236"/>
        <v>131598.40872207208</v>
      </c>
      <c r="AE1573" s="2">
        <v>0.15</v>
      </c>
      <c r="AF1573" s="5">
        <f t="shared" si="232"/>
        <v>19739.761308310812</v>
      </c>
      <c r="AG1573" s="14">
        <v>0</v>
      </c>
      <c r="AH1573" s="19">
        <f t="shared" si="234"/>
        <v>219713.25521999999</v>
      </c>
      <c r="AJ1573" s="126" t="e">
        <v>#N/A</v>
      </c>
      <c r="AK1573" s="80">
        <f t="shared" si="233"/>
        <v>0</v>
      </c>
      <c r="AM1573" s="85"/>
    </row>
    <row r="1574" spans="1:39" hidden="1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35"/>
        <v>-375204.93352999998</v>
      </c>
      <c r="X1574" s="18">
        <f t="shared" ref="X1574:X1616" si="237">IF(P1574="折扣",V1574*Q1574,IF(P1574="返现",V1574,V1574/(1+Q1574)))</f>
        <v>1.1162924528301887</v>
      </c>
      <c r="Y1574" s="13">
        <f t="shared" si="229"/>
        <v>0.40756666870466296</v>
      </c>
      <c r="Z1574" s="14">
        <v>0</v>
      </c>
      <c r="AA1574" s="4">
        <v>0</v>
      </c>
      <c r="AB1574" s="4">
        <f t="shared" si="230"/>
        <v>1.1162924528301887</v>
      </c>
      <c r="AC1574" s="6">
        <f t="shared" si="231"/>
        <v>6.6977547169811302E-2</v>
      </c>
      <c r="AD1574" s="6">
        <f t="shared" si="236"/>
        <v>0.70872578412552578</v>
      </c>
      <c r="AE1574" s="2">
        <v>0.15</v>
      </c>
      <c r="AF1574" s="5">
        <f t="shared" si="232"/>
        <v>0.10630886761882886</v>
      </c>
      <c r="AG1574" s="14">
        <v>0</v>
      </c>
      <c r="AH1574" s="19">
        <f t="shared" si="234"/>
        <v>1.18327</v>
      </c>
      <c r="AJ1574" s="126" t="e">
        <v>#N/A</v>
      </c>
      <c r="AK1574" s="80">
        <f t="shared" si="233"/>
        <v>0</v>
      </c>
      <c r="AM1574" s="85"/>
    </row>
    <row r="1575" spans="1:39" hidden="1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35"/>
        <v>-204559.05554999999</v>
      </c>
      <c r="X1575" s="18">
        <f t="shared" si="237"/>
        <v>3.7467830188679243</v>
      </c>
      <c r="Y1575" s="13">
        <f t="shared" si="229"/>
        <v>1.3679783192008181</v>
      </c>
      <c r="Z1575" s="14">
        <v>0</v>
      </c>
      <c r="AA1575" s="4">
        <v>0</v>
      </c>
      <c r="AB1575" s="4">
        <f t="shared" si="230"/>
        <v>3.7467830188679243</v>
      </c>
      <c r="AC1575" s="6">
        <f t="shared" si="231"/>
        <v>0.22480698113207565</v>
      </c>
      <c r="AD1575" s="6">
        <f t="shared" si="236"/>
        <v>2.3788046996671062</v>
      </c>
      <c r="AE1575" s="2">
        <v>0.12</v>
      </c>
      <c r="AF1575" s="5">
        <f t="shared" si="232"/>
        <v>0.28545656396005276</v>
      </c>
      <c r="AG1575" s="14">
        <v>0</v>
      </c>
      <c r="AH1575" s="19">
        <f t="shared" si="234"/>
        <v>3.97159</v>
      </c>
      <c r="AJ1575" s="126" t="e">
        <v>#N/A</v>
      </c>
      <c r="AK1575" s="80">
        <f t="shared" si="233"/>
        <v>0</v>
      </c>
      <c r="AM1575" s="85"/>
    </row>
    <row r="1576" spans="1:39" hidden="1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35"/>
        <v>2855.97</v>
      </c>
      <c r="X1576" s="18">
        <f t="shared" si="237"/>
        <v>0</v>
      </c>
      <c r="Y1576" s="13">
        <f t="shared" si="229"/>
        <v>0</v>
      </c>
      <c r="Z1576" s="14">
        <v>0</v>
      </c>
      <c r="AA1576" s="4">
        <v>0</v>
      </c>
      <c r="AB1576" s="4">
        <f t="shared" si="230"/>
        <v>0</v>
      </c>
      <c r="AC1576" s="6">
        <f t="shared" si="231"/>
        <v>0</v>
      </c>
      <c r="AD1576" s="6">
        <f t="shared" si="236"/>
        <v>0</v>
      </c>
      <c r="AE1576" s="2">
        <v>7.0000000000000007E-2</v>
      </c>
      <c r="AF1576" s="5">
        <f t="shared" si="232"/>
        <v>0</v>
      </c>
      <c r="AG1576" s="14">
        <v>0</v>
      </c>
      <c r="AH1576" s="19">
        <f t="shared" si="234"/>
        <v>0</v>
      </c>
      <c r="AJ1576" s="126" t="e">
        <v>#N/A</v>
      </c>
      <c r="AK1576" s="80">
        <f t="shared" si="233"/>
        <v>0</v>
      </c>
      <c r="AM1576" s="85"/>
    </row>
    <row r="1577" spans="1:39" hidden="1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35"/>
        <v>0.5</v>
      </c>
      <c r="X1577" s="18">
        <f t="shared" si="237"/>
        <v>0</v>
      </c>
      <c r="Y1577" s="13">
        <f t="shared" si="229"/>
        <v>0</v>
      </c>
      <c r="Z1577" s="14">
        <v>0</v>
      </c>
      <c r="AA1577" s="4">
        <v>0</v>
      </c>
      <c r="AB1577" s="4"/>
      <c r="AC1577" s="6">
        <f t="shared" si="231"/>
        <v>0</v>
      </c>
      <c r="AD1577" s="6">
        <f t="shared" si="236"/>
        <v>0</v>
      </c>
      <c r="AE1577" s="2">
        <v>7.0000000000000007E-2</v>
      </c>
      <c r="AF1577" s="5">
        <f t="shared" si="232"/>
        <v>0</v>
      </c>
      <c r="AG1577" s="14">
        <v>0</v>
      </c>
      <c r="AH1577" s="19">
        <f t="shared" si="234"/>
        <v>0</v>
      </c>
      <c r="AJ1577" s="126">
        <v>58</v>
      </c>
      <c r="AK1577" s="80">
        <f t="shared" si="233"/>
        <v>0</v>
      </c>
      <c r="AM1577" s="85"/>
    </row>
    <row r="1578" spans="1:39" hidden="1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35"/>
        <v>1.85</v>
      </c>
      <c r="X1578" s="18">
        <f t="shared" si="237"/>
        <v>0</v>
      </c>
      <c r="Y1578" s="13">
        <f t="shared" si="229"/>
        <v>0</v>
      </c>
      <c r="Z1578" s="14">
        <v>0</v>
      </c>
      <c r="AA1578" s="4">
        <v>0</v>
      </c>
      <c r="AB1578" s="4">
        <f t="shared" si="230"/>
        <v>0</v>
      </c>
      <c r="AC1578" s="6">
        <f t="shared" si="231"/>
        <v>0</v>
      </c>
      <c r="AD1578" s="6">
        <f t="shared" si="236"/>
        <v>0</v>
      </c>
      <c r="AE1578" s="2">
        <v>7.0000000000000007E-2</v>
      </c>
      <c r="AF1578" s="5">
        <f t="shared" si="232"/>
        <v>0</v>
      </c>
      <c r="AG1578" s="14">
        <v>0</v>
      </c>
      <c r="AH1578" s="19">
        <f t="shared" si="234"/>
        <v>0</v>
      </c>
      <c r="AJ1578" s="126" t="e">
        <v>#N/A</v>
      </c>
      <c r="AK1578" s="80">
        <f t="shared" si="233"/>
        <v>0</v>
      </c>
      <c r="AM1578" s="85"/>
    </row>
    <row r="1579" spans="1:39" hidden="1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35"/>
        <v>-510.3</v>
      </c>
      <c r="X1579" s="18">
        <f t="shared" si="237"/>
        <v>0</v>
      </c>
      <c r="Y1579" s="13">
        <f t="shared" si="229"/>
        <v>0</v>
      </c>
      <c r="Z1579" s="14">
        <v>0</v>
      </c>
      <c r="AA1579" s="4">
        <v>0</v>
      </c>
      <c r="AB1579" s="4">
        <f t="shared" si="230"/>
        <v>0</v>
      </c>
      <c r="AC1579" s="6">
        <f t="shared" si="231"/>
        <v>0</v>
      </c>
      <c r="AD1579" s="6">
        <f t="shared" si="236"/>
        <v>0</v>
      </c>
      <c r="AE1579" s="2">
        <v>0.12</v>
      </c>
      <c r="AF1579" s="5">
        <f t="shared" si="232"/>
        <v>0</v>
      </c>
      <c r="AG1579" s="14">
        <v>0</v>
      </c>
      <c r="AH1579" s="19">
        <f t="shared" si="234"/>
        <v>0</v>
      </c>
      <c r="AJ1579" s="126" t="e">
        <v>#N/A</v>
      </c>
      <c r="AK1579" s="80">
        <f t="shared" si="233"/>
        <v>0</v>
      </c>
      <c r="AM1579" s="85"/>
    </row>
    <row r="1580" spans="1:39" hidden="1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35"/>
        <v>-364.65</v>
      </c>
      <c r="X1580" s="18">
        <f t="shared" si="237"/>
        <v>0</v>
      </c>
      <c r="Y1580" s="13">
        <f t="shared" si="229"/>
        <v>0</v>
      </c>
      <c r="Z1580" s="14">
        <v>0</v>
      </c>
      <c r="AA1580" s="4">
        <v>0</v>
      </c>
      <c r="AB1580" s="4">
        <f t="shared" si="230"/>
        <v>0</v>
      </c>
      <c r="AC1580" s="6">
        <f t="shared" si="231"/>
        <v>0</v>
      </c>
      <c r="AD1580" s="6">
        <f t="shared" si="236"/>
        <v>0</v>
      </c>
      <c r="AE1580" s="2">
        <v>0.12</v>
      </c>
      <c r="AF1580" s="5">
        <f t="shared" si="232"/>
        <v>0</v>
      </c>
      <c r="AG1580" s="14">
        <v>0</v>
      </c>
      <c r="AH1580" s="19">
        <f t="shared" si="234"/>
        <v>0</v>
      </c>
      <c r="AJ1580" s="126" t="e">
        <v>#N/A</v>
      </c>
      <c r="AK1580" s="80">
        <f t="shared" si="233"/>
        <v>0</v>
      </c>
      <c r="AM1580" s="85"/>
    </row>
    <row r="1581" spans="1:39" hidden="1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35"/>
        <v>-159291.9405</v>
      </c>
      <c r="X1581" s="18">
        <f t="shared" si="237"/>
        <v>77637.020297029696</v>
      </c>
      <c r="Y1581" s="13">
        <f t="shared" si="229"/>
        <v>30670.908025060031</v>
      </c>
      <c r="Z1581" s="14">
        <v>0</v>
      </c>
      <c r="AA1581" s="4">
        <v>0</v>
      </c>
      <c r="AB1581" s="4">
        <f t="shared" si="230"/>
        <v>77637.020297029696</v>
      </c>
      <c r="AC1581" s="6">
        <f t="shared" si="231"/>
        <v>776.37020297029812</v>
      </c>
      <c r="AD1581" s="6">
        <f t="shared" si="236"/>
        <v>46966.112271969665</v>
      </c>
      <c r="AE1581" s="2">
        <v>0.15</v>
      </c>
      <c r="AF1581" s="5">
        <f t="shared" si="232"/>
        <v>7044.9168407954494</v>
      </c>
      <c r="AG1581" s="14">
        <v>0</v>
      </c>
      <c r="AH1581" s="19">
        <f t="shared" si="234"/>
        <v>78413.390499999994</v>
      </c>
      <c r="AJ1581" s="126" t="e">
        <v>#N/A</v>
      </c>
      <c r="AK1581" s="80">
        <f t="shared" si="233"/>
        <v>0</v>
      </c>
      <c r="AM1581" s="85"/>
    </row>
    <row r="1582" spans="1:39" hidden="1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35"/>
        <v>-1.5</v>
      </c>
      <c r="X1582" s="18">
        <f t="shared" si="237"/>
        <v>0</v>
      </c>
      <c r="Y1582" s="13">
        <f t="shared" si="229"/>
        <v>0</v>
      </c>
      <c r="Z1582" s="14">
        <v>0</v>
      </c>
      <c r="AA1582" s="4">
        <v>0</v>
      </c>
      <c r="AB1582" s="4">
        <f t="shared" si="230"/>
        <v>0</v>
      </c>
      <c r="AC1582" s="6">
        <f t="shared" si="231"/>
        <v>0</v>
      </c>
      <c r="AD1582" s="6">
        <f t="shared" si="236"/>
        <v>0</v>
      </c>
      <c r="AE1582" s="2">
        <v>0.12</v>
      </c>
      <c r="AF1582" s="5">
        <f t="shared" si="232"/>
        <v>0</v>
      </c>
      <c r="AG1582" s="14">
        <v>0</v>
      </c>
      <c r="AH1582" s="19">
        <f t="shared" si="234"/>
        <v>0</v>
      </c>
      <c r="AJ1582" s="126" t="e">
        <v>#N/A</v>
      </c>
      <c r="AK1582" s="80">
        <f t="shared" si="233"/>
        <v>0</v>
      </c>
      <c r="AM1582" s="85"/>
    </row>
    <row r="1583" spans="1:39" hidden="1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35"/>
        <v>-51</v>
      </c>
      <c r="X1583" s="18">
        <f t="shared" si="237"/>
        <v>0</v>
      </c>
      <c r="Y1583" s="13">
        <f t="shared" si="229"/>
        <v>0</v>
      </c>
      <c r="Z1583" s="14">
        <v>0</v>
      </c>
      <c r="AA1583" s="4">
        <v>0</v>
      </c>
      <c r="AB1583" s="4">
        <f t="shared" si="230"/>
        <v>0</v>
      </c>
      <c r="AC1583" s="6">
        <f t="shared" si="231"/>
        <v>0</v>
      </c>
      <c r="AD1583" s="6">
        <f t="shared" si="236"/>
        <v>0</v>
      </c>
      <c r="AE1583" s="2">
        <v>0.12</v>
      </c>
      <c r="AF1583" s="5">
        <f t="shared" si="232"/>
        <v>0</v>
      </c>
      <c r="AG1583" s="14">
        <v>0</v>
      </c>
      <c r="AH1583" s="19">
        <f t="shared" si="234"/>
        <v>0</v>
      </c>
      <c r="AJ1583" s="126" t="e">
        <v>#N/A</v>
      </c>
      <c r="AK1583" s="80">
        <f t="shared" si="233"/>
        <v>0</v>
      </c>
      <c r="AM1583" s="85"/>
    </row>
    <row r="1584" spans="1:39" hidden="1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35"/>
        <v>427.15000000000049</v>
      </c>
      <c r="X1584" s="18">
        <f t="shared" si="237"/>
        <v>0</v>
      </c>
      <c r="Y1584" s="13">
        <f t="shared" si="229"/>
        <v>0</v>
      </c>
      <c r="Z1584" s="14">
        <v>0</v>
      </c>
      <c r="AA1584" s="4">
        <v>0</v>
      </c>
      <c r="AB1584" s="4">
        <f t="shared" si="230"/>
        <v>0</v>
      </c>
      <c r="AC1584" s="6">
        <f t="shared" si="231"/>
        <v>0</v>
      </c>
      <c r="AD1584" s="6">
        <f t="shared" si="236"/>
        <v>0</v>
      </c>
      <c r="AE1584" s="2">
        <v>0.12</v>
      </c>
      <c r="AF1584" s="5">
        <f t="shared" si="232"/>
        <v>0</v>
      </c>
      <c r="AG1584" s="14">
        <v>0</v>
      </c>
      <c r="AH1584" s="19">
        <f t="shared" si="234"/>
        <v>0</v>
      </c>
      <c r="AJ1584" s="126" t="e">
        <v>#N/A</v>
      </c>
      <c r="AK1584" s="80">
        <f t="shared" si="233"/>
        <v>0</v>
      </c>
      <c r="AM1584" s="85"/>
    </row>
    <row r="1585" spans="1:39" hidden="1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35"/>
        <v>-662.4</v>
      </c>
      <c r="X1585" s="18">
        <f t="shared" si="237"/>
        <v>0</v>
      </c>
      <c r="Y1585" s="13">
        <f t="shared" si="229"/>
        <v>0</v>
      </c>
      <c r="Z1585" s="14">
        <v>0</v>
      </c>
      <c r="AA1585" s="4">
        <v>0</v>
      </c>
      <c r="AB1585" s="4">
        <f t="shared" si="230"/>
        <v>0</v>
      </c>
      <c r="AC1585" s="6">
        <f t="shared" si="231"/>
        <v>0</v>
      </c>
      <c r="AD1585" s="6">
        <f t="shared" si="236"/>
        <v>0</v>
      </c>
      <c r="AE1585" s="2">
        <v>0.12</v>
      </c>
      <c r="AF1585" s="5">
        <f t="shared" si="232"/>
        <v>0</v>
      </c>
      <c r="AG1585" s="14">
        <v>0</v>
      </c>
      <c r="AH1585" s="19">
        <f t="shared" si="234"/>
        <v>0</v>
      </c>
      <c r="AJ1585" s="126" t="e">
        <v>#N/A</v>
      </c>
      <c r="AK1585" s="80">
        <f t="shared" si="233"/>
        <v>0</v>
      </c>
      <c r="AM1585" s="85"/>
    </row>
    <row r="1586" spans="1:39" hidden="1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37"/>
        <v>1.0711200000000001</v>
      </c>
      <c r="Y1586" s="13">
        <f t="shared" si="229"/>
        <v>0.42956704767928444</v>
      </c>
      <c r="Z1586" s="14">
        <v>0</v>
      </c>
      <c r="AA1586" s="4">
        <v>0</v>
      </c>
      <c r="AB1586" s="4">
        <f t="shared" si="230"/>
        <v>1.0711200000000001</v>
      </c>
      <c r="AC1586" s="6">
        <f t="shared" si="231"/>
        <v>0</v>
      </c>
      <c r="AD1586" s="6">
        <f t="shared" si="236"/>
        <v>0.64155295232071563</v>
      </c>
      <c r="AE1586" s="2">
        <v>0.15</v>
      </c>
      <c r="AF1586" s="5">
        <f t="shared" si="232"/>
        <v>9.6232942848107336E-2</v>
      </c>
      <c r="AG1586" s="14">
        <v>0</v>
      </c>
      <c r="AH1586" s="19">
        <f t="shared" si="234"/>
        <v>1.0711200000000001</v>
      </c>
      <c r="AJ1586" s="126" t="e">
        <v>#N/A</v>
      </c>
      <c r="AK1586" s="80">
        <f t="shared" si="233"/>
        <v>0</v>
      </c>
      <c r="AM1586" s="85"/>
    </row>
    <row r="1587" spans="1:39" hidden="1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35"/>
        <v>-10820.1</v>
      </c>
      <c r="X1587" s="18">
        <f t="shared" si="237"/>
        <v>0</v>
      </c>
      <c r="Y1587" s="13">
        <f t="shared" si="229"/>
        <v>0</v>
      </c>
      <c r="Z1587" s="14">
        <v>0</v>
      </c>
      <c r="AA1587" s="4">
        <v>0</v>
      </c>
      <c r="AB1587" s="4">
        <f t="shared" si="230"/>
        <v>0</v>
      </c>
      <c r="AC1587" s="6">
        <f t="shared" si="231"/>
        <v>0</v>
      </c>
      <c r="AD1587" s="6">
        <f t="shared" si="236"/>
        <v>0</v>
      </c>
      <c r="AE1587" s="2">
        <v>0.15</v>
      </c>
      <c r="AF1587" s="5">
        <f t="shared" si="232"/>
        <v>0</v>
      </c>
      <c r="AG1587" s="14">
        <v>0</v>
      </c>
      <c r="AH1587" s="19">
        <f t="shared" si="234"/>
        <v>0</v>
      </c>
      <c r="AJ1587" s="126" t="e">
        <v>#N/A</v>
      </c>
      <c r="AK1587" s="80">
        <f t="shared" si="233"/>
        <v>0</v>
      </c>
      <c r="AM1587" s="85"/>
    </row>
    <row r="1588" spans="1:39" hidden="1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37"/>
        <v>0.54</v>
      </c>
      <c r="Y1588" s="13">
        <f t="shared" si="229"/>
        <v>0.21656416250916199</v>
      </c>
      <c r="Z1588" s="14">
        <v>0</v>
      </c>
      <c r="AA1588" s="4">
        <v>0</v>
      </c>
      <c r="AB1588" s="4">
        <f t="shared" si="230"/>
        <v>0.54</v>
      </c>
      <c r="AC1588" s="6">
        <f t="shared" si="231"/>
        <v>0</v>
      </c>
      <c r="AD1588" s="6">
        <f t="shared" si="236"/>
        <v>0.32343583749083804</v>
      </c>
      <c r="AE1588" s="2">
        <v>0.12</v>
      </c>
      <c r="AF1588" s="5">
        <f t="shared" si="232"/>
        <v>3.8812300498900561E-2</v>
      </c>
      <c r="AG1588" s="14">
        <v>0</v>
      </c>
      <c r="AH1588" s="19">
        <f t="shared" si="234"/>
        <v>0.54</v>
      </c>
      <c r="AJ1588" s="126" t="e">
        <v>#N/A</v>
      </c>
      <c r="AK1588" s="80">
        <f t="shared" si="233"/>
        <v>0</v>
      </c>
      <c r="AM1588" s="85"/>
    </row>
    <row r="1589" spans="1:39" hidden="1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35"/>
        <v>-48459.219379999995</v>
      </c>
      <c r="X1589" s="18">
        <f t="shared" si="237"/>
        <v>31628.844524752472</v>
      </c>
      <c r="Y1589" s="13">
        <f t="shared" si="229"/>
        <v>12495.139273070748</v>
      </c>
      <c r="Z1589" s="14">
        <v>0</v>
      </c>
      <c r="AA1589" s="4">
        <v>0</v>
      </c>
      <c r="AB1589" s="4">
        <f t="shared" si="230"/>
        <v>31628.844524752472</v>
      </c>
      <c r="AC1589" s="6">
        <f t="shared" si="231"/>
        <v>316.2884452475264</v>
      </c>
      <c r="AD1589" s="6">
        <f t="shared" si="236"/>
        <v>19133.705251681724</v>
      </c>
      <c r="AE1589" s="2">
        <v>0.12</v>
      </c>
      <c r="AF1589" s="5">
        <f t="shared" si="232"/>
        <v>2296.0446302018067</v>
      </c>
      <c r="AG1589" s="14">
        <v>0</v>
      </c>
      <c r="AH1589" s="19">
        <f t="shared" si="234"/>
        <v>31945.132969999999</v>
      </c>
      <c r="AJ1589" s="126" t="e">
        <v>#N/A</v>
      </c>
      <c r="AK1589" s="80">
        <f t="shared" si="233"/>
        <v>0</v>
      </c>
      <c r="AM1589" s="85"/>
    </row>
    <row r="1590" spans="1:39" hidden="1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35"/>
        <v>-100687.09799999988</v>
      </c>
      <c r="X1590" s="18">
        <f t="shared" si="237"/>
        <v>1.2808490566037734</v>
      </c>
      <c r="Y1590" s="13">
        <f t="shared" si="229"/>
        <v>0.4676475074161609</v>
      </c>
      <c r="Z1590" s="14">
        <v>0</v>
      </c>
      <c r="AA1590" s="4">
        <v>0</v>
      </c>
      <c r="AB1590" s="4">
        <f t="shared" si="230"/>
        <v>1.2808490566037734</v>
      </c>
      <c r="AC1590" s="6">
        <f t="shared" si="231"/>
        <v>7.6850943396226556E-2</v>
      </c>
      <c r="AD1590" s="6">
        <f t="shared" si="236"/>
        <v>0.81320154918761245</v>
      </c>
      <c r="AE1590" s="2">
        <v>0.12</v>
      </c>
      <c r="AF1590" s="5">
        <f t="shared" si="232"/>
        <v>9.7584185902513484E-2</v>
      </c>
      <c r="AG1590" s="14">
        <v>0</v>
      </c>
      <c r="AH1590" s="19">
        <f t="shared" si="234"/>
        <v>1.3576999999999999</v>
      </c>
      <c r="AJ1590" s="126" t="e">
        <v>#N/A</v>
      </c>
      <c r="AK1590" s="80">
        <f t="shared" si="233"/>
        <v>0</v>
      </c>
      <c r="AM1590" s="85"/>
    </row>
    <row r="1591" spans="1:39" hidden="1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35"/>
        <v>-728794.64371999993</v>
      </c>
      <c r="X1591" s="18">
        <f t="shared" si="237"/>
        <v>0.35165094339622643</v>
      </c>
      <c r="Y1591" s="13">
        <f t="shared" si="229"/>
        <v>0.12839037223935629</v>
      </c>
      <c r="Z1591" s="14">
        <v>0</v>
      </c>
      <c r="AA1591" s="4">
        <v>0</v>
      </c>
      <c r="AB1591" s="4">
        <f t="shared" si="230"/>
        <v>0.35165094339622643</v>
      </c>
      <c r="AC1591" s="6">
        <f t="shared" si="231"/>
        <v>2.1099056603773592E-2</v>
      </c>
      <c r="AD1591" s="6">
        <f t="shared" si="236"/>
        <v>0.22326057115687015</v>
      </c>
      <c r="AE1591" s="2">
        <v>0.15</v>
      </c>
      <c r="AF1591" s="5">
        <f t="shared" si="232"/>
        <v>3.3489085673530518E-2</v>
      </c>
      <c r="AG1591" s="14">
        <v>0</v>
      </c>
      <c r="AH1591" s="19">
        <f t="shared" si="234"/>
        <v>0.37275000000000003</v>
      </c>
      <c r="AJ1591" s="126" t="e">
        <v>#N/A</v>
      </c>
      <c r="AK1591" s="80">
        <f t="shared" si="233"/>
        <v>0</v>
      </c>
      <c r="AM1591" s="85"/>
    </row>
    <row r="1592" spans="1:39" hidden="1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35"/>
        <v>12986.9</v>
      </c>
      <c r="X1592" s="18">
        <f t="shared" si="237"/>
        <v>0</v>
      </c>
      <c r="Y1592" s="13">
        <f t="shared" si="229"/>
        <v>0</v>
      </c>
      <c r="Z1592" s="14">
        <v>0</v>
      </c>
      <c r="AA1592" s="4">
        <v>0</v>
      </c>
      <c r="AB1592" s="4">
        <f t="shared" si="230"/>
        <v>0</v>
      </c>
      <c r="AC1592" s="6">
        <f t="shared" si="231"/>
        <v>0</v>
      </c>
      <c r="AD1592" s="6">
        <f t="shared" si="236"/>
        <v>0</v>
      </c>
      <c r="AE1592" s="2">
        <v>0.12</v>
      </c>
      <c r="AF1592" s="5">
        <f t="shared" si="232"/>
        <v>0</v>
      </c>
      <c r="AG1592" s="14">
        <v>0</v>
      </c>
      <c r="AH1592" s="19">
        <f t="shared" si="234"/>
        <v>0</v>
      </c>
      <c r="AJ1592" s="126" t="e">
        <v>#N/A</v>
      </c>
      <c r="AK1592" s="80">
        <f t="shared" si="233"/>
        <v>0</v>
      </c>
      <c r="AM1592" s="85"/>
    </row>
    <row r="1593" spans="1:39" hidden="1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35"/>
        <v>-44714.1</v>
      </c>
      <c r="X1593" s="18">
        <f t="shared" si="237"/>
        <v>0</v>
      </c>
      <c r="Y1593" s="13">
        <f t="shared" si="229"/>
        <v>0</v>
      </c>
      <c r="Z1593" s="14">
        <v>0</v>
      </c>
      <c r="AA1593" s="4">
        <v>0</v>
      </c>
      <c r="AB1593" s="4">
        <f t="shared" si="230"/>
        <v>0</v>
      </c>
      <c r="AC1593" s="6">
        <f t="shared" si="231"/>
        <v>0</v>
      </c>
      <c r="AD1593" s="6">
        <f t="shared" si="236"/>
        <v>0</v>
      </c>
      <c r="AE1593" s="2">
        <v>0.12</v>
      </c>
      <c r="AF1593" s="5">
        <f t="shared" si="232"/>
        <v>0</v>
      </c>
      <c r="AG1593" s="14">
        <v>0</v>
      </c>
      <c r="AH1593" s="19">
        <f t="shared" si="234"/>
        <v>0</v>
      </c>
      <c r="AJ1593" s="126" t="e">
        <v>#N/A</v>
      </c>
      <c r="AK1593" s="80">
        <f t="shared" si="233"/>
        <v>0</v>
      </c>
      <c r="AM1593" s="85"/>
    </row>
    <row r="1594" spans="1:39" hidden="1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35"/>
        <v>-196.2</v>
      </c>
      <c r="X1594" s="18">
        <f t="shared" si="237"/>
        <v>0</v>
      </c>
      <c r="Y1594" s="13">
        <f t="shared" si="229"/>
        <v>0</v>
      </c>
      <c r="Z1594" s="14">
        <v>0</v>
      </c>
      <c r="AA1594" s="4">
        <v>0</v>
      </c>
      <c r="AB1594" s="4">
        <f t="shared" si="230"/>
        <v>0</v>
      </c>
      <c r="AC1594" s="6">
        <f t="shared" si="231"/>
        <v>0</v>
      </c>
      <c r="AD1594" s="6">
        <f t="shared" si="236"/>
        <v>0</v>
      </c>
      <c r="AE1594" s="2">
        <v>0.12</v>
      </c>
      <c r="AF1594" s="5">
        <f t="shared" si="232"/>
        <v>0</v>
      </c>
      <c r="AG1594" s="14">
        <v>0</v>
      </c>
      <c r="AH1594" s="19">
        <f t="shared" si="234"/>
        <v>0</v>
      </c>
      <c r="AJ1594" s="126" t="e">
        <v>#N/A</v>
      </c>
      <c r="AK1594" s="80">
        <f t="shared" si="233"/>
        <v>0</v>
      </c>
      <c r="AM1594" s="85"/>
    </row>
    <row r="1595" spans="1:39" hidden="1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35"/>
        <v>-2919</v>
      </c>
      <c r="X1595" s="18">
        <f t="shared" si="237"/>
        <v>0</v>
      </c>
      <c r="Y1595" s="13">
        <f t="shared" si="229"/>
        <v>0</v>
      </c>
      <c r="Z1595" s="14">
        <v>0</v>
      </c>
      <c r="AA1595" s="4">
        <v>0</v>
      </c>
      <c r="AB1595" s="4">
        <f t="shared" si="230"/>
        <v>0</v>
      </c>
      <c r="AC1595" s="6">
        <f t="shared" si="231"/>
        <v>0</v>
      </c>
      <c r="AD1595" s="6">
        <f t="shared" si="236"/>
        <v>0</v>
      </c>
      <c r="AE1595" s="2">
        <v>0.12</v>
      </c>
      <c r="AF1595" s="5">
        <f t="shared" si="232"/>
        <v>0</v>
      </c>
      <c r="AG1595" s="14">
        <v>0</v>
      </c>
      <c r="AH1595" s="19">
        <f t="shared" si="234"/>
        <v>0</v>
      </c>
      <c r="AJ1595" s="126" t="e">
        <v>#N/A</v>
      </c>
      <c r="AK1595" s="80">
        <f t="shared" si="233"/>
        <v>0</v>
      </c>
      <c r="AM1595" s="85"/>
    </row>
    <row r="1596" spans="1:39" hidden="1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35"/>
        <v>-37844.81</v>
      </c>
      <c r="X1596" s="18">
        <f t="shared" si="237"/>
        <v>0</v>
      </c>
      <c r="Y1596" s="13">
        <f t="shared" si="229"/>
        <v>0</v>
      </c>
      <c r="Z1596" s="14">
        <v>0</v>
      </c>
      <c r="AA1596" s="4">
        <v>0</v>
      </c>
      <c r="AB1596" s="4">
        <f t="shared" si="230"/>
        <v>0</v>
      </c>
      <c r="AC1596" s="6">
        <f t="shared" si="231"/>
        <v>0</v>
      </c>
      <c r="AD1596" s="6">
        <f t="shared" si="236"/>
        <v>0</v>
      </c>
      <c r="AE1596" s="2">
        <v>0.15</v>
      </c>
      <c r="AF1596" s="5">
        <f t="shared" si="232"/>
        <v>0</v>
      </c>
      <c r="AG1596" s="14">
        <v>0</v>
      </c>
      <c r="AH1596" s="19">
        <f t="shared" si="234"/>
        <v>0</v>
      </c>
      <c r="AJ1596" s="126" t="e">
        <v>#N/A</v>
      </c>
      <c r="AK1596" s="80">
        <f t="shared" si="233"/>
        <v>0</v>
      </c>
      <c r="AM1596" s="85"/>
    </row>
    <row r="1597" spans="1:39" hidden="1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35"/>
        <v>-12760.63</v>
      </c>
      <c r="X1597" s="18">
        <f t="shared" si="237"/>
        <v>0</v>
      </c>
      <c r="Y1597" s="13">
        <f t="shared" si="229"/>
        <v>0</v>
      </c>
      <c r="Z1597" s="14">
        <v>0</v>
      </c>
      <c r="AA1597" s="4">
        <v>0</v>
      </c>
      <c r="AB1597" s="4">
        <f t="shared" si="230"/>
        <v>0</v>
      </c>
      <c r="AC1597" s="6">
        <f t="shared" si="231"/>
        <v>0</v>
      </c>
      <c r="AD1597" s="6">
        <f t="shared" si="236"/>
        <v>0</v>
      </c>
      <c r="AE1597" s="2">
        <v>0.12</v>
      </c>
      <c r="AF1597" s="5">
        <f t="shared" si="232"/>
        <v>0</v>
      </c>
      <c r="AG1597" s="14">
        <v>0</v>
      </c>
      <c r="AH1597" s="19">
        <f t="shared" si="234"/>
        <v>0</v>
      </c>
      <c r="AJ1597" s="126" t="e">
        <v>#N/A</v>
      </c>
      <c r="AK1597" s="80">
        <f t="shared" si="233"/>
        <v>0</v>
      </c>
      <c r="AM1597" s="85"/>
    </row>
    <row r="1598" spans="1:39" hidden="1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35"/>
        <v>-430156.33107999997</v>
      </c>
      <c r="X1598" s="18">
        <f t="shared" si="237"/>
        <v>1.7792358490566038</v>
      </c>
      <c r="Y1598" s="13">
        <f t="shared" si="229"/>
        <v>0.64961222840966748</v>
      </c>
      <c r="Z1598" s="14">
        <v>0</v>
      </c>
      <c r="AA1598" s="4">
        <v>0</v>
      </c>
      <c r="AB1598" s="4">
        <f t="shared" si="230"/>
        <v>1.7792358490566038</v>
      </c>
      <c r="AC1598" s="6">
        <f t="shared" si="231"/>
        <v>0.10675415094339624</v>
      </c>
      <c r="AD1598" s="6">
        <f t="shared" si="236"/>
        <v>1.1296236206469363</v>
      </c>
      <c r="AE1598" s="2">
        <v>0.15</v>
      </c>
      <c r="AF1598" s="5">
        <f t="shared" si="232"/>
        <v>0.16944354309704043</v>
      </c>
      <c r="AG1598" s="14">
        <v>0</v>
      </c>
      <c r="AH1598" s="19">
        <f t="shared" si="234"/>
        <v>1.8859900000000001</v>
      </c>
      <c r="AJ1598" s="126" t="e">
        <v>#N/A</v>
      </c>
      <c r="AK1598" s="80">
        <f t="shared" si="233"/>
        <v>0</v>
      </c>
      <c r="AM1598" s="85"/>
    </row>
    <row r="1599" spans="1:39" hidden="1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35"/>
        <v>-19368.649999999998</v>
      </c>
      <c r="X1599" s="18">
        <f t="shared" si="237"/>
        <v>2.1</v>
      </c>
      <c r="Y1599" s="13">
        <f t="shared" si="229"/>
        <v>0.84219396531340784</v>
      </c>
      <c r="Z1599" s="14">
        <v>0</v>
      </c>
      <c r="AA1599" s="4">
        <v>0</v>
      </c>
      <c r="AB1599" s="4">
        <f t="shared" si="230"/>
        <v>2.1</v>
      </c>
      <c r="AC1599" s="6">
        <f t="shared" si="231"/>
        <v>0</v>
      </c>
      <c r="AD1599" s="6">
        <f t="shared" si="236"/>
        <v>1.2578060346865922</v>
      </c>
      <c r="AE1599" s="2">
        <v>0.12</v>
      </c>
      <c r="AF1599" s="5">
        <f t="shared" si="232"/>
        <v>0.15093672416239107</v>
      </c>
      <c r="AG1599" s="14">
        <v>0</v>
      </c>
      <c r="AH1599" s="19">
        <f t="shared" si="234"/>
        <v>2.1</v>
      </c>
      <c r="AJ1599" s="126" t="e">
        <v>#N/A</v>
      </c>
      <c r="AK1599" s="80">
        <f t="shared" si="233"/>
        <v>0</v>
      </c>
      <c r="AM1599" s="85"/>
    </row>
    <row r="1600" spans="1:39" hidden="1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35"/>
        <v>-20103.67324</v>
      </c>
      <c r="X1600" s="18">
        <f t="shared" si="237"/>
        <v>0</v>
      </c>
      <c r="Y1600" s="13">
        <f t="shared" si="229"/>
        <v>0</v>
      </c>
      <c r="Z1600" s="14">
        <v>0</v>
      </c>
      <c r="AA1600" s="4">
        <v>0</v>
      </c>
      <c r="AB1600" s="4">
        <f t="shared" si="230"/>
        <v>0</v>
      </c>
      <c r="AC1600" s="6">
        <f t="shared" si="231"/>
        <v>0</v>
      </c>
      <c r="AD1600" s="6">
        <f t="shared" si="236"/>
        <v>0</v>
      </c>
      <c r="AE1600" s="2">
        <v>0.12</v>
      </c>
      <c r="AF1600" s="5">
        <f t="shared" si="232"/>
        <v>0</v>
      </c>
      <c r="AG1600" s="14">
        <v>0</v>
      </c>
      <c r="AH1600" s="19">
        <f t="shared" si="234"/>
        <v>0</v>
      </c>
      <c r="AJ1600" s="126" t="e">
        <v>#N/A</v>
      </c>
      <c r="AK1600" s="80">
        <f t="shared" si="233"/>
        <v>0</v>
      </c>
      <c r="AM1600" s="85"/>
    </row>
    <row r="1601" spans="1:39" hidden="1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37"/>
        <v>0.15514</v>
      </c>
      <c r="Y1601" s="13">
        <f t="shared" si="229"/>
        <v>6.2218081799391464E-2</v>
      </c>
      <c r="Z1601" s="14">
        <v>0</v>
      </c>
      <c r="AA1601" s="4">
        <v>0</v>
      </c>
      <c r="AB1601" s="4">
        <f t="shared" si="230"/>
        <v>0.15514</v>
      </c>
      <c r="AC1601" s="6">
        <f t="shared" si="231"/>
        <v>0</v>
      </c>
      <c r="AD1601" s="6">
        <f t="shared" si="236"/>
        <v>9.2921918200608536E-2</v>
      </c>
      <c r="AE1601" s="2">
        <v>0.15</v>
      </c>
      <c r="AF1601" s="5">
        <f t="shared" si="232"/>
        <v>1.393828773009128E-2</v>
      </c>
      <c r="AG1601" s="14">
        <v>0</v>
      </c>
      <c r="AH1601" s="19">
        <f t="shared" si="234"/>
        <v>0.15514</v>
      </c>
      <c r="AJ1601" s="126" t="e">
        <v>#N/A</v>
      </c>
      <c r="AK1601" s="80">
        <f t="shared" si="233"/>
        <v>0</v>
      </c>
      <c r="AM1601" s="85"/>
    </row>
    <row r="1602" spans="1:39" hidden="1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37"/>
        <v>1.10453</v>
      </c>
      <c r="Y1602" s="13">
        <f t="shared" si="229"/>
        <v>0.44296595262267535</v>
      </c>
      <c r="Z1602" s="14">
        <v>0</v>
      </c>
      <c r="AA1602" s="4">
        <v>0</v>
      </c>
      <c r="AB1602" s="4">
        <f t="shared" si="230"/>
        <v>1.10453</v>
      </c>
      <c r="AC1602" s="6">
        <f t="shared" si="231"/>
        <v>0</v>
      </c>
      <c r="AD1602" s="6">
        <f t="shared" si="236"/>
        <v>0.66156404737732466</v>
      </c>
      <c r="AE1602" s="2">
        <v>0.12</v>
      </c>
      <c r="AF1602" s="5">
        <f t="shared" si="232"/>
        <v>7.9387685685278958E-2</v>
      </c>
      <c r="AG1602" s="14">
        <v>0</v>
      </c>
      <c r="AH1602" s="19">
        <f t="shared" si="234"/>
        <v>1.10453</v>
      </c>
      <c r="AJ1602" s="126" t="e">
        <v>#N/A</v>
      </c>
      <c r="AK1602" s="80">
        <f t="shared" si="233"/>
        <v>0</v>
      </c>
      <c r="AM1602" s="85"/>
    </row>
    <row r="1603" spans="1:39" hidden="1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35"/>
        <v>-283.33</v>
      </c>
      <c r="X1603" s="18">
        <f t="shared" si="237"/>
        <v>165.22</v>
      </c>
      <c r="Y1603" s="13">
        <f t="shared" ref="Y1603:Y1666" si="23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39">X1603+AA1603</f>
        <v>165.22</v>
      </c>
      <c r="AC1603" s="6">
        <f t="shared" ref="AC1603:AC1666" si="240">IF(P1603="返现",X1603*Q1603,V1603-X1603)</f>
        <v>0</v>
      </c>
      <c r="AD1603" s="6">
        <f t="shared" si="236"/>
        <v>98.959387167104168</v>
      </c>
      <c r="AE1603" s="2">
        <v>0.12</v>
      </c>
      <c r="AF1603" s="5">
        <f t="shared" ref="AF1603:AF1666" si="241">AD1603*AE1603</f>
        <v>11.875126460052499</v>
      </c>
      <c r="AG1603" s="14">
        <v>0</v>
      </c>
      <c r="AH1603" s="19">
        <f t="shared" si="234"/>
        <v>165.22</v>
      </c>
      <c r="AJ1603" s="126" t="e">
        <v>#N/A</v>
      </c>
      <c r="AK1603" s="80">
        <f t="shared" ref="AK1603:AK1666" si="242">X1603+AA1603-AB1603</f>
        <v>0</v>
      </c>
      <c r="AM1603" s="85"/>
    </row>
    <row r="1604" spans="1:39" hidden="1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35"/>
        <v>-1374.9588800000001</v>
      </c>
      <c r="X1604" s="18">
        <f t="shared" si="237"/>
        <v>1086.6516153846153</v>
      </c>
      <c r="Y1604" s="13">
        <f t="shared" si="238"/>
        <v>409.76169261794325</v>
      </c>
      <c r="Z1604" s="14">
        <v>0</v>
      </c>
      <c r="AA1604" s="4">
        <v>0</v>
      </c>
      <c r="AB1604" s="4">
        <f t="shared" si="239"/>
        <v>1086.6516153846153</v>
      </c>
      <c r="AC1604" s="6">
        <f t="shared" si="240"/>
        <v>43.466064615384767</v>
      </c>
      <c r="AD1604" s="6">
        <f t="shared" si="236"/>
        <v>676.88992276667204</v>
      </c>
      <c r="AE1604" s="2">
        <v>0.12</v>
      </c>
      <c r="AF1604" s="5">
        <f t="shared" si="241"/>
        <v>81.226790732000637</v>
      </c>
      <c r="AG1604" s="14">
        <v>0</v>
      </c>
      <c r="AH1604" s="19">
        <f t="shared" si="234"/>
        <v>1130.1176800000001</v>
      </c>
      <c r="AJ1604" s="126" t="e">
        <v>#N/A</v>
      </c>
      <c r="AK1604" s="80">
        <f t="shared" si="242"/>
        <v>0</v>
      </c>
      <c r="AM1604" s="85"/>
    </row>
    <row r="1605" spans="1:39" hidden="1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35"/>
        <v>-393.79475000000002</v>
      </c>
      <c r="X1605" s="18">
        <f t="shared" si="237"/>
        <v>0</v>
      </c>
      <c r="Y1605" s="13">
        <f t="shared" si="238"/>
        <v>0</v>
      </c>
      <c r="Z1605" s="14">
        <v>0</v>
      </c>
      <c r="AA1605" s="4">
        <v>0</v>
      </c>
      <c r="AB1605" s="4">
        <f t="shared" si="239"/>
        <v>0</v>
      </c>
      <c r="AC1605" s="6">
        <f t="shared" si="240"/>
        <v>0</v>
      </c>
      <c r="AD1605" s="6">
        <f t="shared" si="236"/>
        <v>0</v>
      </c>
      <c r="AE1605" s="2">
        <v>0.12</v>
      </c>
      <c r="AF1605" s="5">
        <f t="shared" si="241"/>
        <v>0</v>
      </c>
      <c r="AG1605" s="14">
        <v>0</v>
      </c>
      <c r="AH1605" s="19">
        <f t="shared" si="234"/>
        <v>0</v>
      </c>
      <c r="AJ1605" s="126" t="e">
        <v>#N/A</v>
      </c>
      <c r="AK1605" s="80">
        <f t="shared" si="242"/>
        <v>0</v>
      </c>
      <c r="AM1605" s="85"/>
    </row>
    <row r="1606" spans="1:39" hidden="1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35"/>
        <v>-515.11821999999995</v>
      </c>
      <c r="X1606" s="18">
        <f t="shared" si="237"/>
        <v>515.11821999999995</v>
      </c>
      <c r="Y1606" s="13">
        <f t="shared" si="238"/>
        <v>206.58545538427825</v>
      </c>
      <c r="Z1606" s="14">
        <v>0</v>
      </c>
      <c r="AA1606" s="4">
        <v>0</v>
      </c>
      <c r="AB1606" s="4">
        <f t="shared" si="239"/>
        <v>515.11821999999995</v>
      </c>
      <c r="AC1606" s="6">
        <f t="shared" si="240"/>
        <v>0</v>
      </c>
      <c r="AD1606" s="6">
        <f t="shared" si="236"/>
        <v>308.5327646157217</v>
      </c>
      <c r="AE1606" s="2">
        <v>0.12</v>
      </c>
      <c r="AF1606" s="5">
        <f t="shared" si="241"/>
        <v>37.0239317538866</v>
      </c>
      <c r="AG1606" s="14">
        <v>0</v>
      </c>
      <c r="AH1606" s="19">
        <f t="shared" si="234"/>
        <v>515.11821999999995</v>
      </c>
      <c r="AJ1606" s="126" t="e">
        <v>#N/A</v>
      </c>
      <c r="AK1606" s="80">
        <f t="shared" si="242"/>
        <v>0</v>
      </c>
      <c r="AM1606" s="85"/>
    </row>
    <row r="1607" spans="1:39" hidden="1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35"/>
        <v>-2326.79</v>
      </c>
      <c r="X1607" s="18">
        <f t="shared" si="237"/>
        <v>0</v>
      </c>
      <c r="Y1607" s="13">
        <f t="shared" si="238"/>
        <v>0</v>
      </c>
      <c r="Z1607" s="14">
        <v>0</v>
      </c>
      <c r="AA1607" s="4">
        <v>0</v>
      </c>
      <c r="AB1607" s="4">
        <f t="shared" si="239"/>
        <v>0</v>
      </c>
      <c r="AC1607" s="6">
        <f t="shared" si="240"/>
        <v>0</v>
      </c>
      <c r="AD1607" s="6">
        <f t="shared" si="236"/>
        <v>0</v>
      </c>
      <c r="AE1607" s="2">
        <v>0.12</v>
      </c>
      <c r="AF1607" s="5">
        <f t="shared" si="241"/>
        <v>0</v>
      </c>
      <c r="AG1607" s="14">
        <v>0</v>
      </c>
      <c r="AH1607" s="19">
        <f t="shared" si="234"/>
        <v>0</v>
      </c>
      <c r="AJ1607" s="126" t="e">
        <v>#N/A</v>
      </c>
      <c r="AK1607" s="80">
        <f t="shared" si="242"/>
        <v>0</v>
      </c>
      <c r="AM1607" s="85"/>
    </row>
    <row r="1608" spans="1:39" hidden="1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35"/>
        <v>-107936.18442000001</v>
      </c>
      <c r="X1608" s="18">
        <f t="shared" si="237"/>
        <v>107936.18442000001</v>
      </c>
      <c r="Y1608" s="13">
        <f t="shared" si="238"/>
        <v>0</v>
      </c>
      <c r="Z1608" s="14">
        <v>0</v>
      </c>
      <c r="AA1608" s="4">
        <v>0</v>
      </c>
      <c r="AB1608" s="4">
        <f t="shared" si="239"/>
        <v>107936.18442000001</v>
      </c>
      <c r="AC1608" s="6">
        <f t="shared" si="240"/>
        <v>0</v>
      </c>
      <c r="AD1608" s="18">
        <f t="shared" ref="AD1608:AD1614" si="243">V1608</f>
        <v>107936.18442000001</v>
      </c>
      <c r="AE1608" s="2">
        <v>0.04</v>
      </c>
      <c r="AF1608" s="5">
        <f t="shared" si="241"/>
        <v>4317.4473768000007</v>
      </c>
      <c r="AG1608" s="14">
        <v>0</v>
      </c>
      <c r="AH1608" s="19">
        <f t="shared" si="234"/>
        <v>107936.18442000001</v>
      </c>
      <c r="AJ1608" s="126" t="e">
        <v>#N/A</v>
      </c>
      <c r="AK1608" s="80">
        <f t="shared" si="242"/>
        <v>0</v>
      </c>
      <c r="AM1608" s="85"/>
    </row>
    <row r="1609" spans="1:39" hidden="1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35"/>
        <v>-163532.91376</v>
      </c>
      <c r="X1609" s="18">
        <f t="shared" si="237"/>
        <v>163532.91376</v>
      </c>
      <c r="Y1609" s="13">
        <f t="shared" si="238"/>
        <v>0</v>
      </c>
      <c r="Z1609" s="14">
        <v>0</v>
      </c>
      <c r="AA1609" s="4">
        <v>0</v>
      </c>
      <c r="AB1609" s="4">
        <f t="shared" si="239"/>
        <v>163532.91376</v>
      </c>
      <c r="AC1609" s="6">
        <f t="shared" si="240"/>
        <v>0</v>
      </c>
      <c r="AD1609" s="18">
        <f t="shared" si="243"/>
        <v>163532.91376</v>
      </c>
      <c r="AE1609" s="2">
        <v>0.04</v>
      </c>
      <c r="AF1609" s="5">
        <f t="shared" si="241"/>
        <v>6541.3165503999999</v>
      </c>
      <c r="AG1609" s="14">
        <v>0</v>
      </c>
      <c r="AH1609" s="19">
        <f t="shared" si="234"/>
        <v>163532.91376</v>
      </c>
      <c r="AJ1609" s="126" t="e">
        <v>#N/A</v>
      </c>
      <c r="AK1609" s="80">
        <f t="shared" si="242"/>
        <v>0</v>
      </c>
      <c r="AM1609" s="85"/>
    </row>
    <row r="1610" spans="1:39" hidden="1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35"/>
        <v>-6493.6439600000003</v>
      </c>
      <c r="X1610" s="18">
        <f t="shared" si="237"/>
        <v>6493.6439600000003</v>
      </c>
      <c r="Y1610" s="13">
        <f t="shared" si="238"/>
        <v>0</v>
      </c>
      <c r="Z1610" s="14">
        <v>0</v>
      </c>
      <c r="AA1610" s="4">
        <v>0</v>
      </c>
      <c r="AB1610" s="4">
        <f t="shared" si="239"/>
        <v>6493.6439600000003</v>
      </c>
      <c r="AC1610" s="6">
        <f t="shared" si="240"/>
        <v>0</v>
      </c>
      <c r="AD1610" s="18">
        <f t="shared" si="243"/>
        <v>6493.6439600000003</v>
      </c>
      <c r="AE1610" s="2">
        <v>0.04</v>
      </c>
      <c r="AF1610" s="5">
        <f t="shared" si="241"/>
        <v>259.7457584</v>
      </c>
      <c r="AG1610" s="14">
        <v>0</v>
      </c>
      <c r="AH1610" s="19">
        <f t="shared" si="234"/>
        <v>6493.6439600000003</v>
      </c>
      <c r="AJ1610" s="126" t="e">
        <v>#N/A</v>
      </c>
      <c r="AK1610" s="80">
        <f t="shared" si="242"/>
        <v>0</v>
      </c>
      <c r="AM1610" s="85"/>
    </row>
    <row r="1611" spans="1:39" hidden="1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35"/>
        <v>177858.60141</v>
      </c>
      <c r="X1611" s="18">
        <f t="shared" si="237"/>
        <v>92353.888590000002</v>
      </c>
      <c r="Y1611" s="13">
        <f t="shared" si="238"/>
        <v>0</v>
      </c>
      <c r="Z1611" s="14">
        <v>0</v>
      </c>
      <c r="AA1611" s="4">
        <v>0</v>
      </c>
      <c r="AB1611" s="4">
        <f t="shared" si="239"/>
        <v>92353.888590000002</v>
      </c>
      <c r="AC1611" s="6">
        <f t="shared" si="240"/>
        <v>0</v>
      </c>
      <c r="AD1611" s="18">
        <f t="shared" si="243"/>
        <v>92353.888590000002</v>
      </c>
      <c r="AE1611" s="2">
        <v>0.04</v>
      </c>
      <c r="AF1611" s="5">
        <f t="shared" si="241"/>
        <v>3694.1555436000003</v>
      </c>
      <c r="AG1611" s="14">
        <v>0</v>
      </c>
      <c r="AH1611" s="19">
        <f t="shared" si="234"/>
        <v>92353.888590000002</v>
      </c>
      <c r="AJ1611" s="126" t="e">
        <v>#N/A</v>
      </c>
      <c r="AK1611" s="80">
        <f t="shared" si="242"/>
        <v>0</v>
      </c>
      <c r="AM1611" s="85"/>
    </row>
    <row r="1612" spans="1:39" hidden="1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35"/>
        <v>-3766.68138</v>
      </c>
      <c r="X1612" s="18">
        <f t="shared" si="237"/>
        <v>3766.68138</v>
      </c>
      <c r="Y1612" s="13">
        <f t="shared" si="238"/>
        <v>0</v>
      </c>
      <c r="Z1612" s="14">
        <v>0</v>
      </c>
      <c r="AA1612" s="4">
        <v>0</v>
      </c>
      <c r="AB1612" s="4">
        <f t="shared" si="239"/>
        <v>3766.68138</v>
      </c>
      <c r="AC1612" s="6">
        <f t="shared" si="240"/>
        <v>0</v>
      </c>
      <c r="AD1612" s="18">
        <f t="shared" si="243"/>
        <v>3766.68138</v>
      </c>
      <c r="AE1612" s="2">
        <v>0.04</v>
      </c>
      <c r="AF1612" s="5">
        <f t="shared" si="241"/>
        <v>150.6672552</v>
      </c>
      <c r="AG1612" s="14">
        <v>0</v>
      </c>
      <c r="AH1612" s="19">
        <f t="shared" si="234"/>
        <v>3766.68138</v>
      </c>
      <c r="AJ1612" s="126" t="e">
        <v>#N/A</v>
      </c>
      <c r="AK1612" s="80">
        <f t="shared" si="242"/>
        <v>0</v>
      </c>
      <c r="AM1612" s="85"/>
    </row>
    <row r="1613" spans="1:39" hidden="1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35"/>
        <v>-80823.064840000006</v>
      </c>
      <c r="X1613" s="18">
        <f t="shared" si="237"/>
        <v>80823.064840000006</v>
      </c>
      <c r="Y1613" s="13">
        <f t="shared" si="238"/>
        <v>0</v>
      </c>
      <c r="Z1613" s="14">
        <v>0</v>
      </c>
      <c r="AA1613" s="4">
        <v>0</v>
      </c>
      <c r="AB1613" s="4">
        <f t="shared" si="239"/>
        <v>80823.064840000006</v>
      </c>
      <c r="AC1613" s="6">
        <f t="shared" si="240"/>
        <v>0</v>
      </c>
      <c r="AD1613" s="18">
        <f t="shared" si="243"/>
        <v>80823.064840000006</v>
      </c>
      <c r="AE1613" s="2">
        <v>0.04</v>
      </c>
      <c r="AF1613" s="5">
        <f t="shared" si="241"/>
        <v>3232.9225936000003</v>
      </c>
      <c r="AG1613" s="14">
        <v>0</v>
      </c>
      <c r="AH1613" s="19">
        <f t="shared" si="234"/>
        <v>80823.064840000006</v>
      </c>
      <c r="AJ1613" s="126" t="e">
        <v>#N/A</v>
      </c>
      <c r="AK1613" s="80">
        <f t="shared" si="242"/>
        <v>0</v>
      </c>
      <c r="AM1613" s="85"/>
    </row>
    <row r="1614" spans="1:39" hidden="1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35"/>
        <v>273973.39060000004</v>
      </c>
      <c r="X1614" s="18">
        <f t="shared" si="237"/>
        <v>387629.14939999999</v>
      </c>
      <c r="Y1614" s="13">
        <f t="shared" si="238"/>
        <v>0</v>
      </c>
      <c r="Z1614" s="14">
        <v>0</v>
      </c>
      <c r="AA1614" s="4">
        <v>0</v>
      </c>
      <c r="AB1614" s="4">
        <f t="shared" si="239"/>
        <v>387629.14939999999</v>
      </c>
      <c r="AC1614" s="6">
        <f t="shared" si="240"/>
        <v>0</v>
      </c>
      <c r="AD1614" s="18">
        <f t="shared" si="243"/>
        <v>387629.14939999999</v>
      </c>
      <c r="AE1614" s="2">
        <v>0.02</v>
      </c>
      <c r="AF1614" s="5">
        <f t="shared" si="241"/>
        <v>7752.5829880000001</v>
      </c>
      <c r="AG1614" s="14">
        <v>0</v>
      </c>
      <c r="AH1614" s="19">
        <f t="shared" si="234"/>
        <v>387629.14939999999</v>
      </c>
      <c r="AJ1614" s="126" t="e">
        <v>#N/A</v>
      </c>
      <c r="AK1614" s="80">
        <f t="shared" si="242"/>
        <v>0</v>
      </c>
      <c r="AM1614" s="85"/>
    </row>
    <row r="1615" spans="1:39" hidden="1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35"/>
        <v>-3446.1</v>
      </c>
      <c r="X1615" s="18">
        <f t="shared" si="237"/>
        <v>3446.1</v>
      </c>
      <c r="Y1615" s="13">
        <f t="shared" si="238"/>
        <v>1382.040297079302</v>
      </c>
      <c r="Z1615" s="14">
        <v>0</v>
      </c>
      <c r="AA1615" s="4">
        <v>0</v>
      </c>
      <c r="AB1615" s="4">
        <f t="shared" si="239"/>
        <v>3446.1</v>
      </c>
      <c r="AC1615" s="6">
        <f t="shared" si="240"/>
        <v>0</v>
      </c>
      <c r="AD1615" s="6">
        <f t="shared" ref="AD1615:AD1660" si="244">V1615*0.598955254612663</f>
        <v>2064.0597029206979</v>
      </c>
      <c r="AE1615" s="2">
        <v>7.0000000000000007E-2</v>
      </c>
      <c r="AF1615" s="5">
        <f t="shared" si="241"/>
        <v>144.48417920444888</v>
      </c>
      <c r="AG1615" s="14">
        <v>0</v>
      </c>
      <c r="AH1615" s="19">
        <f t="shared" si="234"/>
        <v>3446.1</v>
      </c>
      <c r="AJ1615" s="126" t="e">
        <v>#N/A</v>
      </c>
      <c r="AK1615" s="80">
        <f t="shared" si="242"/>
        <v>0</v>
      </c>
      <c r="AM1615" s="85"/>
    </row>
    <row r="1616" spans="1:39" hidden="1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35"/>
        <v>-1499.8109899999999</v>
      </c>
      <c r="X1616" s="18">
        <f t="shared" si="237"/>
        <v>1470.4029313725489</v>
      </c>
      <c r="Y1616" s="13">
        <f t="shared" si="238"/>
        <v>572.08325798622877</v>
      </c>
      <c r="Z1616" s="14">
        <v>0</v>
      </c>
      <c r="AA1616" s="4">
        <v>0</v>
      </c>
      <c r="AB1616" s="4">
        <f t="shared" si="239"/>
        <v>1470.4029313725489</v>
      </c>
      <c r="AC1616" s="6">
        <f t="shared" si="240"/>
        <v>29.408058627451055</v>
      </c>
      <c r="AD1616" s="6">
        <f t="shared" si="244"/>
        <v>898.31967338632012</v>
      </c>
      <c r="AE1616" s="2">
        <v>0.12</v>
      </c>
      <c r="AF1616" s="5">
        <f t="shared" si="241"/>
        <v>107.79836080635842</v>
      </c>
      <c r="AG1616" s="14">
        <v>0</v>
      </c>
      <c r="AH1616" s="19">
        <f t="shared" si="234"/>
        <v>1499.8109899999999</v>
      </c>
      <c r="AJ1616" s="126" t="e">
        <v>#N/A</v>
      </c>
      <c r="AK1616" s="80">
        <f t="shared" si="242"/>
        <v>0</v>
      </c>
      <c r="AM1616" s="85"/>
    </row>
    <row r="1617" spans="1:39" hidden="1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35"/>
        <v>3221.8799999999997</v>
      </c>
      <c r="X1617" s="18">
        <v>0</v>
      </c>
      <c r="Y1617" s="13">
        <f t="shared" si="238"/>
        <v>1429.082845713237</v>
      </c>
      <c r="Z1617" s="14">
        <v>0</v>
      </c>
      <c r="AA1617" s="4">
        <v>0</v>
      </c>
      <c r="AB1617" s="4">
        <f t="shared" si="239"/>
        <v>0</v>
      </c>
      <c r="AC1617" s="6">
        <f t="shared" si="24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4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42"/>
        <v>0</v>
      </c>
      <c r="AM1617" s="85"/>
    </row>
    <row r="1618" spans="1:39" hidden="1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35"/>
        <v>-470.1</v>
      </c>
      <c r="X1618" s="18">
        <f t="shared" ref="X1618:X1663" si="245">IF(P1618="折扣",V1618*Q1618,IF(P1618="返现",V1618,V1618/(1+Q1618)))</f>
        <v>470.1</v>
      </c>
      <c r="Y1618" s="13">
        <f t="shared" si="238"/>
        <v>188.53113480658715</v>
      </c>
      <c r="Z1618" s="14">
        <v>0</v>
      </c>
      <c r="AA1618" s="4">
        <v>0</v>
      </c>
      <c r="AB1618" s="4">
        <f t="shared" si="239"/>
        <v>470.1</v>
      </c>
      <c r="AC1618" s="6">
        <f t="shared" si="240"/>
        <v>0</v>
      </c>
      <c r="AD1618" s="6">
        <f t="shared" si="244"/>
        <v>281.56886519341288</v>
      </c>
      <c r="AE1618" s="2">
        <v>0.12</v>
      </c>
      <c r="AF1618" s="5">
        <f t="shared" si="241"/>
        <v>33.788263823209547</v>
      </c>
      <c r="AG1618" s="14">
        <v>0</v>
      </c>
      <c r="AH1618" s="19">
        <f t="shared" si="234"/>
        <v>470.1</v>
      </c>
      <c r="AJ1618" s="126" t="e">
        <v>#N/A</v>
      </c>
      <c r="AK1618" s="80">
        <f t="shared" si="242"/>
        <v>0</v>
      </c>
      <c r="AM1618" s="85"/>
    </row>
    <row r="1619" spans="1:39" hidden="1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35"/>
        <v>-8.6999999999999993</v>
      </c>
      <c r="X1619" s="18">
        <f t="shared" si="245"/>
        <v>8.6999999999999993</v>
      </c>
      <c r="Y1619" s="13">
        <f t="shared" si="238"/>
        <v>3.4890892848698316</v>
      </c>
      <c r="Z1619" s="14">
        <v>0</v>
      </c>
      <c r="AA1619" s="4">
        <v>0</v>
      </c>
      <c r="AB1619" s="4">
        <f t="shared" si="239"/>
        <v>8.6999999999999993</v>
      </c>
      <c r="AC1619" s="6">
        <f t="shared" si="240"/>
        <v>0</v>
      </c>
      <c r="AD1619" s="6">
        <f t="shared" si="244"/>
        <v>5.2109107151301677</v>
      </c>
      <c r="AE1619" s="2">
        <v>0.12</v>
      </c>
      <c r="AF1619" s="5">
        <f t="shared" si="241"/>
        <v>0.62530928581562006</v>
      </c>
      <c r="AG1619" s="14">
        <v>0</v>
      </c>
      <c r="AH1619" s="19">
        <f t="shared" si="234"/>
        <v>8.6999999999999993</v>
      </c>
      <c r="AJ1619" s="126" t="e">
        <v>#N/A</v>
      </c>
      <c r="AK1619" s="80">
        <f t="shared" si="242"/>
        <v>0</v>
      </c>
      <c r="AM1619" s="85"/>
    </row>
    <row r="1620" spans="1:39" hidden="1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35"/>
        <v>-908.48</v>
      </c>
      <c r="X1620" s="18">
        <f t="shared" si="245"/>
        <v>908.48</v>
      </c>
      <c r="Y1620" s="13">
        <f t="shared" si="238"/>
        <v>364.34113028948798</v>
      </c>
      <c r="Z1620" s="14">
        <v>0</v>
      </c>
      <c r="AA1620" s="4">
        <v>0</v>
      </c>
      <c r="AB1620" s="4">
        <f t="shared" si="239"/>
        <v>908.48</v>
      </c>
      <c r="AC1620" s="6">
        <f t="shared" si="240"/>
        <v>0</v>
      </c>
      <c r="AD1620" s="6">
        <f t="shared" si="244"/>
        <v>544.13886971051204</v>
      </c>
      <c r="AE1620" s="2">
        <v>0.12</v>
      </c>
      <c r="AF1620" s="5">
        <f t="shared" si="241"/>
        <v>65.296664365261449</v>
      </c>
      <c r="AG1620" s="14">
        <v>0</v>
      </c>
      <c r="AH1620" s="19">
        <f t="shared" si="234"/>
        <v>908.48</v>
      </c>
      <c r="AJ1620" s="126" t="e">
        <v>#N/A</v>
      </c>
      <c r="AK1620" s="80">
        <f t="shared" si="242"/>
        <v>0</v>
      </c>
      <c r="AM1620" s="85"/>
    </row>
    <row r="1621" spans="1:39" hidden="1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35"/>
        <v>-131.84</v>
      </c>
      <c r="X1621" s="18">
        <f t="shared" si="245"/>
        <v>131.84</v>
      </c>
      <c r="Y1621" s="13">
        <f t="shared" si="238"/>
        <v>52.873739231866509</v>
      </c>
      <c r="Z1621" s="14">
        <v>0</v>
      </c>
      <c r="AA1621" s="4">
        <v>0</v>
      </c>
      <c r="AB1621" s="4">
        <f t="shared" si="239"/>
        <v>131.84</v>
      </c>
      <c r="AC1621" s="6">
        <f t="shared" si="240"/>
        <v>0</v>
      </c>
      <c r="AD1621" s="6">
        <f t="shared" si="244"/>
        <v>78.966260768133495</v>
      </c>
      <c r="AE1621" s="2">
        <v>0.12</v>
      </c>
      <c r="AF1621" s="5">
        <f t="shared" si="241"/>
        <v>9.4759512921760187</v>
      </c>
      <c r="AG1621" s="14">
        <v>0</v>
      </c>
      <c r="AH1621" s="19">
        <f t="shared" ref="AH1621:AH1660" si="246">V1621</f>
        <v>131.84</v>
      </c>
      <c r="AJ1621" s="126" t="e">
        <v>#N/A</v>
      </c>
      <c r="AK1621" s="80">
        <f t="shared" si="242"/>
        <v>0</v>
      </c>
      <c r="AM1621" s="85"/>
    </row>
    <row r="1622" spans="1:39" hidden="1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35"/>
        <v>-41713.200969999998</v>
      </c>
      <c r="X1622" s="18">
        <f t="shared" si="245"/>
        <v>41713.200969999998</v>
      </c>
      <c r="Y1622" s="13">
        <f t="shared" si="238"/>
        <v>16728.860062304469</v>
      </c>
      <c r="Z1622" s="14">
        <v>0</v>
      </c>
      <c r="AA1622" s="4">
        <v>0</v>
      </c>
      <c r="AB1622" s="4">
        <f t="shared" si="239"/>
        <v>41713.200969999998</v>
      </c>
      <c r="AC1622" s="6">
        <f t="shared" si="240"/>
        <v>0</v>
      </c>
      <c r="AD1622" s="6">
        <f t="shared" si="244"/>
        <v>24984.340907695529</v>
      </c>
      <c r="AE1622" s="2">
        <v>0.12</v>
      </c>
      <c r="AF1622" s="5">
        <f t="shared" si="241"/>
        <v>2998.1209089234635</v>
      </c>
      <c r="AG1622" s="14">
        <v>0</v>
      </c>
      <c r="AH1622" s="19">
        <f t="shared" si="246"/>
        <v>41713.200969999998</v>
      </c>
      <c r="AJ1622" s="126" t="e">
        <v>#N/A</v>
      </c>
      <c r="AK1622" s="80">
        <f t="shared" si="242"/>
        <v>0</v>
      </c>
      <c r="AM1622" s="85"/>
    </row>
    <row r="1623" spans="1:39" hidden="1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35"/>
        <v>-922823.59655000002</v>
      </c>
      <c r="X1623" s="18">
        <f t="shared" si="245"/>
        <v>922823.59655000002</v>
      </c>
      <c r="Y1623" s="13">
        <f t="shared" si="238"/>
        <v>370093.55431582138</v>
      </c>
      <c r="Z1623" s="14">
        <v>0</v>
      </c>
      <c r="AA1623" s="4">
        <v>0</v>
      </c>
      <c r="AB1623" s="4">
        <f t="shared" si="239"/>
        <v>922823.59655000002</v>
      </c>
      <c r="AC1623" s="6">
        <f t="shared" si="240"/>
        <v>0</v>
      </c>
      <c r="AD1623" s="6">
        <f t="shared" si="244"/>
        <v>552730.04223417863</v>
      </c>
      <c r="AE1623" s="2">
        <v>0.15</v>
      </c>
      <c r="AF1623" s="5">
        <f t="shared" si="241"/>
        <v>82909.506335126789</v>
      </c>
      <c r="AG1623" s="14">
        <v>0</v>
      </c>
      <c r="AH1623" s="19">
        <f t="shared" si="246"/>
        <v>922823.59655000002</v>
      </c>
      <c r="AJ1623" s="126" t="e">
        <v>#N/A</v>
      </c>
      <c r="AK1623" s="80">
        <f t="shared" si="242"/>
        <v>0</v>
      </c>
      <c r="AM1623" s="85"/>
    </row>
    <row r="1624" spans="1:39" hidden="1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47">T1624+U1624-V1624</f>
        <v>-21523.374510000001</v>
      </c>
      <c r="X1624" s="18">
        <f t="shared" si="245"/>
        <v>21523.374510000001</v>
      </c>
      <c r="Y1624" s="13">
        <f t="shared" si="238"/>
        <v>8631.8362502392501</v>
      </c>
      <c r="Z1624" s="14">
        <v>0</v>
      </c>
      <c r="AA1624" s="4">
        <v>0</v>
      </c>
      <c r="AB1624" s="4">
        <f t="shared" si="239"/>
        <v>21523.374510000001</v>
      </c>
      <c r="AC1624" s="6">
        <f t="shared" si="240"/>
        <v>0</v>
      </c>
      <c r="AD1624" s="6">
        <f t="shared" si="244"/>
        <v>12891.538259760751</v>
      </c>
      <c r="AE1624" s="2">
        <v>0.12</v>
      </c>
      <c r="AF1624" s="5">
        <f t="shared" si="241"/>
        <v>1546.98459117129</v>
      </c>
      <c r="AG1624" s="14">
        <v>0</v>
      </c>
      <c r="AH1624" s="19">
        <f t="shared" si="246"/>
        <v>21523.374510000001</v>
      </c>
      <c r="AJ1624" s="126" t="e">
        <v>#N/A</v>
      </c>
      <c r="AK1624" s="80">
        <f t="shared" si="242"/>
        <v>0</v>
      </c>
      <c r="AM1624" s="85"/>
    </row>
    <row r="1625" spans="1:39" hidden="1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47"/>
        <v>-1075165.5781</v>
      </c>
      <c r="X1625" s="18">
        <f t="shared" si="245"/>
        <v>1075165.5781</v>
      </c>
      <c r="Y1625" s="13">
        <f t="shared" si="238"/>
        <v>431189.50551834353</v>
      </c>
      <c r="Z1625" s="14">
        <v>0</v>
      </c>
      <c r="AA1625" s="4">
        <v>0</v>
      </c>
      <c r="AB1625" s="4">
        <f t="shared" si="239"/>
        <v>1075165.5781</v>
      </c>
      <c r="AC1625" s="6">
        <f t="shared" si="240"/>
        <v>0</v>
      </c>
      <c r="AD1625" s="6">
        <f t="shared" si="244"/>
        <v>643976.07258165651</v>
      </c>
      <c r="AE1625" s="2">
        <v>0.15</v>
      </c>
      <c r="AF1625" s="5">
        <f t="shared" si="241"/>
        <v>96596.410887248479</v>
      </c>
      <c r="AG1625" s="14">
        <v>0</v>
      </c>
      <c r="AH1625" s="19">
        <f t="shared" si="246"/>
        <v>1075165.5781</v>
      </c>
      <c r="AJ1625" s="126" t="e">
        <v>#N/A</v>
      </c>
      <c r="AK1625" s="80">
        <f t="shared" si="242"/>
        <v>0</v>
      </c>
      <c r="AM1625" s="85"/>
    </row>
    <row r="1626" spans="1:39" hidden="1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47"/>
        <v>-1287939.2694099999</v>
      </c>
      <c r="X1626" s="18">
        <f t="shared" si="245"/>
        <v>1287939.2694099999</v>
      </c>
      <c r="Y1626" s="13">
        <f t="shared" si="238"/>
        <v>516521.27637488628</v>
      </c>
      <c r="Z1626" s="14">
        <v>0</v>
      </c>
      <c r="AA1626" s="4">
        <v>0</v>
      </c>
      <c r="AB1626" s="4">
        <f t="shared" si="239"/>
        <v>1287939.2694099999</v>
      </c>
      <c r="AC1626" s="6">
        <f t="shared" si="240"/>
        <v>0</v>
      </c>
      <c r="AD1626" s="6">
        <f t="shared" si="244"/>
        <v>771417.99303511367</v>
      </c>
      <c r="AE1626" s="2">
        <v>0.15</v>
      </c>
      <c r="AF1626" s="5">
        <f t="shared" si="241"/>
        <v>115712.69895526704</v>
      </c>
      <c r="AG1626" s="14">
        <v>0</v>
      </c>
      <c r="AH1626" s="19">
        <f t="shared" si="246"/>
        <v>1287939.2694099999</v>
      </c>
      <c r="AJ1626" s="126" t="e">
        <v>#N/A</v>
      </c>
      <c r="AK1626" s="80">
        <f t="shared" si="242"/>
        <v>0</v>
      </c>
      <c r="AM1626" s="85"/>
    </row>
    <row r="1627" spans="1:39" hidden="1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47"/>
        <v>-617.4</v>
      </c>
      <c r="X1627" s="18">
        <f t="shared" si="245"/>
        <v>617.4</v>
      </c>
      <c r="Y1627" s="13">
        <f t="shared" si="238"/>
        <v>247.60502580214188</v>
      </c>
      <c r="Z1627" s="14">
        <v>0</v>
      </c>
      <c r="AA1627" s="4">
        <v>0</v>
      </c>
      <c r="AB1627" s="4">
        <f t="shared" si="239"/>
        <v>617.4</v>
      </c>
      <c r="AC1627" s="6">
        <f t="shared" si="240"/>
        <v>0</v>
      </c>
      <c r="AD1627" s="6">
        <f t="shared" si="244"/>
        <v>369.7949741978581</v>
      </c>
      <c r="AE1627" s="2">
        <v>0.15</v>
      </c>
      <c r="AF1627" s="5">
        <f t="shared" si="241"/>
        <v>55.469246129678716</v>
      </c>
      <c r="AG1627" s="14">
        <v>0</v>
      </c>
      <c r="AH1627" s="19">
        <f t="shared" si="246"/>
        <v>617.4</v>
      </c>
      <c r="AJ1627" s="126" t="e">
        <v>#N/A</v>
      </c>
      <c r="AK1627" s="80">
        <f t="shared" si="242"/>
        <v>0</v>
      </c>
      <c r="AM1627" s="85"/>
    </row>
    <row r="1628" spans="1:39" hidden="1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47"/>
        <v>-291374.64530999999</v>
      </c>
      <c r="X1628" s="18">
        <f t="shared" si="245"/>
        <v>291374.64530999999</v>
      </c>
      <c r="Y1628" s="13">
        <f t="shared" si="238"/>
        <v>116854.27044067459</v>
      </c>
      <c r="Z1628" s="14">
        <v>0</v>
      </c>
      <c r="AA1628" s="4">
        <v>0</v>
      </c>
      <c r="AB1628" s="4">
        <f t="shared" si="239"/>
        <v>291374.64530999999</v>
      </c>
      <c r="AC1628" s="6">
        <f t="shared" si="240"/>
        <v>0</v>
      </c>
      <c r="AD1628" s="6">
        <f t="shared" si="244"/>
        <v>174520.3748693254</v>
      </c>
      <c r="AE1628" s="2">
        <v>0.15</v>
      </c>
      <c r="AF1628" s="5">
        <f t="shared" si="241"/>
        <v>26178.056230398808</v>
      </c>
      <c r="AG1628" s="14">
        <v>0</v>
      </c>
      <c r="AH1628" s="19">
        <f t="shared" si="246"/>
        <v>291374.64530999999</v>
      </c>
      <c r="AJ1628" s="126" t="e">
        <v>#N/A</v>
      </c>
      <c r="AK1628" s="80">
        <f t="shared" si="242"/>
        <v>0</v>
      </c>
      <c r="AM1628" s="85"/>
    </row>
    <row r="1629" spans="1:39" hidden="1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47"/>
        <v>-227443.98456000001</v>
      </c>
      <c r="X1629" s="18">
        <f t="shared" si="245"/>
        <v>227443.98456000001</v>
      </c>
      <c r="Y1629" s="13">
        <f t="shared" si="238"/>
        <v>91215.214877746621</v>
      </c>
      <c r="Z1629" s="14">
        <v>0</v>
      </c>
      <c r="AA1629" s="4">
        <v>0</v>
      </c>
      <c r="AB1629" s="4">
        <f t="shared" si="239"/>
        <v>227443.98456000001</v>
      </c>
      <c r="AC1629" s="6">
        <f t="shared" si="240"/>
        <v>0</v>
      </c>
      <c r="AD1629" s="6">
        <f t="shared" si="244"/>
        <v>136228.76968225339</v>
      </c>
      <c r="AE1629" s="2">
        <v>0.15</v>
      </c>
      <c r="AF1629" s="5">
        <f t="shared" si="241"/>
        <v>20434.315452338007</v>
      </c>
      <c r="AG1629" s="14">
        <v>0</v>
      </c>
      <c r="AH1629" s="19">
        <f t="shared" si="246"/>
        <v>227443.98456000001</v>
      </c>
      <c r="AJ1629" s="126" t="e">
        <v>#N/A</v>
      </c>
      <c r="AK1629" s="80">
        <f t="shared" si="242"/>
        <v>0</v>
      </c>
      <c r="AM1629" s="85"/>
    </row>
    <row r="1630" spans="1:39" hidden="1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47"/>
        <v>-90285.226039999994</v>
      </c>
      <c r="X1630" s="18">
        <f t="shared" si="245"/>
        <v>90285.226039999994</v>
      </c>
      <c r="Y1630" s="13">
        <f t="shared" si="238"/>
        <v>36208.415489449966</v>
      </c>
      <c r="Z1630" s="14">
        <v>0</v>
      </c>
      <c r="AA1630" s="4">
        <v>0</v>
      </c>
      <c r="AB1630" s="4">
        <f t="shared" si="239"/>
        <v>90285.226039999994</v>
      </c>
      <c r="AC1630" s="6">
        <f t="shared" si="240"/>
        <v>0</v>
      </c>
      <c r="AD1630" s="6">
        <f t="shared" si="244"/>
        <v>54076.810550550028</v>
      </c>
      <c r="AE1630" s="2">
        <v>0.15</v>
      </c>
      <c r="AF1630" s="5">
        <f t="shared" si="241"/>
        <v>8111.5215825825035</v>
      </c>
      <c r="AG1630" s="14">
        <v>0</v>
      </c>
      <c r="AH1630" s="19">
        <f t="shared" si="246"/>
        <v>90285.226039999994</v>
      </c>
      <c r="AJ1630" s="126" t="e">
        <v>#N/A</v>
      </c>
      <c r="AK1630" s="80">
        <f t="shared" si="242"/>
        <v>0</v>
      </c>
      <c r="AM1630" s="85"/>
    </row>
    <row r="1631" spans="1:39" hidden="1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47"/>
        <v>-54773.55</v>
      </c>
      <c r="X1631" s="18">
        <f t="shared" si="245"/>
        <v>54773.55</v>
      </c>
      <c r="Y1631" s="13">
        <f t="shared" si="238"/>
        <v>21966.644413710572</v>
      </c>
      <c r="Z1631" s="14">
        <v>0</v>
      </c>
      <c r="AA1631" s="4">
        <v>0</v>
      </c>
      <c r="AB1631" s="4">
        <f t="shared" si="239"/>
        <v>54773.55</v>
      </c>
      <c r="AC1631" s="6">
        <f t="shared" si="240"/>
        <v>0</v>
      </c>
      <c r="AD1631" s="6">
        <f t="shared" si="244"/>
        <v>32806.905586289431</v>
      </c>
      <c r="AE1631" s="2">
        <v>0.15</v>
      </c>
      <c r="AF1631" s="5">
        <f t="shared" si="241"/>
        <v>4921.0358379434147</v>
      </c>
      <c r="AG1631" s="14">
        <v>0</v>
      </c>
      <c r="AH1631" s="19">
        <f t="shared" si="246"/>
        <v>54773.55</v>
      </c>
      <c r="AJ1631" s="126" t="e">
        <v>#N/A</v>
      </c>
      <c r="AK1631" s="80">
        <f t="shared" si="242"/>
        <v>0</v>
      </c>
      <c r="AM1631" s="85"/>
    </row>
    <row r="1632" spans="1:39" hidden="1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47"/>
        <v>-231510.64825999999</v>
      </c>
      <c r="X1632" s="18">
        <f t="shared" si="245"/>
        <v>231510.64825999999</v>
      </c>
      <c r="Y1632" s="13">
        <f t="shared" si="238"/>
        <v>92846.128985889023</v>
      </c>
      <c r="Z1632" s="14">
        <v>0</v>
      </c>
      <c r="AA1632" s="4">
        <v>0</v>
      </c>
      <c r="AB1632" s="4">
        <f t="shared" si="239"/>
        <v>231510.64825999999</v>
      </c>
      <c r="AC1632" s="6">
        <f t="shared" si="240"/>
        <v>0</v>
      </c>
      <c r="AD1632" s="6">
        <f t="shared" si="244"/>
        <v>138664.51927411096</v>
      </c>
      <c r="AE1632" s="2">
        <v>0.15</v>
      </c>
      <c r="AF1632" s="5">
        <f t="shared" si="241"/>
        <v>20799.677891116644</v>
      </c>
      <c r="AG1632" s="14">
        <v>0</v>
      </c>
      <c r="AH1632" s="19">
        <f t="shared" si="246"/>
        <v>231510.64825999999</v>
      </c>
      <c r="AJ1632" s="126" t="e">
        <v>#N/A</v>
      </c>
      <c r="AK1632" s="80">
        <f t="shared" si="242"/>
        <v>0</v>
      </c>
      <c r="AM1632" s="85"/>
    </row>
    <row r="1633" spans="1:39" hidden="1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47"/>
        <v>-2.2400000000000002</v>
      </c>
      <c r="X1633" s="18">
        <f t="shared" si="245"/>
        <v>2.2400000000000002</v>
      </c>
      <c r="Y1633" s="13">
        <f t="shared" si="238"/>
        <v>0.89834022966763505</v>
      </c>
      <c r="Z1633" s="14">
        <v>0</v>
      </c>
      <c r="AA1633" s="4">
        <v>0</v>
      </c>
      <c r="AB1633" s="4">
        <f t="shared" si="239"/>
        <v>2.2400000000000002</v>
      </c>
      <c r="AC1633" s="6">
        <f t="shared" si="240"/>
        <v>0</v>
      </c>
      <c r="AD1633" s="6">
        <f t="shared" si="244"/>
        <v>1.3416597703323652</v>
      </c>
      <c r="AE1633" s="2">
        <v>0.15</v>
      </c>
      <c r="AF1633" s="5">
        <f t="shared" si="241"/>
        <v>0.20124896554985477</v>
      </c>
      <c r="AG1633" s="14">
        <v>0</v>
      </c>
      <c r="AH1633" s="19">
        <f t="shared" si="246"/>
        <v>2.2400000000000002</v>
      </c>
      <c r="AJ1633" s="126" t="e">
        <v>#N/A</v>
      </c>
      <c r="AK1633" s="80">
        <f t="shared" si="242"/>
        <v>0</v>
      </c>
      <c r="AM1633" s="85"/>
    </row>
    <row r="1634" spans="1:39" hidden="1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47"/>
        <v>-98.01764</v>
      </c>
      <c r="X1634" s="18">
        <f t="shared" si="245"/>
        <v>98.01764</v>
      </c>
      <c r="Y1634" s="13">
        <f t="shared" si="238"/>
        <v>39.309459477267659</v>
      </c>
      <c r="Z1634" s="14">
        <v>0</v>
      </c>
      <c r="AA1634" s="4">
        <v>0</v>
      </c>
      <c r="AB1634" s="4">
        <f t="shared" si="239"/>
        <v>98.01764</v>
      </c>
      <c r="AC1634" s="6">
        <f t="shared" si="240"/>
        <v>0</v>
      </c>
      <c r="AD1634" s="6">
        <f t="shared" si="244"/>
        <v>58.708180522732341</v>
      </c>
      <c r="AE1634" s="2">
        <v>0.15</v>
      </c>
      <c r="AF1634" s="5">
        <f t="shared" si="241"/>
        <v>8.8062270784098509</v>
      </c>
      <c r="AG1634" s="14">
        <v>0</v>
      </c>
      <c r="AH1634" s="19">
        <f t="shared" si="246"/>
        <v>98.01764</v>
      </c>
      <c r="AJ1634" s="126" t="e">
        <v>#N/A</v>
      </c>
      <c r="AK1634" s="80">
        <f t="shared" si="242"/>
        <v>0</v>
      </c>
      <c r="AM1634" s="85"/>
    </row>
    <row r="1635" spans="1:39" hidden="1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47"/>
        <v>-129044.41085</v>
      </c>
      <c r="X1635" s="18">
        <f t="shared" si="245"/>
        <v>129044.41085</v>
      </c>
      <c r="Y1635" s="13">
        <f t="shared" si="238"/>
        <v>51752.582892997161</v>
      </c>
      <c r="Z1635" s="14">
        <v>0</v>
      </c>
      <c r="AA1635" s="4">
        <v>0</v>
      </c>
      <c r="AB1635" s="4">
        <f t="shared" si="239"/>
        <v>129044.41085</v>
      </c>
      <c r="AC1635" s="6">
        <f t="shared" si="240"/>
        <v>0</v>
      </c>
      <c r="AD1635" s="6">
        <f t="shared" si="244"/>
        <v>77291.827957002839</v>
      </c>
      <c r="AE1635" s="2">
        <v>0.15</v>
      </c>
      <c r="AF1635" s="5">
        <f t="shared" si="241"/>
        <v>11593.774193550425</v>
      </c>
      <c r="AG1635" s="14">
        <v>0</v>
      </c>
      <c r="AH1635" s="19">
        <f t="shared" si="246"/>
        <v>129044.41085</v>
      </c>
      <c r="AJ1635" s="126" t="e">
        <v>#N/A</v>
      </c>
      <c r="AK1635" s="80">
        <f t="shared" si="242"/>
        <v>0</v>
      </c>
      <c r="AM1635" s="85"/>
    </row>
    <row r="1636" spans="1:39" hidden="1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47"/>
        <v>-2436.9295099999999</v>
      </c>
      <c r="X1636" s="18">
        <f t="shared" si="245"/>
        <v>2436.9295099999999</v>
      </c>
      <c r="Y1636" s="13">
        <f t="shared" si="238"/>
        <v>977.31777486483793</v>
      </c>
      <c r="Z1636" s="14">
        <v>0</v>
      </c>
      <c r="AA1636" s="4">
        <v>0</v>
      </c>
      <c r="AB1636" s="4">
        <f t="shared" si="239"/>
        <v>2436.9295099999999</v>
      </c>
      <c r="AC1636" s="6">
        <f t="shared" si="240"/>
        <v>0</v>
      </c>
      <c r="AD1636" s="6">
        <f t="shared" si="244"/>
        <v>1459.611735135162</v>
      </c>
      <c r="AE1636" s="2">
        <v>0.15</v>
      </c>
      <c r="AF1636" s="5">
        <f t="shared" si="241"/>
        <v>218.9417602702743</v>
      </c>
      <c r="AG1636" s="14">
        <v>0</v>
      </c>
      <c r="AH1636" s="19">
        <f t="shared" si="246"/>
        <v>2436.9295099999999</v>
      </c>
      <c r="AJ1636" s="126" t="e">
        <v>#N/A</v>
      </c>
      <c r="AK1636" s="80">
        <f t="shared" si="242"/>
        <v>0</v>
      </c>
      <c r="AM1636" s="85"/>
    </row>
    <row r="1637" spans="1:39" hidden="1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47"/>
        <v>-657544.01878000004</v>
      </c>
      <c r="X1637" s="18">
        <f t="shared" si="245"/>
        <v>644650.99880392163</v>
      </c>
      <c r="Y1637" s="13">
        <f t="shared" si="238"/>
        <v>250811.55361651303</v>
      </c>
      <c r="Z1637" s="14">
        <v>0</v>
      </c>
      <c r="AA1637" s="4">
        <v>0</v>
      </c>
      <c r="AB1637" s="4">
        <f t="shared" si="239"/>
        <v>644650.99880392163</v>
      </c>
      <c r="AC1637" s="6">
        <f t="shared" si="240"/>
        <v>12893.019976078416</v>
      </c>
      <c r="AD1637" s="6">
        <f t="shared" si="244"/>
        <v>393839.44518740859</v>
      </c>
      <c r="AE1637" s="2">
        <v>0.15</v>
      </c>
      <c r="AF1637" s="5">
        <f t="shared" si="241"/>
        <v>59075.916778111285</v>
      </c>
      <c r="AG1637" s="14">
        <v>0</v>
      </c>
      <c r="AH1637" s="19">
        <f t="shared" si="246"/>
        <v>657544.01878000004</v>
      </c>
      <c r="AJ1637" s="126" t="e">
        <v>#N/A</v>
      </c>
      <c r="AK1637" s="80">
        <f t="shared" si="242"/>
        <v>0</v>
      </c>
      <c r="AM1637" s="85"/>
    </row>
    <row r="1638" spans="1:39" hidden="1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47"/>
        <v>-60610.9</v>
      </c>
      <c r="X1638" s="18">
        <f t="shared" si="245"/>
        <v>60610.9</v>
      </c>
      <c r="Y1638" s="13">
        <f t="shared" si="238"/>
        <v>24307.682958197343</v>
      </c>
      <c r="Z1638" s="14">
        <v>0</v>
      </c>
      <c r="AA1638" s="4">
        <v>0</v>
      </c>
      <c r="AB1638" s="4">
        <f t="shared" si="239"/>
        <v>60610.9</v>
      </c>
      <c r="AC1638" s="6">
        <f t="shared" si="240"/>
        <v>0</v>
      </c>
      <c r="AD1638" s="6">
        <f t="shared" si="244"/>
        <v>36303.217041802658</v>
      </c>
      <c r="AE1638" s="2">
        <v>0.15</v>
      </c>
      <c r="AF1638" s="5">
        <f t="shared" si="241"/>
        <v>5445.4825562703982</v>
      </c>
      <c r="AG1638" s="14">
        <v>0</v>
      </c>
      <c r="AH1638" s="19">
        <f t="shared" si="246"/>
        <v>60610.9</v>
      </c>
      <c r="AJ1638" s="126" t="e">
        <v>#N/A</v>
      </c>
      <c r="AK1638" s="80">
        <f t="shared" si="242"/>
        <v>0</v>
      </c>
      <c r="AM1638" s="85"/>
    </row>
    <row r="1639" spans="1:39" hidden="1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47"/>
        <v>-1116.8140800000001</v>
      </c>
      <c r="X1639" s="18">
        <f t="shared" si="245"/>
        <v>1116.8140800000001</v>
      </c>
      <c r="Y1639" s="13">
        <f t="shared" si="238"/>
        <v>447.89241835859309</v>
      </c>
      <c r="Z1639" s="14">
        <v>0</v>
      </c>
      <c r="AA1639" s="4">
        <v>0</v>
      </c>
      <c r="AB1639" s="4">
        <f t="shared" si="239"/>
        <v>1116.8140800000001</v>
      </c>
      <c r="AC1639" s="6">
        <f t="shared" si="240"/>
        <v>0</v>
      </c>
      <c r="AD1639" s="6">
        <f t="shared" si="244"/>
        <v>668.92166164140701</v>
      </c>
      <c r="AE1639" s="2">
        <v>0.15</v>
      </c>
      <c r="AF1639" s="5">
        <f t="shared" si="241"/>
        <v>100.33824924621105</v>
      </c>
      <c r="AG1639" s="14">
        <v>0</v>
      </c>
      <c r="AH1639" s="19">
        <f t="shared" si="246"/>
        <v>1116.8140800000001</v>
      </c>
      <c r="AJ1639" s="126" t="e">
        <v>#N/A</v>
      </c>
      <c r="AK1639" s="80">
        <f t="shared" si="242"/>
        <v>0</v>
      </c>
      <c r="AM1639" s="85"/>
    </row>
    <row r="1640" spans="1:39" hidden="1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47"/>
        <v>-1740.0517600000001</v>
      </c>
      <c r="X1640" s="18">
        <f t="shared" si="245"/>
        <v>1740.0517600000001</v>
      </c>
      <c r="Y1640" s="13">
        <f t="shared" si="238"/>
        <v>697.83861504998777</v>
      </c>
      <c r="Z1640" s="14">
        <v>0</v>
      </c>
      <c r="AA1640" s="4">
        <v>0</v>
      </c>
      <c r="AB1640" s="4">
        <f t="shared" si="239"/>
        <v>1740.0517600000001</v>
      </c>
      <c r="AC1640" s="6">
        <f t="shared" si="240"/>
        <v>0</v>
      </c>
      <c r="AD1640" s="6">
        <f t="shared" si="244"/>
        <v>1042.2131449500123</v>
      </c>
      <c r="AE1640" s="2">
        <v>0.15</v>
      </c>
      <c r="AF1640" s="5">
        <f t="shared" si="241"/>
        <v>156.33197174250185</v>
      </c>
      <c r="AG1640" s="14">
        <v>0</v>
      </c>
      <c r="AH1640" s="19">
        <f t="shared" si="246"/>
        <v>1740.0517600000001</v>
      </c>
      <c r="AJ1640" s="126" t="e">
        <v>#N/A</v>
      </c>
      <c r="AK1640" s="80">
        <f t="shared" si="242"/>
        <v>0</v>
      </c>
      <c r="AM1640" s="85"/>
    </row>
    <row r="1641" spans="1:39" hidden="1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47"/>
        <v>-195444.62</v>
      </c>
      <c r="X1641" s="18">
        <f t="shared" si="245"/>
        <v>195444.62</v>
      </c>
      <c r="Y1641" s="13">
        <f t="shared" si="238"/>
        <v>78382.037865224833</v>
      </c>
      <c r="Z1641" s="14">
        <v>0</v>
      </c>
      <c r="AA1641" s="4">
        <v>0</v>
      </c>
      <c r="AB1641" s="4">
        <f t="shared" si="239"/>
        <v>195444.62</v>
      </c>
      <c r="AC1641" s="6">
        <f t="shared" si="240"/>
        <v>0</v>
      </c>
      <c r="AD1641" s="6">
        <f t="shared" si="244"/>
        <v>117062.58213477516</v>
      </c>
      <c r="AE1641" s="2">
        <v>0.15</v>
      </c>
      <c r="AF1641" s="5">
        <f t="shared" si="241"/>
        <v>17559.387320216272</v>
      </c>
      <c r="AG1641" s="14">
        <v>0</v>
      </c>
      <c r="AH1641" s="19">
        <f t="shared" si="246"/>
        <v>195444.62</v>
      </c>
      <c r="AJ1641" s="126" t="e">
        <v>#N/A</v>
      </c>
      <c r="AK1641" s="80">
        <f t="shared" si="242"/>
        <v>0</v>
      </c>
      <c r="AM1641" s="85"/>
    </row>
    <row r="1642" spans="1:39" hidden="1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47"/>
        <v>-6838.6828599999999</v>
      </c>
      <c r="X1642" s="18">
        <f t="shared" si="245"/>
        <v>6838.6828599999999</v>
      </c>
      <c r="Y1642" s="13">
        <f t="shared" si="238"/>
        <v>2742.6178263734455</v>
      </c>
      <c r="Z1642" s="14">
        <v>0</v>
      </c>
      <c r="AA1642" s="4">
        <v>0</v>
      </c>
      <c r="AB1642" s="4">
        <f t="shared" si="239"/>
        <v>6838.6828599999999</v>
      </c>
      <c r="AC1642" s="6">
        <f t="shared" si="240"/>
        <v>0</v>
      </c>
      <c r="AD1642" s="6">
        <f t="shared" si="244"/>
        <v>4096.0650336265544</v>
      </c>
      <c r="AE1642" s="2">
        <v>0.15</v>
      </c>
      <c r="AF1642" s="5">
        <f t="shared" si="241"/>
        <v>614.40975504398318</v>
      </c>
      <c r="AG1642" s="14">
        <v>0</v>
      </c>
      <c r="AH1642" s="19">
        <f t="shared" si="246"/>
        <v>6838.6828599999999</v>
      </c>
      <c r="AJ1642" s="126" t="e">
        <v>#N/A</v>
      </c>
      <c r="AK1642" s="80">
        <f t="shared" si="242"/>
        <v>0</v>
      </c>
      <c r="AM1642" s="85"/>
    </row>
    <row r="1643" spans="1:39" hidden="1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47"/>
        <v>-1470875.36</v>
      </c>
      <c r="X1643" s="18">
        <f t="shared" si="245"/>
        <v>1470875.36</v>
      </c>
      <c r="Y1643" s="13">
        <f t="shared" si="238"/>
        <v>589886.83424770774</v>
      </c>
      <c r="Z1643" s="14">
        <v>0</v>
      </c>
      <c r="AA1643" s="4">
        <v>0</v>
      </c>
      <c r="AB1643" s="4">
        <f t="shared" si="239"/>
        <v>1470875.36</v>
      </c>
      <c r="AC1643" s="6">
        <f t="shared" si="240"/>
        <v>0</v>
      </c>
      <c r="AD1643" s="6">
        <f t="shared" si="244"/>
        <v>880988.52575229236</v>
      </c>
      <c r="AE1643" s="2">
        <v>0.15</v>
      </c>
      <c r="AF1643" s="5">
        <f t="shared" si="241"/>
        <v>132148.27886284384</v>
      </c>
      <c r="AG1643" s="14">
        <v>0</v>
      </c>
      <c r="AH1643" s="19">
        <f t="shared" si="246"/>
        <v>1470875.36</v>
      </c>
      <c r="AJ1643" s="126" t="e">
        <v>#N/A</v>
      </c>
      <c r="AK1643" s="80">
        <f t="shared" si="242"/>
        <v>0</v>
      </c>
      <c r="AM1643" s="85"/>
    </row>
    <row r="1644" spans="1:39" hidden="1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47"/>
        <v>-1126.08</v>
      </c>
      <c r="X1644" s="18">
        <f t="shared" si="245"/>
        <v>1126.08</v>
      </c>
      <c r="Y1644" s="13">
        <f t="shared" si="238"/>
        <v>451.60846688577249</v>
      </c>
      <c r="Z1644" s="14">
        <v>0</v>
      </c>
      <c r="AA1644" s="4">
        <v>0</v>
      </c>
      <c r="AB1644" s="4">
        <f t="shared" si="239"/>
        <v>1126.08</v>
      </c>
      <c r="AC1644" s="6">
        <f t="shared" si="240"/>
        <v>0</v>
      </c>
      <c r="AD1644" s="6">
        <f t="shared" si="244"/>
        <v>674.47153311422744</v>
      </c>
      <c r="AE1644" s="2">
        <v>0.15</v>
      </c>
      <c r="AF1644" s="5">
        <f t="shared" si="241"/>
        <v>101.17072996713411</v>
      </c>
      <c r="AG1644" s="14">
        <v>0</v>
      </c>
      <c r="AH1644" s="19">
        <f t="shared" si="246"/>
        <v>1126.08</v>
      </c>
      <c r="AJ1644" s="126" t="e">
        <v>#N/A</v>
      </c>
      <c r="AK1644" s="80">
        <f t="shared" si="242"/>
        <v>0</v>
      </c>
      <c r="AM1644" s="85"/>
    </row>
    <row r="1645" spans="1:39" hidden="1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47"/>
        <v>-537678.90633000003</v>
      </c>
      <c r="X1645" s="18">
        <f t="shared" si="245"/>
        <v>537678.90633000003</v>
      </c>
      <c r="Y1645" s="13">
        <f t="shared" si="238"/>
        <v>215633.30008925672</v>
      </c>
      <c r="Z1645" s="14">
        <v>0</v>
      </c>
      <c r="AA1645" s="4">
        <v>0</v>
      </c>
      <c r="AB1645" s="4">
        <f t="shared" si="239"/>
        <v>537678.90633000003</v>
      </c>
      <c r="AC1645" s="6">
        <f t="shared" si="240"/>
        <v>0</v>
      </c>
      <c r="AD1645" s="6">
        <f t="shared" si="244"/>
        <v>322045.60624074331</v>
      </c>
      <c r="AE1645" s="2">
        <v>0.15</v>
      </c>
      <c r="AF1645" s="5">
        <f t="shared" si="241"/>
        <v>48306.840936111497</v>
      </c>
      <c r="AG1645" s="14">
        <v>0</v>
      </c>
      <c r="AH1645" s="19">
        <f t="shared" si="246"/>
        <v>537678.90633000003</v>
      </c>
      <c r="AJ1645" s="126" t="e">
        <v>#N/A</v>
      </c>
      <c r="AK1645" s="80">
        <f t="shared" si="242"/>
        <v>0</v>
      </c>
      <c r="AM1645" s="85"/>
    </row>
    <row r="1646" spans="1:39" hidden="1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47"/>
        <v>-234675.48</v>
      </c>
      <c r="X1646" s="18">
        <f t="shared" si="245"/>
        <v>234675.48</v>
      </c>
      <c r="Y1646" s="13">
        <f t="shared" si="238"/>
        <v>94115.368125251116</v>
      </c>
      <c r="Z1646" s="14">
        <v>0</v>
      </c>
      <c r="AA1646" s="4">
        <v>0</v>
      </c>
      <c r="AB1646" s="4">
        <f t="shared" si="239"/>
        <v>234675.48</v>
      </c>
      <c r="AC1646" s="6">
        <f t="shared" si="240"/>
        <v>0</v>
      </c>
      <c r="AD1646" s="6">
        <f t="shared" si="244"/>
        <v>140560.11187474889</v>
      </c>
      <c r="AE1646" s="2">
        <v>0.15</v>
      </c>
      <c r="AF1646" s="5">
        <f t="shared" si="241"/>
        <v>21084.016781212333</v>
      </c>
      <c r="AG1646" s="14">
        <v>0</v>
      </c>
      <c r="AH1646" s="19">
        <f t="shared" si="246"/>
        <v>234675.48</v>
      </c>
      <c r="AJ1646" s="126" t="e">
        <v>#N/A</v>
      </c>
      <c r="AK1646" s="80">
        <f t="shared" si="242"/>
        <v>0</v>
      </c>
      <c r="AM1646" s="85"/>
    </row>
    <row r="1647" spans="1:39" hidden="1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47"/>
        <v>-13827.68</v>
      </c>
      <c r="X1647" s="18">
        <f t="shared" si="245"/>
        <v>13295.846153846154</v>
      </c>
      <c r="Y1647" s="13">
        <f t="shared" si="238"/>
        <v>5013.6845587437274</v>
      </c>
      <c r="Z1647" s="14">
        <v>0</v>
      </c>
      <c r="AA1647" s="4">
        <v>0</v>
      </c>
      <c r="AB1647" s="4">
        <f t="shared" si="239"/>
        <v>13295.846153846154</v>
      </c>
      <c r="AC1647" s="6">
        <f t="shared" si="240"/>
        <v>531.83384615384603</v>
      </c>
      <c r="AD1647" s="6">
        <f t="shared" si="244"/>
        <v>8282.1615951024269</v>
      </c>
      <c r="AE1647" s="2">
        <v>0.15</v>
      </c>
      <c r="AF1647" s="5">
        <f t="shared" si="241"/>
        <v>1242.324239265364</v>
      </c>
      <c r="AG1647" s="14">
        <v>0</v>
      </c>
      <c r="AH1647" s="19">
        <f t="shared" si="246"/>
        <v>13827.68</v>
      </c>
      <c r="AJ1647" s="126" t="e">
        <v>#N/A</v>
      </c>
      <c r="AK1647" s="80">
        <f t="shared" si="242"/>
        <v>0</v>
      </c>
      <c r="AM1647" s="85"/>
    </row>
    <row r="1648" spans="1:39" hidden="1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47"/>
        <v>-318.06</v>
      </c>
      <c r="X1648" s="18">
        <f t="shared" si="245"/>
        <v>305.82692307692309</v>
      </c>
      <c r="Y1648" s="13">
        <f t="shared" si="238"/>
        <v>115.32321479481951</v>
      </c>
      <c r="Z1648" s="14">
        <v>0</v>
      </c>
      <c r="AA1648" s="4">
        <v>0</v>
      </c>
      <c r="AB1648" s="4">
        <f t="shared" si="239"/>
        <v>305.82692307692309</v>
      </c>
      <c r="AC1648" s="6">
        <f t="shared" si="240"/>
        <v>12.233076923076908</v>
      </c>
      <c r="AD1648" s="6">
        <f t="shared" si="244"/>
        <v>190.50370828210359</v>
      </c>
      <c r="AE1648" s="2">
        <v>0.15</v>
      </c>
      <c r="AF1648" s="5">
        <f t="shared" si="241"/>
        <v>28.575556242315539</v>
      </c>
      <c r="AG1648" s="14">
        <v>0</v>
      </c>
      <c r="AH1648" s="19">
        <f t="shared" si="246"/>
        <v>318.06</v>
      </c>
      <c r="AJ1648" s="126" t="e">
        <v>#N/A</v>
      </c>
      <c r="AK1648" s="80">
        <f t="shared" si="242"/>
        <v>0</v>
      </c>
      <c r="AM1648" s="85"/>
    </row>
    <row r="1649" spans="1:39" hidden="1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47"/>
        <v>-16580.192040000002</v>
      </c>
      <c r="X1649" s="18">
        <f t="shared" si="245"/>
        <v>16580.192040000002</v>
      </c>
      <c r="Y1649" s="13">
        <f t="shared" si="238"/>
        <v>6649.3988951549527</v>
      </c>
      <c r="Z1649" s="14">
        <v>0</v>
      </c>
      <c r="AA1649" s="4">
        <v>0</v>
      </c>
      <c r="AB1649" s="4">
        <f t="shared" si="239"/>
        <v>16580.192040000002</v>
      </c>
      <c r="AC1649" s="6">
        <f t="shared" si="240"/>
        <v>0</v>
      </c>
      <c r="AD1649" s="6">
        <f t="shared" si="244"/>
        <v>9930.793144845049</v>
      </c>
      <c r="AE1649" s="2">
        <v>0.12</v>
      </c>
      <c r="AF1649" s="5">
        <f t="shared" si="241"/>
        <v>1191.6951773814058</v>
      </c>
      <c r="AG1649" s="14">
        <v>0</v>
      </c>
      <c r="AH1649" s="19">
        <f t="shared" si="246"/>
        <v>16580.192040000002</v>
      </c>
      <c r="AJ1649" s="126" t="e">
        <v>#N/A</v>
      </c>
      <c r="AK1649" s="80">
        <f t="shared" si="242"/>
        <v>0</v>
      </c>
      <c r="AM1649" s="85"/>
    </row>
    <row r="1650" spans="1:39" hidden="1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47"/>
        <v>-4222.1318700000002</v>
      </c>
      <c r="X1650" s="18">
        <f t="shared" si="245"/>
        <v>4139.3449705882358</v>
      </c>
      <c r="Y1650" s="13">
        <f t="shared" si="238"/>
        <v>1610.4769013841469</v>
      </c>
      <c r="Z1650" s="14">
        <v>0</v>
      </c>
      <c r="AA1650" s="4">
        <v>0</v>
      </c>
      <c r="AB1650" s="4">
        <f t="shared" si="239"/>
        <v>4139.3449705882358</v>
      </c>
      <c r="AC1650" s="6">
        <f t="shared" si="240"/>
        <v>82.786899411764352</v>
      </c>
      <c r="AD1650" s="6">
        <f t="shared" si="244"/>
        <v>2528.8680692040889</v>
      </c>
      <c r="AE1650" s="2">
        <v>0.12</v>
      </c>
      <c r="AF1650" s="5">
        <f t="shared" si="241"/>
        <v>303.46416830449067</v>
      </c>
      <c r="AG1650" s="14">
        <v>0</v>
      </c>
      <c r="AH1650" s="19">
        <f t="shared" si="246"/>
        <v>4222.1318700000002</v>
      </c>
      <c r="AJ1650" s="126" t="e">
        <v>#N/A</v>
      </c>
      <c r="AK1650" s="80">
        <f t="shared" si="242"/>
        <v>0</v>
      </c>
      <c r="AM1650" s="85"/>
    </row>
    <row r="1651" spans="1:39" hidden="1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47"/>
        <v>-100.05401999999999</v>
      </c>
      <c r="X1651" s="18">
        <f t="shared" si="245"/>
        <v>100.05401999999999</v>
      </c>
      <c r="Y1651" s="13">
        <f t="shared" si="238"/>
        <v>40.126138975879527</v>
      </c>
      <c r="Z1651" s="14">
        <v>0</v>
      </c>
      <c r="AA1651" s="4">
        <v>0</v>
      </c>
      <c r="AB1651" s="4">
        <f t="shared" si="239"/>
        <v>100.05401999999999</v>
      </c>
      <c r="AC1651" s="6">
        <f t="shared" si="240"/>
        <v>0</v>
      </c>
      <c r="AD1651" s="6">
        <f t="shared" si="244"/>
        <v>59.927881024120467</v>
      </c>
      <c r="AE1651" s="2">
        <v>0.12</v>
      </c>
      <c r="AF1651" s="5">
        <f t="shared" si="241"/>
        <v>7.1913457228944555</v>
      </c>
      <c r="AG1651" s="14">
        <v>0</v>
      </c>
      <c r="AH1651" s="19">
        <f t="shared" si="246"/>
        <v>100.05401999999999</v>
      </c>
      <c r="AJ1651" s="126" t="e">
        <v>#N/A</v>
      </c>
      <c r="AK1651" s="80">
        <f t="shared" si="242"/>
        <v>0</v>
      </c>
      <c r="AM1651" s="85"/>
    </row>
    <row r="1652" spans="1:39" hidden="1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47"/>
        <v>-6206.7361600000004</v>
      </c>
      <c r="X1652" s="18">
        <f t="shared" si="245"/>
        <v>6206.7361600000004</v>
      </c>
      <c r="Y1652" s="13">
        <f t="shared" si="238"/>
        <v>2489.1789229735782</v>
      </c>
      <c r="Z1652" s="14">
        <v>0</v>
      </c>
      <c r="AA1652" s="4">
        <v>0</v>
      </c>
      <c r="AB1652" s="4">
        <f t="shared" si="239"/>
        <v>6206.7361600000004</v>
      </c>
      <c r="AC1652" s="6">
        <f t="shared" si="240"/>
        <v>0</v>
      </c>
      <c r="AD1652" s="6">
        <f t="shared" si="244"/>
        <v>3717.5572370264222</v>
      </c>
      <c r="AE1652" s="2">
        <v>0.12</v>
      </c>
      <c r="AF1652" s="5">
        <f t="shared" si="241"/>
        <v>446.10686844317064</v>
      </c>
      <c r="AG1652" s="14">
        <v>0</v>
      </c>
      <c r="AH1652" s="19">
        <f t="shared" si="246"/>
        <v>6206.7361600000004</v>
      </c>
      <c r="AJ1652" s="126" t="e">
        <v>#N/A</v>
      </c>
      <c r="AK1652" s="80">
        <f t="shared" si="242"/>
        <v>0</v>
      </c>
      <c r="AM1652" s="85"/>
    </row>
    <row r="1653" spans="1:39" hidden="1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47"/>
        <v>-743.45839000000001</v>
      </c>
      <c r="X1653" s="18">
        <f t="shared" si="245"/>
        <v>743.45839000000001</v>
      </c>
      <c r="Y1653" s="13">
        <f t="shared" si="238"/>
        <v>298.16008072362951</v>
      </c>
      <c r="Z1653" s="14">
        <v>0</v>
      </c>
      <c r="AA1653" s="4">
        <v>0</v>
      </c>
      <c r="AB1653" s="4">
        <f t="shared" si="239"/>
        <v>743.45839000000001</v>
      </c>
      <c r="AC1653" s="6">
        <f t="shared" si="240"/>
        <v>0</v>
      </c>
      <c r="AD1653" s="6">
        <f t="shared" si="244"/>
        <v>445.2983092763705</v>
      </c>
      <c r="AE1653" s="2">
        <v>0.12</v>
      </c>
      <c r="AF1653" s="5">
        <f t="shared" si="241"/>
        <v>53.435797113164462</v>
      </c>
      <c r="AG1653" s="14">
        <v>0</v>
      </c>
      <c r="AH1653" s="19">
        <f t="shared" si="246"/>
        <v>743.45839000000001</v>
      </c>
      <c r="AJ1653" s="126" t="e">
        <v>#N/A</v>
      </c>
      <c r="AK1653" s="80">
        <f t="shared" si="242"/>
        <v>0</v>
      </c>
      <c r="AM1653" s="85"/>
    </row>
    <row r="1654" spans="1:39" hidden="1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47"/>
        <v>-53034.554080000002</v>
      </c>
      <c r="X1654" s="18">
        <f t="shared" si="245"/>
        <v>51994.660862745099</v>
      </c>
      <c r="Y1654" s="13">
        <f t="shared" si="238"/>
        <v>20229.336020489653</v>
      </c>
      <c r="Z1654" s="14">
        <v>0</v>
      </c>
      <c r="AA1654" s="4">
        <v>0</v>
      </c>
      <c r="AB1654" s="4">
        <f t="shared" si="239"/>
        <v>51994.660862745099</v>
      </c>
      <c r="AC1654" s="6">
        <f t="shared" si="240"/>
        <v>1039.893217254903</v>
      </c>
      <c r="AD1654" s="6">
        <f t="shared" si="244"/>
        <v>31765.324842255446</v>
      </c>
      <c r="AE1654" s="2">
        <v>0.12</v>
      </c>
      <c r="AF1654" s="5">
        <f t="shared" si="241"/>
        <v>3811.8389810706535</v>
      </c>
      <c r="AG1654" s="14">
        <v>0</v>
      </c>
      <c r="AH1654" s="19">
        <f t="shared" si="246"/>
        <v>53034.554080000002</v>
      </c>
      <c r="AJ1654" s="126" t="e">
        <v>#N/A</v>
      </c>
      <c r="AK1654" s="80">
        <f t="shared" si="242"/>
        <v>0</v>
      </c>
      <c r="AM1654" s="85"/>
    </row>
    <row r="1655" spans="1:39" hidden="1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47"/>
        <v>-22659.5383</v>
      </c>
      <c r="X1655" s="18">
        <f t="shared" si="245"/>
        <v>21788.017596153844</v>
      </c>
      <c r="Y1655" s="13">
        <f t="shared" si="238"/>
        <v>8215.9680642719559</v>
      </c>
      <c r="Z1655" s="14">
        <v>0</v>
      </c>
      <c r="AA1655" s="4">
        <v>0</v>
      </c>
      <c r="AB1655" s="4">
        <f t="shared" si="239"/>
        <v>21788.017596153844</v>
      </c>
      <c r="AC1655" s="6">
        <f t="shared" si="240"/>
        <v>871.52070384615581</v>
      </c>
      <c r="AD1655" s="6">
        <f t="shared" si="244"/>
        <v>13572.049531881888</v>
      </c>
      <c r="AE1655" s="2">
        <v>0.12</v>
      </c>
      <c r="AF1655" s="5">
        <f t="shared" si="241"/>
        <v>1628.6459438258266</v>
      </c>
      <c r="AG1655" s="14">
        <v>0</v>
      </c>
      <c r="AH1655" s="19">
        <f t="shared" si="246"/>
        <v>22659.5383</v>
      </c>
      <c r="AJ1655" s="126" t="e">
        <v>#N/A</v>
      </c>
      <c r="AK1655" s="80">
        <f t="shared" si="242"/>
        <v>0</v>
      </c>
      <c r="AM1655" s="85"/>
    </row>
    <row r="1656" spans="1:39" hidden="1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47"/>
        <v>-366591.49981000001</v>
      </c>
      <c r="X1656" s="18">
        <f t="shared" si="245"/>
        <v>366591.49981000001</v>
      </c>
      <c r="Y1656" s="13">
        <f t="shared" si="238"/>
        <v>147019.59470246345</v>
      </c>
      <c r="Z1656" s="14">
        <v>0</v>
      </c>
      <c r="AA1656" s="4">
        <v>0</v>
      </c>
      <c r="AB1656" s="4">
        <f t="shared" si="239"/>
        <v>366591.49981000001</v>
      </c>
      <c r="AC1656" s="6">
        <f t="shared" si="240"/>
        <v>0</v>
      </c>
      <c r="AD1656" s="6">
        <f t="shared" si="244"/>
        <v>219571.90510753656</v>
      </c>
      <c r="AE1656" s="2">
        <v>0.12</v>
      </c>
      <c r="AF1656" s="5">
        <f t="shared" si="241"/>
        <v>26348.628612904387</v>
      </c>
      <c r="AG1656" s="14">
        <v>0</v>
      </c>
      <c r="AH1656" s="19">
        <f t="shared" si="246"/>
        <v>366591.49981000001</v>
      </c>
      <c r="AJ1656" s="126" t="e">
        <v>#N/A</v>
      </c>
      <c r="AK1656" s="80">
        <f t="shared" si="242"/>
        <v>0</v>
      </c>
      <c r="AM1656" s="85"/>
    </row>
    <row r="1657" spans="1:39" hidden="1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47"/>
        <v>-50.1</v>
      </c>
      <c r="X1657" s="18">
        <f t="shared" si="245"/>
        <v>49.117647058823529</v>
      </c>
      <c r="Y1657" s="13">
        <f t="shared" si="238"/>
        <v>19.109988802729113</v>
      </c>
      <c r="Z1657" s="14">
        <v>0</v>
      </c>
      <c r="AA1657" s="4">
        <v>0</v>
      </c>
      <c r="AB1657" s="4">
        <f t="shared" si="239"/>
        <v>49.117647058823529</v>
      </c>
      <c r="AC1657" s="6">
        <f t="shared" si="240"/>
        <v>0.98235294117647243</v>
      </c>
      <c r="AD1657" s="6">
        <f t="shared" si="244"/>
        <v>30.007658256094416</v>
      </c>
      <c r="AE1657" s="2">
        <v>0.12</v>
      </c>
      <c r="AF1657" s="5">
        <f t="shared" si="241"/>
        <v>3.6009189907313299</v>
      </c>
      <c r="AG1657" s="14">
        <v>0</v>
      </c>
      <c r="AH1657" s="19">
        <f t="shared" si="246"/>
        <v>50.1</v>
      </c>
      <c r="AJ1657" s="126" t="e">
        <v>#N/A</v>
      </c>
      <c r="AK1657" s="80">
        <f t="shared" si="242"/>
        <v>0</v>
      </c>
      <c r="AM1657" s="85"/>
    </row>
    <row r="1658" spans="1:39" hidden="1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47"/>
        <v>-3821.4</v>
      </c>
      <c r="X1658" s="18">
        <f t="shared" si="245"/>
        <v>3821.4</v>
      </c>
      <c r="Y1658" s="13">
        <f t="shared" si="238"/>
        <v>1532.5523900231697</v>
      </c>
      <c r="Z1658" s="14">
        <v>0</v>
      </c>
      <c r="AA1658" s="4">
        <v>0</v>
      </c>
      <c r="AB1658" s="4">
        <f t="shared" si="239"/>
        <v>3821.4</v>
      </c>
      <c r="AC1658" s="6">
        <f t="shared" si="240"/>
        <v>0</v>
      </c>
      <c r="AD1658" s="6">
        <f t="shared" si="244"/>
        <v>2288.8476099768304</v>
      </c>
      <c r="AE1658" s="2">
        <v>0.12</v>
      </c>
      <c r="AF1658" s="5">
        <f t="shared" si="241"/>
        <v>274.66171319721963</v>
      </c>
      <c r="AG1658" s="14">
        <v>0</v>
      </c>
      <c r="AH1658" s="19">
        <f t="shared" si="246"/>
        <v>3821.4</v>
      </c>
      <c r="AJ1658" s="126" t="e">
        <v>#N/A</v>
      </c>
      <c r="AK1658" s="80">
        <f t="shared" si="242"/>
        <v>0</v>
      </c>
      <c r="AM1658" s="85"/>
    </row>
    <row r="1659" spans="1:39" hidden="1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47"/>
        <v>-801.6</v>
      </c>
      <c r="X1659" s="18">
        <f t="shared" si="245"/>
        <v>801.6</v>
      </c>
      <c r="Y1659" s="13">
        <f t="shared" si="238"/>
        <v>321.47746790248937</v>
      </c>
      <c r="Z1659" s="14">
        <v>0</v>
      </c>
      <c r="AA1659" s="4">
        <v>0</v>
      </c>
      <c r="AB1659" s="4">
        <f t="shared" si="239"/>
        <v>801.6</v>
      </c>
      <c r="AC1659" s="6">
        <f t="shared" si="240"/>
        <v>0</v>
      </c>
      <c r="AD1659" s="6">
        <f t="shared" si="244"/>
        <v>480.12253209751066</v>
      </c>
      <c r="AE1659" s="2">
        <v>0.12</v>
      </c>
      <c r="AF1659" s="5">
        <f t="shared" si="241"/>
        <v>57.614703851701279</v>
      </c>
      <c r="AG1659" s="14">
        <v>0</v>
      </c>
      <c r="AH1659" s="19">
        <f t="shared" si="246"/>
        <v>801.6</v>
      </c>
      <c r="AJ1659" s="126" t="e">
        <v>#N/A</v>
      </c>
      <c r="AK1659" s="80">
        <f t="shared" si="242"/>
        <v>0</v>
      </c>
      <c r="AM1659" s="85"/>
    </row>
    <row r="1660" spans="1:39" hidden="1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47"/>
        <v>-12.285959999999999</v>
      </c>
      <c r="X1660" s="18">
        <f t="shared" si="245"/>
        <v>12.285959999999999</v>
      </c>
      <c r="Y1660" s="13">
        <f t="shared" si="238"/>
        <v>4.9272197000390072</v>
      </c>
      <c r="Z1660" s="14">
        <v>0</v>
      </c>
      <c r="AA1660" s="4">
        <v>0</v>
      </c>
      <c r="AB1660" s="4">
        <f t="shared" si="239"/>
        <v>12.285959999999999</v>
      </c>
      <c r="AC1660" s="6">
        <f t="shared" si="240"/>
        <v>0</v>
      </c>
      <c r="AD1660" s="6">
        <f t="shared" si="244"/>
        <v>7.3587402999609921</v>
      </c>
      <c r="AE1660" s="2">
        <v>0.12</v>
      </c>
      <c r="AF1660" s="5">
        <f t="shared" si="241"/>
        <v>0.88304883599531903</v>
      </c>
      <c r="AG1660" s="14">
        <v>0</v>
      </c>
      <c r="AH1660" s="19">
        <f t="shared" si="246"/>
        <v>12.285959999999999</v>
      </c>
      <c r="AJ1660" s="126" t="e">
        <v>#N/A</v>
      </c>
      <c r="AK1660" s="80">
        <f t="shared" si="242"/>
        <v>0</v>
      </c>
      <c r="AM1660" s="85"/>
    </row>
    <row r="1661" spans="1:39" hidden="1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45"/>
        <v>0</v>
      </c>
      <c r="Y1661" s="13">
        <f t="shared" si="238"/>
        <v>0</v>
      </c>
      <c r="Z1661" s="14">
        <v>0</v>
      </c>
      <c r="AA1661" s="4">
        <v>0</v>
      </c>
      <c r="AB1661" s="4">
        <f t="shared" si="239"/>
        <v>0</v>
      </c>
      <c r="AC1661" s="6">
        <f t="shared" si="240"/>
        <v>0</v>
      </c>
      <c r="AD1661" s="6">
        <f>V1661*0.598955254612663</f>
        <v>0</v>
      </c>
      <c r="AE1661" s="2">
        <v>0.12</v>
      </c>
      <c r="AF1661" s="5">
        <f t="shared" si="24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42"/>
        <v>0</v>
      </c>
      <c r="AM1661" s="85"/>
    </row>
    <row r="1662" spans="1:39" hidden="1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45"/>
        <v>0</v>
      </c>
      <c r="Y1662" s="13">
        <f t="shared" si="238"/>
        <v>0</v>
      </c>
      <c r="Z1662" s="14">
        <v>0</v>
      </c>
      <c r="AA1662" s="4">
        <v>0</v>
      </c>
      <c r="AB1662" s="4">
        <f t="shared" si="239"/>
        <v>0</v>
      </c>
      <c r="AC1662" s="6">
        <f t="shared" si="240"/>
        <v>0</v>
      </c>
      <c r="AD1662" s="6">
        <f>V1662*0.598955254612663</f>
        <v>0</v>
      </c>
      <c r="AE1662" s="2">
        <v>0.12</v>
      </c>
      <c r="AF1662" s="5">
        <f t="shared" si="24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42"/>
        <v>0</v>
      </c>
      <c r="AM1662" s="85"/>
    </row>
    <row r="1663" spans="1:39" hidden="1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45"/>
        <v>0</v>
      </c>
      <c r="Y1663" s="13">
        <f t="shared" si="238"/>
        <v>0</v>
      </c>
      <c r="Z1663" s="14">
        <v>0</v>
      </c>
      <c r="AA1663" s="4">
        <v>0</v>
      </c>
      <c r="AB1663" s="4">
        <f t="shared" si="239"/>
        <v>0</v>
      </c>
      <c r="AC1663" s="6">
        <f t="shared" si="240"/>
        <v>0</v>
      </c>
      <c r="AD1663" s="6">
        <f>V1663*0.598955254612663</f>
        <v>0</v>
      </c>
      <c r="AE1663" s="2">
        <v>0.12</v>
      </c>
      <c r="AF1663" s="5">
        <f t="shared" si="24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42"/>
        <v>0</v>
      </c>
      <c r="AM1663" s="85"/>
    </row>
    <row r="1664" spans="1:39" hidden="1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48">T1664+U1664-V1664</f>
        <v>0</v>
      </c>
      <c r="X1664" s="13">
        <f>IF(P1664="折扣",V1664*Q1664,IF(P1664="返现",V1664,V1664/(1+Q1664+AG1664)))</f>
        <v>90812.027599999987</v>
      </c>
      <c r="Y1664" s="13">
        <f t="shared" si="238"/>
        <v>0</v>
      </c>
      <c r="Z1664" s="2">
        <v>0</v>
      </c>
      <c r="AA1664" s="4">
        <v>0</v>
      </c>
      <c r="AB1664" s="4">
        <f t="shared" si="239"/>
        <v>90812.027599999987</v>
      </c>
      <c r="AC1664" s="6">
        <f t="shared" si="240"/>
        <v>5796.5124000000069</v>
      </c>
      <c r="AD1664" s="4">
        <v>170673.02999999994</v>
      </c>
      <c r="AE1664" s="2">
        <v>7.0000000000000007E-2</v>
      </c>
      <c r="AF1664" s="5">
        <f t="shared" si="24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42"/>
        <v>0</v>
      </c>
      <c r="AM1664" s="85"/>
    </row>
    <row r="1665" spans="1:39" hidden="1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48"/>
        <v>25935.509999999995</v>
      </c>
      <c r="X1665" s="13">
        <f t="shared" ref="X1665:X1728" si="249">IF(P1665="折扣",V1665*Q1665,IF(P1665="返现",V1665,V1665/(1+Q1665+AG1665)))</f>
        <v>74064.490000000005</v>
      </c>
      <c r="Y1665" s="13">
        <f t="shared" si="238"/>
        <v>69620.620600000009</v>
      </c>
      <c r="Z1665" s="2">
        <v>0</v>
      </c>
      <c r="AA1665" s="4">
        <v>0</v>
      </c>
      <c r="AB1665" s="4">
        <f t="shared" si="239"/>
        <v>74064.490000000005</v>
      </c>
      <c r="AC1665" s="6">
        <f t="shared" si="240"/>
        <v>4443.8694000000005</v>
      </c>
      <c r="AD1665" s="4">
        <v>0</v>
      </c>
      <c r="AE1665" s="2">
        <v>7.0000000000000007E-2</v>
      </c>
      <c r="AF1665" s="5">
        <f t="shared" si="241"/>
        <v>0</v>
      </c>
      <c r="AG1665" s="2">
        <v>0</v>
      </c>
      <c r="AH1665" s="4">
        <f t="shared" ref="AH1665:AH1728" si="250">V1665/(1+AG1665)</f>
        <v>74064.490000000005</v>
      </c>
      <c r="AJ1665" s="126" t="e">
        <v>#N/A</v>
      </c>
      <c r="AK1665" s="80">
        <f t="shared" si="242"/>
        <v>0</v>
      </c>
      <c r="AM1665" s="85"/>
    </row>
    <row r="1666" spans="1:39" hidden="1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48"/>
        <v>0</v>
      </c>
      <c r="X1666" s="13">
        <f t="shared" si="249"/>
        <v>0</v>
      </c>
      <c r="Y1666" s="13">
        <f t="shared" si="238"/>
        <v>0</v>
      </c>
      <c r="Z1666" s="2">
        <v>0</v>
      </c>
      <c r="AA1666" s="4">
        <v>0</v>
      </c>
      <c r="AB1666" s="4">
        <f t="shared" si="239"/>
        <v>0</v>
      </c>
      <c r="AC1666" s="6">
        <f t="shared" si="240"/>
        <v>0</v>
      </c>
      <c r="AD1666" s="4">
        <v>0</v>
      </c>
      <c r="AE1666" s="2">
        <v>7.0000000000000007E-2</v>
      </c>
      <c r="AF1666" s="5">
        <f t="shared" si="241"/>
        <v>0</v>
      </c>
      <c r="AG1666" s="2">
        <v>0</v>
      </c>
      <c r="AH1666" s="4">
        <f t="shared" si="250"/>
        <v>0</v>
      </c>
      <c r="AJ1666" s="126" t="e">
        <v>#N/A</v>
      </c>
      <c r="AK1666" s="80">
        <f t="shared" si="242"/>
        <v>0</v>
      </c>
      <c r="AM1666" s="85"/>
    </row>
    <row r="1667" spans="1:39" hidden="1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48"/>
        <v>0</v>
      </c>
      <c r="X1667" s="13">
        <f t="shared" si="249"/>
        <v>840775.64000000549</v>
      </c>
      <c r="Y1667" s="13">
        <f t="shared" ref="Y1667:Y1730" si="25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52">X1667+AA1667</f>
        <v>840775.64000000549</v>
      </c>
      <c r="AC1667" s="6">
        <f t="shared" ref="AC1667:AC1730" si="25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54">AD1667*AE1667</f>
        <v>158276.00580000004</v>
      </c>
      <c r="AG1667" s="2">
        <v>0.24</v>
      </c>
      <c r="AH1667" s="4">
        <f t="shared" si="250"/>
        <v>678044.87096774636</v>
      </c>
      <c r="AJ1667" s="126" t="s">
        <v>4223</v>
      </c>
      <c r="AK1667" s="80">
        <f t="shared" ref="AK1667:AK1730" si="255">X1667+AA1667-AB1667</f>
        <v>0</v>
      </c>
      <c r="AL1667" s="150"/>
      <c r="AM1667" s="85"/>
    </row>
    <row r="1668" spans="1:39" hidden="1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48"/>
        <v>668397.07000000565</v>
      </c>
      <c r="X1668" s="13">
        <f t="shared" si="249"/>
        <v>1926873.9599999946</v>
      </c>
      <c r="Y1668" s="13">
        <f t="shared" si="251"/>
        <v>1926873.9599999946</v>
      </c>
      <c r="Z1668" s="2">
        <v>0</v>
      </c>
      <c r="AA1668" s="4">
        <v>0</v>
      </c>
      <c r="AB1668" s="4">
        <f t="shared" si="252"/>
        <v>1926873.9599999946</v>
      </c>
      <c r="AC1668" s="6">
        <f t="shared" si="253"/>
        <v>0</v>
      </c>
      <c r="AD1668" s="4">
        <v>0</v>
      </c>
      <c r="AE1668" s="2">
        <v>0.06</v>
      </c>
      <c r="AF1668" s="5">
        <f t="shared" si="254"/>
        <v>0</v>
      </c>
      <c r="AG1668" s="2">
        <v>0</v>
      </c>
      <c r="AH1668" s="4">
        <f t="shared" si="250"/>
        <v>1926873.9599999946</v>
      </c>
      <c r="AJ1668" s="126" t="s">
        <v>4223</v>
      </c>
      <c r="AK1668" s="80">
        <f t="shared" si="255"/>
        <v>0</v>
      </c>
      <c r="AL1668" s="150"/>
      <c r="AM1668" s="85"/>
    </row>
    <row r="1669" spans="1:39" hidden="1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48"/>
        <v>3345635.0323999701</v>
      </c>
      <c r="X1669" s="13">
        <f t="shared" si="249"/>
        <v>4260744.9064748194</v>
      </c>
      <c r="Y1669" s="13">
        <f t="shared" si="251"/>
        <v>0</v>
      </c>
      <c r="Z1669" s="2">
        <v>0</v>
      </c>
      <c r="AA1669" s="4">
        <v>0</v>
      </c>
      <c r="AB1669" s="4">
        <f t="shared" si="252"/>
        <v>4260744.9064748194</v>
      </c>
      <c r="AC1669" s="6">
        <f t="shared" si="253"/>
        <v>1661690.5135251796</v>
      </c>
      <c r="AD1669" s="4">
        <v>4387037.0300000031</v>
      </c>
      <c r="AE1669" s="2">
        <v>0.06</v>
      </c>
      <c r="AF1669" s="5">
        <f t="shared" si="254"/>
        <v>263222.22180000017</v>
      </c>
      <c r="AG1669" s="2">
        <v>0.35</v>
      </c>
      <c r="AH1669" s="4">
        <f t="shared" si="250"/>
        <v>4386989.1999999993</v>
      </c>
      <c r="AJ1669" s="126" t="e">
        <v>#N/A</v>
      </c>
      <c r="AK1669" s="80">
        <f t="shared" si="255"/>
        <v>0</v>
      </c>
      <c r="AM1669" s="85"/>
    </row>
    <row r="1670" spans="1:39" hidden="1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48"/>
        <v>263794.71960000019</v>
      </c>
      <c r="X1670" s="13">
        <f t="shared" si="249"/>
        <v>1348421.0234375</v>
      </c>
      <c r="Y1670" s="13">
        <f t="shared" si="251"/>
        <v>713256.82343750016</v>
      </c>
      <c r="Z1670" s="2">
        <v>0</v>
      </c>
      <c r="AA1670" s="4">
        <v>0</v>
      </c>
      <c r="AB1670" s="4">
        <f t="shared" si="252"/>
        <v>1348421.0234375</v>
      </c>
      <c r="AC1670" s="6">
        <f t="shared" si="253"/>
        <v>377557.88656249992</v>
      </c>
      <c r="AD1670" s="4">
        <v>635164.19999999984</v>
      </c>
      <c r="AE1670" s="2">
        <v>7.0000000000000007E-2</v>
      </c>
      <c r="AF1670" s="5">
        <f t="shared" si="254"/>
        <v>44461.493999999992</v>
      </c>
      <c r="AG1670" s="2">
        <v>0.24</v>
      </c>
      <c r="AH1670" s="4">
        <f t="shared" si="250"/>
        <v>1391918.4758064516</v>
      </c>
      <c r="AJ1670" s="126" t="e">
        <v>#N/A</v>
      </c>
      <c r="AK1670" s="80">
        <f t="shared" si="255"/>
        <v>0</v>
      </c>
      <c r="AM1670" s="85"/>
    </row>
    <row r="1671" spans="1:39" hidden="1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48"/>
        <v>154108.59999999998</v>
      </c>
      <c r="X1671" s="13">
        <f t="shared" si="249"/>
        <v>305891.40000000002</v>
      </c>
      <c r="Y1671" s="13">
        <f t="shared" si="251"/>
        <v>0</v>
      </c>
      <c r="Z1671" s="2">
        <v>0</v>
      </c>
      <c r="AA1671" s="4">
        <v>0</v>
      </c>
      <c r="AB1671" s="4">
        <f t="shared" si="252"/>
        <v>305891.40000000002</v>
      </c>
      <c r="AC1671" s="6">
        <f t="shared" si="253"/>
        <v>0</v>
      </c>
      <c r="AD1671" s="4">
        <v>364749.71</v>
      </c>
      <c r="AE1671" s="2">
        <v>0.06</v>
      </c>
      <c r="AF1671" s="5">
        <f t="shared" si="254"/>
        <v>21884.982599999999</v>
      </c>
      <c r="AG1671" s="2">
        <v>0</v>
      </c>
      <c r="AH1671" s="4">
        <f t="shared" si="250"/>
        <v>305891.40000000002</v>
      </c>
      <c r="AJ1671" s="126" t="e">
        <v>#N/A</v>
      </c>
      <c r="AK1671" s="80">
        <f t="shared" si="255"/>
        <v>0</v>
      </c>
      <c r="AM1671" s="85"/>
    </row>
    <row r="1672" spans="1:39" hidden="1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48"/>
        <v>18795.429999999989</v>
      </c>
      <c r="X1672" s="13">
        <f t="shared" si="249"/>
        <v>31204.570000000011</v>
      </c>
      <c r="Y1672" s="13">
        <f t="shared" si="251"/>
        <v>0</v>
      </c>
      <c r="Z1672" s="2">
        <v>0</v>
      </c>
      <c r="AA1672" s="4">
        <v>0</v>
      </c>
      <c r="AB1672" s="4">
        <f t="shared" si="252"/>
        <v>31204.570000000011</v>
      </c>
      <c r="AC1672" s="6">
        <f t="shared" si="253"/>
        <v>0</v>
      </c>
      <c r="AD1672" s="4">
        <v>31204.570000000011</v>
      </c>
      <c r="AE1672" s="2">
        <v>0.06</v>
      </c>
      <c r="AF1672" s="5">
        <f t="shared" si="254"/>
        <v>1872.2742000000005</v>
      </c>
      <c r="AG1672" s="2">
        <v>0</v>
      </c>
      <c r="AH1672" s="4">
        <f t="shared" si="250"/>
        <v>31204.570000000011</v>
      </c>
      <c r="AJ1672" s="126" t="e">
        <v>#N/A</v>
      </c>
      <c r="AK1672" s="80">
        <f t="shared" si="255"/>
        <v>0</v>
      </c>
      <c r="AM1672" s="85"/>
    </row>
    <row r="1673" spans="1:39" hidden="1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48"/>
        <v>0</v>
      </c>
      <c r="X1673" s="13">
        <f t="shared" si="249"/>
        <v>0</v>
      </c>
      <c r="Y1673" s="13">
        <f t="shared" si="251"/>
        <v>0</v>
      </c>
      <c r="Z1673" s="2">
        <v>0</v>
      </c>
      <c r="AA1673" s="4">
        <v>0</v>
      </c>
      <c r="AB1673" s="4">
        <f t="shared" si="252"/>
        <v>0</v>
      </c>
      <c r="AC1673" s="6">
        <f t="shared" si="253"/>
        <v>0</v>
      </c>
      <c r="AD1673" s="4">
        <v>6249.3099999999986</v>
      </c>
      <c r="AE1673" s="2">
        <v>0.06</v>
      </c>
      <c r="AF1673" s="5">
        <f t="shared" si="254"/>
        <v>374.95859999999988</v>
      </c>
      <c r="AG1673" s="2">
        <v>0</v>
      </c>
      <c r="AH1673" s="4">
        <f t="shared" si="250"/>
        <v>0</v>
      </c>
      <c r="AJ1673" s="126" t="e">
        <v>#N/A</v>
      </c>
      <c r="AK1673" s="80">
        <f t="shared" si="255"/>
        <v>0</v>
      </c>
      <c r="AM1673" s="85"/>
    </row>
    <row r="1674" spans="1:39" hidden="1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2.5000000000000001E-2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48"/>
        <v>55359.069999999963</v>
      </c>
      <c r="X1674" s="13">
        <f t="shared" si="249"/>
        <v>103584.74146341467</v>
      </c>
      <c r="Y1674" s="13">
        <f t="shared" si="251"/>
        <v>0</v>
      </c>
      <c r="Z1674" s="2">
        <v>0</v>
      </c>
      <c r="AA1674" s="4">
        <v>0</v>
      </c>
      <c r="AB1674" s="4">
        <f t="shared" si="252"/>
        <v>103584.74146341467</v>
      </c>
      <c r="AC1674" s="6">
        <f t="shared" si="253"/>
        <v>2589.6185365853598</v>
      </c>
      <c r="AD1674" s="4">
        <v>106174.36000000003</v>
      </c>
      <c r="AE1674" s="2">
        <v>0.06</v>
      </c>
      <c r="AF1674" s="5">
        <f t="shared" si="254"/>
        <v>6370.4616000000015</v>
      </c>
      <c r="AG1674" s="2">
        <v>0</v>
      </c>
      <c r="AH1674" s="4">
        <f t="shared" si="250"/>
        <v>106174.36000000003</v>
      </c>
      <c r="AJ1674" s="126" t="e">
        <v>#N/A</v>
      </c>
      <c r="AK1674" s="80">
        <f t="shared" si="255"/>
        <v>0</v>
      </c>
      <c r="AM1674" s="85"/>
    </row>
    <row r="1675" spans="1:39" hidden="1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2.5000000000000001E-2</v>
      </c>
      <c r="R1675" s="138"/>
      <c r="T1675" s="4">
        <v>0</v>
      </c>
      <c r="U1675" s="4">
        <v>51250</v>
      </c>
      <c r="V1675" s="4">
        <v>0</v>
      </c>
      <c r="W1675" s="13">
        <f t="shared" si="248"/>
        <v>51250</v>
      </c>
      <c r="X1675" s="13">
        <f t="shared" si="249"/>
        <v>0</v>
      </c>
      <c r="Y1675" s="13">
        <f t="shared" si="251"/>
        <v>0</v>
      </c>
      <c r="Z1675" s="2">
        <v>0</v>
      </c>
      <c r="AA1675" s="4">
        <v>0</v>
      </c>
      <c r="AB1675" s="4">
        <f t="shared" si="252"/>
        <v>0</v>
      </c>
      <c r="AC1675" s="6">
        <f t="shared" si="253"/>
        <v>0</v>
      </c>
      <c r="AD1675" s="4">
        <v>0</v>
      </c>
      <c r="AE1675" s="2">
        <v>7.0000000000000007E-2</v>
      </c>
      <c r="AF1675" s="5">
        <f t="shared" si="254"/>
        <v>0</v>
      </c>
      <c r="AG1675" s="2">
        <v>0</v>
      </c>
      <c r="AH1675" s="4">
        <f t="shared" si="250"/>
        <v>0</v>
      </c>
      <c r="AJ1675" s="126" t="e">
        <v>#N/A</v>
      </c>
      <c r="AK1675" s="80">
        <f t="shared" si="255"/>
        <v>0</v>
      </c>
      <c r="AM1675" s="85"/>
    </row>
    <row r="1676" spans="1:39" hidden="1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48"/>
        <v>13750.690000000002</v>
      </c>
      <c r="X1676" s="13">
        <f t="shared" si="249"/>
        <v>6249.3099999999986</v>
      </c>
      <c r="Y1676" s="13">
        <f t="shared" si="251"/>
        <v>6249.3099999999986</v>
      </c>
      <c r="Z1676" s="2">
        <v>0</v>
      </c>
      <c r="AA1676" s="4">
        <v>0</v>
      </c>
      <c r="AB1676" s="4">
        <f t="shared" si="252"/>
        <v>6249.3099999999986</v>
      </c>
      <c r="AC1676" s="6">
        <f t="shared" si="253"/>
        <v>0</v>
      </c>
      <c r="AD1676" s="4">
        <v>0</v>
      </c>
      <c r="AE1676" s="2">
        <v>0.06</v>
      </c>
      <c r="AF1676" s="5">
        <f t="shared" si="254"/>
        <v>0</v>
      </c>
      <c r="AG1676" s="2">
        <v>0</v>
      </c>
      <c r="AH1676" s="4">
        <f t="shared" si="250"/>
        <v>6249.3099999999986</v>
      </c>
      <c r="AJ1676" s="126" t="e">
        <v>#N/A</v>
      </c>
      <c r="AK1676" s="80">
        <f t="shared" si="255"/>
        <v>0</v>
      </c>
      <c r="AM1676" s="85"/>
    </row>
    <row r="1677" spans="1:39" hidden="1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48"/>
        <v>1432275.8628000049</v>
      </c>
      <c r="X1677" s="13">
        <f>IF(P1677="折扣",V1677*Q1677,IF(P1677="返现",V1677,V1677/(1+Q1677+AG1677)))-11191.4</f>
        <v>3938599.6340067764</v>
      </c>
      <c r="Y1677" s="13">
        <f t="shared" si="251"/>
        <v>0</v>
      </c>
      <c r="Z1677" s="2">
        <v>0</v>
      </c>
      <c r="AA1677" s="4">
        <v>0</v>
      </c>
      <c r="AB1677" s="4">
        <f t="shared" si="252"/>
        <v>3938599.6340067764</v>
      </c>
      <c r="AC1677" s="6">
        <f t="shared" si="253"/>
        <v>2356577.3159932229</v>
      </c>
      <c r="AD1677" s="4">
        <v>4185978.0700000022</v>
      </c>
      <c r="AE1677" s="2">
        <v>7.0000000000000007E-2</v>
      </c>
      <c r="AF1677" s="5">
        <f t="shared" si="254"/>
        <v>293018.4649000002</v>
      </c>
      <c r="AG1677" s="2">
        <v>0.503</v>
      </c>
      <c r="AH1677" s="4">
        <f t="shared" si="250"/>
        <v>4188407.8176979367</v>
      </c>
      <c r="AJ1677" s="126" t="e">
        <v>#N/A</v>
      </c>
      <c r="AK1677" s="80">
        <f t="shared" si="255"/>
        <v>0</v>
      </c>
      <c r="AM1677" s="85"/>
    </row>
    <row r="1678" spans="1:39" hidden="1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48"/>
        <v>2980191.3546200031</v>
      </c>
      <c r="X1678" s="13">
        <f t="shared" si="249"/>
        <v>7019808.6453799969</v>
      </c>
      <c r="Y1678" s="13">
        <f t="shared" si="251"/>
        <v>0</v>
      </c>
      <c r="Z1678" s="2">
        <v>0</v>
      </c>
      <c r="AA1678" s="4">
        <v>0</v>
      </c>
      <c r="AB1678" s="4">
        <f t="shared" si="252"/>
        <v>7019808.6453799969</v>
      </c>
      <c r="AC1678" s="6">
        <f t="shared" si="253"/>
        <v>0</v>
      </c>
      <c r="AD1678" s="4">
        <v>8791237.9599999953</v>
      </c>
      <c r="AE1678" s="2">
        <v>0.06</v>
      </c>
      <c r="AF1678" s="5">
        <f t="shared" si="254"/>
        <v>527474.27759999968</v>
      </c>
      <c r="AG1678" s="2">
        <v>0</v>
      </c>
      <c r="AH1678" s="4">
        <f t="shared" si="250"/>
        <v>7019808.6453799969</v>
      </c>
      <c r="AJ1678" s="126" t="e">
        <v>#N/A</v>
      </c>
      <c r="AK1678" s="80">
        <f t="shared" si="255"/>
        <v>0</v>
      </c>
      <c r="AM1678" s="85"/>
    </row>
    <row r="1679" spans="1:39" hidden="1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48"/>
        <v>2420656.7699999996</v>
      </c>
      <c r="X1679" s="13">
        <f t="shared" si="249"/>
        <v>5629343.2300000004</v>
      </c>
      <c r="Y1679" s="13">
        <f t="shared" si="251"/>
        <v>0</v>
      </c>
      <c r="Z1679" s="2">
        <v>0</v>
      </c>
      <c r="AA1679" s="4">
        <v>0</v>
      </c>
      <c r="AB1679" s="4">
        <f t="shared" si="252"/>
        <v>5629343.2300000004</v>
      </c>
      <c r="AC1679" s="6">
        <f t="shared" si="253"/>
        <v>0</v>
      </c>
      <c r="AD1679" s="4">
        <v>6972061.8999999948</v>
      </c>
      <c r="AE1679" s="2">
        <v>7.0000000000000007E-2</v>
      </c>
      <c r="AF1679" s="5">
        <f t="shared" si="254"/>
        <v>488044.33299999969</v>
      </c>
      <c r="AG1679" s="2">
        <v>0</v>
      </c>
      <c r="AH1679" s="4">
        <f t="shared" si="250"/>
        <v>5629343.2300000004</v>
      </c>
      <c r="AJ1679" s="126" t="e">
        <v>#N/A</v>
      </c>
      <c r="AK1679" s="80">
        <f t="shared" si="255"/>
        <v>0</v>
      </c>
      <c r="AM1679" s="85"/>
    </row>
    <row r="1680" spans="1:39" hidden="1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48"/>
        <v>191851.60446000006</v>
      </c>
      <c r="X1680" s="13">
        <f t="shared" si="249"/>
        <v>2418148.3955399999</v>
      </c>
      <c r="Y1680" s="13">
        <f t="shared" si="251"/>
        <v>0</v>
      </c>
      <c r="Z1680" s="2">
        <v>0</v>
      </c>
      <c r="AA1680" s="4">
        <v>0</v>
      </c>
      <c r="AB1680" s="4">
        <f t="shared" si="252"/>
        <v>2418148.3955399999</v>
      </c>
      <c r="AC1680" s="6">
        <f t="shared" si="253"/>
        <v>0</v>
      </c>
      <c r="AD1680" s="4">
        <v>2666137.3200000008</v>
      </c>
      <c r="AE1680" s="2">
        <v>7.0000000000000007E-2</v>
      </c>
      <c r="AF1680" s="5">
        <f t="shared" si="254"/>
        <v>186629.61240000007</v>
      </c>
      <c r="AG1680" s="2">
        <v>0</v>
      </c>
      <c r="AH1680" s="4">
        <f t="shared" si="250"/>
        <v>2418148.3955399999</v>
      </c>
      <c r="AJ1680" s="126" t="e">
        <v>#N/A</v>
      </c>
      <c r="AK1680" s="80">
        <f t="shared" si="255"/>
        <v>0</v>
      </c>
      <c r="AM1680" s="85"/>
    </row>
    <row r="1681" spans="1:39" hidden="1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48"/>
        <v>-105.04000000044937</v>
      </c>
      <c r="X1681" s="13">
        <f t="shared" si="249"/>
        <v>85.658767772511851</v>
      </c>
      <c r="Y1681" s="13">
        <f t="shared" si="251"/>
        <v>0</v>
      </c>
      <c r="Z1681" s="2">
        <v>0</v>
      </c>
      <c r="AA1681" s="4">
        <v>0</v>
      </c>
      <c r="AB1681" s="4">
        <f t="shared" si="252"/>
        <v>85.658767772511851</v>
      </c>
      <c r="AC1681" s="6">
        <f t="shared" si="253"/>
        <v>4.7112322274881535</v>
      </c>
      <c r="AD1681" s="4">
        <v>12970012.67999999</v>
      </c>
      <c r="AE1681" s="2">
        <v>0.06</v>
      </c>
      <c r="AF1681" s="5">
        <f t="shared" si="254"/>
        <v>778200.76079999935</v>
      </c>
      <c r="AG1681" s="2">
        <v>0</v>
      </c>
      <c r="AH1681" s="4">
        <f t="shared" si="250"/>
        <v>90.37</v>
      </c>
      <c r="AJ1681" s="126" t="e">
        <v>#N/A</v>
      </c>
      <c r="AK1681" s="80">
        <f t="shared" si="255"/>
        <v>0</v>
      </c>
      <c r="AM1681" s="85"/>
    </row>
    <row r="1682" spans="1:39" hidden="1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48"/>
        <v>48697.410000000011</v>
      </c>
      <c r="X1682" s="13">
        <f t="shared" si="249"/>
        <v>8217.5450236966826</v>
      </c>
      <c r="Y1682" s="13">
        <f t="shared" si="251"/>
        <v>0</v>
      </c>
      <c r="Z1682" s="2">
        <v>0</v>
      </c>
      <c r="AA1682" s="4">
        <v>0</v>
      </c>
      <c r="AB1682" s="4">
        <f t="shared" si="252"/>
        <v>8217.5450236966826</v>
      </c>
      <c r="AC1682" s="6">
        <f t="shared" si="253"/>
        <v>451.9649763033176</v>
      </c>
      <c r="AD1682" s="4">
        <v>332307.9800000001</v>
      </c>
      <c r="AE1682" s="2">
        <v>7.0000000000000007E-2</v>
      </c>
      <c r="AF1682" s="5">
        <f t="shared" si="254"/>
        <v>23261.558600000008</v>
      </c>
      <c r="AG1682" s="2">
        <v>0</v>
      </c>
      <c r="AH1682" s="4">
        <f t="shared" si="250"/>
        <v>8669.51</v>
      </c>
      <c r="AJ1682" s="126" t="e">
        <v>#N/A</v>
      </c>
      <c r="AK1682" s="80">
        <f t="shared" si="255"/>
        <v>0</v>
      </c>
      <c r="AM1682" s="85"/>
    </row>
    <row r="1683" spans="1:39" hidden="1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48"/>
        <v>0</v>
      </c>
      <c r="X1683" s="13">
        <f t="shared" si="249"/>
        <v>9966.7298578198788</v>
      </c>
      <c r="Y1683" s="13">
        <f t="shared" si="251"/>
        <v>0</v>
      </c>
      <c r="Z1683" s="2">
        <v>0</v>
      </c>
      <c r="AA1683" s="4">
        <v>0</v>
      </c>
      <c r="AB1683" s="4">
        <f t="shared" si="252"/>
        <v>9966.7298578198788</v>
      </c>
      <c r="AC1683" s="6">
        <f t="shared" si="253"/>
        <v>548.17014218009353</v>
      </c>
      <c r="AD1683" s="4">
        <v>42881.35</v>
      </c>
      <c r="AE1683" s="2">
        <v>0.06</v>
      </c>
      <c r="AF1683" s="5">
        <f t="shared" si="25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55"/>
        <v>0</v>
      </c>
      <c r="AM1683" s="85"/>
    </row>
    <row r="1684" spans="1:39" hidden="1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48"/>
        <v>285686.96000000008</v>
      </c>
      <c r="X1684" s="13">
        <f t="shared" si="249"/>
        <v>0</v>
      </c>
      <c r="Y1684" s="13">
        <f t="shared" si="251"/>
        <v>0</v>
      </c>
      <c r="Z1684" s="2">
        <v>0</v>
      </c>
      <c r="AA1684" s="4">
        <v>0</v>
      </c>
      <c r="AB1684" s="4">
        <f t="shared" si="252"/>
        <v>0</v>
      </c>
      <c r="AC1684" s="6">
        <f t="shared" si="253"/>
        <v>0</v>
      </c>
      <c r="AD1684" s="4">
        <v>0</v>
      </c>
      <c r="AE1684" s="2">
        <v>0.06</v>
      </c>
      <c r="AF1684" s="5">
        <f t="shared" si="254"/>
        <v>0</v>
      </c>
      <c r="AG1684" s="2">
        <v>0</v>
      </c>
      <c r="AH1684" s="4">
        <f t="shared" si="250"/>
        <v>0</v>
      </c>
      <c r="AJ1684" s="126" t="e">
        <v>#N/A</v>
      </c>
      <c r="AK1684" s="80">
        <f t="shared" si="255"/>
        <v>0</v>
      </c>
      <c r="AM1684" s="85"/>
    </row>
    <row r="1685" spans="1:39" hidden="1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48"/>
        <v>0</v>
      </c>
      <c r="X1685" s="13">
        <f t="shared" si="249"/>
        <v>0</v>
      </c>
      <c r="Y1685" s="13">
        <f t="shared" si="251"/>
        <v>0</v>
      </c>
      <c r="Z1685" s="2">
        <v>0</v>
      </c>
      <c r="AA1685" s="4">
        <v>0</v>
      </c>
      <c r="AB1685" s="4">
        <f t="shared" si="252"/>
        <v>0</v>
      </c>
      <c r="AC1685" s="6">
        <f t="shared" si="253"/>
        <v>0</v>
      </c>
      <c r="AD1685" s="4">
        <v>0</v>
      </c>
      <c r="AE1685" s="2">
        <v>0.06</v>
      </c>
      <c r="AF1685" s="5">
        <f t="shared" si="254"/>
        <v>0</v>
      </c>
      <c r="AG1685" s="2">
        <v>0</v>
      </c>
      <c r="AH1685" s="4">
        <f t="shared" si="250"/>
        <v>0</v>
      </c>
      <c r="AJ1685" s="126" t="e">
        <v>#N/A</v>
      </c>
      <c r="AK1685" s="80">
        <f t="shared" si="255"/>
        <v>0</v>
      </c>
      <c r="AM1685" s="85"/>
    </row>
    <row r="1686" spans="1:39" hidden="1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3751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48"/>
        <v>5438693.4020000007</v>
      </c>
      <c r="X1686" s="13">
        <f t="shared" si="249"/>
        <v>5241685.3363228701</v>
      </c>
      <c r="Y1686" s="13">
        <f t="shared" si="251"/>
        <v>5241685.3363228701</v>
      </c>
      <c r="Z1686" s="2">
        <v>0</v>
      </c>
      <c r="AA1686" s="4">
        <v>0</v>
      </c>
      <c r="AB1686" s="4">
        <f t="shared" si="252"/>
        <v>5241685.3363228701</v>
      </c>
      <c r="AC1686" s="6">
        <f t="shared" si="253"/>
        <v>602793.81367713027</v>
      </c>
      <c r="AD1686" s="4">
        <v>0</v>
      </c>
      <c r="AE1686" s="2">
        <v>0.06</v>
      </c>
      <c r="AF1686" s="5">
        <f t="shared" si="254"/>
        <v>0</v>
      </c>
      <c r="AG1686" s="2">
        <v>0.06</v>
      </c>
      <c r="AH1686" s="4">
        <f t="shared" si="250"/>
        <v>5513659.5754716983</v>
      </c>
      <c r="AJ1686" s="126" t="e">
        <v>#N/A</v>
      </c>
      <c r="AK1686" s="80">
        <f t="shared" si="255"/>
        <v>0</v>
      </c>
      <c r="AM1686" s="85"/>
    </row>
    <row r="1687" spans="1:39" hidden="1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48"/>
        <v>12335445.378799999</v>
      </c>
      <c r="X1687" s="13">
        <f t="shared" si="249"/>
        <v>7068259.7865612656</v>
      </c>
      <c r="Y1687" s="13">
        <f t="shared" si="251"/>
        <v>7068259.7865612656</v>
      </c>
      <c r="Z1687" s="2">
        <v>0</v>
      </c>
      <c r="AA1687" s="4">
        <v>0</v>
      </c>
      <c r="AB1687" s="4">
        <f t="shared" si="252"/>
        <v>7068259.7865612656</v>
      </c>
      <c r="AC1687" s="6">
        <f t="shared" si="253"/>
        <v>1873088.8434387352</v>
      </c>
      <c r="AD1687" s="4">
        <v>0</v>
      </c>
      <c r="AE1687" s="2">
        <v>0.06</v>
      </c>
      <c r="AF1687" s="5">
        <f t="shared" si="254"/>
        <v>0</v>
      </c>
      <c r="AG1687" s="2">
        <v>0.21</v>
      </c>
      <c r="AH1687" s="4">
        <f t="shared" si="250"/>
        <v>7389544.32231405</v>
      </c>
      <c r="AJ1687" s="126" t="e">
        <v>#N/A</v>
      </c>
      <c r="AK1687" s="80">
        <f t="shared" si="255"/>
        <v>0</v>
      </c>
      <c r="AM1687" s="85"/>
    </row>
    <row r="1688" spans="1:39" hidden="1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48"/>
        <v>1126793.2704</v>
      </c>
      <c r="X1688" s="13">
        <f t="shared" si="249"/>
        <v>309889.3667953668</v>
      </c>
      <c r="Y1688" s="13">
        <f t="shared" si="251"/>
        <v>309889.3667953668</v>
      </c>
      <c r="Z1688" s="2">
        <v>0</v>
      </c>
      <c r="AA1688" s="4">
        <v>0</v>
      </c>
      <c r="AB1688" s="4">
        <f t="shared" si="252"/>
        <v>309889.3667953668</v>
      </c>
      <c r="AC1688" s="6">
        <f t="shared" si="253"/>
        <v>91417.363204633177</v>
      </c>
      <c r="AD1688" s="4">
        <v>0</v>
      </c>
      <c r="AE1688" s="2">
        <v>7.0000000000000007E-2</v>
      </c>
      <c r="AF1688" s="5">
        <f t="shared" si="254"/>
        <v>0</v>
      </c>
      <c r="AG1688" s="2">
        <v>0.24</v>
      </c>
      <c r="AH1688" s="4">
        <f t="shared" si="250"/>
        <v>323634.45967741933</v>
      </c>
      <c r="AJ1688" s="126" t="e">
        <v>#N/A</v>
      </c>
      <c r="AK1688" s="80">
        <f t="shared" si="255"/>
        <v>0</v>
      </c>
      <c r="AM1688" s="85"/>
    </row>
    <row r="1689" spans="1:39" hidden="1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48"/>
        <v>76634.570000000007</v>
      </c>
      <c r="X1689" s="13">
        <f t="shared" si="249"/>
        <v>38318.037914691944</v>
      </c>
      <c r="Y1689" s="13">
        <f t="shared" si="251"/>
        <v>0</v>
      </c>
      <c r="Z1689" s="2">
        <v>0</v>
      </c>
      <c r="AA1689" s="4">
        <v>0</v>
      </c>
      <c r="AB1689" s="4">
        <f t="shared" si="252"/>
        <v>38318.037914691944</v>
      </c>
      <c r="AC1689" s="6">
        <f t="shared" si="253"/>
        <v>2107.4920853080548</v>
      </c>
      <c r="AD1689" s="4">
        <v>40425.53</v>
      </c>
      <c r="AE1689" s="2">
        <v>0.06</v>
      </c>
      <c r="AF1689" s="5">
        <f t="shared" si="254"/>
        <v>2425.5317999999997</v>
      </c>
      <c r="AG1689" s="2">
        <v>0</v>
      </c>
      <c r="AH1689" s="4">
        <f t="shared" si="250"/>
        <v>40425.53</v>
      </c>
      <c r="AJ1689" s="126" t="e">
        <v>#N/A</v>
      </c>
      <c r="AK1689" s="80">
        <f t="shared" si="255"/>
        <v>0</v>
      </c>
      <c r="AM1689" s="85"/>
    </row>
    <row r="1690" spans="1:39" hidden="1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48"/>
        <v>18990.120000000017</v>
      </c>
      <c r="X1690" s="13">
        <f t="shared" si="249"/>
        <v>9999.0426540284334</v>
      </c>
      <c r="Y1690" s="13">
        <f t="shared" si="251"/>
        <v>0</v>
      </c>
      <c r="Z1690" s="2">
        <v>0</v>
      </c>
      <c r="AA1690" s="4">
        <v>0</v>
      </c>
      <c r="AB1690" s="4">
        <f t="shared" si="252"/>
        <v>9999.0426540284334</v>
      </c>
      <c r="AC1690" s="6">
        <f t="shared" si="253"/>
        <v>549.94734597156275</v>
      </c>
      <c r="AD1690" s="4">
        <v>10548.989999999996</v>
      </c>
      <c r="AE1690" s="2">
        <v>0.06</v>
      </c>
      <c r="AF1690" s="5">
        <f t="shared" si="254"/>
        <v>632.93939999999975</v>
      </c>
      <c r="AG1690" s="2">
        <v>0</v>
      </c>
      <c r="AH1690" s="4">
        <f t="shared" si="250"/>
        <v>10548.989999999996</v>
      </c>
      <c r="AJ1690" s="126" t="e">
        <v>#N/A</v>
      </c>
      <c r="AK1690" s="80">
        <f t="shared" si="255"/>
        <v>0</v>
      </c>
      <c r="AM1690" s="85"/>
    </row>
    <row r="1691" spans="1:39" hidden="1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48"/>
        <v>0</v>
      </c>
      <c r="X1691" s="13">
        <f t="shared" si="249"/>
        <v>0</v>
      </c>
      <c r="Y1691" s="13">
        <f t="shared" si="251"/>
        <v>0</v>
      </c>
      <c r="Z1691" s="2">
        <v>0</v>
      </c>
      <c r="AA1691" s="4">
        <v>0</v>
      </c>
      <c r="AB1691" s="4">
        <f t="shared" si="252"/>
        <v>0</v>
      </c>
      <c r="AC1691" s="6">
        <f t="shared" si="253"/>
        <v>0</v>
      </c>
      <c r="AD1691" s="4">
        <v>0</v>
      </c>
      <c r="AE1691" s="2">
        <v>0.06</v>
      </c>
      <c r="AF1691" s="5">
        <f t="shared" si="254"/>
        <v>0</v>
      </c>
      <c r="AG1691" s="2">
        <v>0</v>
      </c>
      <c r="AH1691" s="4">
        <f t="shared" si="250"/>
        <v>0</v>
      </c>
      <c r="AJ1691" s="126" t="e">
        <v>#N/A</v>
      </c>
      <c r="AK1691" s="80">
        <f t="shared" si="255"/>
        <v>0</v>
      </c>
      <c r="AM1691" s="85"/>
    </row>
    <row r="1692" spans="1:39" hidden="1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48"/>
        <v>139186.71000000002</v>
      </c>
      <c r="X1692" s="13">
        <f t="shared" si="249"/>
        <v>190069.46919431278</v>
      </c>
      <c r="Y1692" s="13">
        <f t="shared" si="251"/>
        <v>0</v>
      </c>
      <c r="Z1692" s="2">
        <v>0</v>
      </c>
      <c r="AA1692" s="4">
        <v>0</v>
      </c>
      <c r="AB1692" s="4">
        <f t="shared" si="252"/>
        <v>190069.46919431278</v>
      </c>
      <c r="AC1692" s="6">
        <f t="shared" si="253"/>
        <v>10453.820805687195</v>
      </c>
      <c r="AD1692" s="4">
        <v>303166.00000000017</v>
      </c>
      <c r="AE1692" s="2">
        <v>0.06</v>
      </c>
      <c r="AF1692" s="5">
        <f t="shared" si="254"/>
        <v>18189.96000000001</v>
      </c>
      <c r="AG1692" s="2">
        <v>0</v>
      </c>
      <c r="AH1692" s="4">
        <f t="shared" si="250"/>
        <v>200523.28999999998</v>
      </c>
      <c r="AJ1692" s="126" t="e">
        <v>#N/A</v>
      </c>
      <c r="AK1692" s="80">
        <f t="shared" si="255"/>
        <v>0</v>
      </c>
      <c r="AM1692" s="85"/>
    </row>
    <row r="1693" spans="1:39" hidden="1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49"/>
        <v>1022643.3891213391</v>
      </c>
      <c r="Y1693" s="13">
        <f t="shared" si="251"/>
        <v>0</v>
      </c>
      <c r="Z1693" s="2">
        <v>0</v>
      </c>
      <c r="AA1693" s="4">
        <v>0</v>
      </c>
      <c r="AB1693" s="4">
        <f t="shared" si="252"/>
        <v>1022643.3891213391</v>
      </c>
      <c r="AC1693" s="6">
        <f t="shared" si="253"/>
        <v>199415.46087866102</v>
      </c>
      <c r="AD1693" s="4">
        <v>1699057.8699999999</v>
      </c>
      <c r="AE1693" s="2">
        <v>0.06</v>
      </c>
      <c r="AF1693" s="5">
        <f t="shared" si="254"/>
        <v>101943.47219999999</v>
      </c>
      <c r="AG1693" s="2">
        <v>0.14000000000000001</v>
      </c>
      <c r="AH1693" s="4">
        <f t="shared" si="250"/>
        <v>1071981.4473684211</v>
      </c>
      <c r="AJ1693" s="126" t="e">
        <v>#N/A</v>
      </c>
      <c r="AK1693" s="80">
        <f t="shared" si="255"/>
        <v>0</v>
      </c>
      <c r="AM1693" s="85"/>
    </row>
    <row r="1694" spans="1:39" hidden="1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48"/>
        <v>1516302.7611999998</v>
      </c>
      <c r="X1694" s="13">
        <f t="shared" si="249"/>
        <v>599486.13654618477</v>
      </c>
      <c r="Y1694" s="13">
        <f t="shared" si="251"/>
        <v>599486.13654618477</v>
      </c>
      <c r="Z1694" s="2">
        <v>0</v>
      </c>
      <c r="AA1694" s="4">
        <v>0</v>
      </c>
      <c r="AB1694" s="4">
        <f t="shared" si="252"/>
        <v>599486.13654618477</v>
      </c>
      <c r="AC1694" s="6">
        <f t="shared" si="253"/>
        <v>146874.10345381522</v>
      </c>
      <c r="AD1694" s="4">
        <v>0</v>
      </c>
      <c r="AE1694" s="2">
        <v>0.06</v>
      </c>
      <c r="AF1694" s="5">
        <f t="shared" si="254"/>
        <v>0</v>
      </c>
      <c r="AG1694" s="2">
        <v>0.19</v>
      </c>
      <c r="AH1694" s="4">
        <f t="shared" si="250"/>
        <v>627193.47899159661</v>
      </c>
      <c r="AJ1694" s="126" t="e">
        <v>#N/A</v>
      </c>
      <c r="AK1694" s="80">
        <f t="shared" si="255"/>
        <v>0</v>
      </c>
      <c r="AM1694" s="85"/>
    </row>
    <row r="1695" spans="1:39" hidden="1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48"/>
        <v>1513630.8875999991</v>
      </c>
      <c r="X1695" s="13">
        <f t="shared" si="249"/>
        <v>1961874.7984790874</v>
      </c>
      <c r="Y1695" s="13">
        <f t="shared" si="251"/>
        <v>0</v>
      </c>
      <c r="Z1695" s="2">
        <v>0</v>
      </c>
      <c r="AA1695" s="4">
        <v>0</v>
      </c>
      <c r="AB1695" s="4">
        <f t="shared" si="252"/>
        <v>1961874.7984790874</v>
      </c>
      <c r="AC1695" s="6">
        <f t="shared" si="253"/>
        <v>617990.56152091245</v>
      </c>
      <c r="AD1695" s="4">
        <v>3319326.98</v>
      </c>
      <c r="AE1695" s="2">
        <v>7.0000000000000007E-2</v>
      </c>
      <c r="AF1695" s="5">
        <f t="shared" si="254"/>
        <v>232352.88860000003</v>
      </c>
      <c r="AG1695" s="2">
        <v>0.26</v>
      </c>
      <c r="AH1695" s="4">
        <f t="shared" si="250"/>
        <v>2047512.1904761903</v>
      </c>
      <c r="AJ1695" s="126" t="e">
        <v>#N/A</v>
      </c>
      <c r="AK1695" s="80">
        <f t="shared" si="255"/>
        <v>0</v>
      </c>
      <c r="AM1695" s="85"/>
    </row>
    <row r="1696" spans="1:39" hidden="1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48"/>
        <v>2857157.1228</v>
      </c>
      <c r="X1696" s="13">
        <f t="shared" si="249"/>
        <v>1219807.4082397004</v>
      </c>
      <c r="Y1696" s="13">
        <f t="shared" si="251"/>
        <v>1219807.4082397004</v>
      </c>
      <c r="Z1696" s="2">
        <v>0</v>
      </c>
      <c r="AA1696" s="4">
        <v>0</v>
      </c>
      <c r="AB1696" s="4">
        <f t="shared" si="252"/>
        <v>1219807.4082397004</v>
      </c>
      <c r="AC1696" s="6">
        <f t="shared" si="253"/>
        <v>408635.48176029953</v>
      </c>
      <c r="AD1696" s="4">
        <v>0</v>
      </c>
      <c r="AE1696" s="2">
        <v>7.0000000000000007E-2</v>
      </c>
      <c r="AF1696" s="5">
        <f t="shared" si="254"/>
        <v>0</v>
      </c>
      <c r="AG1696" s="2">
        <v>0.28000000000000003</v>
      </c>
      <c r="AH1696" s="4">
        <f t="shared" si="250"/>
        <v>1272221.0078125</v>
      </c>
      <c r="AJ1696" s="126" t="e">
        <v>#N/A</v>
      </c>
      <c r="AK1696" s="80">
        <f t="shared" si="255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48"/>
        <v>21080.599999999933</v>
      </c>
      <c r="X1697" s="13">
        <f t="shared" si="249"/>
        <v>56635.639810426561</v>
      </c>
      <c r="Y1697" s="13">
        <f t="shared" si="251"/>
        <v>0</v>
      </c>
      <c r="Z1697" s="2">
        <v>0</v>
      </c>
      <c r="AA1697" s="4">
        <v>0</v>
      </c>
      <c r="AB1697" s="4">
        <f t="shared" si="252"/>
        <v>56635.639810426561</v>
      </c>
      <c r="AC1697" s="6">
        <f t="shared" si="253"/>
        <v>3114.9601895734595</v>
      </c>
      <c r="AD1697" s="4">
        <v>59750.60000000002</v>
      </c>
      <c r="AE1697" s="2">
        <v>0.06</v>
      </c>
      <c r="AF1697" s="5">
        <f t="shared" si="254"/>
        <v>3585.036000000001</v>
      </c>
      <c r="AG1697" s="2">
        <v>0</v>
      </c>
      <c r="AH1697" s="4">
        <f t="shared" si="250"/>
        <v>59750.60000000002</v>
      </c>
      <c r="AJ1697" s="126" t="e">
        <v>#N/A</v>
      </c>
      <c r="AK1697" s="80">
        <f t="shared" si="255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48"/>
        <v>1005178.2965000001</v>
      </c>
      <c r="X1698" s="13">
        <f t="shared" si="249"/>
        <v>620480.57028112456</v>
      </c>
      <c r="Y1698" s="13">
        <f t="shared" si="251"/>
        <v>0</v>
      </c>
      <c r="Z1698" s="2">
        <v>0</v>
      </c>
      <c r="AA1698" s="4">
        <v>0</v>
      </c>
      <c r="AB1698" s="4">
        <f t="shared" si="252"/>
        <v>620480.57028112456</v>
      </c>
      <c r="AC1698" s="6">
        <f t="shared" si="253"/>
        <v>152017.73971887538</v>
      </c>
      <c r="AD1698" s="4">
        <v>649159.68999999994</v>
      </c>
      <c r="AE1698" s="2">
        <v>0.06</v>
      </c>
      <c r="AF1698" s="5">
        <f t="shared" si="254"/>
        <v>38949.581399999995</v>
      </c>
      <c r="AG1698" s="2">
        <v>0.19</v>
      </c>
      <c r="AH1698" s="4">
        <f t="shared" si="250"/>
        <v>649158.24369747902</v>
      </c>
      <c r="AJ1698" s="126" t="e">
        <v>#N/A</v>
      </c>
      <c r="AK1698" s="80">
        <f t="shared" si="255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48"/>
        <v>-2.4899999999602733</v>
      </c>
      <c r="X1699" s="13">
        <f t="shared" si="249"/>
        <v>1.9526066350710902</v>
      </c>
      <c r="Y1699" s="13">
        <f t="shared" si="251"/>
        <v>0</v>
      </c>
      <c r="Z1699" s="2">
        <v>0</v>
      </c>
      <c r="AA1699" s="4">
        <v>0</v>
      </c>
      <c r="AB1699" s="4">
        <f t="shared" si="252"/>
        <v>1.9526066350710902</v>
      </c>
      <c r="AC1699" s="6">
        <f t="shared" si="253"/>
        <v>0.10739336492890983</v>
      </c>
      <c r="AD1699" s="4">
        <v>7978494.1499999994</v>
      </c>
      <c r="AE1699" s="2">
        <v>0.06</v>
      </c>
      <c r="AF1699" s="5">
        <f t="shared" si="254"/>
        <v>478709.64899999998</v>
      </c>
      <c r="AG1699" s="2">
        <v>0</v>
      </c>
      <c r="AH1699" s="4">
        <f t="shared" si="250"/>
        <v>2.06</v>
      </c>
      <c r="AJ1699" s="126" t="e">
        <v>#N/A</v>
      </c>
      <c r="AK1699" s="80">
        <f t="shared" si="255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48"/>
        <v>106575.59999999998</v>
      </c>
      <c r="X1700" s="13">
        <f t="shared" si="249"/>
        <v>299380.47393364954</v>
      </c>
      <c r="Y1700" s="13">
        <f t="shared" si="251"/>
        <v>0</v>
      </c>
      <c r="Z1700" s="2">
        <v>0</v>
      </c>
      <c r="AA1700" s="4">
        <v>0</v>
      </c>
      <c r="AB1700" s="4">
        <f t="shared" si="252"/>
        <v>299380.47393364954</v>
      </c>
      <c r="AC1700" s="6">
        <f t="shared" si="253"/>
        <v>16465.926066350716</v>
      </c>
      <c r="AD1700" s="4">
        <v>396773.35999999987</v>
      </c>
      <c r="AE1700" s="2">
        <v>0.06</v>
      </c>
      <c r="AF1700" s="5">
        <f t="shared" si="254"/>
        <v>23806.40159999999</v>
      </c>
      <c r="AG1700" s="2">
        <v>0</v>
      </c>
      <c r="AH1700" s="4">
        <f t="shared" si="250"/>
        <v>315846.40000000026</v>
      </c>
      <c r="AJ1700" s="126" t="e">
        <v>#N/A</v>
      </c>
      <c r="AK1700" s="80">
        <f t="shared" si="255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48"/>
        <v>0</v>
      </c>
      <c r="X1701" s="13">
        <f t="shared" si="249"/>
        <v>0</v>
      </c>
      <c r="Y1701" s="13">
        <f t="shared" si="251"/>
        <v>0</v>
      </c>
      <c r="Z1701" s="2">
        <v>0</v>
      </c>
      <c r="AA1701" s="4">
        <v>0</v>
      </c>
      <c r="AB1701" s="4">
        <f t="shared" si="252"/>
        <v>0</v>
      </c>
      <c r="AC1701" s="6">
        <f t="shared" si="253"/>
        <v>0</v>
      </c>
      <c r="AD1701" s="4">
        <v>0</v>
      </c>
      <c r="AE1701" s="2">
        <v>0.06</v>
      </c>
      <c r="AF1701" s="5">
        <f t="shared" si="254"/>
        <v>0</v>
      </c>
      <c r="AG1701" s="2">
        <v>0</v>
      </c>
      <c r="AH1701" s="4">
        <f t="shared" si="250"/>
        <v>0</v>
      </c>
      <c r="AJ1701" s="126" t="e">
        <v>#N/A</v>
      </c>
      <c r="AK1701" s="80">
        <f t="shared" si="255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3746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48"/>
        <v>0</v>
      </c>
      <c r="X1702" s="13">
        <f t="shared" si="249"/>
        <v>14369.156398104273</v>
      </c>
      <c r="Y1702" s="13">
        <f t="shared" si="251"/>
        <v>0</v>
      </c>
      <c r="Z1702" s="2">
        <v>0</v>
      </c>
      <c r="AA1702" s="4">
        <v>0</v>
      </c>
      <c r="AB1702" s="4">
        <f t="shared" si="252"/>
        <v>14369.156398104273</v>
      </c>
      <c r="AC1702" s="6">
        <f t="shared" si="253"/>
        <v>790.30360189573366</v>
      </c>
      <c r="AD1702" s="4">
        <v>56089.13</v>
      </c>
      <c r="AE1702" s="2">
        <v>7.0000000000000007E-2</v>
      </c>
      <c r="AF1702" s="5">
        <f t="shared" si="254"/>
        <v>3926.2391000000002</v>
      </c>
      <c r="AG1702" s="2">
        <v>0</v>
      </c>
      <c r="AH1702" s="4">
        <f t="shared" si="250"/>
        <v>15159.460000000006</v>
      </c>
      <c r="AJ1702" s="126" t="e">
        <v>#N/A</v>
      </c>
      <c r="AK1702" s="80">
        <f t="shared" si="255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48"/>
        <v>20751.500000000004</v>
      </c>
      <c r="X1703" s="13">
        <f t="shared" si="249"/>
        <v>22330.331753554499</v>
      </c>
      <c r="Y1703" s="13">
        <f t="shared" si="251"/>
        <v>0</v>
      </c>
      <c r="Z1703" s="2">
        <v>0</v>
      </c>
      <c r="AA1703" s="4">
        <v>0</v>
      </c>
      <c r="AB1703" s="4">
        <f t="shared" si="252"/>
        <v>22330.331753554499</v>
      </c>
      <c r="AC1703" s="6">
        <f t="shared" si="253"/>
        <v>1228.1682464454971</v>
      </c>
      <c r="AD1703" s="4">
        <v>23558.499999999996</v>
      </c>
      <c r="AE1703" s="2">
        <v>0.06</v>
      </c>
      <c r="AF1703" s="5">
        <f t="shared" si="254"/>
        <v>1413.5099999999998</v>
      </c>
      <c r="AG1703" s="2">
        <v>0</v>
      </c>
      <c r="AH1703" s="4">
        <f t="shared" si="250"/>
        <v>23558.499999999996</v>
      </c>
      <c r="AJ1703" s="126" t="e">
        <v>#N/A</v>
      </c>
      <c r="AK1703" s="80">
        <f t="shared" si="255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48"/>
        <v>0</v>
      </c>
      <c r="X1704" s="13">
        <f t="shared" si="249"/>
        <v>8589.7630331753517</v>
      </c>
      <c r="Y1704" s="13">
        <f t="shared" si="251"/>
        <v>0</v>
      </c>
      <c r="Z1704" s="2">
        <v>0</v>
      </c>
      <c r="AA1704" s="4">
        <v>0</v>
      </c>
      <c r="AB1704" s="4">
        <f t="shared" si="252"/>
        <v>8589.7630331753517</v>
      </c>
      <c r="AC1704" s="6">
        <f t="shared" si="253"/>
        <v>472.4369668246436</v>
      </c>
      <c r="AD1704" s="4">
        <v>24707.52</v>
      </c>
      <c r="AE1704" s="2">
        <v>0.06</v>
      </c>
      <c r="AF1704" s="5">
        <f t="shared" si="254"/>
        <v>1482.4512</v>
      </c>
      <c r="AG1704" s="2">
        <v>0</v>
      </c>
      <c r="AH1704" s="4">
        <f t="shared" si="250"/>
        <v>9062.1999999999953</v>
      </c>
      <c r="AJ1704" s="126" t="e">
        <v>#N/A</v>
      </c>
      <c r="AK1704" s="80">
        <f t="shared" si="255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48"/>
        <v>0</v>
      </c>
      <c r="X1705" s="13">
        <f t="shared" si="249"/>
        <v>0</v>
      </c>
      <c r="Y1705" s="13">
        <f t="shared" si="251"/>
        <v>0</v>
      </c>
      <c r="Z1705" s="2">
        <v>0</v>
      </c>
      <c r="AA1705" s="4">
        <v>0</v>
      </c>
      <c r="AB1705" s="4">
        <f t="shared" si="252"/>
        <v>0</v>
      </c>
      <c r="AC1705" s="6">
        <f t="shared" si="253"/>
        <v>0</v>
      </c>
      <c r="AD1705" s="4">
        <v>0</v>
      </c>
      <c r="AE1705" s="2">
        <v>0.06</v>
      </c>
      <c r="AF1705" s="5">
        <f t="shared" si="254"/>
        <v>0</v>
      </c>
      <c r="AG1705" s="2">
        <v>0</v>
      </c>
      <c r="AH1705" s="4">
        <f t="shared" si="250"/>
        <v>0</v>
      </c>
      <c r="AJ1705" s="126" t="e">
        <v>#N/A</v>
      </c>
      <c r="AK1705" s="80">
        <f t="shared" si="255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48"/>
        <v>1727538.0879999995</v>
      </c>
      <c r="X1706" s="13">
        <f t="shared" si="249"/>
        <v>5051400.8161434988</v>
      </c>
      <c r="Y1706" s="13">
        <f t="shared" si="251"/>
        <v>5051400.8161434988</v>
      </c>
      <c r="Z1706" s="2">
        <v>0</v>
      </c>
      <c r="AA1706" s="4">
        <v>0</v>
      </c>
      <c r="AB1706" s="4">
        <f t="shared" si="252"/>
        <v>5051400.8161434988</v>
      </c>
      <c r="AC1706" s="6">
        <f t="shared" si="253"/>
        <v>580911.09385650232</v>
      </c>
      <c r="AD1706" s="4">
        <v>0</v>
      </c>
      <c r="AE1706" s="2">
        <v>0.06</v>
      </c>
      <c r="AF1706" s="5">
        <f t="shared" si="254"/>
        <v>0</v>
      </c>
      <c r="AG1706" s="2">
        <v>0.06</v>
      </c>
      <c r="AH1706" s="4">
        <f t="shared" si="250"/>
        <v>5313501.8018867932</v>
      </c>
      <c r="AJ1706" s="126" t="e">
        <v>#N/A</v>
      </c>
      <c r="AK1706" s="80">
        <f t="shared" si="255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48"/>
        <v>1369594.9351000013</v>
      </c>
      <c r="X1707" s="13">
        <f t="shared" si="249"/>
        <v>2539923.7429718859</v>
      </c>
      <c r="Y1707" s="13">
        <f t="shared" si="251"/>
        <v>2539923.7429718859</v>
      </c>
      <c r="Z1707" s="2">
        <v>0</v>
      </c>
      <c r="AA1707" s="4">
        <v>0</v>
      </c>
      <c r="AB1707" s="4">
        <f t="shared" si="252"/>
        <v>2539923.7429718859</v>
      </c>
      <c r="AC1707" s="6">
        <f t="shared" si="253"/>
        <v>622281.31702811178</v>
      </c>
      <c r="AD1707" s="4">
        <v>0</v>
      </c>
      <c r="AE1707" s="2">
        <v>0.06</v>
      </c>
      <c r="AF1707" s="5">
        <f t="shared" si="254"/>
        <v>0</v>
      </c>
      <c r="AG1707" s="2">
        <v>0.19</v>
      </c>
      <c r="AH1707" s="4">
        <f t="shared" si="250"/>
        <v>2657315.1764705866</v>
      </c>
      <c r="AJ1707" s="126" t="e">
        <v>#N/A</v>
      </c>
      <c r="AK1707" s="80">
        <f t="shared" si="255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48"/>
        <v>76017.850800000015</v>
      </c>
      <c r="X1708" s="13">
        <f t="shared" si="249"/>
        <v>42191.749049429658</v>
      </c>
      <c r="Y1708" s="13">
        <f t="shared" si="251"/>
        <v>42191.749049429658</v>
      </c>
      <c r="Z1708" s="2">
        <v>0</v>
      </c>
      <c r="AA1708" s="4">
        <v>0</v>
      </c>
      <c r="AB1708" s="4">
        <f t="shared" si="252"/>
        <v>42191.749049429658</v>
      </c>
      <c r="AC1708" s="6">
        <f t="shared" si="253"/>
        <v>13290.400950570336</v>
      </c>
      <c r="AD1708" s="4">
        <v>0</v>
      </c>
      <c r="AE1708" s="2">
        <v>7.0000000000000007E-2</v>
      </c>
      <c r="AF1708" s="5">
        <f t="shared" si="254"/>
        <v>0</v>
      </c>
      <c r="AG1708" s="2">
        <v>0.26</v>
      </c>
      <c r="AH1708" s="4">
        <f t="shared" si="250"/>
        <v>44033.452380952374</v>
      </c>
      <c r="AJ1708" s="126" t="e">
        <v>#N/A</v>
      </c>
      <c r="AK1708" s="80">
        <f t="shared" si="255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48"/>
        <v>442465.03020000039</v>
      </c>
      <c r="X1709" s="13">
        <f t="shared" si="249"/>
        <v>974654.69565217418</v>
      </c>
      <c r="Y1709" s="13">
        <f t="shared" si="251"/>
        <v>0</v>
      </c>
      <c r="Z1709" s="2">
        <v>0</v>
      </c>
      <c r="AA1709" s="4">
        <v>0</v>
      </c>
      <c r="AB1709" s="4">
        <f t="shared" si="252"/>
        <v>974654.69565217418</v>
      </c>
      <c r="AC1709" s="6">
        <f t="shared" si="253"/>
        <v>258283.494347826</v>
      </c>
      <c r="AD1709" s="4">
        <v>1018961.9500000001</v>
      </c>
      <c r="AE1709" s="2">
        <v>0.06</v>
      </c>
      <c r="AF1709" s="5">
        <f t="shared" si="254"/>
        <v>61137.717000000004</v>
      </c>
      <c r="AG1709" s="2">
        <v>0.21</v>
      </c>
      <c r="AH1709" s="4">
        <f t="shared" si="250"/>
        <v>1018957.181818182</v>
      </c>
      <c r="AJ1709" s="126" t="e">
        <v>#N/A</v>
      </c>
      <c r="AK1709" s="80">
        <f t="shared" si="255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48"/>
        <v>1593340.5569999851</v>
      </c>
      <c r="X1710" s="13">
        <f t="shared" si="249"/>
        <v>13409187.161290318</v>
      </c>
      <c r="Y1710" s="13">
        <f t="shared" si="251"/>
        <v>0</v>
      </c>
      <c r="Z1710" s="2">
        <v>0</v>
      </c>
      <c r="AA1710" s="4">
        <v>0</v>
      </c>
      <c r="AB1710" s="4">
        <f t="shared" si="252"/>
        <v>13409187.161290318</v>
      </c>
      <c r="AC1710" s="6">
        <f t="shared" si="253"/>
        <v>5296628.9287096746</v>
      </c>
      <c r="AD1710" s="4">
        <v>13959604.75</v>
      </c>
      <c r="AE1710" s="2">
        <v>0.06</v>
      </c>
      <c r="AF1710" s="5">
        <f t="shared" si="254"/>
        <v>837576.28499999992</v>
      </c>
      <c r="AG1710" s="2">
        <v>0.34</v>
      </c>
      <c r="AH1710" s="4">
        <f t="shared" si="250"/>
        <v>13959564.246268651</v>
      </c>
      <c r="AJ1710" s="126" t="e">
        <v>#N/A</v>
      </c>
      <c r="AK1710" s="80">
        <f t="shared" si="255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48"/>
        <v>-75465.168399998918</v>
      </c>
      <c r="X1711" s="13">
        <f t="shared" si="249"/>
        <v>0</v>
      </c>
      <c r="Y1711" s="13">
        <f t="shared" si="251"/>
        <v>0</v>
      </c>
      <c r="Z1711" s="2">
        <v>0</v>
      </c>
      <c r="AA1711" s="4">
        <v>0</v>
      </c>
      <c r="AB1711" s="4">
        <f t="shared" si="252"/>
        <v>0</v>
      </c>
      <c r="AC1711" s="6">
        <f t="shared" si="253"/>
        <v>0</v>
      </c>
      <c r="AD1711" s="4">
        <v>4582808.5900000008</v>
      </c>
      <c r="AE1711" s="2">
        <v>7.0000000000000007E-2</v>
      </c>
      <c r="AF1711" s="5">
        <f t="shared" si="254"/>
        <v>320796.6013000001</v>
      </c>
      <c r="AG1711" s="2">
        <v>0.24</v>
      </c>
      <c r="AH1711" s="4">
        <f t="shared" si="250"/>
        <v>0</v>
      </c>
      <c r="AJ1711" s="126" t="e">
        <v>#N/A</v>
      </c>
      <c r="AK1711" s="80">
        <f t="shared" si="255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48"/>
        <v>3812921.3632000005</v>
      </c>
      <c r="X1712" s="13">
        <f t="shared" si="249"/>
        <v>4393879.1310861418</v>
      </c>
      <c r="Y1712" s="13">
        <f t="shared" si="251"/>
        <v>4393879.1310861418</v>
      </c>
      <c r="Z1712" s="2">
        <v>0</v>
      </c>
      <c r="AA1712" s="4">
        <v>0</v>
      </c>
      <c r="AB1712" s="4">
        <f t="shared" si="252"/>
        <v>4393879.1310861418</v>
      </c>
      <c r="AC1712" s="6">
        <f t="shared" si="253"/>
        <v>1471949.5089138579</v>
      </c>
      <c r="AD1712" s="4">
        <v>0</v>
      </c>
      <c r="AE1712" s="2">
        <v>7.0000000000000007E-2</v>
      </c>
      <c r="AF1712" s="5">
        <f t="shared" si="254"/>
        <v>0</v>
      </c>
      <c r="AG1712" s="2">
        <v>0.28000000000000003</v>
      </c>
      <c r="AH1712" s="4">
        <f t="shared" si="250"/>
        <v>4582678.625</v>
      </c>
      <c r="AJ1712" s="126" t="e">
        <v>#N/A</v>
      </c>
      <c r="AK1712" s="80">
        <f t="shared" si="255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48"/>
        <v>0</v>
      </c>
      <c r="X1713" s="13">
        <f t="shared" si="249"/>
        <v>95450.464454976362</v>
      </c>
      <c r="Y1713" s="13">
        <f t="shared" si="251"/>
        <v>0</v>
      </c>
      <c r="Z1713" s="2">
        <v>0</v>
      </c>
      <c r="AA1713" s="4">
        <v>0</v>
      </c>
      <c r="AB1713" s="4">
        <f t="shared" si="252"/>
        <v>95450.464454976362</v>
      </c>
      <c r="AC1713" s="6">
        <f t="shared" si="253"/>
        <v>5249.7755450236873</v>
      </c>
      <c r="AD1713" s="4">
        <v>226634.19999999998</v>
      </c>
      <c r="AE1713" s="2">
        <v>0.06</v>
      </c>
      <c r="AF1713" s="5">
        <f t="shared" si="254"/>
        <v>13598.051999999998</v>
      </c>
      <c r="AG1713" s="2">
        <v>0</v>
      </c>
      <c r="AH1713" s="4">
        <f t="shared" si="250"/>
        <v>100700.24000000005</v>
      </c>
      <c r="AJ1713" s="126" t="e">
        <v>#N/A</v>
      </c>
      <c r="AK1713" s="80">
        <f t="shared" si="255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48"/>
        <v>0</v>
      </c>
      <c r="X1714" s="13">
        <f t="shared" si="249"/>
        <v>0</v>
      </c>
      <c r="Y1714" s="13">
        <f t="shared" si="251"/>
        <v>0</v>
      </c>
      <c r="Z1714" s="2">
        <v>0</v>
      </c>
      <c r="AA1714" s="4">
        <v>0</v>
      </c>
      <c r="AB1714" s="4">
        <f t="shared" si="252"/>
        <v>0</v>
      </c>
      <c r="AC1714" s="6">
        <f t="shared" si="253"/>
        <v>0</v>
      </c>
      <c r="AD1714" s="4">
        <v>0</v>
      </c>
      <c r="AE1714" s="2">
        <v>0.06</v>
      </c>
      <c r="AF1714" s="5">
        <f t="shared" si="254"/>
        <v>0</v>
      </c>
      <c r="AG1714" s="2">
        <v>0</v>
      </c>
      <c r="AH1714" s="4">
        <f t="shared" si="250"/>
        <v>0</v>
      </c>
      <c r="AJ1714" s="126" t="e">
        <v>#N/A</v>
      </c>
      <c r="AK1714" s="80">
        <f t="shared" si="255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48"/>
        <v>0</v>
      </c>
      <c r="X1715" s="13">
        <f t="shared" si="249"/>
        <v>0</v>
      </c>
      <c r="Y1715" s="13">
        <f t="shared" si="251"/>
        <v>0</v>
      </c>
      <c r="Z1715" s="2">
        <v>0</v>
      </c>
      <c r="AA1715" s="4">
        <v>0</v>
      </c>
      <c r="AB1715" s="4">
        <f t="shared" si="252"/>
        <v>0</v>
      </c>
      <c r="AC1715" s="6">
        <f t="shared" si="253"/>
        <v>0</v>
      </c>
      <c r="AD1715" s="4">
        <v>0</v>
      </c>
      <c r="AE1715" s="2">
        <v>7.0000000000000007E-2</v>
      </c>
      <c r="AF1715" s="5">
        <f t="shared" si="254"/>
        <v>0</v>
      </c>
      <c r="AG1715" s="2">
        <v>0</v>
      </c>
      <c r="AH1715" s="4">
        <f t="shared" si="250"/>
        <v>0</v>
      </c>
      <c r="AJ1715" s="126" t="e">
        <v>#N/A</v>
      </c>
      <c r="AK1715" s="80">
        <f t="shared" si="255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48"/>
        <v>0</v>
      </c>
      <c r="X1716" s="13">
        <f t="shared" si="249"/>
        <v>0</v>
      </c>
      <c r="Y1716" s="13">
        <f t="shared" si="251"/>
        <v>0</v>
      </c>
      <c r="Z1716" s="2">
        <v>0</v>
      </c>
      <c r="AA1716" s="4">
        <v>0</v>
      </c>
      <c r="AB1716" s="4">
        <f t="shared" si="252"/>
        <v>0</v>
      </c>
      <c r="AC1716" s="6">
        <f t="shared" si="253"/>
        <v>0</v>
      </c>
      <c r="AD1716" s="4">
        <v>0</v>
      </c>
      <c r="AE1716" s="2">
        <v>0.06</v>
      </c>
      <c r="AF1716" s="5">
        <f t="shared" si="254"/>
        <v>0</v>
      </c>
      <c r="AG1716" s="2">
        <v>0</v>
      </c>
      <c r="AH1716" s="4">
        <f t="shared" si="250"/>
        <v>0</v>
      </c>
      <c r="AJ1716" s="126" t="e">
        <v>#N/A</v>
      </c>
      <c r="AK1716" s="80">
        <f t="shared" si="255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48"/>
        <v>1708543.8620000025</v>
      </c>
      <c r="X1717" s="13">
        <f t="shared" si="249"/>
        <v>2691408.5022421521</v>
      </c>
      <c r="Y1717" s="13">
        <f t="shared" si="251"/>
        <v>0</v>
      </c>
      <c r="Z1717" s="2">
        <v>0</v>
      </c>
      <c r="AA1717" s="4">
        <v>0</v>
      </c>
      <c r="AB1717" s="4">
        <f t="shared" si="252"/>
        <v>2691408.5022421521</v>
      </c>
      <c r="AC1717" s="6">
        <f t="shared" si="253"/>
        <v>309511.9777578474</v>
      </c>
      <c r="AD1717" s="4">
        <v>2831062.9400000009</v>
      </c>
      <c r="AE1717" s="2">
        <v>0.06</v>
      </c>
      <c r="AF1717" s="5">
        <f t="shared" si="254"/>
        <v>169863.77640000006</v>
      </c>
      <c r="AG1717" s="2">
        <v>0.06</v>
      </c>
      <c r="AH1717" s="4">
        <f t="shared" si="250"/>
        <v>2831057.056603773</v>
      </c>
      <c r="AJ1717" s="126" t="e">
        <v>#N/A</v>
      </c>
      <c r="AK1717" s="80">
        <f t="shared" si="255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48"/>
        <v>337503.47</v>
      </c>
      <c r="X1718" s="13">
        <f t="shared" si="249"/>
        <v>202128.36792452825</v>
      </c>
      <c r="Y1718" s="13">
        <f t="shared" si="251"/>
        <v>4.3379245282558259</v>
      </c>
      <c r="Z1718" s="2">
        <v>0</v>
      </c>
      <c r="AA1718" s="4">
        <v>0</v>
      </c>
      <c r="AB1718" s="4">
        <f t="shared" si="252"/>
        <v>202128.36792452825</v>
      </c>
      <c r="AC1718" s="6">
        <f t="shared" si="253"/>
        <v>12127.702075471694</v>
      </c>
      <c r="AD1718" s="4">
        <v>202124.03</v>
      </c>
      <c r="AE1718" s="2">
        <v>0.06</v>
      </c>
      <c r="AF1718" s="5">
        <f t="shared" si="254"/>
        <v>12127.441799999999</v>
      </c>
      <c r="AG1718" s="2">
        <v>0.06</v>
      </c>
      <c r="AH1718" s="4">
        <f t="shared" si="250"/>
        <v>202128.36792452825</v>
      </c>
      <c r="AJ1718" s="126" t="e">
        <v>#N/A</v>
      </c>
      <c r="AK1718" s="80">
        <f t="shared" si="255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48"/>
        <v>1848766.5433000005</v>
      </c>
      <c r="X1719" s="13">
        <f t="shared" si="249"/>
        <v>835328.82780921576</v>
      </c>
      <c r="Y1719" s="13">
        <f t="shared" si="251"/>
        <v>0</v>
      </c>
      <c r="Z1719" s="2">
        <v>0</v>
      </c>
      <c r="AA1719" s="4">
        <v>0</v>
      </c>
      <c r="AB1719" s="4">
        <f t="shared" si="252"/>
        <v>835328.82780921576</v>
      </c>
      <c r="AC1719" s="6">
        <f t="shared" si="253"/>
        <v>197972.93219078402</v>
      </c>
      <c r="AD1719" s="4">
        <v>868322.45</v>
      </c>
      <c r="AE1719" s="2">
        <v>0.06</v>
      </c>
      <c r="AF1719" s="5">
        <f t="shared" si="254"/>
        <v>52099.346999999994</v>
      </c>
      <c r="AG1719" s="2">
        <v>0.19</v>
      </c>
      <c r="AH1719" s="4">
        <f t="shared" si="250"/>
        <v>868320.80672268895</v>
      </c>
      <c r="AJ1719" s="126" t="e">
        <v>#N/A</v>
      </c>
      <c r="AK1719" s="80">
        <f t="shared" si="255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48"/>
        <v>6384.2539000003162</v>
      </c>
      <c r="X1720" s="13">
        <f t="shared" si="249"/>
        <v>43615.746099999684</v>
      </c>
      <c r="Y1720" s="13">
        <f t="shared" si="251"/>
        <v>0</v>
      </c>
      <c r="Z1720" s="2">
        <v>0</v>
      </c>
      <c r="AA1720" s="4">
        <v>0</v>
      </c>
      <c r="AB1720" s="4">
        <f t="shared" si="252"/>
        <v>43615.746099999684</v>
      </c>
      <c r="AC1720" s="6">
        <f t="shared" si="253"/>
        <v>0</v>
      </c>
      <c r="AD1720" s="4">
        <v>104725.21</v>
      </c>
      <c r="AE1720" s="2">
        <v>0.06</v>
      </c>
      <c r="AF1720" s="5">
        <f t="shared" si="254"/>
        <v>6283.5126</v>
      </c>
      <c r="AG1720" s="2">
        <v>0</v>
      </c>
      <c r="AH1720" s="4">
        <f t="shared" si="250"/>
        <v>43615.746099999684</v>
      </c>
      <c r="AJ1720" s="126" t="e">
        <v>#N/A</v>
      </c>
      <c r="AK1720" s="80">
        <f t="shared" si="255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48"/>
        <v>475405.3899999992</v>
      </c>
      <c r="X1721" s="13">
        <f t="shared" si="249"/>
        <v>724594.6100000008</v>
      </c>
      <c r="Y1721" s="13">
        <f t="shared" si="251"/>
        <v>0</v>
      </c>
      <c r="Z1721" s="2">
        <v>0</v>
      </c>
      <c r="AA1721" s="4">
        <v>0</v>
      </c>
      <c r="AB1721" s="4">
        <f t="shared" si="252"/>
        <v>724594.6100000008</v>
      </c>
      <c r="AC1721" s="6">
        <f t="shared" si="253"/>
        <v>0</v>
      </c>
      <c r="AD1721" s="4">
        <v>1099946.3699999999</v>
      </c>
      <c r="AE1721" s="2">
        <v>0.06</v>
      </c>
      <c r="AF1721" s="5">
        <f t="shared" si="254"/>
        <v>65996.782199999987</v>
      </c>
      <c r="AG1721" s="2">
        <v>0</v>
      </c>
      <c r="AH1721" s="4">
        <f t="shared" si="250"/>
        <v>724594.6100000008</v>
      </c>
      <c r="AJ1721" s="126" t="e">
        <v>#N/A</v>
      </c>
      <c r="AK1721" s="80">
        <f t="shared" si="255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3753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48"/>
        <v>50000</v>
      </c>
      <c r="X1722" s="13">
        <f t="shared" si="249"/>
        <v>0</v>
      </c>
      <c r="Y1722" s="13">
        <f t="shared" si="251"/>
        <v>0</v>
      </c>
      <c r="Z1722" s="2">
        <v>0</v>
      </c>
      <c r="AA1722" s="4">
        <v>0</v>
      </c>
      <c r="AB1722" s="4">
        <f t="shared" si="252"/>
        <v>0</v>
      </c>
      <c r="AC1722" s="6">
        <f t="shared" si="253"/>
        <v>0</v>
      </c>
      <c r="AD1722" s="4">
        <v>0</v>
      </c>
      <c r="AE1722" s="2">
        <v>0.06</v>
      </c>
      <c r="AF1722" s="5">
        <f t="shared" si="254"/>
        <v>0</v>
      </c>
      <c r="AG1722" s="2">
        <v>0</v>
      </c>
      <c r="AH1722" s="4">
        <f t="shared" si="250"/>
        <v>0</v>
      </c>
      <c r="AJ1722" s="126" t="e">
        <v>#N/A</v>
      </c>
      <c r="AK1722" s="80">
        <f t="shared" si="255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3754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48"/>
        <v>358564.49</v>
      </c>
      <c r="X1723" s="13">
        <f t="shared" si="249"/>
        <v>88772.339805825221</v>
      </c>
      <c r="Y1723" s="13">
        <f t="shared" si="251"/>
        <v>0</v>
      </c>
      <c r="Z1723" s="2">
        <v>0</v>
      </c>
      <c r="AA1723" s="4">
        <v>0</v>
      </c>
      <c r="AB1723" s="4">
        <f t="shared" si="252"/>
        <v>88772.339805825221</v>
      </c>
      <c r="AC1723" s="6">
        <f t="shared" si="253"/>
        <v>2663.1701941747597</v>
      </c>
      <c r="AD1723" s="4">
        <v>91435.50999999998</v>
      </c>
      <c r="AE1723" s="2">
        <v>7.0000000000000007E-2</v>
      </c>
      <c r="AF1723" s="5">
        <f t="shared" si="254"/>
        <v>6400.4856999999993</v>
      </c>
      <c r="AG1723" s="2">
        <v>0</v>
      </c>
      <c r="AH1723" s="4">
        <f t="shared" si="250"/>
        <v>91435.50999999998</v>
      </c>
      <c r="AJ1723" s="126" t="e">
        <v>#N/A</v>
      </c>
      <c r="AK1723" s="80">
        <f t="shared" si="255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48"/>
        <v>18223.559999999998</v>
      </c>
      <c r="X1724" s="13">
        <f t="shared" si="249"/>
        <v>11776.440000000002</v>
      </c>
      <c r="Y1724" s="13">
        <f t="shared" si="251"/>
        <v>11776.440000000002</v>
      </c>
      <c r="Z1724" s="2">
        <v>0</v>
      </c>
      <c r="AA1724" s="4">
        <v>0</v>
      </c>
      <c r="AB1724" s="4">
        <f t="shared" si="252"/>
        <v>11776.440000000002</v>
      </c>
      <c r="AC1724" s="6">
        <f t="shared" si="253"/>
        <v>0</v>
      </c>
      <c r="AD1724" s="4">
        <v>0</v>
      </c>
      <c r="AE1724" s="2">
        <v>0.06</v>
      </c>
      <c r="AF1724" s="5">
        <f t="shared" si="254"/>
        <v>0</v>
      </c>
      <c r="AG1724" s="2">
        <v>0</v>
      </c>
      <c r="AH1724" s="4">
        <f t="shared" si="250"/>
        <v>11776.440000000002</v>
      </c>
      <c r="AJ1724" s="126" t="e">
        <v>#N/A</v>
      </c>
      <c r="AK1724" s="80">
        <f t="shared" si="255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48"/>
        <v>2595.0299999999952</v>
      </c>
      <c r="X1725" s="13">
        <f t="shared" si="249"/>
        <v>13627.621359223305</v>
      </c>
      <c r="Y1725" s="13">
        <f t="shared" si="251"/>
        <v>0</v>
      </c>
      <c r="Z1725" s="2">
        <v>0</v>
      </c>
      <c r="AA1725" s="4">
        <v>0</v>
      </c>
      <c r="AB1725" s="4">
        <f t="shared" si="252"/>
        <v>13627.621359223305</v>
      </c>
      <c r="AC1725" s="6">
        <f t="shared" si="253"/>
        <v>408.8286407766991</v>
      </c>
      <c r="AD1725" s="4">
        <v>14036.450000000004</v>
      </c>
      <c r="AE1725" s="2">
        <v>0.06</v>
      </c>
      <c r="AF1725" s="5">
        <f t="shared" si="254"/>
        <v>842.18700000000024</v>
      </c>
      <c r="AG1725" s="2">
        <v>0</v>
      </c>
      <c r="AH1725" s="4">
        <f t="shared" si="250"/>
        <v>14036.450000000004</v>
      </c>
      <c r="AJ1725" s="126" t="e">
        <v>#N/A</v>
      </c>
      <c r="AK1725" s="80">
        <f t="shared" si="255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48"/>
        <v>754823.80109999841</v>
      </c>
      <c r="X1726" s="13">
        <f t="shared" si="249"/>
        <v>1345176.1989000016</v>
      </c>
      <c r="Y1726" s="13">
        <f t="shared" si="251"/>
        <v>0</v>
      </c>
      <c r="Z1726" s="2">
        <v>0</v>
      </c>
      <c r="AA1726" s="4">
        <v>0</v>
      </c>
      <c r="AB1726" s="4">
        <f t="shared" si="252"/>
        <v>1345176.1989000016</v>
      </c>
      <c r="AC1726" s="6">
        <f t="shared" si="253"/>
        <v>0</v>
      </c>
      <c r="AD1726" s="4">
        <v>1807430.8800000004</v>
      </c>
      <c r="AE1726" s="2">
        <v>0.06</v>
      </c>
      <c r="AF1726" s="5">
        <f t="shared" si="254"/>
        <v>108445.85280000002</v>
      </c>
      <c r="AG1726" s="2">
        <v>0</v>
      </c>
      <c r="AH1726" s="4">
        <f t="shared" si="250"/>
        <v>1345176.1989000016</v>
      </c>
      <c r="AJ1726" s="126" t="e">
        <v>#N/A</v>
      </c>
      <c r="AK1726" s="80">
        <f t="shared" si="255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48"/>
        <v>24798.23000000001</v>
      </c>
      <c r="X1727" s="13">
        <f t="shared" si="249"/>
        <v>25201.76999999999</v>
      </c>
      <c r="Y1727" s="13">
        <f t="shared" si="251"/>
        <v>0</v>
      </c>
      <c r="Z1727" s="2">
        <v>0</v>
      </c>
      <c r="AA1727" s="4">
        <v>0</v>
      </c>
      <c r="AB1727" s="4">
        <f t="shared" si="252"/>
        <v>25201.76999999999</v>
      </c>
      <c r="AC1727" s="6">
        <f t="shared" si="253"/>
        <v>0</v>
      </c>
      <c r="AD1727" s="4">
        <v>25201.76999999999</v>
      </c>
      <c r="AE1727" s="2">
        <v>0.06</v>
      </c>
      <c r="AF1727" s="5">
        <f t="shared" si="254"/>
        <v>1512.1061999999993</v>
      </c>
      <c r="AG1727" s="2">
        <v>0</v>
      </c>
      <c r="AH1727" s="4">
        <f t="shared" si="250"/>
        <v>25201.76999999999</v>
      </c>
      <c r="AJ1727" s="126" t="e">
        <v>#N/A</v>
      </c>
      <c r="AK1727" s="80">
        <f t="shared" si="255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3755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56">T1728+U1728-V1728</f>
        <v>19870.600000000006</v>
      </c>
      <c r="X1728" s="13">
        <f t="shared" si="249"/>
        <v>130708.15533980582</v>
      </c>
      <c r="Y1728" s="13">
        <f t="shared" si="251"/>
        <v>0</v>
      </c>
      <c r="Z1728" s="2">
        <v>0</v>
      </c>
      <c r="AA1728" s="4">
        <v>0</v>
      </c>
      <c r="AB1728" s="4">
        <f t="shared" si="252"/>
        <v>130708.15533980582</v>
      </c>
      <c r="AC1728" s="6">
        <f t="shared" si="253"/>
        <v>3921.2446601941774</v>
      </c>
      <c r="AD1728" s="4">
        <v>134629.39999999994</v>
      </c>
      <c r="AE1728" s="2">
        <v>7.0000000000000007E-2</v>
      </c>
      <c r="AF1728" s="5">
        <f t="shared" si="254"/>
        <v>9424.0579999999973</v>
      </c>
      <c r="AG1728" s="2">
        <v>0</v>
      </c>
      <c r="AH1728" s="4">
        <f t="shared" si="250"/>
        <v>134629.4</v>
      </c>
      <c r="AJ1728" s="126" t="e">
        <v>#N/A</v>
      </c>
      <c r="AK1728" s="80">
        <f t="shared" si="255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56"/>
        <v>351898.23600000027</v>
      </c>
      <c r="X1729" s="13">
        <f t="shared" ref="X1729:X1792" si="257">IF(P1729="折扣",V1729*Q1729,IF(P1729="返现",V1729,V1729/(1+Q1729+AG1729)))</f>
        <v>802471.28873239434</v>
      </c>
      <c r="Y1729" s="13">
        <f t="shared" si="251"/>
        <v>0</v>
      </c>
      <c r="Z1729" s="2">
        <v>0</v>
      </c>
      <c r="AA1729" s="4">
        <v>0</v>
      </c>
      <c r="AB1729" s="4">
        <f t="shared" si="252"/>
        <v>802471.28873239434</v>
      </c>
      <c r="AC1729" s="6">
        <f t="shared" si="253"/>
        <v>337037.94126760564</v>
      </c>
      <c r="AD1729" s="4">
        <v>813933.66000000027</v>
      </c>
      <c r="AE1729" s="2">
        <v>7.0000000000000007E-2</v>
      </c>
      <c r="AF1729" s="5">
        <f t="shared" si="254"/>
        <v>56975.356200000024</v>
      </c>
      <c r="AG1729" s="2">
        <v>0.4</v>
      </c>
      <c r="AH1729" s="4">
        <f t="shared" ref="AH1729:AH1792" si="258">V1729/(1+AG1729)</f>
        <v>813935.16428571427</v>
      </c>
      <c r="AJ1729" s="126" t="e">
        <v>#N/A</v>
      </c>
      <c r="AK1729" s="80">
        <f t="shared" si="255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56"/>
        <v>17803.209500000055</v>
      </c>
      <c r="X1730" s="13">
        <f t="shared" si="257"/>
        <v>64249.605633802814</v>
      </c>
      <c r="Y1730" s="13">
        <f t="shared" si="251"/>
        <v>0</v>
      </c>
      <c r="Z1730" s="2">
        <v>0</v>
      </c>
      <c r="AA1730" s="4">
        <v>0</v>
      </c>
      <c r="AB1730" s="4">
        <f t="shared" si="252"/>
        <v>64249.605633802814</v>
      </c>
      <c r="AC1730" s="6">
        <f t="shared" si="253"/>
        <v>26984.834366197174</v>
      </c>
      <c r="AD1730" s="4">
        <v>66594.339999999982</v>
      </c>
      <c r="AE1730" s="2">
        <v>0.06</v>
      </c>
      <c r="AF1730" s="5">
        <f t="shared" si="254"/>
        <v>3995.6603999999988</v>
      </c>
      <c r="AG1730" s="2">
        <v>0.37</v>
      </c>
      <c r="AH1730" s="4">
        <f t="shared" si="258"/>
        <v>66594.481751824802</v>
      </c>
      <c r="AJ1730" s="126" t="e">
        <v>#N/A</v>
      </c>
      <c r="AK1730" s="80">
        <f t="shared" si="255"/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56"/>
        <v>-528575.62380000786</v>
      </c>
      <c r="X1731" s="13">
        <f t="shared" si="257"/>
        <v>809726.65540540533</v>
      </c>
      <c r="Y1731" s="13">
        <f t="shared" ref="Y1731:Y1794" si="25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260">X1731+AA1731</f>
        <v>809726.65540540533</v>
      </c>
      <c r="AC1731" s="6">
        <f t="shared" ref="AC1731:AC1794" si="26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262">AD1731*AE1731</f>
        <v>59995.962599999992</v>
      </c>
      <c r="AG1731" s="2">
        <v>0.4</v>
      </c>
      <c r="AH1731" s="4">
        <f t="shared" si="258"/>
        <v>855996.75</v>
      </c>
      <c r="AJ1731" s="126" t="e">
        <v>#N/A</v>
      </c>
      <c r="AK1731" s="80">
        <f t="shared" ref="AK1731:AK1794" si="263">X1731+AA1731-AB1731</f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56"/>
        <v>23961.871846351132</v>
      </c>
      <c r="X1732" s="13">
        <f t="shared" si="257"/>
        <v>115217.39716312059</v>
      </c>
      <c r="Y1732" s="13">
        <f t="shared" si="259"/>
        <v>0</v>
      </c>
      <c r="Z1732" s="2">
        <v>0</v>
      </c>
      <c r="AA1732" s="4">
        <v>0</v>
      </c>
      <c r="AB1732" s="4">
        <f t="shared" si="260"/>
        <v>115217.39716312059</v>
      </c>
      <c r="AC1732" s="6">
        <f t="shared" si="261"/>
        <v>47239.132836879464</v>
      </c>
      <c r="AD1732" s="4">
        <v>116040.31999999999</v>
      </c>
      <c r="AE1732" s="2">
        <v>7.0000000000000007E-2</v>
      </c>
      <c r="AF1732" s="5">
        <f t="shared" si="262"/>
        <v>8122.8224</v>
      </c>
      <c r="AG1732" s="2">
        <v>0.4</v>
      </c>
      <c r="AH1732" s="4">
        <f t="shared" si="258"/>
        <v>116040.37857142862</v>
      </c>
      <c r="AJ1732" s="126" t="e">
        <v>#N/A</v>
      </c>
      <c r="AK1732" s="80">
        <f t="shared" si="263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56"/>
        <v>138973.15797153162</v>
      </c>
      <c r="X1733" s="13">
        <f t="shared" si="257"/>
        <v>119641.47826086957</v>
      </c>
      <c r="Y1733" s="13">
        <f t="shared" si="259"/>
        <v>0</v>
      </c>
      <c r="Z1733" s="2">
        <v>0</v>
      </c>
      <c r="AA1733" s="4">
        <v>0</v>
      </c>
      <c r="AB1733" s="4">
        <f t="shared" si="260"/>
        <v>119641.47826086957</v>
      </c>
      <c r="AC1733" s="6">
        <f t="shared" si="261"/>
        <v>45463.761739130423</v>
      </c>
      <c r="AD1733" s="4">
        <v>120514.52</v>
      </c>
      <c r="AE1733" s="2">
        <v>0.06</v>
      </c>
      <c r="AF1733" s="5">
        <f t="shared" si="262"/>
        <v>7230.8711999999996</v>
      </c>
      <c r="AG1733" s="2">
        <v>0.37</v>
      </c>
      <c r="AH1733" s="4">
        <f t="shared" si="258"/>
        <v>120514.77372262772</v>
      </c>
      <c r="AJ1733" s="126" t="e">
        <v>#N/A</v>
      </c>
      <c r="AK1733" s="80">
        <f t="shared" si="263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56"/>
        <v>125702.18339999999</v>
      </c>
      <c r="X1734" s="13">
        <f t="shared" si="257"/>
        <v>40787.211678832129</v>
      </c>
      <c r="Y1734" s="13">
        <f t="shared" si="259"/>
        <v>0.16167883214075118</v>
      </c>
      <c r="Z1734" s="2">
        <v>0</v>
      </c>
      <c r="AA1734" s="4">
        <v>0</v>
      </c>
      <c r="AB1734" s="4">
        <f t="shared" si="260"/>
        <v>40787.211678832129</v>
      </c>
      <c r="AC1734" s="6">
        <f t="shared" si="261"/>
        <v>15091.268321167896</v>
      </c>
      <c r="AD1734" s="4">
        <v>40787.049999999988</v>
      </c>
      <c r="AE1734" s="2">
        <v>0.06</v>
      </c>
      <c r="AF1734" s="5">
        <f t="shared" si="262"/>
        <v>2447.222999999999</v>
      </c>
      <c r="AG1734" s="2">
        <v>0.37</v>
      </c>
      <c r="AH1734" s="4">
        <f t="shared" si="258"/>
        <v>40787.211678832129</v>
      </c>
      <c r="AJ1734" s="126" t="e">
        <v>#N/A</v>
      </c>
      <c r="AK1734" s="80">
        <f t="shared" si="263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56"/>
        <v>19895.781699998079</v>
      </c>
      <c r="X1735" s="13">
        <f t="shared" si="257"/>
        <v>11598.621428571429</v>
      </c>
      <c r="Y1735" s="13">
        <f t="shared" si="259"/>
        <v>1.4285714278230444E-3</v>
      </c>
      <c r="Z1735" s="2">
        <v>0</v>
      </c>
      <c r="AA1735" s="4">
        <v>0</v>
      </c>
      <c r="AB1735" s="4">
        <f t="shared" si="260"/>
        <v>11598.621428571429</v>
      </c>
      <c r="AC1735" s="6">
        <f t="shared" si="261"/>
        <v>4639.4485714285711</v>
      </c>
      <c r="AD1735" s="4">
        <v>11598.62</v>
      </c>
      <c r="AE1735" s="2">
        <v>7.0000000000000007E-2</v>
      </c>
      <c r="AF1735" s="5">
        <f t="shared" si="262"/>
        <v>811.90340000000015</v>
      </c>
      <c r="AG1735" s="2">
        <v>0.4</v>
      </c>
      <c r="AH1735" s="4">
        <f t="shared" si="258"/>
        <v>11598.621428571429</v>
      </c>
      <c r="AJ1735" s="126" t="e">
        <v>#N/A</v>
      </c>
      <c r="AK1735" s="80">
        <f t="shared" si="263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56"/>
        <v>84747.522692700091</v>
      </c>
      <c r="X1736" s="13">
        <f t="shared" si="257"/>
        <v>279500.48571428581</v>
      </c>
      <c r="Y1736" s="13">
        <f t="shared" si="259"/>
        <v>0</v>
      </c>
      <c r="Z1736" s="2">
        <v>0</v>
      </c>
      <c r="AA1736" s="4">
        <v>0</v>
      </c>
      <c r="AB1736" s="4">
        <f t="shared" si="260"/>
        <v>279500.48571428581</v>
      </c>
      <c r="AC1736" s="6">
        <f t="shared" si="261"/>
        <v>111800.1942857143</v>
      </c>
      <c r="AD1736" s="4">
        <v>285620.9599999999</v>
      </c>
      <c r="AE1736" s="2">
        <v>0.06</v>
      </c>
      <c r="AF1736" s="5">
        <f t="shared" si="262"/>
        <v>17137.257599999994</v>
      </c>
      <c r="AG1736" s="2">
        <v>0.37</v>
      </c>
      <c r="AH1736" s="4">
        <f t="shared" si="258"/>
        <v>285620.9343065694</v>
      </c>
      <c r="AJ1736" s="126" t="e">
        <v>#N/A</v>
      </c>
      <c r="AK1736" s="80">
        <f t="shared" si="263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56"/>
        <v>149373.63249999972</v>
      </c>
      <c r="X1737" s="13">
        <f t="shared" si="257"/>
        <v>289573.35965517256</v>
      </c>
      <c r="Y1737" s="13">
        <f t="shared" si="259"/>
        <v>0</v>
      </c>
      <c r="Z1737" s="2">
        <v>0</v>
      </c>
      <c r="AA1737" s="4">
        <v>0</v>
      </c>
      <c r="AB1737" s="4">
        <f t="shared" si="260"/>
        <v>289573.35965517256</v>
      </c>
      <c r="AC1737" s="6">
        <f t="shared" si="261"/>
        <v>130308.01184482768</v>
      </c>
      <c r="AD1737" s="4">
        <v>372277.05</v>
      </c>
      <c r="AE1737" s="2">
        <v>7.0000000000000007E-2</v>
      </c>
      <c r="AF1737" s="5">
        <f t="shared" si="262"/>
        <v>26059.393500000002</v>
      </c>
      <c r="AG1737" s="2">
        <v>0.4</v>
      </c>
      <c r="AH1737" s="4">
        <f t="shared" si="258"/>
        <v>299915.26535714307</v>
      </c>
      <c r="AJ1737" s="126" t="e">
        <v>#N/A</v>
      </c>
      <c r="AK1737" s="80">
        <f t="shared" si="263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56"/>
        <v>193549.2837999998</v>
      </c>
      <c r="X1738" s="13">
        <f t="shared" si="257"/>
        <v>189547.83333333334</v>
      </c>
      <c r="Y1738" s="13">
        <f t="shared" si="259"/>
        <v>0</v>
      </c>
      <c r="Z1738" s="2">
        <v>0</v>
      </c>
      <c r="AA1738" s="4">
        <v>0</v>
      </c>
      <c r="AB1738" s="4">
        <f t="shared" si="260"/>
        <v>189547.83333333334</v>
      </c>
      <c r="AC1738" s="6">
        <f t="shared" si="261"/>
        <v>83401.046666666662</v>
      </c>
      <c r="AD1738" s="4">
        <v>199232.66999999998</v>
      </c>
      <c r="AE1738" s="2">
        <v>0.06</v>
      </c>
      <c r="AF1738" s="5">
        <f t="shared" si="262"/>
        <v>11953.960199999998</v>
      </c>
      <c r="AG1738" s="2">
        <v>0.37</v>
      </c>
      <c r="AH1738" s="4">
        <f t="shared" si="258"/>
        <v>199232.75912408758</v>
      </c>
      <c r="AJ1738" s="126" t="e">
        <v>#N/A</v>
      </c>
      <c r="AK1738" s="80">
        <f t="shared" si="263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56"/>
        <v>692312.71134913375</v>
      </c>
      <c r="X1739" s="13">
        <f t="shared" si="257"/>
        <v>325545.72972972976</v>
      </c>
      <c r="Y1739" s="13">
        <f t="shared" si="259"/>
        <v>0</v>
      </c>
      <c r="Z1739" s="2">
        <v>0</v>
      </c>
      <c r="AA1739" s="4">
        <v>0</v>
      </c>
      <c r="AB1739" s="4">
        <f t="shared" si="260"/>
        <v>325545.72972972976</v>
      </c>
      <c r="AC1739" s="6">
        <f t="shared" si="261"/>
        <v>156261.95027027029</v>
      </c>
      <c r="AD1739" s="4">
        <v>342208.85999999987</v>
      </c>
      <c r="AE1739" s="2">
        <v>7.0000000000000007E-2</v>
      </c>
      <c r="AF1739" s="5">
        <f t="shared" si="262"/>
        <v>23954.620199999994</v>
      </c>
      <c r="AG1739" s="2">
        <v>0.4</v>
      </c>
      <c r="AH1739" s="4">
        <f t="shared" si="258"/>
        <v>344148.34285714291</v>
      </c>
      <c r="AJ1739" s="126" t="e">
        <v>#N/A</v>
      </c>
      <c r="AK1739" s="80">
        <f t="shared" si="263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56"/>
        <v>112637.17999999993</v>
      </c>
      <c r="X1740" s="13">
        <f t="shared" si="257"/>
        <v>516276.92957746488</v>
      </c>
      <c r="Y1740" s="13">
        <f t="shared" si="259"/>
        <v>0</v>
      </c>
      <c r="Z1740" s="2">
        <v>0</v>
      </c>
      <c r="AA1740" s="4">
        <v>0</v>
      </c>
      <c r="AB1740" s="4">
        <f t="shared" si="260"/>
        <v>516276.92957746488</v>
      </c>
      <c r="AC1740" s="6">
        <f t="shared" si="261"/>
        <v>216836.31042253523</v>
      </c>
      <c r="AD1740" s="4">
        <v>523646.48999999982</v>
      </c>
      <c r="AE1740" s="2">
        <v>7.0000000000000007E-2</v>
      </c>
      <c r="AF1740" s="5">
        <f t="shared" si="262"/>
        <v>36655.254299999993</v>
      </c>
      <c r="AG1740" s="2">
        <v>0.4</v>
      </c>
      <c r="AH1740" s="4">
        <f t="shared" si="258"/>
        <v>523652.31428571441</v>
      </c>
      <c r="AJ1740" s="126" t="e">
        <v>#N/A</v>
      </c>
      <c r="AK1740" s="80">
        <f t="shared" si="263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56"/>
        <v>515805.10739999986</v>
      </c>
      <c r="X1741" s="13">
        <f t="shared" si="257"/>
        <v>0</v>
      </c>
      <c r="Y1741" s="13">
        <f t="shared" si="259"/>
        <v>0</v>
      </c>
      <c r="Z1741" s="2">
        <v>0</v>
      </c>
      <c r="AA1741" s="4">
        <v>0</v>
      </c>
      <c r="AB1741" s="4">
        <f t="shared" si="260"/>
        <v>0</v>
      </c>
      <c r="AC1741" s="6">
        <f t="shared" si="261"/>
        <v>0</v>
      </c>
      <c r="AD1741" s="4">
        <v>159272.21999999997</v>
      </c>
      <c r="AE1741" s="2">
        <v>0.06</v>
      </c>
      <c r="AF1741" s="5">
        <f t="shared" si="262"/>
        <v>9556.3331999999973</v>
      </c>
      <c r="AG1741" s="2">
        <v>0.37</v>
      </c>
      <c r="AH1741" s="4">
        <f t="shared" si="258"/>
        <v>0</v>
      </c>
      <c r="AJ1741" s="126" t="e">
        <v>#N/A</v>
      </c>
      <c r="AK1741" s="80">
        <f t="shared" si="263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56"/>
        <v>184516.97990000009</v>
      </c>
      <c r="X1742" s="13">
        <f t="shared" si="257"/>
        <v>160036.59154929576</v>
      </c>
      <c r="Y1742" s="13">
        <f t="shared" si="259"/>
        <v>160036.59154929576</v>
      </c>
      <c r="Z1742" s="2">
        <v>0</v>
      </c>
      <c r="AA1742" s="4">
        <v>0</v>
      </c>
      <c r="AB1742" s="4">
        <f t="shared" si="260"/>
        <v>160036.59154929576</v>
      </c>
      <c r="AC1742" s="6">
        <f t="shared" si="261"/>
        <v>67215.368450704205</v>
      </c>
      <c r="AD1742" s="4">
        <v>0</v>
      </c>
      <c r="AE1742" s="2">
        <v>0.06</v>
      </c>
      <c r="AF1742" s="5">
        <f t="shared" si="262"/>
        <v>0</v>
      </c>
      <c r="AG1742" s="2">
        <v>0.37</v>
      </c>
      <c r="AH1742" s="4">
        <f t="shared" si="258"/>
        <v>165877.34306569339</v>
      </c>
      <c r="AJ1742" s="126" t="e">
        <v>#N/A</v>
      </c>
      <c r="AK1742" s="80">
        <f t="shared" si="263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56"/>
        <v>699529.09356999397</v>
      </c>
      <c r="X1743" s="13">
        <f t="shared" si="257"/>
        <v>1698184.702702703</v>
      </c>
      <c r="Y1743" s="13">
        <f t="shared" si="259"/>
        <v>0</v>
      </c>
      <c r="Z1743" s="2">
        <v>0</v>
      </c>
      <c r="AA1743" s="4">
        <v>0</v>
      </c>
      <c r="AB1743" s="4">
        <f t="shared" si="260"/>
        <v>1698184.702702703</v>
      </c>
      <c r="AC1743" s="6">
        <f t="shared" si="261"/>
        <v>815128.65729729738</v>
      </c>
      <c r="AD1743" s="4">
        <v>1795221.8899999987</v>
      </c>
      <c r="AE1743" s="2">
        <v>7.0000000000000007E-2</v>
      </c>
      <c r="AF1743" s="5">
        <f t="shared" si="262"/>
        <v>125665.53229999992</v>
      </c>
      <c r="AG1743" s="2">
        <v>0.4</v>
      </c>
      <c r="AH1743" s="4">
        <f t="shared" si="258"/>
        <v>1795223.828571429</v>
      </c>
      <c r="AJ1743" s="126" t="e">
        <v>#N/A</v>
      </c>
      <c r="AK1743" s="80">
        <f t="shared" si="263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56"/>
        <v>33774.994100000004</v>
      </c>
      <c r="X1744" s="13">
        <f t="shared" si="257"/>
        <v>5875</v>
      </c>
      <c r="Y1744" s="13">
        <f t="shared" si="259"/>
        <v>0</v>
      </c>
      <c r="Z1744" s="2">
        <v>0</v>
      </c>
      <c r="AA1744" s="4">
        <v>0</v>
      </c>
      <c r="AB1744" s="4">
        <f t="shared" si="260"/>
        <v>5875</v>
      </c>
      <c r="AC1744" s="6">
        <f t="shared" si="261"/>
        <v>2350</v>
      </c>
      <c r="AD1744" s="4">
        <v>6003.63</v>
      </c>
      <c r="AE1744" s="2">
        <v>0.06</v>
      </c>
      <c r="AF1744" s="5">
        <f t="shared" si="262"/>
        <v>360.21780000000001</v>
      </c>
      <c r="AG1744" s="2">
        <v>0.37</v>
      </c>
      <c r="AH1744" s="4">
        <f t="shared" si="258"/>
        <v>6003.649635036496</v>
      </c>
      <c r="AJ1744" s="126" t="e">
        <v>#N/A</v>
      </c>
      <c r="AK1744" s="80">
        <f t="shared" si="263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56"/>
        <v>918313.21200000192</v>
      </c>
      <c r="X1745" s="13">
        <f t="shared" si="257"/>
        <v>444340.41216216219</v>
      </c>
      <c r="Y1745" s="13">
        <f t="shared" si="259"/>
        <v>0</v>
      </c>
      <c r="Z1745" s="2">
        <v>0</v>
      </c>
      <c r="AA1745" s="4">
        <v>0</v>
      </c>
      <c r="AB1745" s="4">
        <f t="shared" si="260"/>
        <v>444340.41216216219</v>
      </c>
      <c r="AC1745" s="6">
        <f t="shared" si="261"/>
        <v>213283.39783783787</v>
      </c>
      <c r="AD1745" s="4">
        <v>469730.83999999991</v>
      </c>
      <c r="AE1745" s="2">
        <v>7.0000000000000007E-2</v>
      </c>
      <c r="AF1745" s="5">
        <f t="shared" si="262"/>
        <v>32881.158799999997</v>
      </c>
      <c r="AG1745" s="2">
        <v>0.4</v>
      </c>
      <c r="AH1745" s="4">
        <f t="shared" si="258"/>
        <v>469731.29285714292</v>
      </c>
      <c r="AJ1745" s="126" t="e">
        <v>#N/A</v>
      </c>
      <c r="AK1745" s="80">
        <f t="shared" si="263"/>
        <v>0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56"/>
        <v>965394.29600000032</v>
      </c>
      <c r="X1746" s="13">
        <f t="shared" si="257"/>
        <v>762309.54054054047</v>
      </c>
      <c r="Y1746" s="13">
        <f t="shared" si="259"/>
        <v>0</v>
      </c>
      <c r="Z1746" s="2">
        <v>0</v>
      </c>
      <c r="AA1746" s="4">
        <v>0</v>
      </c>
      <c r="AB1746" s="4">
        <f t="shared" si="260"/>
        <v>762309.54054054047</v>
      </c>
      <c r="AC1746" s="6">
        <f t="shared" si="261"/>
        <v>365908.5794594594</v>
      </c>
      <c r="AD1746" s="4">
        <v>805869.76000000024</v>
      </c>
      <c r="AE1746" s="2">
        <v>7.0000000000000007E-2</v>
      </c>
      <c r="AF1746" s="5">
        <f t="shared" si="262"/>
        <v>56410.883200000026</v>
      </c>
      <c r="AG1746" s="2">
        <v>0.4</v>
      </c>
      <c r="AH1746" s="4">
        <f t="shared" si="258"/>
        <v>805870.08571428573</v>
      </c>
      <c r="AJ1746" s="126" t="e">
        <v>#N/A</v>
      </c>
      <c r="AK1746" s="80">
        <f t="shared" si="263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56"/>
        <v>333701.2159999999</v>
      </c>
      <c r="X1747" s="13">
        <f t="shared" si="257"/>
        <v>69861.23448275862</v>
      </c>
      <c r="Y1747" s="13">
        <f t="shared" si="259"/>
        <v>0</v>
      </c>
      <c r="Z1747" s="2">
        <v>0</v>
      </c>
      <c r="AA1747" s="4">
        <v>0</v>
      </c>
      <c r="AB1747" s="4">
        <f t="shared" si="260"/>
        <v>69861.23448275862</v>
      </c>
      <c r="AC1747" s="6">
        <f t="shared" si="261"/>
        <v>31437.555517241388</v>
      </c>
      <c r="AD1747" s="4">
        <v>72355.839999999997</v>
      </c>
      <c r="AE1747" s="2">
        <v>7.0000000000000007E-2</v>
      </c>
      <c r="AF1747" s="5">
        <f t="shared" si="262"/>
        <v>5064.9088000000002</v>
      </c>
      <c r="AG1747" s="2">
        <v>0.4</v>
      </c>
      <c r="AH1747" s="4">
        <f t="shared" si="258"/>
        <v>72356.278571428586</v>
      </c>
      <c r="AJ1747" s="126" t="e">
        <v>#N/A</v>
      </c>
      <c r="AK1747" s="80">
        <f t="shared" si="263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56"/>
        <v>1.0999999976775143E-3</v>
      </c>
      <c r="X1748" s="13">
        <f t="shared" si="257"/>
        <v>0</v>
      </c>
      <c r="Y1748" s="13">
        <f t="shared" si="259"/>
        <v>0</v>
      </c>
      <c r="Z1748" s="2">
        <v>0</v>
      </c>
      <c r="AA1748" s="4">
        <v>0</v>
      </c>
      <c r="AB1748" s="4">
        <f t="shared" si="260"/>
        <v>0</v>
      </c>
      <c r="AC1748" s="6">
        <f t="shared" si="261"/>
        <v>0</v>
      </c>
      <c r="AD1748" s="4">
        <v>0</v>
      </c>
      <c r="AE1748" s="2">
        <v>0.06</v>
      </c>
      <c r="AF1748" s="5">
        <f t="shared" si="262"/>
        <v>0</v>
      </c>
      <c r="AG1748" s="2">
        <v>0.37</v>
      </c>
      <c r="AH1748" s="4">
        <f t="shared" si="258"/>
        <v>0</v>
      </c>
      <c r="AJ1748" s="126" t="e">
        <v>#N/A</v>
      </c>
      <c r="AK1748" s="80">
        <f t="shared" si="263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56"/>
        <v>1124917.28</v>
      </c>
      <c r="X1749" s="13">
        <f t="shared" si="257"/>
        <v>145082.71999999994</v>
      </c>
      <c r="Y1749" s="13">
        <f t="shared" si="259"/>
        <v>0</v>
      </c>
      <c r="Z1749" s="2">
        <v>0</v>
      </c>
      <c r="AA1749" s="4">
        <v>0</v>
      </c>
      <c r="AB1749" s="4">
        <f t="shared" si="260"/>
        <v>145082.71999999994</v>
      </c>
      <c r="AC1749" s="6">
        <f t="shared" si="261"/>
        <v>0</v>
      </c>
      <c r="AD1749" s="4">
        <v>145082.71999999994</v>
      </c>
      <c r="AE1749" s="2">
        <v>7.0000000000000007E-2</v>
      </c>
      <c r="AF1749" s="5">
        <f t="shared" si="262"/>
        <v>10155.790399999996</v>
      </c>
      <c r="AG1749" s="2">
        <v>0</v>
      </c>
      <c r="AH1749" s="4">
        <f t="shared" si="258"/>
        <v>145082.71999999994</v>
      </c>
      <c r="AJ1749" s="126" t="e">
        <v>#N/A</v>
      </c>
      <c r="AK1749" s="80">
        <f t="shared" si="263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56"/>
        <v>963434.52199999988</v>
      </c>
      <c r="X1750" s="13">
        <f t="shared" si="257"/>
        <v>3113540.8506666669</v>
      </c>
      <c r="Y1750" s="13">
        <f t="shared" si="259"/>
        <v>0</v>
      </c>
      <c r="Z1750" s="2">
        <v>0</v>
      </c>
      <c r="AA1750" s="4">
        <v>0</v>
      </c>
      <c r="AB1750" s="4">
        <f t="shared" si="260"/>
        <v>3113540.8506666669</v>
      </c>
      <c r="AC1750" s="6">
        <f t="shared" si="261"/>
        <v>1556770.4253333337</v>
      </c>
      <c r="AD1750" s="4">
        <v>3353602.8699999996</v>
      </c>
      <c r="AE1750" s="2">
        <v>7.0000000000000007E-2</v>
      </c>
      <c r="AF1750" s="5">
        <f t="shared" si="262"/>
        <v>234752.2009</v>
      </c>
      <c r="AG1750" s="2">
        <v>0.4</v>
      </c>
      <c r="AH1750" s="4">
        <f t="shared" si="258"/>
        <v>3335936.6257142862</v>
      </c>
      <c r="AJ1750" s="126" t="e">
        <v>#N/A</v>
      </c>
      <c r="AK1750" s="80">
        <f t="shared" si="263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56"/>
        <v>124324.65160000185</v>
      </c>
      <c r="X1751" s="13">
        <f t="shared" si="257"/>
        <v>1815493.0690809484</v>
      </c>
      <c r="Y1751" s="13">
        <f t="shared" si="259"/>
        <v>0</v>
      </c>
      <c r="Z1751" s="2">
        <v>0</v>
      </c>
      <c r="AA1751" s="4">
        <v>0</v>
      </c>
      <c r="AB1751" s="4">
        <f t="shared" si="260"/>
        <v>1815493.0690809484</v>
      </c>
      <c r="AC1751" s="6">
        <f t="shared" si="261"/>
        <v>570791.02091905009</v>
      </c>
      <c r="AD1751" s="4">
        <v>1924417.5600000017</v>
      </c>
      <c r="AE1751" s="2">
        <v>0.06</v>
      </c>
      <c r="AF1751" s="5">
        <f t="shared" si="262"/>
        <v>115465.0536000001</v>
      </c>
      <c r="AG1751" s="2">
        <v>0.24</v>
      </c>
      <c r="AH1751" s="4">
        <f t="shared" si="258"/>
        <v>1924422.6532258051</v>
      </c>
      <c r="AJ1751" s="126" t="e">
        <v>#N/A</v>
      </c>
      <c r="AK1751" s="80">
        <f t="shared" si="263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56"/>
        <v>2023.4731999999858</v>
      </c>
      <c r="X1752" s="13">
        <f t="shared" si="257"/>
        <v>36592.880033793313</v>
      </c>
      <c r="Y1752" s="13">
        <f t="shared" si="259"/>
        <v>0</v>
      </c>
      <c r="Z1752" s="2">
        <v>0</v>
      </c>
      <c r="AA1752" s="4">
        <v>0</v>
      </c>
      <c r="AB1752" s="4">
        <f t="shared" si="260"/>
        <v>36592.880033793313</v>
      </c>
      <c r="AC1752" s="6">
        <f t="shared" si="261"/>
        <v>15383.646766206701</v>
      </c>
      <c r="AD1752" s="4">
        <v>44767.830000000009</v>
      </c>
      <c r="AE1752" s="2">
        <v>0.06</v>
      </c>
      <c r="AF1752" s="5">
        <f t="shared" si="262"/>
        <v>2686.0698000000007</v>
      </c>
      <c r="AG1752" s="9">
        <v>0.37</v>
      </c>
      <c r="AH1752" s="4">
        <f t="shared" si="258"/>
        <v>37939.070656934317</v>
      </c>
      <c r="AJ1752" s="126" t="e">
        <v>#N/A</v>
      </c>
      <c r="AK1752" s="80">
        <f t="shared" si="263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56"/>
        <v>204630.62399999972</v>
      </c>
      <c r="X1753" s="13">
        <f t="shared" si="257"/>
        <v>218963.90028921657</v>
      </c>
      <c r="Y1753" s="13">
        <f t="shared" si="259"/>
        <v>0</v>
      </c>
      <c r="Z1753" s="2">
        <v>0</v>
      </c>
      <c r="AA1753" s="4">
        <v>0</v>
      </c>
      <c r="AB1753" s="4">
        <f t="shared" si="260"/>
        <v>218963.90028921657</v>
      </c>
      <c r="AC1753" s="6">
        <f t="shared" si="261"/>
        <v>99015.475710783707</v>
      </c>
      <c r="AD1753" s="4">
        <v>405583.49000000005</v>
      </c>
      <c r="AE1753" s="2">
        <v>7.0000000000000007E-2</v>
      </c>
      <c r="AF1753" s="5">
        <f t="shared" si="262"/>
        <v>28390.844300000008</v>
      </c>
      <c r="AG1753" s="9">
        <v>0.4</v>
      </c>
      <c r="AH1753" s="4">
        <f t="shared" si="258"/>
        <v>227128.12571428594</v>
      </c>
      <c r="AJ1753" s="126" t="e">
        <v>#N/A</v>
      </c>
      <c r="AK1753" s="80">
        <f t="shared" si="263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56"/>
        <v>86131.845999999932</v>
      </c>
      <c r="X1754" s="13">
        <f t="shared" si="257"/>
        <v>0</v>
      </c>
      <c r="Y1754" s="13">
        <f t="shared" si="259"/>
        <v>0</v>
      </c>
      <c r="Z1754" s="2">
        <v>0</v>
      </c>
      <c r="AA1754" s="4">
        <v>0</v>
      </c>
      <c r="AB1754" s="4">
        <f t="shared" si="260"/>
        <v>0</v>
      </c>
      <c r="AC1754" s="6">
        <f t="shared" si="261"/>
        <v>0</v>
      </c>
      <c r="AD1754" s="4">
        <v>0</v>
      </c>
      <c r="AE1754" s="2">
        <v>7.0000000000000007E-2</v>
      </c>
      <c r="AF1754" s="5">
        <f t="shared" si="262"/>
        <v>0</v>
      </c>
      <c r="AG1754" s="2">
        <v>0.4</v>
      </c>
      <c r="AH1754" s="4">
        <f t="shared" si="258"/>
        <v>0</v>
      </c>
      <c r="AJ1754" s="126" t="e">
        <v>#N/A</v>
      </c>
      <c r="AK1754" s="80">
        <f t="shared" si="263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56"/>
        <v>571536.05650000018</v>
      </c>
      <c r="X1755" s="13">
        <f t="shared" si="257"/>
        <v>732885.75862068962</v>
      </c>
      <c r="Y1755" s="13">
        <f t="shared" si="259"/>
        <v>0</v>
      </c>
      <c r="Z1755" s="2">
        <v>0</v>
      </c>
      <c r="AA1755" s="4">
        <v>0</v>
      </c>
      <c r="AB1755" s="4">
        <f t="shared" si="260"/>
        <v>732885.75862068962</v>
      </c>
      <c r="AC1755" s="6">
        <f t="shared" si="261"/>
        <v>329798.59137931047</v>
      </c>
      <c r="AD1755" s="4">
        <v>775681.1400000006</v>
      </c>
      <c r="AE1755" s="2">
        <v>0.06</v>
      </c>
      <c r="AF1755" s="5">
        <f t="shared" si="262"/>
        <v>46540.868400000036</v>
      </c>
      <c r="AG1755" s="2">
        <v>0.37</v>
      </c>
      <c r="AH1755" s="4">
        <f t="shared" si="258"/>
        <v>775682.00729927013</v>
      </c>
      <c r="AJ1755" s="126" t="e">
        <v>#N/A</v>
      </c>
      <c r="AK1755" s="80">
        <f t="shared" si="263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56"/>
        <v>482738.92999999993</v>
      </c>
      <c r="X1756" s="13">
        <f t="shared" si="257"/>
        <v>23541.209459459467</v>
      </c>
      <c r="Y1756" s="13">
        <f t="shared" si="259"/>
        <v>0</v>
      </c>
      <c r="Z1756" s="2">
        <v>0</v>
      </c>
      <c r="AA1756" s="4">
        <v>0</v>
      </c>
      <c r="AB1756" s="4">
        <f t="shared" si="260"/>
        <v>23541.209459459467</v>
      </c>
      <c r="AC1756" s="6">
        <f t="shared" si="261"/>
        <v>11299.780540540545</v>
      </c>
      <c r="AD1756" s="4">
        <v>24881.09</v>
      </c>
      <c r="AE1756" s="2">
        <v>7.0000000000000007E-2</v>
      </c>
      <c r="AF1756" s="5">
        <f t="shared" si="262"/>
        <v>1741.6763000000001</v>
      </c>
      <c r="AG1756" s="2">
        <v>0.4</v>
      </c>
      <c r="AH1756" s="4">
        <f t="shared" si="258"/>
        <v>24886.421428571441</v>
      </c>
      <c r="AJ1756" s="126" t="e">
        <v>#N/A</v>
      </c>
      <c r="AK1756" s="80">
        <f t="shared" si="263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56"/>
        <v>41319.581999999762</v>
      </c>
      <c r="X1757" s="13">
        <f t="shared" si="257"/>
        <v>113872.24822695034</v>
      </c>
      <c r="Y1757" s="13">
        <f t="shared" si="259"/>
        <v>0</v>
      </c>
      <c r="Z1757" s="2">
        <v>0</v>
      </c>
      <c r="AA1757" s="4">
        <v>0</v>
      </c>
      <c r="AB1757" s="4">
        <f t="shared" si="260"/>
        <v>113872.24822695034</v>
      </c>
      <c r="AC1757" s="6">
        <f t="shared" si="261"/>
        <v>46687.621773049657</v>
      </c>
      <c r="AD1757" s="4">
        <v>114685.71000000002</v>
      </c>
      <c r="AE1757" s="2">
        <v>7.0000000000000007E-2</v>
      </c>
      <c r="AF1757" s="5">
        <f t="shared" si="262"/>
        <v>8027.9997000000021</v>
      </c>
      <c r="AG1757" s="2">
        <v>0.4</v>
      </c>
      <c r="AH1757" s="4">
        <f t="shared" si="258"/>
        <v>114685.62142857144</v>
      </c>
      <c r="AJ1757" s="126" t="e">
        <v>#N/A</v>
      </c>
      <c r="AK1757" s="80">
        <f t="shared" si="263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56"/>
        <v>947891.05840000045</v>
      </c>
      <c r="X1758" s="13">
        <f t="shared" si="257"/>
        <v>1041742.3263888891</v>
      </c>
      <c r="Y1758" s="13">
        <f t="shared" si="259"/>
        <v>0</v>
      </c>
      <c r="Z1758" s="2">
        <v>0</v>
      </c>
      <c r="AA1758" s="4">
        <v>0</v>
      </c>
      <c r="AB1758" s="4">
        <f t="shared" si="260"/>
        <v>1041742.3263888891</v>
      </c>
      <c r="AC1758" s="6">
        <f t="shared" si="261"/>
        <v>458366.62361111108</v>
      </c>
      <c r="AD1758" s="4">
        <v>1094969.51</v>
      </c>
      <c r="AE1758" s="2">
        <v>0.06</v>
      </c>
      <c r="AF1758" s="5">
        <f t="shared" si="262"/>
        <v>65698.170599999998</v>
      </c>
      <c r="AG1758" s="2">
        <v>0.37</v>
      </c>
      <c r="AH1758" s="4">
        <f t="shared" si="258"/>
        <v>1094970.0364963503</v>
      </c>
      <c r="AJ1758" s="126" t="e">
        <v>#N/A</v>
      </c>
      <c r="AK1758" s="80">
        <f t="shared" si="263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56"/>
        <v>605776.58600000036</v>
      </c>
      <c r="X1759" s="13">
        <f t="shared" si="257"/>
        <v>485084.52191780804</v>
      </c>
      <c r="Y1759" s="13">
        <f t="shared" si="259"/>
        <v>0</v>
      </c>
      <c r="Z1759" s="2">
        <v>0</v>
      </c>
      <c r="AA1759" s="4">
        <v>0</v>
      </c>
      <c r="AB1759" s="4">
        <f t="shared" si="260"/>
        <v>485084.52191780804</v>
      </c>
      <c r="AC1759" s="6">
        <f t="shared" si="261"/>
        <v>223138.88008219172</v>
      </c>
      <c r="AD1759" s="4">
        <v>678946.25000000012</v>
      </c>
      <c r="AE1759" s="2">
        <v>7.0000000000000007E-2</v>
      </c>
      <c r="AF1759" s="5">
        <f t="shared" si="262"/>
        <v>47526.23750000001</v>
      </c>
      <c r="AG1759" s="2">
        <v>0.4</v>
      </c>
      <c r="AH1759" s="4">
        <f t="shared" si="258"/>
        <v>505873.85857142846</v>
      </c>
      <c r="AJ1759" s="126" t="e">
        <v>#N/A</v>
      </c>
      <c r="AK1759" s="80">
        <f t="shared" si="263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56"/>
        <v>28996.004600000007</v>
      </c>
      <c r="X1760" s="13">
        <f t="shared" si="257"/>
        <v>44117.181818181816</v>
      </c>
      <c r="Y1760" s="13">
        <f t="shared" si="259"/>
        <v>0</v>
      </c>
      <c r="Z1760" s="2">
        <v>0</v>
      </c>
      <c r="AA1760" s="4">
        <v>0</v>
      </c>
      <c r="AB1760" s="4">
        <f t="shared" si="260"/>
        <v>44117.181818181816</v>
      </c>
      <c r="AC1760" s="6">
        <f t="shared" si="261"/>
        <v>18970.388181818184</v>
      </c>
      <c r="AD1760" s="4">
        <v>46049.41</v>
      </c>
      <c r="AE1760" s="2">
        <v>0.06</v>
      </c>
      <c r="AF1760" s="5">
        <f t="shared" si="262"/>
        <v>2762.9646000000002</v>
      </c>
      <c r="AG1760" s="2">
        <v>0.37</v>
      </c>
      <c r="AH1760" s="4">
        <f t="shared" si="258"/>
        <v>46049.321167883209</v>
      </c>
      <c r="AJ1760" s="126" t="e">
        <v>#N/A</v>
      </c>
      <c r="AK1760" s="80">
        <f t="shared" si="263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56"/>
        <v>54216.126100000052</v>
      </c>
      <c r="X1761" s="13">
        <f t="shared" si="257"/>
        <v>267246.11428571417</v>
      </c>
      <c r="Y1761" s="13">
        <f t="shared" si="259"/>
        <v>0</v>
      </c>
      <c r="Z1761" s="2">
        <v>0</v>
      </c>
      <c r="AA1761" s="4">
        <v>0</v>
      </c>
      <c r="AB1761" s="4">
        <f t="shared" si="260"/>
        <v>267246.11428571417</v>
      </c>
      <c r="AC1761" s="6">
        <f t="shared" si="261"/>
        <v>106898.44571428566</v>
      </c>
      <c r="AD1761" s="4">
        <v>273097.43999999977</v>
      </c>
      <c r="AE1761" s="2">
        <v>0.06</v>
      </c>
      <c r="AF1761" s="5">
        <f t="shared" si="262"/>
        <v>16385.846399999984</v>
      </c>
      <c r="AG1761" s="2">
        <v>0.37</v>
      </c>
      <c r="AH1761" s="4">
        <f t="shared" si="258"/>
        <v>273098.21897810203</v>
      </c>
      <c r="AJ1761" s="126" t="e">
        <v>#N/A</v>
      </c>
      <c r="AK1761" s="80">
        <f t="shared" si="263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56"/>
        <v>8.0000000079962774E-3</v>
      </c>
      <c r="X1762" s="13">
        <f t="shared" si="257"/>
        <v>618.05673758865248</v>
      </c>
      <c r="Y1762" s="13">
        <f t="shared" si="259"/>
        <v>0</v>
      </c>
      <c r="Z1762" s="2">
        <v>0</v>
      </c>
      <c r="AA1762" s="4">
        <v>0</v>
      </c>
      <c r="AB1762" s="4">
        <f t="shared" si="260"/>
        <v>618.05673758865248</v>
      </c>
      <c r="AC1762" s="6">
        <f t="shared" si="261"/>
        <v>253.40326241134755</v>
      </c>
      <c r="AD1762" s="4">
        <v>622.43000000000006</v>
      </c>
      <c r="AE1762" s="2">
        <v>7.0000000000000007E-2</v>
      </c>
      <c r="AF1762" s="5">
        <f t="shared" si="262"/>
        <v>43.570100000000011</v>
      </c>
      <c r="AG1762" s="2">
        <v>0.4</v>
      </c>
      <c r="AH1762" s="4">
        <f t="shared" si="258"/>
        <v>622.47142857142865</v>
      </c>
      <c r="AJ1762" s="126" t="e">
        <v>#N/A</v>
      </c>
      <c r="AK1762" s="80">
        <f t="shared" si="263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56"/>
        <v>18877.320399999764</v>
      </c>
      <c r="X1763" s="13">
        <f t="shared" si="257"/>
        <v>190051.27131782944</v>
      </c>
      <c r="Y1763" s="13">
        <f t="shared" si="259"/>
        <v>0</v>
      </c>
      <c r="Z1763" s="2">
        <v>0</v>
      </c>
      <c r="AA1763" s="4">
        <v>0</v>
      </c>
      <c r="AB1763" s="4">
        <f t="shared" si="260"/>
        <v>190051.27131782944</v>
      </c>
      <c r="AC1763" s="6">
        <f t="shared" si="261"/>
        <v>55114.868682170549</v>
      </c>
      <c r="AD1763" s="4">
        <v>197057.51</v>
      </c>
      <c r="AE1763" s="2">
        <v>7.0000000000000007E-2</v>
      </c>
      <c r="AF1763" s="5">
        <f t="shared" si="262"/>
        <v>13794.025700000002</v>
      </c>
      <c r="AG1763" s="2">
        <v>0.24</v>
      </c>
      <c r="AH1763" s="4">
        <f t="shared" si="258"/>
        <v>197714.62903225806</v>
      </c>
      <c r="AJ1763" s="126" t="e">
        <v>#N/A</v>
      </c>
      <c r="AK1763" s="80">
        <f t="shared" si="263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56"/>
        <v>28689.046459849051</v>
      </c>
      <c r="X1764" s="13">
        <f t="shared" si="257"/>
        <v>266023.02173913055</v>
      </c>
      <c r="Y1764" s="13">
        <f t="shared" si="259"/>
        <v>0</v>
      </c>
      <c r="Z1764" s="2">
        <v>0</v>
      </c>
      <c r="AA1764" s="4">
        <v>0</v>
      </c>
      <c r="AB1764" s="4">
        <f t="shared" si="260"/>
        <v>266023.02173913055</v>
      </c>
      <c r="AC1764" s="6">
        <f t="shared" si="261"/>
        <v>101088.74826086959</v>
      </c>
      <c r="AD1764" s="4">
        <v>267965.58</v>
      </c>
      <c r="AE1764" s="2">
        <v>0.06</v>
      </c>
      <c r="AF1764" s="5">
        <f t="shared" si="262"/>
        <v>16077.934800000001</v>
      </c>
      <c r="AG1764" s="2">
        <v>0.37</v>
      </c>
      <c r="AH1764" s="4">
        <f t="shared" si="258"/>
        <v>267964.79562043806</v>
      </c>
      <c r="AJ1764" s="126" t="e">
        <v>#N/A</v>
      </c>
      <c r="AK1764" s="80">
        <f t="shared" si="263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56"/>
        <v>15787.455000000002</v>
      </c>
      <c r="X1765" s="13">
        <f t="shared" si="257"/>
        <v>42319.495652173922</v>
      </c>
      <c r="Y1765" s="13">
        <f t="shared" si="259"/>
        <v>0</v>
      </c>
      <c r="Z1765" s="2">
        <v>0</v>
      </c>
      <c r="AA1765" s="4">
        <v>0</v>
      </c>
      <c r="AB1765" s="4">
        <f t="shared" si="260"/>
        <v>42319.495652173922</v>
      </c>
      <c r="AC1765" s="6">
        <f t="shared" si="261"/>
        <v>6347.9243478260905</v>
      </c>
      <c r="AD1765" s="4">
        <v>44243.06</v>
      </c>
      <c r="AE1765" s="2">
        <v>0.06</v>
      </c>
      <c r="AF1765" s="5">
        <f t="shared" si="262"/>
        <v>2654.5835999999999</v>
      </c>
      <c r="AG1765" s="2">
        <v>0.1</v>
      </c>
      <c r="AH1765" s="4">
        <f t="shared" si="258"/>
        <v>44243.1090909091</v>
      </c>
      <c r="AJ1765" s="126" t="e">
        <v>#N/A</v>
      </c>
      <c r="AK1765" s="80">
        <f t="shared" si="263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56"/>
        <v>351776.04840000009</v>
      </c>
      <c r="X1766" s="13">
        <f t="shared" si="257"/>
        <v>200956.76153846146</v>
      </c>
      <c r="Y1766" s="13">
        <f t="shared" si="259"/>
        <v>0</v>
      </c>
      <c r="Z1766" s="2">
        <v>0</v>
      </c>
      <c r="AA1766" s="4">
        <v>0</v>
      </c>
      <c r="AB1766" s="4">
        <f t="shared" si="260"/>
        <v>200956.76153846146</v>
      </c>
      <c r="AC1766" s="6">
        <f t="shared" si="261"/>
        <v>60287.02846153843</v>
      </c>
      <c r="AD1766" s="4">
        <v>210679.81</v>
      </c>
      <c r="AE1766" s="2">
        <v>7.0000000000000007E-2</v>
      </c>
      <c r="AF1766" s="5">
        <f t="shared" si="262"/>
        <v>14747.586700000002</v>
      </c>
      <c r="AG1766" s="2">
        <v>0.24</v>
      </c>
      <c r="AH1766" s="4">
        <f t="shared" si="258"/>
        <v>210680.47580645152</v>
      </c>
      <c r="AJ1766" s="126" t="e">
        <v>#N/A</v>
      </c>
      <c r="AK1766" s="80">
        <f t="shared" si="263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56"/>
        <v>17004.451599999986</v>
      </c>
      <c r="X1767" s="13">
        <f t="shared" si="257"/>
        <v>31484.240875912408</v>
      </c>
      <c r="Y1767" s="13">
        <f t="shared" si="259"/>
        <v>1.0875912415940547E-2</v>
      </c>
      <c r="Z1767" s="2">
        <v>0</v>
      </c>
      <c r="AA1767" s="4">
        <v>0</v>
      </c>
      <c r="AB1767" s="4">
        <f t="shared" si="260"/>
        <v>31484.240875912408</v>
      </c>
      <c r="AC1767" s="6">
        <f t="shared" si="261"/>
        <v>11649.169124087595</v>
      </c>
      <c r="AD1767" s="4">
        <v>31484.229999999992</v>
      </c>
      <c r="AE1767" s="2">
        <v>0.06</v>
      </c>
      <c r="AF1767" s="5">
        <f t="shared" si="262"/>
        <v>1889.0537999999995</v>
      </c>
      <c r="AG1767" s="2">
        <v>0.37</v>
      </c>
      <c r="AH1767" s="4">
        <f t="shared" si="258"/>
        <v>31484.240875912408</v>
      </c>
      <c r="AJ1767" s="126" t="e">
        <v>#N/A</v>
      </c>
      <c r="AK1767" s="80">
        <f t="shared" si="263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56"/>
        <v>-2.9999999969732016E-4</v>
      </c>
      <c r="X1768" s="13">
        <f t="shared" si="257"/>
        <v>0</v>
      </c>
      <c r="Y1768" s="13">
        <f t="shared" si="259"/>
        <v>0</v>
      </c>
      <c r="Z1768" s="2">
        <v>0</v>
      </c>
      <c r="AA1768" s="4">
        <v>0</v>
      </c>
      <c r="AB1768" s="4">
        <f t="shared" si="260"/>
        <v>0</v>
      </c>
      <c r="AC1768" s="6">
        <f t="shared" si="261"/>
        <v>0</v>
      </c>
      <c r="AD1768" s="4">
        <v>0</v>
      </c>
      <c r="AE1768" s="2">
        <v>0.06</v>
      </c>
      <c r="AF1768" s="5">
        <f t="shared" si="262"/>
        <v>0</v>
      </c>
      <c r="AG1768" s="2">
        <v>0.37</v>
      </c>
      <c r="AH1768" s="4">
        <f t="shared" si="258"/>
        <v>0</v>
      </c>
      <c r="AJ1768" s="126" t="e">
        <v>#N/A</v>
      </c>
      <c r="AK1768" s="80">
        <f t="shared" si="263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56"/>
        <v>55994.777000000002</v>
      </c>
      <c r="X1769" s="13">
        <f t="shared" si="257"/>
        <v>0</v>
      </c>
      <c r="Y1769" s="13">
        <f t="shared" si="259"/>
        <v>0</v>
      </c>
      <c r="Z1769" s="2">
        <v>0</v>
      </c>
      <c r="AA1769" s="4">
        <v>0</v>
      </c>
      <c r="AB1769" s="4">
        <f t="shared" si="260"/>
        <v>0</v>
      </c>
      <c r="AC1769" s="6">
        <f t="shared" si="261"/>
        <v>0</v>
      </c>
      <c r="AD1769" s="4">
        <v>0</v>
      </c>
      <c r="AE1769" s="2">
        <v>0.06</v>
      </c>
      <c r="AF1769" s="5">
        <f t="shared" si="262"/>
        <v>0</v>
      </c>
      <c r="AG1769" s="2">
        <v>0.37</v>
      </c>
      <c r="AH1769" s="4">
        <f t="shared" si="258"/>
        <v>0</v>
      </c>
      <c r="AJ1769" s="126" t="e">
        <v>#N/A</v>
      </c>
      <c r="AK1769" s="80">
        <f t="shared" si="263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56"/>
        <v>8030.772800000268</v>
      </c>
      <c r="X1770" s="13">
        <f t="shared" si="257"/>
        <v>489050.16596785455</v>
      </c>
      <c r="Y1770" s="13">
        <f t="shared" si="259"/>
        <v>0</v>
      </c>
      <c r="Z1770" s="2">
        <v>0</v>
      </c>
      <c r="AA1770" s="4">
        <v>0</v>
      </c>
      <c r="AB1770" s="4">
        <f t="shared" si="260"/>
        <v>489050.16596785455</v>
      </c>
      <c r="AC1770" s="6">
        <f t="shared" si="261"/>
        <v>70814.464032145333</v>
      </c>
      <c r="AD1770" s="4">
        <v>518244.46</v>
      </c>
      <c r="AE1770" s="2">
        <v>0.06</v>
      </c>
      <c r="AF1770" s="5">
        <f t="shared" si="262"/>
        <v>31094.667600000001</v>
      </c>
      <c r="AG1770" s="2">
        <v>0.08</v>
      </c>
      <c r="AH1770" s="4">
        <f t="shared" si="258"/>
        <v>518393.17592592578</v>
      </c>
      <c r="AJ1770" s="126" t="e">
        <v>#N/A</v>
      </c>
      <c r="AK1770" s="80">
        <f t="shared" si="263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56"/>
        <v>26553.028200000008</v>
      </c>
      <c r="X1771" s="13">
        <f t="shared" si="257"/>
        <v>3763.7676056338014</v>
      </c>
      <c r="Y1771" s="13">
        <f t="shared" si="259"/>
        <v>0</v>
      </c>
      <c r="Z1771" s="2">
        <v>0</v>
      </c>
      <c r="AA1771" s="4">
        <v>0</v>
      </c>
      <c r="AB1771" s="4">
        <f t="shared" si="260"/>
        <v>3763.7676056338014</v>
      </c>
      <c r="AC1771" s="6">
        <f t="shared" si="261"/>
        <v>1580.7823943661961</v>
      </c>
      <c r="AD1771" s="4">
        <v>3901.1699999999992</v>
      </c>
      <c r="AE1771" s="2">
        <v>0.06</v>
      </c>
      <c r="AF1771" s="5">
        <f t="shared" si="262"/>
        <v>234.07019999999994</v>
      </c>
      <c r="AG1771" s="2">
        <v>0.37</v>
      </c>
      <c r="AH1771" s="4">
        <f t="shared" si="258"/>
        <v>3901.1313868613115</v>
      </c>
      <c r="AJ1771" s="126" t="e">
        <v>#N/A</v>
      </c>
      <c r="AK1771" s="80">
        <f t="shared" si="263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56"/>
        <v>32105.748000000007</v>
      </c>
      <c r="X1772" s="13">
        <f t="shared" si="257"/>
        <v>48924.251748251736</v>
      </c>
      <c r="Y1772" s="13">
        <f t="shared" si="259"/>
        <v>0</v>
      </c>
      <c r="Z1772" s="2">
        <v>0</v>
      </c>
      <c r="AA1772" s="4">
        <v>0</v>
      </c>
      <c r="AB1772" s="4">
        <f t="shared" si="260"/>
        <v>48924.251748251736</v>
      </c>
      <c r="AC1772" s="6">
        <f t="shared" si="261"/>
        <v>21037.428251748257</v>
      </c>
      <c r="AD1772" s="4">
        <v>49965.57999999998</v>
      </c>
      <c r="AE1772" s="2">
        <v>7.0000000000000007E-2</v>
      </c>
      <c r="AF1772" s="5">
        <f t="shared" si="262"/>
        <v>3497.5905999999991</v>
      </c>
      <c r="AG1772" s="2">
        <v>0.4</v>
      </c>
      <c r="AH1772" s="4">
        <f t="shared" si="258"/>
        <v>49972.62857142857</v>
      </c>
      <c r="AJ1772" s="126" t="e">
        <v>#N/A</v>
      </c>
      <c r="AK1772" s="80">
        <f t="shared" si="263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56"/>
        <v>16211.783199999991</v>
      </c>
      <c r="X1773" s="13">
        <f t="shared" si="257"/>
        <v>27396.36428571428</v>
      </c>
      <c r="Y1773" s="13">
        <f t="shared" si="259"/>
        <v>0</v>
      </c>
      <c r="Z1773" s="2">
        <v>0</v>
      </c>
      <c r="AA1773" s="4">
        <v>0</v>
      </c>
      <c r="AB1773" s="4">
        <f t="shared" si="260"/>
        <v>27396.36428571428</v>
      </c>
      <c r="AC1773" s="6">
        <f t="shared" si="261"/>
        <v>10958.545714285709</v>
      </c>
      <c r="AD1773" s="4">
        <v>27995.420000000006</v>
      </c>
      <c r="AE1773" s="2">
        <v>0.06</v>
      </c>
      <c r="AF1773" s="5">
        <f t="shared" si="262"/>
        <v>1679.7252000000003</v>
      </c>
      <c r="AG1773" s="2">
        <v>0.37</v>
      </c>
      <c r="AH1773" s="4">
        <f t="shared" si="258"/>
        <v>27996.284671532838</v>
      </c>
      <c r="AJ1773" s="126" t="e">
        <v>#N/A</v>
      </c>
      <c r="AK1773" s="80">
        <f t="shared" si="263"/>
        <v>0</v>
      </c>
      <c r="AM1773" s="85"/>
    </row>
    <row r="1774" spans="1:39" hidden="1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56"/>
        <v>67103.360000000015</v>
      </c>
      <c r="X1774" s="13">
        <f t="shared" si="257"/>
        <v>18800.669999999998</v>
      </c>
      <c r="Y1774" s="13">
        <f t="shared" si="259"/>
        <v>0</v>
      </c>
      <c r="Z1774" s="2">
        <v>0</v>
      </c>
      <c r="AA1774" s="4">
        <v>0</v>
      </c>
      <c r="AB1774" s="4">
        <f t="shared" si="260"/>
        <v>18800.669999999998</v>
      </c>
      <c r="AC1774" s="6">
        <f t="shared" si="261"/>
        <v>0</v>
      </c>
      <c r="AD1774" s="4">
        <v>18800.669999999998</v>
      </c>
      <c r="AE1774" s="2">
        <v>0.06</v>
      </c>
      <c r="AF1774" s="5">
        <f t="shared" si="262"/>
        <v>1128.0401999999999</v>
      </c>
      <c r="AG1774" s="9">
        <v>0</v>
      </c>
      <c r="AH1774" s="4">
        <f t="shared" si="258"/>
        <v>18800.669999999998</v>
      </c>
      <c r="AJ1774" s="126" t="e">
        <v>#N/A</v>
      </c>
      <c r="AK1774" s="80">
        <f t="shared" si="263"/>
        <v>0</v>
      </c>
      <c r="AM1774" s="85"/>
    </row>
    <row r="1775" spans="1:39" hidden="1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56"/>
        <v>-277.01999999991676</v>
      </c>
      <c r="X1775" s="13">
        <f t="shared" si="257"/>
        <v>0</v>
      </c>
      <c r="Y1775" s="13">
        <f t="shared" si="259"/>
        <v>0</v>
      </c>
      <c r="Z1775" s="2">
        <v>0</v>
      </c>
      <c r="AA1775" s="4">
        <v>0</v>
      </c>
      <c r="AB1775" s="4">
        <f t="shared" si="260"/>
        <v>0</v>
      </c>
      <c r="AC1775" s="6">
        <f t="shared" si="261"/>
        <v>0</v>
      </c>
      <c r="AD1775" s="4">
        <v>0</v>
      </c>
      <c r="AE1775" s="2">
        <v>7.0000000000000007E-2</v>
      </c>
      <c r="AF1775" s="5">
        <f t="shared" si="262"/>
        <v>0</v>
      </c>
      <c r="AG1775" s="9">
        <v>0</v>
      </c>
      <c r="AH1775" s="4">
        <f t="shared" si="258"/>
        <v>0</v>
      </c>
      <c r="AJ1775" s="126" t="s">
        <v>4223</v>
      </c>
      <c r="AK1775" s="80">
        <f t="shared" si="263"/>
        <v>0</v>
      </c>
      <c r="AL1775" s="150"/>
      <c r="AM1775" s="85"/>
    </row>
    <row r="1776" spans="1:39" hidden="1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56"/>
        <v>0</v>
      </c>
      <c r="X1776" s="13">
        <f t="shared" si="257"/>
        <v>-732992.2421875</v>
      </c>
      <c r="Y1776" s="13">
        <f t="shared" si="259"/>
        <v>0</v>
      </c>
      <c r="Z1776" s="2">
        <v>0</v>
      </c>
      <c r="AA1776" s="4">
        <v>0</v>
      </c>
      <c r="AB1776" s="4">
        <f t="shared" si="260"/>
        <v>-732992.2421875</v>
      </c>
      <c r="AC1776" s="6">
        <f t="shared" si="261"/>
        <v>-205237.82781249995</v>
      </c>
      <c r="AD1776" s="4">
        <v>0</v>
      </c>
      <c r="AE1776" s="2">
        <v>7.0000000000000007E-2</v>
      </c>
      <c r="AF1776" s="5">
        <f t="shared" si="262"/>
        <v>0</v>
      </c>
      <c r="AG1776" s="2">
        <v>0.24</v>
      </c>
      <c r="AH1776" s="4">
        <f t="shared" si="258"/>
        <v>-756637.15322580643</v>
      </c>
      <c r="AJ1776" s="126" t="e">
        <v>#N/A</v>
      </c>
      <c r="AK1776" s="80">
        <f t="shared" si="263"/>
        <v>0</v>
      </c>
      <c r="AM1776" s="85"/>
    </row>
    <row r="1777" spans="1:39" hidden="1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56"/>
        <v>54073.930000000058</v>
      </c>
      <c r="X1777" s="13">
        <f t="shared" si="257"/>
        <v>0</v>
      </c>
      <c r="Y1777" s="13">
        <f t="shared" si="259"/>
        <v>0</v>
      </c>
      <c r="Z1777" s="2">
        <v>0</v>
      </c>
      <c r="AA1777" s="4">
        <v>0</v>
      </c>
      <c r="AB1777" s="4">
        <f t="shared" si="260"/>
        <v>0</v>
      </c>
      <c r="AC1777" s="6">
        <f t="shared" si="261"/>
        <v>0</v>
      </c>
      <c r="AD1777" s="4">
        <v>0</v>
      </c>
      <c r="AE1777" s="2">
        <v>7.0000000000000007E-2</v>
      </c>
      <c r="AF1777" s="5">
        <f t="shared" si="262"/>
        <v>0</v>
      </c>
      <c r="AG1777" s="9">
        <v>0</v>
      </c>
      <c r="AH1777" s="4">
        <f t="shared" si="258"/>
        <v>0</v>
      </c>
      <c r="AJ1777" s="126" t="e">
        <v>#N/A</v>
      </c>
      <c r="AK1777" s="80">
        <f t="shared" si="263"/>
        <v>0</v>
      </c>
      <c r="AM1777" s="85"/>
    </row>
    <row r="1778" spans="1:39" hidden="1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56"/>
        <v>0</v>
      </c>
      <c r="X1778" s="13">
        <f t="shared" si="257"/>
        <v>58056.640776698994</v>
      </c>
      <c r="Y1778" s="13">
        <f t="shared" si="259"/>
        <v>58056.640776698994</v>
      </c>
      <c r="Z1778" s="2">
        <v>0</v>
      </c>
      <c r="AA1778" s="4">
        <v>0</v>
      </c>
      <c r="AB1778" s="4">
        <f t="shared" si="260"/>
        <v>58056.640776698994</v>
      </c>
      <c r="AC1778" s="6">
        <f t="shared" si="261"/>
        <v>1741.6992233009732</v>
      </c>
      <c r="AD1778" s="4">
        <v>0</v>
      </c>
      <c r="AE1778" s="2">
        <v>0.06</v>
      </c>
      <c r="AF1778" s="5">
        <f t="shared" si="262"/>
        <v>0</v>
      </c>
      <c r="AG1778" s="9">
        <v>0</v>
      </c>
      <c r="AH1778" s="4">
        <f t="shared" si="258"/>
        <v>59798.339999999967</v>
      </c>
      <c r="AJ1778" s="126" t="e">
        <v>#N/A</v>
      </c>
      <c r="AK1778" s="80">
        <f t="shared" si="263"/>
        <v>0</v>
      </c>
      <c r="AM1778" s="85"/>
    </row>
    <row r="1779" spans="1:39" hidden="1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56"/>
        <v>122690.31540000005</v>
      </c>
      <c r="X1779" s="13">
        <f>IF(P1779="折扣",V1779*Q1779,IF(P1779="返现",V1779,(V1779-487)/(1+Q1779+AG1779)))</f>
        <v>103429.39716312055</v>
      </c>
      <c r="Y1779" s="13">
        <f t="shared" si="259"/>
        <v>0</v>
      </c>
      <c r="Z1779" s="2">
        <v>0</v>
      </c>
      <c r="AA1779" s="4">
        <v>0</v>
      </c>
      <c r="AB1779" s="4">
        <f t="shared" si="260"/>
        <v>103429.39716312055</v>
      </c>
      <c r="AC1779" s="6">
        <f t="shared" si="261"/>
        <v>42893.052836879433</v>
      </c>
      <c r="AD1779" s="4">
        <v>105659.45999999999</v>
      </c>
      <c r="AE1779" s="2">
        <v>7.0000000000000007E-2</v>
      </c>
      <c r="AF1779" s="5">
        <f t="shared" si="262"/>
        <v>7396.1621999999998</v>
      </c>
      <c r="AG1779" s="9">
        <v>0.38</v>
      </c>
      <c r="AH1779" s="4">
        <f t="shared" si="258"/>
        <v>106030.76086956522</v>
      </c>
      <c r="AJ1779" s="126" t="e">
        <v>#N/A</v>
      </c>
      <c r="AK1779" s="80">
        <f t="shared" si="263"/>
        <v>0</v>
      </c>
      <c r="AM1779" s="85"/>
    </row>
    <row r="1780" spans="1:39" hidden="1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56"/>
        <v>10273.809999999976</v>
      </c>
      <c r="X1780" s="13">
        <f t="shared" si="257"/>
        <v>50316.73</v>
      </c>
      <c r="Y1780" s="13">
        <f t="shared" si="259"/>
        <v>0</v>
      </c>
      <c r="Z1780" s="2">
        <v>0</v>
      </c>
      <c r="AA1780" s="4">
        <v>0</v>
      </c>
      <c r="AB1780" s="4">
        <f t="shared" si="260"/>
        <v>50316.73</v>
      </c>
      <c r="AC1780" s="6">
        <f t="shared" si="261"/>
        <v>0</v>
      </c>
      <c r="AD1780" s="4">
        <v>50316.73</v>
      </c>
      <c r="AE1780" s="2">
        <v>0.06</v>
      </c>
      <c r="AF1780" s="5">
        <f t="shared" si="262"/>
        <v>3019.0038</v>
      </c>
      <c r="AG1780" s="9">
        <v>0</v>
      </c>
      <c r="AH1780" s="4">
        <f t="shared" si="258"/>
        <v>50316.73</v>
      </c>
      <c r="AJ1780" s="126" t="e">
        <v>#N/A</v>
      </c>
      <c r="AK1780" s="80">
        <f t="shared" si="263"/>
        <v>0</v>
      </c>
      <c r="AM1780" s="85"/>
    </row>
    <row r="1781" spans="1:39" hidden="1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56"/>
        <v>2282.9800000000023</v>
      </c>
      <c r="X1781" s="13">
        <f t="shared" si="257"/>
        <v>6596.5999999999976</v>
      </c>
      <c r="Y1781" s="13">
        <f t="shared" si="259"/>
        <v>0</v>
      </c>
      <c r="Z1781" s="2">
        <v>0</v>
      </c>
      <c r="AA1781" s="4">
        <v>0</v>
      </c>
      <c r="AB1781" s="4">
        <f t="shared" si="260"/>
        <v>6596.5999999999976</v>
      </c>
      <c r="AC1781" s="6">
        <f t="shared" si="261"/>
        <v>0</v>
      </c>
      <c r="AD1781" s="4">
        <v>6596.5999999999976</v>
      </c>
      <c r="AE1781" s="2">
        <v>0.06</v>
      </c>
      <c r="AF1781" s="5">
        <f t="shared" si="262"/>
        <v>395.79599999999982</v>
      </c>
      <c r="AG1781" s="9">
        <v>0</v>
      </c>
      <c r="AH1781" s="4">
        <f t="shared" si="258"/>
        <v>6596.5999999999976</v>
      </c>
      <c r="AJ1781" s="126" t="e">
        <v>#N/A</v>
      </c>
      <c r="AK1781" s="80">
        <f t="shared" si="263"/>
        <v>0</v>
      </c>
      <c r="AM1781" s="85"/>
    </row>
    <row r="1782" spans="1:39" hidden="1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56"/>
        <v>30000</v>
      </c>
      <c r="X1782" s="13">
        <f t="shared" si="257"/>
        <v>0</v>
      </c>
      <c r="Y1782" s="13">
        <f t="shared" si="259"/>
        <v>0</v>
      </c>
      <c r="Z1782" s="2">
        <v>0</v>
      </c>
      <c r="AA1782" s="4">
        <v>0</v>
      </c>
      <c r="AB1782" s="4">
        <f t="shared" si="260"/>
        <v>0</v>
      </c>
      <c r="AC1782" s="6">
        <f t="shared" si="261"/>
        <v>0</v>
      </c>
      <c r="AD1782" s="4">
        <v>0</v>
      </c>
      <c r="AE1782" s="2">
        <v>7.0000000000000007E-2</v>
      </c>
      <c r="AF1782" s="5">
        <f t="shared" si="262"/>
        <v>0</v>
      </c>
      <c r="AG1782" s="9">
        <v>0</v>
      </c>
      <c r="AH1782" s="4">
        <f t="shared" si="258"/>
        <v>0</v>
      </c>
      <c r="AJ1782" s="126" t="e">
        <v>#N/A</v>
      </c>
      <c r="AK1782" s="80">
        <f t="shared" si="263"/>
        <v>0</v>
      </c>
      <c r="AM1782" s="85"/>
    </row>
    <row r="1783" spans="1:39" hidden="1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56"/>
        <v>71837.400000000256</v>
      </c>
      <c r="X1783" s="13">
        <f t="shared" si="257"/>
        <v>0</v>
      </c>
      <c r="Y1783" s="13">
        <f t="shared" si="259"/>
        <v>0</v>
      </c>
      <c r="Z1783" s="2">
        <v>0</v>
      </c>
      <c r="AA1783" s="4">
        <v>0</v>
      </c>
      <c r="AB1783" s="4">
        <f t="shared" si="260"/>
        <v>0</v>
      </c>
      <c r="AC1783" s="6">
        <f t="shared" si="261"/>
        <v>0</v>
      </c>
      <c r="AD1783" s="4">
        <v>0</v>
      </c>
      <c r="AE1783" s="2">
        <v>0.06</v>
      </c>
      <c r="AF1783" s="5">
        <f t="shared" si="262"/>
        <v>0</v>
      </c>
      <c r="AG1783" s="9">
        <v>0</v>
      </c>
      <c r="AH1783" s="4">
        <f t="shared" si="258"/>
        <v>0</v>
      </c>
      <c r="AJ1783" s="126" t="e">
        <v>#N/A</v>
      </c>
      <c r="AK1783" s="80">
        <f t="shared" si="263"/>
        <v>0</v>
      </c>
      <c r="AM1783" s="85"/>
    </row>
    <row r="1784" spans="1:39" hidden="1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56"/>
        <v>0</v>
      </c>
      <c r="X1784" s="13">
        <f t="shared" si="257"/>
        <v>1719021.7178843645</v>
      </c>
      <c r="Y1784" s="13">
        <f t="shared" si="259"/>
        <v>1719021.7178843645</v>
      </c>
      <c r="Z1784" s="2">
        <v>0</v>
      </c>
      <c r="AA1784" s="4">
        <v>0</v>
      </c>
      <c r="AB1784" s="4">
        <f t="shared" si="260"/>
        <v>1719021.7178843645</v>
      </c>
      <c r="AC1784" s="6">
        <f t="shared" si="261"/>
        <v>897329.33673563786</v>
      </c>
      <c r="AD1784" s="4">
        <v>0</v>
      </c>
      <c r="AE1784" s="2">
        <v>0.06</v>
      </c>
      <c r="AF1784" s="5">
        <f t="shared" si="262"/>
        <v>0</v>
      </c>
      <c r="AG1784" s="9">
        <v>0.47699999999999998</v>
      </c>
      <c r="AH1784" s="4">
        <f t="shared" si="258"/>
        <v>1771395.4330534886</v>
      </c>
      <c r="AJ1784" s="126" t="e">
        <v>#N/A</v>
      </c>
      <c r="AK1784" s="80">
        <f t="shared" si="263"/>
        <v>0</v>
      </c>
      <c r="AM1784" s="85"/>
    </row>
    <row r="1785" spans="1:39" hidden="1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56"/>
        <v>0</v>
      </c>
      <c r="X1785" s="13">
        <f t="shared" si="257"/>
        <v>339622.02576021431</v>
      </c>
      <c r="Y1785" s="13">
        <f t="shared" si="259"/>
        <v>339622.02576021431</v>
      </c>
      <c r="Z1785" s="2">
        <v>0</v>
      </c>
      <c r="AA1785" s="4">
        <v>0</v>
      </c>
      <c r="AB1785" s="4">
        <f t="shared" si="260"/>
        <v>339622.02576021431</v>
      </c>
      <c r="AC1785" s="6">
        <f t="shared" si="261"/>
        <v>167433.65869978559</v>
      </c>
      <c r="AD1785" s="4">
        <v>0</v>
      </c>
      <c r="AE1785" s="2">
        <v>7.0000000000000007E-2</v>
      </c>
      <c r="AF1785" s="5">
        <f t="shared" si="262"/>
        <v>0</v>
      </c>
      <c r="AG1785" s="9">
        <v>0.47299999999999998</v>
      </c>
      <c r="AH1785" s="4">
        <f t="shared" si="258"/>
        <v>344233.32278343511</v>
      </c>
      <c r="AJ1785" s="126" t="e">
        <v>#N/A</v>
      </c>
      <c r="AK1785" s="80">
        <f t="shared" si="263"/>
        <v>0</v>
      </c>
      <c r="AM1785" s="85"/>
    </row>
    <row r="1786" spans="1:39" hidden="1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56"/>
        <v>0</v>
      </c>
      <c r="X1786" s="13">
        <f t="shared" si="257"/>
        <v>0</v>
      </c>
      <c r="Y1786" s="13">
        <f t="shared" si="259"/>
        <v>0</v>
      </c>
      <c r="Z1786" s="2">
        <v>0</v>
      </c>
      <c r="AA1786" s="4">
        <v>0</v>
      </c>
      <c r="AB1786" s="4">
        <f t="shared" si="260"/>
        <v>0</v>
      </c>
      <c r="AC1786" s="6">
        <f t="shared" si="261"/>
        <v>0</v>
      </c>
      <c r="AD1786" s="4">
        <v>0</v>
      </c>
      <c r="AE1786" s="2">
        <v>0.06</v>
      </c>
      <c r="AF1786" s="5">
        <f t="shared" si="262"/>
        <v>0</v>
      </c>
      <c r="AG1786" s="9">
        <v>0</v>
      </c>
      <c r="AH1786" s="4">
        <f t="shared" si="258"/>
        <v>0</v>
      </c>
      <c r="AJ1786" s="126" t="e">
        <v>#N/A</v>
      </c>
      <c r="AK1786" s="80">
        <f t="shared" si="263"/>
        <v>0</v>
      </c>
      <c r="AM1786" s="85"/>
    </row>
    <row r="1787" spans="1:39" hidden="1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56"/>
        <v>1110922.5099999993</v>
      </c>
      <c r="X1787" s="13">
        <f t="shared" si="257"/>
        <v>2.9610389610389607</v>
      </c>
      <c r="Y1787" s="13">
        <f t="shared" si="259"/>
        <v>2.9610389610389607</v>
      </c>
      <c r="Z1787" s="2">
        <v>0</v>
      </c>
      <c r="AA1787" s="4">
        <v>0</v>
      </c>
      <c r="AB1787" s="4">
        <f t="shared" si="260"/>
        <v>2.9610389610389607</v>
      </c>
      <c r="AC1787" s="6">
        <f t="shared" si="261"/>
        <v>0.45896103896103924</v>
      </c>
      <c r="AD1787" s="4">
        <v>0</v>
      </c>
      <c r="AE1787" s="2">
        <v>0.06</v>
      </c>
      <c r="AF1787" s="5">
        <f t="shared" si="262"/>
        <v>0</v>
      </c>
      <c r="AG1787" s="9">
        <v>0.1</v>
      </c>
      <c r="AH1787" s="4">
        <f t="shared" si="258"/>
        <v>3.1090909090909089</v>
      </c>
      <c r="AJ1787" s="126" t="e">
        <v>#N/A</v>
      </c>
      <c r="AK1787" s="80">
        <f t="shared" si="263"/>
        <v>0</v>
      </c>
      <c r="AM1787" s="85"/>
    </row>
    <row r="1788" spans="1:39" hidden="1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56"/>
        <v>0</v>
      </c>
      <c r="X1788" s="13">
        <f t="shared" si="257"/>
        <v>0</v>
      </c>
      <c r="Y1788" s="13">
        <f t="shared" si="259"/>
        <v>0</v>
      </c>
      <c r="Z1788" s="2">
        <v>0</v>
      </c>
      <c r="AA1788" s="4">
        <v>0</v>
      </c>
      <c r="AB1788" s="4">
        <f t="shared" si="260"/>
        <v>0</v>
      </c>
      <c r="AC1788" s="6">
        <f t="shared" si="261"/>
        <v>0</v>
      </c>
      <c r="AD1788" s="4">
        <v>566820.29000000015</v>
      </c>
      <c r="AE1788" s="2">
        <v>7.0000000000000007E-2</v>
      </c>
      <c r="AF1788" s="5">
        <f t="shared" si="262"/>
        <v>39677.420300000013</v>
      </c>
      <c r="AG1788" s="9">
        <v>0.24</v>
      </c>
      <c r="AH1788" s="4">
        <f t="shared" si="258"/>
        <v>0</v>
      </c>
      <c r="AJ1788" s="126" t="e">
        <v>#N/A</v>
      </c>
      <c r="AK1788" s="80">
        <f t="shared" si="263"/>
        <v>0</v>
      </c>
      <c r="AM1788" s="85"/>
    </row>
    <row r="1789" spans="1:39" hidden="1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56"/>
        <v>492487.08800000045</v>
      </c>
      <c r="X1789" s="13">
        <f t="shared" si="257"/>
        <v>543460.50936329609</v>
      </c>
      <c r="Y1789" s="13">
        <f t="shared" si="259"/>
        <v>543460.50936329609</v>
      </c>
      <c r="Z1789" s="2">
        <v>0</v>
      </c>
      <c r="AA1789" s="4">
        <v>0</v>
      </c>
      <c r="AB1789" s="4">
        <f t="shared" si="260"/>
        <v>543460.50936329609</v>
      </c>
      <c r="AC1789" s="6">
        <f t="shared" si="261"/>
        <v>182059.27063670417</v>
      </c>
      <c r="AD1789" s="4">
        <v>0</v>
      </c>
      <c r="AE1789" s="2">
        <v>7.0000000000000007E-2</v>
      </c>
      <c r="AF1789" s="5">
        <f t="shared" si="262"/>
        <v>0</v>
      </c>
      <c r="AG1789" s="9">
        <v>0.28000000000000003</v>
      </c>
      <c r="AH1789" s="4">
        <f t="shared" si="258"/>
        <v>566812.32812500023</v>
      </c>
      <c r="AJ1789" s="126" t="e">
        <v>#N/A</v>
      </c>
      <c r="AK1789" s="80">
        <f t="shared" si="263"/>
        <v>0</v>
      </c>
      <c r="AM1789" s="85"/>
    </row>
    <row r="1790" spans="1:39" hidden="1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56"/>
        <v>200450</v>
      </c>
      <c r="X1790" s="13">
        <f t="shared" si="257"/>
        <v>0</v>
      </c>
      <c r="Y1790" s="13">
        <f t="shared" si="259"/>
        <v>0</v>
      </c>
      <c r="Z1790" s="2">
        <v>0</v>
      </c>
      <c r="AA1790" s="4">
        <v>0</v>
      </c>
      <c r="AB1790" s="4">
        <f t="shared" si="260"/>
        <v>0</v>
      </c>
      <c r="AC1790" s="6">
        <f t="shared" si="261"/>
        <v>0</v>
      </c>
      <c r="AD1790" s="4">
        <v>0</v>
      </c>
      <c r="AE1790" s="2">
        <v>0.06</v>
      </c>
      <c r="AF1790" s="5">
        <f t="shared" si="262"/>
        <v>0</v>
      </c>
      <c r="AG1790" s="9">
        <v>0</v>
      </c>
      <c r="AH1790" s="4">
        <f t="shared" si="258"/>
        <v>0</v>
      </c>
      <c r="AJ1790" s="126" t="e">
        <v>#N/A</v>
      </c>
      <c r="AK1790" s="80">
        <f t="shared" si="263"/>
        <v>0</v>
      </c>
      <c r="AM1790" s="85"/>
    </row>
    <row r="1791" spans="1:39" hidden="1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56"/>
        <v>32588.840000000026</v>
      </c>
      <c r="X1791" s="13">
        <f t="shared" si="257"/>
        <v>8344.7399999999743</v>
      </c>
      <c r="Y1791" s="13">
        <f t="shared" si="259"/>
        <v>1.2999999999738066</v>
      </c>
      <c r="Z1791" s="2">
        <v>0</v>
      </c>
      <c r="AA1791" s="4">
        <v>0</v>
      </c>
      <c r="AB1791" s="4">
        <f t="shared" si="260"/>
        <v>8344.7399999999743</v>
      </c>
      <c r="AC1791" s="6">
        <f t="shared" si="261"/>
        <v>0</v>
      </c>
      <c r="AD1791" s="4">
        <v>8343.44</v>
      </c>
      <c r="AE1791" s="2">
        <v>0.06</v>
      </c>
      <c r="AF1791" s="5">
        <f t="shared" si="262"/>
        <v>500.60640000000001</v>
      </c>
      <c r="AG1791" s="9">
        <v>0</v>
      </c>
      <c r="AH1791" s="4">
        <f t="shared" si="258"/>
        <v>8344.7399999999743</v>
      </c>
      <c r="AJ1791" s="126" t="e">
        <v>#N/A</v>
      </c>
      <c r="AK1791" s="80">
        <f t="shared" si="263"/>
        <v>0</v>
      </c>
      <c r="AM1791" s="85"/>
    </row>
    <row r="1792" spans="1:39" hidden="1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264">T1792+U1792-V1792</f>
        <v>0</v>
      </c>
      <c r="X1792" s="13">
        <f t="shared" si="257"/>
        <v>64599.403545454821</v>
      </c>
      <c r="Y1792" s="13">
        <f t="shared" si="259"/>
        <v>64599.403545454821</v>
      </c>
      <c r="Z1792" s="2">
        <v>0</v>
      </c>
      <c r="AA1792" s="4">
        <v>0</v>
      </c>
      <c r="AB1792" s="4">
        <f t="shared" si="260"/>
        <v>64599.403545454821</v>
      </c>
      <c r="AC1792" s="6">
        <f t="shared" si="261"/>
        <v>6459.9403545454916</v>
      </c>
      <c r="AD1792" s="4">
        <v>0</v>
      </c>
      <c r="AE1792" s="2">
        <v>0.06</v>
      </c>
      <c r="AF1792" s="5">
        <f t="shared" si="262"/>
        <v>0</v>
      </c>
      <c r="AG1792" s="9">
        <v>7.0000000000000007E-2</v>
      </c>
      <c r="AH1792" s="4">
        <f t="shared" si="258"/>
        <v>66410.601775701216</v>
      </c>
      <c r="AJ1792" s="126" t="e">
        <v>#N/A</v>
      </c>
      <c r="AK1792" s="80">
        <f t="shared" si="263"/>
        <v>0</v>
      </c>
      <c r="AM1792" s="85"/>
    </row>
    <row r="1793" spans="1:39" hidden="1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264"/>
        <v>8352.83</v>
      </c>
      <c r="X1793" s="13">
        <f t="shared" ref="X1793:X1856" si="265">IF(P1793="折扣",V1793*Q1793,IF(P1793="返现",V1793,V1793/(1+Q1793+AG1793)))</f>
        <v>1647.17</v>
      </c>
      <c r="Y1793" s="13">
        <f t="shared" si="259"/>
        <v>0</v>
      </c>
      <c r="Z1793" s="2">
        <v>0</v>
      </c>
      <c r="AA1793" s="4">
        <v>0</v>
      </c>
      <c r="AB1793" s="4">
        <f t="shared" si="260"/>
        <v>1647.17</v>
      </c>
      <c r="AC1793" s="6">
        <f t="shared" si="261"/>
        <v>0</v>
      </c>
      <c r="AD1793" s="4">
        <v>1647.17</v>
      </c>
      <c r="AE1793" s="2">
        <v>0.06</v>
      </c>
      <c r="AF1793" s="5">
        <f t="shared" si="262"/>
        <v>98.830200000000005</v>
      </c>
      <c r="AG1793" s="9">
        <v>0</v>
      </c>
      <c r="AH1793" s="4">
        <f t="shared" ref="AH1793:AH1856" si="266">V1793/(1+AG1793)</f>
        <v>1647.17</v>
      </c>
      <c r="AJ1793" s="126" t="e">
        <v>#N/A</v>
      </c>
      <c r="AK1793" s="80">
        <f t="shared" si="263"/>
        <v>0</v>
      </c>
      <c r="AM1793" s="85"/>
    </row>
    <row r="1794" spans="1:39" hidden="1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264"/>
        <v>0</v>
      </c>
      <c r="X1794" s="13">
        <f t="shared" si="265"/>
        <v>364427.55067279778</v>
      </c>
      <c r="Y1794" s="13">
        <f t="shared" si="259"/>
        <v>364427.55067279778</v>
      </c>
      <c r="Z1794" s="2">
        <v>0</v>
      </c>
      <c r="AA1794" s="4">
        <v>0</v>
      </c>
      <c r="AB1794" s="4">
        <f t="shared" si="260"/>
        <v>364427.55067279778</v>
      </c>
      <c r="AC1794" s="6">
        <f t="shared" si="261"/>
        <v>63483.279327201366</v>
      </c>
      <c r="AD1794" s="4">
        <v>0</v>
      </c>
      <c r="AE1794" s="2">
        <v>0.06</v>
      </c>
      <c r="AF1794" s="5">
        <f t="shared" si="262"/>
        <v>0</v>
      </c>
      <c r="AG1794" s="9">
        <v>0.14000000000000001</v>
      </c>
      <c r="AH1794" s="4">
        <f t="shared" si="266"/>
        <v>375360.37719298166</v>
      </c>
      <c r="AJ1794" s="126" t="e">
        <v>#N/A</v>
      </c>
      <c r="AK1794" s="80">
        <f t="shared" si="263"/>
        <v>0</v>
      </c>
      <c r="AM1794" s="85"/>
    </row>
    <row r="1795" spans="1:39" hidden="1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264"/>
        <v>26160.120000000014</v>
      </c>
      <c r="X1795" s="13">
        <f t="shared" si="265"/>
        <v>3540.88</v>
      </c>
      <c r="Y1795" s="13">
        <f t="shared" ref="Y1795:Y1858" si="26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268">X1795+AA1795</f>
        <v>3540.88</v>
      </c>
      <c r="AC1795" s="6">
        <f t="shared" ref="AC1795:AC1858" si="269">IF(P1795="返现",X1795*Q1795,V1795-X1795)</f>
        <v>0</v>
      </c>
      <c r="AD1795" s="4">
        <v>3540.88</v>
      </c>
      <c r="AE1795" s="2">
        <v>0.06</v>
      </c>
      <c r="AF1795" s="5">
        <f t="shared" ref="AF1795:AF1858" si="270">AD1795*AE1795</f>
        <v>212.4528</v>
      </c>
      <c r="AG1795" s="9">
        <v>0</v>
      </c>
      <c r="AH1795" s="4">
        <f t="shared" si="266"/>
        <v>3540.88</v>
      </c>
      <c r="AJ1795" s="126" t="e">
        <v>#N/A</v>
      </c>
      <c r="AK1795" s="80">
        <f t="shared" ref="AK1795:AK1858" si="271">X1795+AA1795-AB1795</f>
        <v>0</v>
      </c>
      <c r="AM1795" s="85"/>
    </row>
    <row r="1796" spans="1:39" hidden="1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264"/>
        <v>1482.75</v>
      </c>
      <c r="X1796" s="13">
        <f t="shared" si="265"/>
        <v>29374.583333333328</v>
      </c>
      <c r="Y1796" s="13">
        <f t="shared" si="267"/>
        <v>0</v>
      </c>
      <c r="Z1796" s="2">
        <v>0</v>
      </c>
      <c r="AA1796" s="4">
        <v>0</v>
      </c>
      <c r="AB1796" s="4">
        <f t="shared" si="268"/>
        <v>29374.583333333328</v>
      </c>
      <c r="AC1796" s="6">
        <f t="shared" si="269"/>
        <v>9399.8666666666686</v>
      </c>
      <c r="AD1796" s="4">
        <v>41598.810000000005</v>
      </c>
      <c r="AE1796" s="2">
        <v>0.06</v>
      </c>
      <c r="AF1796" s="5">
        <f t="shared" si="270"/>
        <v>2495.9286000000002</v>
      </c>
      <c r="AG1796" s="9">
        <v>0.3</v>
      </c>
      <c r="AH1796" s="4">
        <f t="shared" si="266"/>
        <v>29826.499999999996</v>
      </c>
      <c r="AJ1796" s="126" t="e">
        <v>#N/A</v>
      </c>
      <c r="AK1796" s="80">
        <f t="shared" si="271"/>
        <v>0</v>
      </c>
      <c r="AM1796" s="85"/>
    </row>
    <row r="1797" spans="1:39" hidden="1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264"/>
        <v>58933.820000000022</v>
      </c>
      <c r="X1797" s="13">
        <f t="shared" si="265"/>
        <v>10473.080000000002</v>
      </c>
      <c r="Y1797" s="13">
        <f t="shared" si="267"/>
        <v>0</v>
      </c>
      <c r="Z1797" s="2">
        <v>0</v>
      </c>
      <c r="AA1797" s="4">
        <v>0</v>
      </c>
      <c r="AB1797" s="4">
        <f t="shared" si="268"/>
        <v>10473.080000000002</v>
      </c>
      <c r="AC1797" s="6">
        <f t="shared" si="269"/>
        <v>0</v>
      </c>
      <c r="AD1797" s="4">
        <v>10473.080000000002</v>
      </c>
      <c r="AE1797" s="2">
        <v>0.06</v>
      </c>
      <c r="AF1797" s="5">
        <f t="shared" si="270"/>
        <v>628.38480000000004</v>
      </c>
      <c r="AG1797" s="9">
        <v>0</v>
      </c>
      <c r="AH1797" s="4">
        <f t="shared" si="266"/>
        <v>10473.080000000002</v>
      </c>
      <c r="AJ1797" s="126" t="e">
        <v>#N/A</v>
      </c>
      <c r="AK1797" s="80">
        <f t="shared" si="271"/>
        <v>0</v>
      </c>
      <c r="AM1797" s="85"/>
    </row>
    <row r="1798" spans="1:39" hidden="1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264"/>
        <v>0</v>
      </c>
      <c r="X1798" s="13">
        <f t="shared" si="265"/>
        <v>458732.27508064389</v>
      </c>
      <c r="Y1798" s="13">
        <f t="shared" si="267"/>
        <v>458732.27508064389</v>
      </c>
      <c r="Z1798" s="2">
        <v>0</v>
      </c>
      <c r="AA1798" s="4">
        <v>0</v>
      </c>
      <c r="AB1798" s="4">
        <f t="shared" si="268"/>
        <v>458732.27508064389</v>
      </c>
      <c r="AC1798" s="6">
        <f t="shared" si="269"/>
        <v>110095.7460193545</v>
      </c>
      <c r="AD1798" s="4">
        <v>0</v>
      </c>
      <c r="AE1798" s="2">
        <v>0.06</v>
      </c>
      <c r="AF1798" s="5">
        <f t="shared" si="270"/>
        <v>0</v>
      </c>
      <c r="AG1798" s="9">
        <v>0.21</v>
      </c>
      <c r="AH1798" s="4">
        <f t="shared" si="266"/>
        <v>470105.80256198213</v>
      </c>
      <c r="AJ1798" s="126" t="e">
        <v>#N/A</v>
      </c>
      <c r="AK1798" s="80">
        <f t="shared" si="271"/>
        <v>0</v>
      </c>
      <c r="AM1798" s="85"/>
    </row>
    <row r="1799" spans="1:39" hidden="1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264"/>
        <v>-27682.880000000081</v>
      </c>
      <c r="X1799" s="13">
        <f t="shared" si="265"/>
        <v>0</v>
      </c>
      <c r="Y1799" s="13">
        <f t="shared" si="267"/>
        <v>0</v>
      </c>
      <c r="Z1799" s="2">
        <v>0</v>
      </c>
      <c r="AA1799" s="4">
        <v>0</v>
      </c>
      <c r="AB1799" s="4">
        <f t="shared" si="268"/>
        <v>0</v>
      </c>
      <c r="AC1799" s="6">
        <f t="shared" si="269"/>
        <v>0</v>
      </c>
      <c r="AD1799" s="4">
        <v>0</v>
      </c>
      <c r="AE1799" s="2">
        <v>0.06</v>
      </c>
      <c r="AF1799" s="5">
        <f t="shared" si="270"/>
        <v>0</v>
      </c>
      <c r="AG1799" s="9">
        <v>0</v>
      </c>
      <c r="AH1799" s="4">
        <f t="shared" si="266"/>
        <v>0</v>
      </c>
      <c r="AJ1799" s="126" t="e">
        <v>#N/A</v>
      </c>
      <c r="AK1799" s="80">
        <f t="shared" si="271"/>
        <v>0</v>
      </c>
      <c r="AM1799" s="85"/>
    </row>
    <row r="1800" spans="1:39" hidden="1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264"/>
        <v>-3427.0218191787135</v>
      </c>
      <c r="X1800" s="13">
        <f t="shared" si="265"/>
        <v>38560.72340425531</v>
      </c>
      <c r="Y1800" s="13">
        <f t="shared" si="267"/>
        <v>2694.9234042553071</v>
      </c>
      <c r="Z1800" s="2">
        <v>0</v>
      </c>
      <c r="AA1800" s="4">
        <v>0</v>
      </c>
      <c r="AB1800" s="4">
        <f t="shared" si="268"/>
        <v>38560.72340425531</v>
      </c>
      <c r="AC1800" s="6">
        <f t="shared" si="269"/>
        <v>15809.896595744685</v>
      </c>
      <c r="AD1800" s="4">
        <v>35865.800000000003</v>
      </c>
      <c r="AE1800" s="2">
        <v>7.0000000000000007E-2</v>
      </c>
      <c r="AF1800" s="5">
        <f t="shared" si="270"/>
        <v>2510.6060000000002</v>
      </c>
      <c r="AG1800" s="9">
        <v>0.4</v>
      </c>
      <c r="AH1800" s="4">
        <f t="shared" si="266"/>
        <v>38836.157142857141</v>
      </c>
      <c r="AJ1800" s="126" t="e">
        <v>#N/A</v>
      </c>
      <c r="AK1800" s="80">
        <f t="shared" si="271"/>
        <v>0</v>
      </c>
      <c r="AM1800" s="85"/>
    </row>
    <row r="1801" spans="1:39" hidden="1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264"/>
        <v>-5.8385726027881901</v>
      </c>
      <c r="X1801" s="13">
        <f t="shared" si="265"/>
        <v>0</v>
      </c>
      <c r="Y1801" s="13">
        <f t="shared" si="267"/>
        <v>0</v>
      </c>
      <c r="Z1801" s="2">
        <v>0</v>
      </c>
      <c r="AA1801" s="4">
        <v>0</v>
      </c>
      <c r="AB1801" s="4">
        <f t="shared" si="268"/>
        <v>0</v>
      </c>
      <c r="AC1801" s="6">
        <f t="shared" si="269"/>
        <v>0</v>
      </c>
      <c r="AD1801" s="4">
        <v>0</v>
      </c>
      <c r="AE1801" s="2">
        <v>7.0000000000000007E-2</v>
      </c>
      <c r="AF1801" s="5">
        <f t="shared" si="270"/>
        <v>0</v>
      </c>
      <c r="AG1801" s="9">
        <v>0.46</v>
      </c>
      <c r="AH1801" s="4">
        <f t="shared" si="266"/>
        <v>0</v>
      </c>
      <c r="AJ1801" s="126" t="e">
        <v>#N/A</v>
      </c>
      <c r="AK1801" s="80">
        <f t="shared" si="271"/>
        <v>0</v>
      </c>
      <c r="AM1801" s="85"/>
    </row>
    <row r="1802" spans="1:39" hidden="1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264"/>
        <v>-2154.914000000218</v>
      </c>
      <c r="X1802" s="13">
        <f t="shared" si="265"/>
        <v>812.06944444444457</v>
      </c>
      <c r="Y1802" s="13">
        <f t="shared" si="267"/>
        <v>799.93944444444458</v>
      </c>
      <c r="Z1802" s="2">
        <v>0</v>
      </c>
      <c r="AA1802" s="4">
        <v>0</v>
      </c>
      <c r="AB1802" s="4">
        <f t="shared" si="268"/>
        <v>812.06944444444457</v>
      </c>
      <c r="AC1802" s="6">
        <f t="shared" si="269"/>
        <v>357.31055555555554</v>
      </c>
      <c r="AD1802" s="4">
        <v>12.13</v>
      </c>
      <c r="AE1802" s="2">
        <v>7.0000000000000007E-2</v>
      </c>
      <c r="AF1802" s="5">
        <f t="shared" si="270"/>
        <v>0.84910000000000019</v>
      </c>
      <c r="AG1802" s="9">
        <v>0.4</v>
      </c>
      <c r="AH1802" s="4">
        <f t="shared" si="266"/>
        <v>835.27142857142871</v>
      </c>
      <c r="AJ1802" s="126" t="e">
        <v>#N/A</v>
      </c>
      <c r="AK1802" s="80">
        <f t="shared" si="271"/>
        <v>0</v>
      </c>
      <c r="AM1802" s="85"/>
    </row>
    <row r="1803" spans="1:39" hidden="1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264"/>
        <v>-5.2999999998064595E-3</v>
      </c>
      <c r="X1803" s="13">
        <f t="shared" si="265"/>
        <v>0</v>
      </c>
      <c r="Y1803" s="13">
        <f t="shared" si="267"/>
        <v>0</v>
      </c>
      <c r="Z1803" s="2">
        <v>0</v>
      </c>
      <c r="AA1803" s="4">
        <v>0</v>
      </c>
      <c r="AB1803" s="4">
        <f t="shared" si="268"/>
        <v>0</v>
      </c>
      <c r="AC1803" s="6">
        <f t="shared" si="269"/>
        <v>0</v>
      </c>
      <c r="AD1803" s="4">
        <v>0</v>
      </c>
      <c r="AE1803" s="2">
        <v>0.06</v>
      </c>
      <c r="AF1803" s="5">
        <f t="shared" si="270"/>
        <v>0</v>
      </c>
      <c r="AG1803" s="9">
        <v>0.37</v>
      </c>
      <c r="AH1803" s="4">
        <f t="shared" si="266"/>
        <v>0</v>
      </c>
      <c r="AJ1803" s="126" t="e">
        <v>#N/A</v>
      </c>
      <c r="AK1803" s="80">
        <f t="shared" si="271"/>
        <v>0</v>
      </c>
      <c r="AM1803" s="85"/>
    </row>
    <row r="1804" spans="1:39" hidden="1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264"/>
        <v>1868.9399999999641</v>
      </c>
      <c r="X1804" s="13">
        <f t="shared" si="265"/>
        <v>8010.9729729729734</v>
      </c>
      <c r="Y1804" s="13">
        <f t="shared" si="267"/>
        <v>0</v>
      </c>
      <c r="Z1804" s="2">
        <v>0</v>
      </c>
      <c r="AA1804" s="4">
        <v>0</v>
      </c>
      <c r="AB1804" s="4">
        <f t="shared" si="268"/>
        <v>8010.9729729729734</v>
      </c>
      <c r="AC1804" s="6">
        <f t="shared" si="269"/>
        <v>3845.2670270270264</v>
      </c>
      <c r="AD1804" s="4">
        <v>8468.7800000000007</v>
      </c>
      <c r="AE1804" s="2">
        <v>7.0000000000000007E-2</v>
      </c>
      <c r="AF1804" s="5">
        <f t="shared" si="270"/>
        <v>592.81460000000015</v>
      </c>
      <c r="AG1804" s="9">
        <v>0.4</v>
      </c>
      <c r="AH1804" s="4">
        <f t="shared" si="266"/>
        <v>8468.7428571428572</v>
      </c>
      <c r="AJ1804" s="126" t="s">
        <v>4218</v>
      </c>
      <c r="AK1804" s="80">
        <f t="shared" si="271"/>
        <v>0</v>
      </c>
      <c r="AL1804" s="150"/>
      <c r="AM1804" s="85"/>
    </row>
    <row r="1805" spans="1:39" hidden="1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264"/>
        <v>6.2000000011721568E-3</v>
      </c>
      <c r="X1805" s="13">
        <f t="shared" si="265"/>
        <v>0</v>
      </c>
      <c r="Y1805" s="13">
        <f t="shared" si="267"/>
        <v>0</v>
      </c>
      <c r="Z1805" s="2">
        <v>0</v>
      </c>
      <c r="AA1805" s="4">
        <v>0</v>
      </c>
      <c r="AB1805" s="4">
        <f t="shared" si="268"/>
        <v>0</v>
      </c>
      <c r="AC1805" s="6">
        <f t="shared" si="269"/>
        <v>0</v>
      </c>
      <c r="AD1805" s="4">
        <v>0</v>
      </c>
      <c r="AE1805" s="2">
        <v>0.06</v>
      </c>
      <c r="AF1805" s="5">
        <f t="shared" si="270"/>
        <v>0</v>
      </c>
      <c r="AG1805" s="9">
        <v>0.37</v>
      </c>
      <c r="AH1805" s="4">
        <f t="shared" si="266"/>
        <v>0</v>
      </c>
      <c r="AJ1805" s="126" t="e">
        <v>#N/A</v>
      </c>
      <c r="AK1805" s="80">
        <f t="shared" si="271"/>
        <v>0</v>
      </c>
      <c r="AM1805" s="85"/>
    </row>
    <row r="1806" spans="1:39" hidden="1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264"/>
        <v>-2202.9299999997602</v>
      </c>
      <c r="X1806" s="13">
        <f t="shared" si="265"/>
        <v>0</v>
      </c>
      <c r="Y1806" s="13">
        <f t="shared" si="267"/>
        <v>0</v>
      </c>
      <c r="Z1806" s="2">
        <v>0</v>
      </c>
      <c r="AA1806" s="4">
        <v>0</v>
      </c>
      <c r="AB1806" s="4">
        <f t="shared" si="268"/>
        <v>0</v>
      </c>
      <c r="AC1806" s="6">
        <f t="shared" si="269"/>
        <v>0</v>
      </c>
      <c r="AD1806" s="4">
        <v>0</v>
      </c>
      <c r="AE1806" s="2">
        <v>7.0000000000000007E-2</v>
      </c>
      <c r="AF1806" s="5">
        <f t="shared" si="270"/>
        <v>0</v>
      </c>
      <c r="AG1806" s="9">
        <v>0.4</v>
      </c>
      <c r="AH1806" s="4">
        <f t="shared" si="266"/>
        <v>0</v>
      </c>
      <c r="AJ1806" s="126" t="e">
        <v>#N/A</v>
      </c>
      <c r="AK1806" s="80">
        <f t="shared" si="271"/>
        <v>0</v>
      </c>
      <c r="AM1806" s="85"/>
    </row>
    <row r="1807" spans="1:39" hidden="1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264"/>
        <v>0</v>
      </c>
      <c r="X1807" s="13">
        <f t="shared" si="265"/>
        <v>6586.5905378766465</v>
      </c>
      <c r="Y1807" s="13">
        <f t="shared" si="267"/>
        <v>6586.5905378766465</v>
      </c>
      <c r="Z1807" s="2">
        <v>0</v>
      </c>
      <c r="AA1807" s="4">
        <v>0</v>
      </c>
      <c r="AB1807" s="4">
        <f t="shared" si="268"/>
        <v>6586.5905378766465</v>
      </c>
      <c r="AC1807" s="6">
        <f t="shared" si="269"/>
        <v>2769.0026621233419</v>
      </c>
      <c r="AD1807" s="4">
        <v>0</v>
      </c>
      <c r="AE1807" s="2">
        <v>0.06</v>
      </c>
      <c r="AF1807" s="5">
        <f t="shared" si="270"/>
        <v>0</v>
      </c>
      <c r="AG1807" s="9">
        <v>0.37</v>
      </c>
      <c r="AH1807" s="4">
        <f t="shared" si="266"/>
        <v>6828.9001459853926</v>
      </c>
      <c r="AJ1807" s="126" t="e">
        <v>#N/A</v>
      </c>
      <c r="AK1807" s="80">
        <f t="shared" si="271"/>
        <v>0</v>
      </c>
      <c r="AM1807" s="85"/>
    </row>
    <row r="1808" spans="1:39" hidden="1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264"/>
        <v>0</v>
      </c>
      <c r="X1808" s="13">
        <f t="shared" si="265"/>
        <v>172235.75540559136</v>
      </c>
      <c r="Y1808" s="13">
        <f t="shared" si="267"/>
        <v>172235.75540559136</v>
      </c>
      <c r="Z1808" s="2">
        <v>0</v>
      </c>
      <c r="AA1808" s="4">
        <v>0</v>
      </c>
      <c r="AB1808" s="4">
        <f t="shared" si="268"/>
        <v>172235.75540559136</v>
      </c>
      <c r="AC1808" s="6">
        <f t="shared" si="269"/>
        <v>77885.008594408398</v>
      </c>
      <c r="AD1808" s="4">
        <v>0</v>
      </c>
      <c r="AE1808" s="2">
        <v>7.0000000000000007E-2</v>
      </c>
      <c r="AF1808" s="5">
        <f t="shared" si="270"/>
        <v>0</v>
      </c>
      <c r="AG1808" s="9">
        <v>0.4</v>
      </c>
      <c r="AH1808" s="4">
        <f t="shared" si="266"/>
        <v>178657.68857142841</v>
      </c>
      <c r="AJ1808" s="126" t="e">
        <v>#N/A</v>
      </c>
      <c r="AK1808" s="80">
        <f t="shared" si="271"/>
        <v>0</v>
      </c>
      <c r="AM1808" s="85"/>
    </row>
    <row r="1809" spans="1:39" hidden="1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264"/>
        <v>-830131.6571000003</v>
      </c>
      <c r="X1809" s="13">
        <f t="shared" si="265"/>
        <v>0</v>
      </c>
      <c r="Y1809" s="13">
        <f t="shared" si="267"/>
        <v>0</v>
      </c>
      <c r="Z1809" s="2">
        <v>0</v>
      </c>
      <c r="AA1809" s="4">
        <v>0</v>
      </c>
      <c r="AB1809" s="4">
        <f t="shared" si="268"/>
        <v>0</v>
      </c>
      <c r="AC1809" s="6">
        <f t="shared" si="269"/>
        <v>0</v>
      </c>
      <c r="AD1809" s="4">
        <v>0</v>
      </c>
      <c r="AE1809" s="2">
        <v>0.06</v>
      </c>
      <c r="AF1809" s="5">
        <f t="shared" si="270"/>
        <v>0</v>
      </c>
      <c r="AG1809" s="9">
        <v>0.37</v>
      </c>
      <c r="AH1809" s="4">
        <f t="shared" si="266"/>
        <v>0</v>
      </c>
      <c r="AJ1809" s="126" t="e">
        <v>#N/A</v>
      </c>
      <c r="AK1809" s="80">
        <f t="shared" si="271"/>
        <v>0</v>
      </c>
      <c r="AM1809" s="85"/>
    </row>
    <row r="1810" spans="1:39" hidden="1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264"/>
        <v>0</v>
      </c>
      <c r="X1810" s="13">
        <f t="shared" si="265"/>
        <v>167094.52275862079</v>
      </c>
      <c r="Y1810" s="13">
        <f t="shared" si="267"/>
        <v>167094.52275862079</v>
      </c>
      <c r="Z1810" s="2">
        <v>0</v>
      </c>
      <c r="AA1810" s="4">
        <v>0</v>
      </c>
      <c r="AB1810" s="4">
        <f t="shared" si="268"/>
        <v>167094.52275862079</v>
      </c>
      <c r="AC1810" s="6">
        <f t="shared" si="269"/>
        <v>75192.535241379403</v>
      </c>
      <c r="AD1810" s="4">
        <v>0</v>
      </c>
      <c r="AE1810" s="2">
        <v>7.0000000000000007E-2</v>
      </c>
      <c r="AF1810" s="5">
        <f t="shared" si="270"/>
        <v>0</v>
      </c>
      <c r="AG1810" s="9">
        <v>0.4</v>
      </c>
      <c r="AH1810" s="4">
        <f t="shared" si="266"/>
        <v>173062.18428571444</v>
      </c>
      <c r="AJ1810" s="126" t="e">
        <v>#N/A</v>
      </c>
      <c r="AK1810" s="80">
        <f t="shared" si="271"/>
        <v>0</v>
      </c>
      <c r="AM1810" s="85"/>
    </row>
    <row r="1811" spans="1:39" hidden="1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264"/>
        <v>9981.5777999999955</v>
      </c>
      <c r="X1811" s="13">
        <f t="shared" si="265"/>
        <v>3119.5928571428576</v>
      </c>
      <c r="Y1811" s="13">
        <f t="shared" si="267"/>
        <v>0</v>
      </c>
      <c r="Z1811" s="2">
        <v>0</v>
      </c>
      <c r="AA1811" s="4">
        <v>0</v>
      </c>
      <c r="AB1811" s="4">
        <f t="shared" si="268"/>
        <v>3119.5928571428576</v>
      </c>
      <c r="AC1811" s="6">
        <f t="shared" si="269"/>
        <v>1247.8371428571427</v>
      </c>
      <c r="AD1811" s="4">
        <v>3187.8799999999987</v>
      </c>
      <c r="AE1811" s="2">
        <v>0.06</v>
      </c>
      <c r="AF1811" s="5">
        <f t="shared" si="270"/>
        <v>191.2727999999999</v>
      </c>
      <c r="AG1811" s="9">
        <v>0.37</v>
      </c>
      <c r="AH1811" s="4">
        <f t="shared" si="266"/>
        <v>3187.905109489051</v>
      </c>
      <c r="AJ1811" s="126" t="e">
        <v>#N/A</v>
      </c>
      <c r="AK1811" s="80">
        <f t="shared" si="271"/>
        <v>0</v>
      </c>
      <c r="AM1811" s="85"/>
    </row>
    <row r="1812" spans="1:39" hidden="1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264"/>
        <v>3055.029500000001</v>
      </c>
      <c r="X1812" s="13">
        <f t="shared" si="265"/>
        <v>300.85517241379301</v>
      </c>
      <c r="Y1812" s="13">
        <f t="shared" si="267"/>
        <v>0</v>
      </c>
      <c r="Z1812" s="2">
        <v>0</v>
      </c>
      <c r="AA1812" s="4">
        <v>0</v>
      </c>
      <c r="AB1812" s="4">
        <f t="shared" si="268"/>
        <v>300.85517241379301</v>
      </c>
      <c r="AC1812" s="6">
        <f t="shared" si="269"/>
        <v>135.38482758620694</v>
      </c>
      <c r="AD1812" s="4">
        <v>318.43</v>
      </c>
      <c r="AE1812" s="2">
        <v>0.06</v>
      </c>
      <c r="AF1812" s="5">
        <f t="shared" si="270"/>
        <v>19.105799999999999</v>
      </c>
      <c r="AG1812" s="9">
        <v>0.37</v>
      </c>
      <c r="AH1812" s="4">
        <f t="shared" si="266"/>
        <v>318.42335766423349</v>
      </c>
      <c r="AJ1812" s="126" t="e">
        <v>#N/A</v>
      </c>
      <c r="AK1812" s="80">
        <f t="shared" si="271"/>
        <v>0</v>
      </c>
      <c r="AM1812" s="85"/>
    </row>
    <row r="1813" spans="1:39" hidden="1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264"/>
        <v>-1.0999999999985448</v>
      </c>
      <c r="X1813" s="13">
        <f t="shared" si="265"/>
        <v>0</v>
      </c>
      <c r="Y1813" s="13">
        <f t="shared" si="267"/>
        <v>0</v>
      </c>
      <c r="Z1813" s="2">
        <v>0</v>
      </c>
      <c r="AA1813" s="4">
        <v>0</v>
      </c>
      <c r="AB1813" s="4">
        <f t="shared" si="268"/>
        <v>0</v>
      </c>
      <c r="AC1813" s="6">
        <f t="shared" si="269"/>
        <v>0</v>
      </c>
      <c r="AD1813" s="4">
        <v>0</v>
      </c>
      <c r="AE1813" s="2">
        <v>0.06</v>
      </c>
      <c r="AF1813" s="5">
        <f t="shared" si="270"/>
        <v>0</v>
      </c>
      <c r="AG1813" s="9">
        <v>0</v>
      </c>
      <c r="AH1813" s="4">
        <f t="shared" si="266"/>
        <v>0</v>
      </c>
      <c r="AJ1813" s="126" t="e">
        <v>#N/A</v>
      </c>
      <c r="AK1813" s="80">
        <f t="shared" si="271"/>
        <v>0</v>
      </c>
      <c r="AM1813" s="85"/>
    </row>
    <row r="1814" spans="1:39" hidden="1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264"/>
        <v>1.4300000000033322</v>
      </c>
      <c r="X1814" s="13">
        <f t="shared" si="265"/>
        <v>0</v>
      </c>
      <c r="Y1814" s="13">
        <f t="shared" si="267"/>
        <v>0</v>
      </c>
      <c r="Z1814" s="2">
        <v>0</v>
      </c>
      <c r="AA1814" s="4">
        <v>0</v>
      </c>
      <c r="AB1814" s="4">
        <f t="shared" si="268"/>
        <v>0</v>
      </c>
      <c r="AC1814" s="6">
        <f t="shared" si="269"/>
        <v>0</v>
      </c>
      <c r="AD1814" s="4">
        <v>0</v>
      </c>
      <c r="AE1814" s="2">
        <v>0</v>
      </c>
      <c r="AF1814" s="5">
        <f t="shared" si="270"/>
        <v>0</v>
      </c>
      <c r="AG1814" s="9">
        <v>0</v>
      </c>
      <c r="AH1814" s="4">
        <f t="shared" si="266"/>
        <v>0</v>
      </c>
      <c r="AJ1814" s="126" t="e">
        <v>#N/A</v>
      </c>
      <c r="AK1814" s="80">
        <f t="shared" si="271"/>
        <v>0</v>
      </c>
      <c r="AM1814" s="85"/>
    </row>
    <row r="1815" spans="1:39" hidden="1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264"/>
        <v>-1.2399999999615829E-2</v>
      </c>
      <c r="X1815" s="13">
        <f t="shared" si="265"/>
        <v>0</v>
      </c>
      <c r="Y1815" s="13">
        <f t="shared" si="267"/>
        <v>0</v>
      </c>
      <c r="Z1815" s="2">
        <v>0</v>
      </c>
      <c r="AA1815" s="4">
        <v>0</v>
      </c>
      <c r="AB1815" s="4">
        <f t="shared" si="268"/>
        <v>0</v>
      </c>
      <c r="AC1815" s="6">
        <f t="shared" si="269"/>
        <v>0</v>
      </c>
      <c r="AD1815" s="4">
        <v>0</v>
      </c>
      <c r="AE1815" s="2">
        <v>7.0000000000000007E-2</v>
      </c>
      <c r="AF1815" s="5">
        <f t="shared" si="270"/>
        <v>0</v>
      </c>
      <c r="AG1815" s="9">
        <v>0.28000000000000003</v>
      </c>
      <c r="AH1815" s="4">
        <f t="shared" si="266"/>
        <v>0</v>
      </c>
      <c r="AJ1815" s="126" t="e">
        <v>#N/A</v>
      </c>
      <c r="AK1815" s="80">
        <f t="shared" si="271"/>
        <v>0</v>
      </c>
      <c r="AM1815" s="85"/>
    </row>
    <row r="1816" spans="1:39" hidden="1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264"/>
        <v>0</v>
      </c>
      <c r="X1816" s="13">
        <f t="shared" si="265"/>
        <v>0</v>
      </c>
      <c r="Y1816" s="13">
        <f t="shared" si="267"/>
        <v>0</v>
      </c>
      <c r="Z1816" s="2">
        <v>0</v>
      </c>
      <c r="AA1816" s="4">
        <v>0</v>
      </c>
      <c r="AB1816" s="4">
        <f t="shared" si="268"/>
        <v>0</v>
      </c>
      <c r="AC1816" s="6">
        <f t="shared" si="269"/>
        <v>0</v>
      </c>
      <c r="AD1816" s="4">
        <v>0</v>
      </c>
      <c r="AE1816" s="2">
        <v>7.0000000000000007E-2</v>
      </c>
      <c r="AF1816" s="5">
        <f t="shared" si="270"/>
        <v>0</v>
      </c>
      <c r="AG1816" s="9">
        <v>0</v>
      </c>
      <c r="AH1816" s="4">
        <f t="shared" si="266"/>
        <v>0</v>
      </c>
      <c r="AJ1816" s="126" t="e">
        <v>#N/A</v>
      </c>
      <c r="AK1816" s="80">
        <f t="shared" si="271"/>
        <v>0</v>
      </c>
      <c r="AM1816" s="85"/>
    </row>
    <row r="1817" spans="1:39" hidden="1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264"/>
        <v>212325.64000000028</v>
      </c>
      <c r="X1817" s="13">
        <f t="shared" si="265"/>
        <v>0</v>
      </c>
      <c r="Y1817" s="13">
        <f t="shared" si="267"/>
        <v>0</v>
      </c>
      <c r="Z1817" s="2">
        <v>0</v>
      </c>
      <c r="AA1817" s="4">
        <v>0</v>
      </c>
      <c r="AB1817" s="4">
        <f t="shared" si="268"/>
        <v>0</v>
      </c>
      <c r="AC1817" s="6">
        <f t="shared" si="269"/>
        <v>0</v>
      </c>
      <c r="AD1817" s="4">
        <v>0</v>
      </c>
      <c r="AE1817" s="2">
        <v>0.06</v>
      </c>
      <c r="AF1817" s="5">
        <f t="shared" si="270"/>
        <v>0</v>
      </c>
      <c r="AG1817" s="9">
        <v>0</v>
      </c>
      <c r="AH1817" s="4">
        <f t="shared" si="266"/>
        <v>0</v>
      </c>
      <c r="AJ1817" s="126" t="e">
        <v>#N/A</v>
      </c>
      <c r="AK1817" s="80">
        <f t="shared" si="271"/>
        <v>0</v>
      </c>
      <c r="AM1817" s="85"/>
    </row>
    <row r="1818" spans="1:39" hidden="1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264"/>
        <v>100.0299999998897</v>
      </c>
      <c r="X1818" s="13">
        <f t="shared" si="265"/>
        <v>0</v>
      </c>
      <c r="Y1818" s="13">
        <f t="shared" si="267"/>
        <v>0</v>
      </c>
      <c r="Z1818" s="2">
        <v>0</v>
      </c>
      <c r="AA1818" s="4">
        <v>0</v>
      </c>
      <c r="AB1818" s="4">
        <f t="shared" si="268"/>
        <v>0</v>
      </c>
      <c r="AC1818" s="6">
        <f t="shared" si="269"/>
        <v>0</v>
      </c>
      <c r="AD1818" s="4">
        <v>0</v>
      </c>
      <c r="AE1818" s="2">
        <v>7.0000000000000007E-2</v>
      </c>
      <c r="AF1818" s="5">
        <f t="shared" si="270"/>
        <v>0</v>
      </c>
      <c r="AG1818" s="9">
        <v>0</v>
      </c>
      <c r="AH1818" s="4">
        <f t="shared" si="266"/>
        <v>0</v>
      </c>
      <c r="AJ1818" s="126" t="e">
        <v>#N/A</v>
      </c>
      <c r="AK1818" s="80">
        <f t="shared" si="271"/>
        <v>0</v>
      </c>
      <c r="AM1818" s="85"/>
    </row>
    <row r="1819" spans="1:39" hidden="1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264"/>
        <v>2872380.838</v>
      </c>
      <c r="X1819" s="13">
        <f t="shared" si="265"/>
        <v>0</v>
      </c>
      <c r="Y1819" s="13">
        <f t="shared" si="267"/>
        <v>0</v>
      </c>
      <c r="Z1819" s="2">
        <v>0</v>
      </c>
      <c r="AA1819" s="4">
        <v>0</v>
      </c>
      <c r="AB1819" s="4">
        <f t="shared" si="268"/>
        <v>0</v>
      </c>
      <c r="AC1819" s="6">
        <f t="shared" si="269"/>
        <v>0</v>
      </c>
      <c r="AD1819" s="4">
        <v>0</v>
      </c>
      <c r="AE1819" s="2">
        <v>7.0000000000000007E-2</v>
      </c>
      <c r="AF1819" s="5">
        <f t="shared" si="270"/>
        <v>0</v>
      </c>
      <c r="AG1819" s="9">
        <v>0.24</v>
      </c>
      <c r="AH1819" s="4">
        <f t="shared" si="266"/>
        <v>0</v>
      </c>
      <c r="AJ1819" s="126" t="e">
        <v>#N/A</v>
      </c>
      <c r="AK1819" s="80">
        <f t="shared" si="271"/>
        <v>0</v>
      </c>
      <c r="AM1819" s="85"/>
    </row>
    <row r="1820" spans="1:39" hidden="1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264"/>
        <v>0</v>
      </c>
      <c r="X1820" s="13">
        <f t="shared" si="265"/>
        <v>0</v>
      </c>
      <c r="Y1820" s="13">
        <f t="shared" si="267"/>
        <v>0</v>
      </c>
      <c r="Z1820" s="2">
        <v>0</v>
      </c>
      <c r="AA1820" s="4">
        <v>0</v>
      </c>
      <c r="AB1820" s="4">
        <f t="shared" si="268"/>
        <v>0</v>
      </c>
      <c r="AC1820" s="6">
        <f t="shared" si="269"/>
        <v>0</v>
      </c>
      <c r="AD1820" s="4">
        <v>0</v>
      </c>
      <c r="AE1820" s="2">
        <v>0.06</v>
      </c>
      <c r="AF1820" s="5">
        <f t="shared" si="270"/>
        <v>0</v>
      </c>
      <c r="AG1820" s="9">
        <v>0.06</v>
      </c>
      <c r="AH1820" s="4">
        <f t="shared" si="266"/>
        <v>0</v>
      </c>
      <c r="AJ1820" s="126" t="e">
        <v>#N/A</v>
      </c>
      <c r="AK1820" s="80">
        <f t="shared" si="271"/>
        <v>0</v>
      </c>
      <c r="AM1820" s="85"/>
    </row>
    <row r="1821" spans="1:39" hidden="1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264"/>
        <v>-66434.08500000037</v>
      </c>
      <c r="X1821" s="13">
        <f t="shared" si="265"/>
        <v>0</v>
      </c>
      <c r="Y1821" s="13">
        <f t="shared" si="267"/>
        <v>0</v>
      </c>
      <c r="Z1821" s="2">
        <v>0</v>
      </c>
      <c r="AA1821" s="4">
        <v>0</v>
      </c>
      <c r="AB1821" s="4">
        <f t="shared" si="268"/>
        <v>0</v>
      </c>
      <c r="AC1821" s="6">
        <f t="shared" si="269"/>
        <v>0</v>
      </c>
      <c r="AD1821" s="4">
        <v>0</v>
      </c>
      <c r="AE1821" s="2">
        <v>0.06</v>
      </c>
      <c r="AF1821" s="5">
        <f t="shared" si="270"/>
        <v>0</v>
      </c>
      <c r="AG1821" s="9">
        <v>0.1</v>
      </c>
      <c r="AH1821" s="4">
        <f t="shared" si="266"/>
        <v>0</v>
      </c>
      <c r="AJ1821" s="126" t="e">
        <v>#N/A</v>
      </c>
      <c r="AK1821" s="80">
        <f t="shared" si="271"/>
        <v>0</v>
      </c>
      <c r="AM1821" s="85"/>
    </row>
    <row r="1822" spans="1:39" hidden="1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264"/>
        <v>-5.0000000337604433E-3</v>
      </c>
      <c r="X1822" s="13">
        <f t="shared" si="265"/>
        <v>0</v>
      </c>
      <c r="Y1822" s="13">
        <f t="shared" si="267"/>
        <v>0</v>
      </c>
      <c r="Z1822" s="2">
        <v>0</v>
      </c>
      <c r="AA1822" s="4">
        <v>0</v>
      </c>
      <c r="AB1822" s="4">
        <f t="shared" si="268"/>
        <v>0</v>
      </c>
      <c r="AC1822" s="6">
        <f t="shared" si="269"/>
        <v>0</v>
      </c>
      <c r="AD1822" s="4">
        <v>0</v>
      </c>
      <c r="AE1822" s="2">
        <v>0</v>
      </c>
      <c r="AF1822" s="5">
        <f t="shared" si="270"/>
        <v>0</v>
      </c>
      <c r="AG1822" s="9">
        <v>0.1</v>
      </c>
      <c r="AH1822" s="4">
        <f t="shared" si="266"/>
        <v>0</v>
      </c>
      <c r="AJ1822" s="126" t="e">
        <v>#N/A</v>
      </c>
      <c r="AK1822" s="80">
        <f t="shared" si="271"/>
        <v>0</v>
      </c>
      <c r="AM1822" s="85"/>
    </row>
    <row r="1823" spans="1:39" hidden="1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264"/>
        <v>-74839.461799999946</v>
      </c>
      <c r="X1823" s="13">
        <f t="shared" si="265"/>
        <v>0</v>
      </c>
      <c r="Y1823" s="13">
        <f t="shared" si="267"/>
        <v>0</v>
      </c>
      <c r="Z1823" s="2">
        <v>0</v>
      </c>
      <c r="AA1823" s="4">
        <v>0</v>
      </c>
      <c r="AB1823" s="4">
        <f t="shared" si="268"/>
        <v>0</v>
      </c>
      <c r="AC1823" s="6">
        <f t="shared" si="269"/>
        <v>0</v>
      </c>
      <c r="AD1823" s="4">
        <v>0</v>
      </c>
      <c r="AE1823" s="2">
        <v>7.0000000000000007E-2</v>
      </c>
      <c r="AF1823" s="5">
        <f t="shared" si="270"/>
        <v>0</v>
      </c>
      <c r="AG1823" s="9">
        <v>0.38</v>
      </c>
      <c r="AH1823" s="4">
        <f t="shared" si="266"/>
        <v>0</v>
      </c>
      <c r="AJ1823" s="126" t="e">
        <v>#N/A</v>
      </c>
      <c r="AK1823" s="80">
        <f t="shared" si="271"/>
        <v>0</v>
      </c>
      <c r="AM1823" s="85"/>
    </row>
    <row r="1824" spans="1:39" hidden="1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264"/>
        <v>14839.55639999999</v>
      </c>
      <c r="X1824" s="13">
        <f t="shared" si="265"/>
        <v>20133.085106382976</v>
      </c>
      <c r="Y1824" s="13">
        <f t="shared" si="267"/>
        <v>20133.085106382976</v>
      </c>
      <c r="Z1824" s="2">
        <v>0</v>
      </c>
      <c r="AA1824" s="4">
        <v>0</v>
      </c>
      <c r="AB1824" s="4">
        <f t="shared" si="268"/>
        <v>20133.085106382976</v>
      </c>
      <c r="AC1824" s="6">
        <f t="shared" si="269"/>
        <v>8254.5648936170219</v>
      </c>
      <c r="AD1824" s="4">
        <v>0</v>
      </c>
      <c r="AE1824" s="2">
        <v>7.0000000000000007E-2</v>
      </c>
      <c r="AF1824" s="5">
        <f t="shared" si="270"/>
        <v>0</v>
      </c>
      <c r="AG1824" s="9">
        <v>0.38</v>
      </c>
      <c r="AH1824" s="4">
        <f t="shared" si="266"/>
        <v>20570.760869565216</v>
      </c>
      <c r="AJ1824" s="126" t="e">
        <v>#N/A</v>
      </c>
      <c r="AK1824" s="80">
        <f t="shared" si="271"/>
        <v>0</v>
      </c>
      <c r="AM1824" s="85"/>
    </row>
    <row r="1825" spans="1:39" hidden="1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264"/>
        <v>0</v>
      </c>
      <c r="X1825" s="13">
        <f t="shared" si="265"/>
        <v>14663.490384615387</v>
      </c>
      <c r="Y1825" s="13">
        <f t="shared" si="267"/>
        <v>0</v>
      </c>
      <c r="Z1825" s="2">
        <v>0</v>
      </c>
      <c r="AA1825" s="4">
        <v>0</v>
      </c>
      <c r="AB1825" s="4">
        <f t="shared" si="268"/>
        <v>14663.490384615387</v>
      </c>
      <c r="AC1825" s="6">
        <f t="shared" si="269"/>
        <v>586.5396153846159</v>
      </c>
      <c r="AD1825" s="4">
        <v>15250.030000000002</v>
      </c>
      <c r="AE1825" s="2">
        <v>7.0000000000000007E-2</v>
      </c>
      <c r="AF1825" s="5">
        <f t="shared" si="270"/>
        <v>1067.5021000000004</v>
      </c>
      <c r="AG1825" s="9">
        <v>0</v>
      </c>
      <c r="AH1825" s="4">
        <f t="shared" si="266"/>
        <v>15250.030000000002</v>
      </c>
      <c r="AJ1825" s="126" t="e">
        <v>#N/A</v>
      </c>
      <c r="AK1825" s="80">
        <f t="shared" si="271"/>
        <v>0</v>
      </c>
      <c r="AM1825" s="85"/>
    </row>
    <row r="1826" spans="1:39" hidden="1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264"/>
        <v>124432.62000000005</v>
      </c>
      <c r="X1826" s="13">
        <f t="shared" si="265"/>
        <v>5145.9514563106759</v>
      </c>
      <c r="Y1826" s="13">
        <f t="shared" si="267"/>
        <v>0</v>
      </c>
      <c r="Z1826" s="2">
        <v>0</v>
      </c>
      <c r="AA1826" s="4">
        <v>0</v>
      </c>
      <c r="AB1826" s="4">
        <f t="shared" si="268"/>
        <v>5145.9514563106759</v>
      </c>
      <c r="AC1826" s="6">
        <f t="shared" si="269"/>
        <v>154.3785436893204</v>
      </c>
      <c r="AD1826" s="4">
        <v>5189.7699999999977</v>
      </c>
      <c r="AE1826" s="2">
        <v>0.06</v>
      </c>
      <c r="AF1826" s="5">
        <f t="shared" si="270"/>
        <v>311.38619999999986</v>
      </c>
      <c r="AG1826" s="9">
        <v>0</v>
      </c>
      <c r="AH1826" s="4">
        <f t="shared" si="266"/>
        <v>5300.3299999999963</v>
      </c>
      <c r="AJ1826" s="126" t="e">
        <v>#N/A</v>
      </c>
      <c r="AK1826" s="80">
        <f t="shared" si="271"/>
        <v>0</v>
      </c>
      <c r="AM1826" s="85"/>
    </row>
    <row r="1827" spans="1:39" hidden="1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264"/>
        <v>-515592.65</v>
      </c>
      <c r="X1827" s="13">
        <f t="shared" si="265"/>
        <v>0</v>
      </c>
      <c r="Y1827" s="13">
        <f t="shared" si="267"/>
        <v>0</v>
      </c>
      <c r="Z1827" s="2">
        <v>0</v>
      </c>
      <c r="AA1827" s="4">
        <v>0</v>
      </c>
      <c r="AB1827" s="4">
        <f t="shared" si="268"/>
        <v>0</v>
      </c>
      <c r="AC1827" s="6">
        <f t="shared" si="269"/>
        <v>0</v>
      </c>
      <c r="AD1827" s="4">
        <v>0</v>
      </c>
      <c r="AE1827" s="2">
        <v>0.06</v>
      </c>
      <c r="AF1827" s="5">
        <f t="shared" si="270"/>
        <v>0</v>
      </c>
      <c r="AG1827" s="9">
        <v>0.37</v>
      </c>
      <c r="AH1827" s="4">
        <f t="shared" si="266"/>
        <v>0</v>
      </c>
      <c r="AJ1827" s="126" t="e">
        <v>#N/A</v>
      </c>
      <c r="AK1827" s="80">
        <f t="shared" si="271"/>
        <v>0</v>
      </c>
      <c r="AM1827" s="85"/>
    </row>
    <row r="1828" spans="1:39" hidden="1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264"/>
        <v>709839.84600000014</v>
      </c>
      <c r="X1828" s="13">
        <f t="shared" si="265"/>
        <v>0</v>
      </c>
      <c r="Y1828" s="13">
        <f t="shared" si="267"/>
        <v>0</v>
      </c>
      <c r="Z1828" s="2">
        <v>0</v>
      </c>
      <c r="AA1828" s="4">
        <v>0</v>
      </c>
      <c r="AB1828" s="4">
        <f t="shared" si="268"/>
        <v>0</v>
      </c>
      <c r="AC1828" s="6">
        <f t="shared" si="269"/>
        <v>0</v>
      </c>
      <c r="AD1828" s="4">
        <v>0</v>
      </c>
      <c r="AE1828" s="2">
        <v>7.0000000000000007E-2</v>
      </c>
      <c r="AF1828" s="5">
        <f t="shared" si="270"/>
        <v>0</v>
      </c>
      <c r="AG1828" s="9">
        <v>0.4</v>
      </c>
      <c r="AH1828" s="4">
        <f t="shared" si="266"/>
        <v>0</v>
      </c>
      <c r="AJ1828" s="126" t="e">
        <v>#N/A</v>
      </c>
      <c r="AK1828" s="80">
        <f t="shared" si="271"/>
        <v>0</v>
      </c>
      <c r="AM1828" s="85"/>
    </row>
    <row r="1829" spans="1:39" hidden="1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264"/>
        <v>30886.428000000004</v>
      </c>
      <c r="X1829" s="13">
        <f t="shared" si="265"/>
        <v>0</v>
      </c>
      <c r="Y1829" s="13">
        <f t="shared" si="267"/>
        <v>0</v>
      </c>
      <c r="Z1829" s="2">
        <v>0</v>
      </c>
      <c r="AA1829" s="4">
        <v>0</v>
      </c>
      <c r="AB1829" s="4">
        <f t="shared" si="268"/>
        <v>0</v>
      </c>
      <c r="AC1829" s="6">
        <f t="shared" si="269"/>
        <v>0</v>
      </c>
      <c r="AD1829" s="4">
        <v>0</v>
      </c>
      <c r="AE1829" s="2">
        <v>7.0000000000000007E-2</v>
      </c>
      <c r="AF1829" s="5">
        <f t="shared" si="270"/>
        <v>0</v>
      </c>
      <c r="AG1829" s="9">
        <v>0.4</v>
      </c>
      <c r="AH1829" s="4">
        <f t="shared" si="266"/>
        <v>0</v>
      </c>
      <c r="AJ1829" s="126" t="e">
        <v>#N/A</v>
      </c>
      <c r="AK1829" s="80">
        <f t="shared" si="271"/>
        <v>0</v>
      </c>
      <c r="AM1829" s="85"/>
    </row>
    <row r="1830" spans="1:39" hidden="1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264"/>
        <v>0.13395915713044815</v>
      </c>
      <c r="X1830" s="13">
        <f t="shared" si="265"/>
        <v>0</v>
      </c>
      <c r="Y1830" s="13">
        <f t="shared" si="267"/>
        <v>0</v>
      </c>
      <c r="Z1830" s="2">
        <v>0</v>
      </c>
      <c r="AA1830" s="4">
        <v>0</v>
      </c>
      <c r="AB1830" s="4">
        <f t="shared" si="268"/>
        <v>0</v>
      </c>
      <c r="AC1830" s="6">
        <f t="shared" si="269"/>
        <v>0</v>
      </c>
      <c r="AD1830" s="4">
        <v>0</v>
      </c>
      <c r="AE1830" s="2">
        <v>7.0000000000000007E-2</v>
      </c>
      <c r="AF1830" s="5">
        <f t="shared" si="270"/>
        <v>0</v>
      </c>
      <c r="AG1830" s="9">
        <v>0.4</v>
      </c>
      <c r="AH1830" s="4">
        <f t="shared" si="266"/>
        <v>0</v>
      </c>
      <c r="AJ1830" s="126" t="e">
        <v>#N/A</v>
      </c>
      <c r="AK1830" s="80">
        <f t="shared" si="271"/>
        <v>0</v>
      </c>
      <c r="AM1830" s="85"/>
    </row>
    <row r="1831" spans="1:39" hidden="1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264"/>
        <v>178230.13199999923</v>
      </c>
      <c r="X1831" s="13">
        <f t="shared" si="265"/>
        <v>0</v>
      </c>
      <c r="Y1831" s="13">
        <f t="shared" si="267"/>
        <v>0</v>
      </c>
      <c r="Z1831" s="2">
        <v>0</v>
      </c>
      <c r="AA1831" s="4">
        <v>0</v>
      </c>
      <c r="AB1831" s="4">
        <f t="shared" si="268"/>
        <v>0</v>
      </c>
      <c r="AC1831" s="6">
        <f t="shared" si="269"/>
        <v>0</v>
      </c>
      <c r="AD1831" s="4">
        <v>0</v>
      </c>
      <c r="AE1831" s="2">
        <v>7.0000000000000007E-2</v>
      </c>
      <c r="AF1831" s="5">
        <f t="shared" si="270"/>
        <v>0</v>
      </c>
      <c r="AG1831" s="9">
        <v>0.4</v>
      </c>
      <c r="AH1831" s="4">
        <f t="shared" si="266"/>
        <v>0</v>
      </c>
      <c r="AJ1831" s="126" t="e">
        <v>#N/A</v>
      </c>
      <c r="AK1831" s="80">
        <f t="shared" si="271"/>
        <v>0</v>
      </c>
      <c r="AM1831" s="85"/>
    </row>
    <row r="1832" spans="1:39" hidden="1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264"/>
        <v>-7.5000000019826984E-3</v>
      </c>
      <c r="X1832" s="13">
        <f t="shared" si="265"/>
        <v>0</v>
      </c>
      <c r="Y1832" s="13">
        <f t="shared" si="267"/>
        <v>0</v>
      </c>
      <c r="Z1832" s="2">
        <v>0</v>
      </c>
      <c r="AA1832" s="4">
        <v>0</v>
      </c>
      <c r="AB1832" s="4">
        <f t="shared" si="268"/>
        <v>0</v>
      </c>
      <c r="AC1832" s="6">
        <f t="shared" si="269"/>
        <v>0</v>
      </c>
      <c r="AD1832" s="4">
        <v>0</v>
      </c>
      <c r="AE1832" s="2">
        <v>0.06</v>
      </c>
      <c r="AF1832" s="5">
        <f t="shared" si="270"/>
        <v>0</v>
      </c>
      <c r="AG1832" s="9">
        <v>0.37</v>
      </c>
      <c r="AH1832" s="4">
        <f t="shared" si="266"/>
        <v>0</v>
      </c>
      <c r="AJ1832" s="126" t="e">
        <v>#N/A</v>
      </c>
      <c r="AK1832" s="80">
        <f t="shared" si="271"/>
        <v>0</v>
      </c>
      <c r="AM1832" s="85"/>
    </row>
    <row r="1833" spans="1:39" hidden="1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264"/>
        <v>1106.1799999999998</v>
      </c>
      <c r="X1833" s="13">
        <f t="shared" si="265"/>
        <v>0</v>
      </c>
      <c r="Y1833" s="13">
        <f t="shared" si="267"/>
        <v>0</v>
      </c>
      <c r="Z1833" s="2">
        <v>0</v>
      </c>
      <c r="AA1833" s="4">
        <v>0</v>
      </c>
      <c r="AB1833" s="4">
        <f t="shared" si="268"/>
        <v>0</v>
      </c>
      <c r="AC1833" s="6">
        <f t="shared" si="269"/>
        <v>0</v>
      </c>
      <c r="AD1833" s="4">
        <v>0</v>
      </c>
      <c r="AE1833" s="2">
        <v>0.06</v>
      </c>
      <c r="AF1833" s="5">
        <f t="shared" si="270"/>
        <v>0</v>
      </c>
      <c r="AG1833" s="9">
        <v>0</v>
      </c>
      <c r="AH1833" s="4">
        <f t="shared" si="266"/>
        <v>0</v>
      </c>
      <c r="AJ1833" s="126" t="e">
        <v>#N/A</v>
      </c>
      <c r="AK1833" s="80">
        <f t="shared" si="271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264"/>
        <v>18789.415199999996</v>
      </c>
      <c r="X1834" s="13">
        <f t="shared" si="265"/>
        <v>0</v>
      </c>
      <c r="Y1834" s="13">
        <f t="shared" si="267"/>
        <v>0</v>
      </c>
      <c r="Z1834" s="2">
        <v>0</v>
      </c>
      <c r="AA1834" s="4">
        <v>0</v>
      </c>
      <c r="AB1834" s="4">
        <f t="shared" si="268"/>
        <v>0</v>
      </c>
      <c r="AC1834" s="6">
        <f t="shared" si="269"/>
        <v>0</v>
      </c>
      <c r="AD1834" s="4">
        <v>0</v>
      </c>
      <c r="AE1834" s="2">
        <v>0.06</v>
      </c>
      <c r="AF1834" s="5">
        <f t="shared" si="270"/>
        <v>0</v>
      </c>
      <c r="AG1834" s="9">
        <v>0.37</v>
      </c>
      <c r="AH1834" s="4">
        <f t="shared" si="266"/>
        <v>0</v>
      </c>
      <c r="AJ1834" s="126" t="e">
        <v>#N/A</v>
      </c>
      <c r="AK1834" s="80">
        <f t="shared" si="271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264"/>
        <v>-6.0000000157742761E-3</v>
      </c>
      <c r="X1835" s="13">
        <f t="shared" si="265"/>
        <v>0</v>
      </c>
      <c r="Y1835" s="13">
        <f t="shared" si="267"/>
        <v>0</v>
      </c>
      <c r="Z1835" s="2">
        <v>0</v>
      </c>
      <c r="AA1835" s="4">
        <v>0</v>
      </c>
      <c r="AB1835" s="4">
        <f t="shared" si="268"/>
        <v>0</v>
      </c>
      <c r="AC1835" s="6">
        <f t="shared" si="269"/>
        <v>0</v>
      </c>
      <c r="AD1835" s="4">
        <v>0</v>
      </c>
      <c r="AE1835" s="2">
        <v>7.0000000000000007E-2</v>
      </c>
      <c r="AF1835" s="5">
        <f t="shared" si="270"/>
        <v>0</v>
      </c>
      <c r="AG1835" s="9">
        <v>0.4</v>
      </c>
      <c r="AH1835" s="4">
        <f t="shared" si="266"/>
        <v>0</v>
      </c>
      <c r="AJ1835" s="126" t="e">
        <v>#N/A</v>
      </c>
      <c r="AK1835" s="80">
        <f t="shared" si="271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264"/>
        <v>1050881.8134847868</v>
      </c>
      <c r="X1836" s="13">
        <f t="shared" si="265"/>
        <v>0</v>
      </c>
      <c r="Y1836" s="13">
        <f t="shared" si="267"/>
        <v>0</v>
      </c>
      <c r="Z1836" s="2">
        <v>0</v>
      </c>
      <c r="AA1836" s="4">
        <v>0</v>
      </c>
      <c r="AB1836" s="4">
        <f t="shared" si="268"/>
        <v>0</v>
      </c>
      <c r="AC1836" s="6">
        <f t="shared" si="269"/>
        <v>0</v>
      </c>
      <c r="AD1836" s="4">
        <v>0</v>
      </c>
      <c r="AE1836" s="2">
        <v>7.0000000000000007E-2</v>
      </c>
      <c r="AF1836" s="5">
        <f t="shared" si="270"/>
        <v>0</v>
      </c>
      <c r="AG1836" s="9">
        <v>0.4</v>
      </c>
      <c r="AH1836" s="4">
        <f t="shared" si="266"/>
        <v>0</v>
      </c>
      <c r="AJ1836" s="126" t="e">
        <v>#N/A</v>
      </c>
      <c r="AK1836" s="80">
        <f t="shared" si="271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264"/>
        <v>-633233.87399999995</v>
      </c>
      <c r="X1837" s="13">
        <f t="shared" si="265"/>
        <v>0</v>
      </c>
      <c r="Y1837" s="13">
        <f t="shared" si="267"/>
        <v>0</v>
      </c>
      <c r="Z1837" s="2">
        <v>0</v>
      </c>
      <c r="AA1837" s="4">
        <v>0</v>
      </c>
      <c r="AB1837" s="4">
        <f t="shared" si="268"/>
        <v>0</v>
      </c>
      <c r="AC1837" s="6">
        <f t="shared" si="269"/>
        <v>0</v>
      </c>
      <c r="AD1837" s="4">
        <v>0</v>
      </c>
      <c r="AE1837" s="2">
        <v>7.0000000000000007E-2</v>
      </c>
      <c r="AF1837" s="5">
        <f t="shared" si="270"/>
        <v>0</v>
      </c>
      <c r="AG1837" s="9">
        <v>0.4</v>
      </c>
      <c r="AH1837" s="4">
        <f t="shared" si="266"/>
        <v>0</v>
      </c>
      <c r="AJ1837" s="126" t="e">
        <v>#N/A</v>
      </c>
      <c r="AK1837" s="80">
        <f t="shared" si="271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264"/>
        <v>1242.0009</v>
      </c>
      <c r="X1838" s="13">
        <f t="shared" si="265"/>
        <v>0</v>
      </c>
      <c r="Y1838" s="13">
        <f t="shared" si="267"/>
        <v>0</v>
      </c>
      <c r="Z1838" s="2">
        <v>0</v>
      </c>
      <c r="AA1838" s="4">
        <v>0</v>
      </c>
      <c r="AB1838" s="4">
        <f t="shared" si="268"/>
        <v>0</v>
      </c>
      <c r="AC1838" s="6">
        <f t="shared" si="269"/>
        <v>0</v>
      </c>
      <c r="AD1838" s="4">
        <v>0</v>
      </c>
      <c r="AE1838" s="2">
        <v>0.06</v>
      </c>
      <c r="AF1838" s="5">
        <f t="shared" si="270"/>
        <v>0</v>
      </c>
      <c r="AG1838" s="9">
        <v>0.37</v>
      </c>
      <c r="AH1838" s="4">
        <f t="shared" si="266"/>
        <v>0</v>
      </c>
      <c r="AJ1838" s="126" t="e">
        <v>#N/A</v>
      </c>
      <c r="AK1838" s="80">
        <f t="shared" si="271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264"/>
        <v>179793.86138219805</v>
      </c>
      <c r="X1839" s="13">
        <f t="shared" si="265"/>
        <v>0</v>
      </c>
      <c r="Y1839" s="13">
        <f t="shared" si="267"/>
        <v>0</v>
      </c>
      <c r="Z1839" s="2">
        <v>0</v>
      </c>
      <c r="AA1839" s="4">
        <v>0</v>
      </c>
      <c r="AB1839" s="4">
        <f t="shared" si="268"/>
        <v>0</v>
      </c>
      <c r="AC1839" s="6">
        <f t="shared" si="269"/>
        <v>0</v>
      </c>
      <c r="AD1839" s="4">
        <v>0</v>
      </c>
      <c r="AE1839" s="2">
        <v>7.0000000000000007E-2</v>
      </c>
      <c r="AF1839" s="5">
        <f t="shared" si="270"/>
        <v>0</v>
      </c>
      <c r="AG1839" s="9">
        <v>0.41</v>
      </c>
      <c r="AH1839" s="4">
        <f t="shared" si="266"/>
        <v>0</v>
      </c>
      <c r="AJ1839" s="126" t="e">
        <v>#N/A</v>
      </c>
      <c r="AK1839" s="80">
        <f t="shared" si="271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264"/>
        <v>-244103.99919999999</v>
      </c>
      <c r="X1840" s="13">
        <f t="shared" si="265"/>
        <v>0</v>
      </c>
      <c r="Y1840" s="13">
        <f t="shared" si="267"/>
        <v>0</v>
      </c>
      <c r="Z1840" s="2">
        <v>0</v>
      </c>
      <c r="AA1840" s="4">
        <v>0</v>
      </c>
      <c r="AB1840" s="4">
        <f t="shared" si="268"/>
        <v>0</v>
      </c>
      <c r="AC1840" s="6">
        <f t="shared" si="269"/>
        <v>0</v>
      </c>
      <c r="AD1840" s="4">
        <v>0</v>
      </c>
      <c r="AE1840" s="2">
        <v>7.0000000000000007E-2</v>
      </c>
      <c r="AF1840" s="5">
        <f t="shared" si="270"/>
        <v>0</v>
      </c>
      <c r="AG1840" s="9">
        <v>0.46</v>
      </c>
      <c r="AH1840" s="4">
        <f t="shared" si="266"/>
        <v>0</v>
      </c>
      <c r="AJ1840" s="126" t="e">
        <v>#N/A</v>
      </c>
      <c r="AK1840" s="80">
        <f t="shared" si="271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264"/>
        <v>32125.830000000042</v>
      </c>
      <c r="X1841" s="13">
        <f t="shared" si="265"/>
        <v>17989.436893203881</v>
      </c>
      <c r="Y1841" s="13">
        <f t="shared" si="267"/>
        <v>0</v>
      </c>
      <c r="Z1841" s="2">
        <v>0</v>
      </c>
      <c r="AA1841" s="4">
        <v>0</v>
      </c>
      <c r="AB1841" s="4">
        <f t="shared" si="268"/>
        <v>17989.436893203881</v>
      </c>
      <c r="AC1841" s="6">
        <f t="shared" si="269"/>
        <v>539.6831067961175</v>
      </c>
      <c r="AD1841" s="4">
        <v>18529.12</v>
      </c>
      <c r="AE1841" s="2">
        <v>0.06</v>
      </c>
      <c r="AF1841" s="5">
        <f t="shared" si="270"/>
        <v>1111.7471999999998</v>
      </c>
      <c r="AG1841" s="9">
        <v>0</v>
      </c>
      <c r="AH1841" s="4">
        <f t="shared" si="266"/>
        <v>18529.12</v>
      </c>
      <c r="AJ1841" s="126" t="e">
        <v>#N/A</v>
      </c>
      <c r="AK1841" s="80">
        <f t="shared" si="271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264"/>
        <v>0</v>
      </c>
      <c r="X1842" s="13">
        <f t="shared" si="265"/>
        <v>0</v>
      </c>
      <c r="Y1842" s="13">
        <f t="shared" si="267"/>
        <v>0</v>
      </c>
      <c r="Z1842" s="2">
        <v>0</v>
      </c>
      <c r="AA1842" s="4">
        <v>0</v>
      </c>
      <c r="AB1842" s="4">
        <f t="shared" si="268"/>
        <v>0</v>
      </c>
      <c r="AC1842" s="6">
        <f t="shared" si="269"/>
        <v>0</v>
      </c>
      <c r="AD1842" s="4">
        <v>0</v>
      </c>
      <c r="AE1842" s="2">
        <v>7.0000000000000007E-2</v>
      </c>
      <c r="AF1842" s="5">
        <f t="shared" si="270"/>
        <v>0</v>
      </c>
      <c r="AG1842" s="9">
        <v>0</v>
      </c>
      <c r="AH1842" s="4">
        <f t="shared" si="266"/>
        <v>0</v>
      </c>
      <c r="AJ1842" s="126" t="e">
        <v>#N/A</v>
      </c>
      <c r="AK1842" s="80">
        <f t="shared" si="271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264"/>
        <v>1067.8328000000383</v>
      </c>
      <c r="X1843" s="13">
        <f t="shared" si="265"/>
        <v>0</v>
      </c>
      <c r="Y1843" s="13">
        <f t="shared" si="267"/>
        <v>0</v>
      </c>
      <c r="Z1843" s="2">
        <v>0</v>
      </c>
      <c r="AA1843" s="4">
        <v>0</v>
      </c>
      <c r="AB1843" s="4">
        <f t="shared" si="268"/>
        <v>0</v>
      </c>
      <c r="AC1843" s="6">
        <f t="shared" si="269"/>
        <v>0</v>
      </c>
      <c r="AD1843" s="4">
        <v>0</v>
      </c>
      <c r="AE1843" s="2">
        <v>0.06</v>
      </c>
      <c r="AF1843" s="5">
        <f t="shared" si="270"/>
        <v>0</v>
      </c>
      <c r="AG1843" s="9">
        <v>0</v>
      </c>
      <c r="AH1843" s="4">
        <f t="shared" si="266"/>
        <v>0</v>
      </c>
      <c r="AJ1843" s="126" t="e">
        <v>#N/A</v>
      </c>
      <c r="AK1843" s="80">
        <f t="shared" si="271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264"/>
        <v>-1108111.0525000014</v>
      </c>
      <c r="X1844" s="13">
        <f t="shared" si="265"/>
        <v>0</v>
      </c>
      <c r="Y1844" s="13">
        <f t="shared" si="267"/>
        <v>0</v>
      </c>
      <c r="Z1844" s="2">
        <v>0</v>
      </c>
      <c r="AA1844" s="4">
        <v>0</v>
      </c>
      <c r="AB1844" s="4">
        <f t="shared" si="268"/>
        <v>0</v>
      </c>
      <c r="AC1844" s="6">
        <f t="shared" si="269"/>
        <v>0</v>
      </c>
      <c r="AD1844" s="4">
        <v>0</v>
      </c>
      <c r="AE1844" s="2">
        <v>7.0000000000000007E-2</v>
      </c>
      <c r="AF1844" s="5">
        <f t="shared" si="270"/>
        <v>0</v>
      </c>
      <c r="AG1844" s="9">
        <v>0.25</v>
      </c>
      <c r="AH1844" s="4">
        <f t="shared" si="266"/>
        <v>0</v>
      </c>
      <c r="AJ1844" s="126" t="e">
        <v>#N/A</v>
      </c>
      <c r="AK1844" s="80">
        <f t="shared" si="271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264"/>
        <v>136109.06239343219</v>
      </c>
      <c r="X1845" s="13">
        <f t="shared" si="265"/>
        <v>0</v>
      </c>
      <c r="Y1845" s="13">
        <f t="shared" si="267"/>
        <v>0</v>
      </c>
      <c r="Z1845" s="2">
        <v>0</v>
      </c>
      <c r="AA1845" s="4">
        <v>0</v>
      </c>
      <c r="AB1845" s="4">
        <f t="shared" si="268"/>
        <v>0</v>
      </c>
      <c r="AC1845" s="6">
        <f t="shared" si="269"/>
        <v>0</v>
      </c>
      <c r="AD1845" s="4">
        <v>0</v>
      </c>
      <c r="AE1845" s="2">
        <v>0.06</v>
      </c>
      <c r="AF1845" s="5">
        <f t="shared" si="270"/>
        <v>0</v>
      </c>
      <c r="AG1845" s="9">
        <v>0.37</v>
      </c>
      <c r="AH1845" s="4">
        <f t="shared" si="266"/>
        <v>0</v>
      </c>
      <c r="AJ1845" s="126" t="e">
        <v>#N/A</v>
      </c>
      <c r="AK1845" s="80">
        <f t="shared" si="271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264"/>
        <v>-31672.181400000001</v>
      </c>
      <c r="X1846" s="13">
        <f t="shared" si="265"/>
        <v>0</v>
      </c>
      <c r="Y1846" s="13">
        <f t="shared" si="267"/>
        <v>0</v>
      </c>
      <c r="Z1846" s="2">
        <v>0</v>
      </c>
      <c r="AA1846" s="4">
        <v>0</v>
      </c>
      <c r="AB1846" s="4">
        <f t="shared" si="268"/>
        <v>0</v>
      </c>
      <c r="AC1846" s="6">
        <f t="shared" si="269"/>
        <v>0</v>
      </c>
      <c r="AD1846" s="4">
        <v>0</v>
      </c>
      <c r="AE1846" s="2">
        <v>7.0000000000000007E-2</v>
      </c>
      <c r="AF1846" s="5">
        <f t="shared" si="270"/>
        <v>0</v>
      </c>
      <c r="AG1846" s="9">
        <v>0.41</v>
      </c>
      <c r="AH1846" s="4">
        <f t="shared" si="266"/>
        <v>0</v>
      </c>
      <c r="AJ1846" s="126" t="e">
        <v>#N/A</v>
      </c>
      <c r="AK1846" s="80">
        <f t="shared" si="271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264"/>
        <v>6.0000000021318556E-3</v>
      </c>
      <c r="X1847" s="13">
        <f t="shared" si="265"/>
        <v>0</v>
      </c>
      <c r="Y1847" s="13">
        <f t="shared" si="267"/>
        <v>0</v>
      </c>
      <c r="Z1847" s="2">
        <v>0</v>
      </c>
      <c r="AA1847" s="4">
        <v>0</v>
      </c>
      <c r="AB1847" s="4">
        <f t="shared" si="268"/>
        <v>0</v>
      </c>
      <c r="AC1847" s="6">
        <f t="shared" si="269"/>
        <v>0</v>
      </c>
      <c r="AD1847" s="4">
        <v>0</v>
      </c>
      <c r="AE1847" s="2">
        <v>7.0000000000000007E-2</v>
      </c>
      <c r="AF1847" s="5">
        <f t="shared" si="270"/>
        <v>0</v>
      </c>
      <c r="AG1847" s="9">
        <v>0.4</v>
      </c>
      <c r="AH1847" s="4">
        <f t="shared" si="266"/>
        <v>0</v>
      </c>
      <c r="AJ1847" s="126" t="e">
        <v>#N/A</v>
      </c>
      <c r="AK1847" s="80">
        <f t="shared" si="271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264"/>
        <v>12422.418899999999</v>
      </c>
      <c r="X1848" s="13">
        <f t="shared" si="265"/>
        <v>0</v>
      </c>
      <c r="Y1848" s="13">
        <f t="shared" si="267"/>
        <v>0</v>
      </c>
      <c r="Z1848" s="2">
        <v>0</v>
      </c>
      <c r="AA1848" s="4">
        <v>0</v>
      </c>
      <c r="AB1848" s="4">
        <f t="shared" si="268"/>
        <v>0</v>
      </c>
      <c r="AC1848" s="6">
        <f t="shared" si="269"/>
        <v>0</v>
      </c>
      <c r="AD1848" s="4">
        <v>0</v>
      </c>
      <c r="AE1848" s="2">
        <v>0.06</v>
      </c>
      <c r="AF1848" s="5">
        <f t="shared" si="270"/>
        <v>0</v>
      </c>
      <c r="AG1848" s="9">
        <v>0.37</v>
      </c>
      <c r="AH1848" s="4">
        <f t="shared" si="266"/>
        <v>0</v>
      </c>
      <c r="AJ1848" s="126" t="e">
        <v>#N/A</v>
      </c>
      <c r="AK1848" s="80">
        <f t="shared" si="271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264"/>
        <v>4315.6180000000031</v>
      </c>
      <c r="X1849" s="13">
        <f t="shared" si="265"/>
        <v>0</v>
      </c>
      <c r="Y1849" s="13">
        <f t="shared" si="267"/>
        <v>0</v>
      </c>
      <c r="Z1849" s="2">
        <v>0</v>
      </c>
      <c r="AA1849" s="4">
        <v>0</v>
      </c>
      <c r="AB1849" s="4">
        <f t="shared" si="268"/>
        <v>0</v>
      </c>
      <c r="AC1849" s="6">
        <f t="shared" si="269"/>
        <v>0</v>
      </c>
      <c r="AD1849" s="4">
        <v>0</v>
      </c>
      <c r="AE1849" s="2">
        <v>7.0000000000000007E-2</v>
      </c>
      <c r="AF1849" s="5">
        <f t="shared" si="270"/>
        <v>0</v>
      </c>
      <c r="AG1849" s="9">
        <v>0.4</v>
      </c>
      <c r="AH1849" s="4">
        <f t="shared" si="266"/>
        <v>0</v>
      </c>
      <c r="AJ1849" s="126" t="e">
        <v>#N/A</v>
      </c>
      <c r="AK1849" s="80">
        <f t="shared" si="271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264"/>
        <v>-536.93690000008792</v>
      </c>
      <c r="X1850" s="13">
        <f t="shared" si="265"/>
        <v>0</v>
      </c>
      <c r="Y1850" s="13">
        <f t="shared" si="267"/>
        <v>0</v>
      </c>
      <c r="Z1850" s="2">
        <v>0</v>
      </c>
      <c r="AA1850" s="4">
        <v>0</v>
      </c>
      <c r="AB1850" s="4">
        <f t="shared" si="268"/>
        <v>0</v>
      </c>
      <c r="AC1850" s="6">
        <f t="shared" si="269"/>
        <v>0</v>
      </c>
      <c r="AD1850" s="4">
        <v>0</v>
      </c>
      <c r="AE1850" s="2">
        <v>7.0000000000000007E-2</v>
      </c>
      <c r="AF1850" s="5">
        <f t="shared" si="270"/>
        <v>0</v>
      </c>
      <c r="AG1850" s="9">
        <v>0.4</v>
      </c>
      <c r="AH1850" s="4">
        <f t="shared" si="266"/>
        <v>0</v>
      </c>
      <c r="AJ1850" s="126" t="e">
        <v>#N/A</v>
      </c>
      <c r="AK1850" s="80">
        <f t="shared" si="271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264"/>
        <v>52779.029999999329</v>
      </c>
      <c r="X1851" s="13">
        <f t="shared" si="265"/>
        <v>0</v>
      </c>
      <c r="Y1851" s="13">
        <f t="shared" si="267"/>
        <v>0</v>
      </c>
      <c r="Z1851" s="2">
        <v>0</v>
      </c>
      <c r="AA1851" s="4">
        <v>0</v>
      </c>
      <c r="AB1851" s="4">
        <f t="shared" si="268"/>
        <v>0</v>
      </c>
      <c r="AC1851" s="6">
        <f t="shared" si="269"/>
        <v>0</v>
      </c>
      <c r="AD1851" s="4">
        <v>0</v>
      </c>
      <c r="AE1851" s="2">
        <v>0</v>
      </c>
      <c r="AF1851" s="5">
        <f t="shared" si="270"/>
        <v>0</v>
      </c>
      <c r="AG1851" s="9">
        <v>0.16</v>
      </c>
      <c r="AH1851" s="4">
        <f t="shared" si="266"/>
        <v>0</v>
      </c>
      <c r="AJ1851" s="126" t="e">
        <v>#N/A</v>
      </c>
      <c r="AK1851" s="80">
        <f t="shared" si="271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264"/>
        <v>-20003231.118000001</v>
      </c>
      <c r="X1852" s="13">
        <f t="shared" si="265"/>
        <v>0</v>
      </c>
      <c r="Y1852" s="13">
        <f t="shared" si="267"/>
        <v>0</v>
      </c>
      <c r="Z1852" s="2">
        <v>0</v>
      </c>
      <c r="AA1852" s="4">
        <v>0</v>
      </c>
      <c r="AB1852" s="4">
        <f t="shared" si="268"/>
        <v>0</v>
      </c>
      <c r="AC1852" s="6">
        <f t="shared" si="269"/>
        <v>0</v>
      </c>
      <c r="AD1852" s="4">
        <v>0</v>
      </c>
      <c r="AE1852" s="2">
        <v>0.06</v>
      </c>
      <c r="AF1852" s="5">
        <f t="shared" si="270"/>
        <v>0</v>
      </c>
      <c r="AG1852" s="9">
        <v>0.3</v>
      </c>
      <c r="AH1852" s="4">
        <f t="shared" si="266"/>
        <v>0</v>
      </c>
      <c r="AJ1852" s="126" t="e">
        <v>#N/A</v>
      </c>
      <c r="AK1852" s="80">
        <f t="shared" si="271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264"/>
        <v>877.33400000000245</v>
      </c>
      <c r="X1853" s="13">
        <f t="shared" si="265"/>
        <v>0</v>
      </c>
      <c r="Y1853" s="13">
        <f t="shared" si="267"/>
        <v>0</v>
      </c>
      <c r="Z1853" s="2">
        <v>0</v>
      </c>
      <c r="AA1853" s="4">
        <v>0</v>
      </c>
      <c r="AB1853" s="4">
        <f t="shared" si="268"/>
        <v>0</v>
      </c>
      <c r="AC1853" s="6">
        <f t="shared" si="269"/>
        <v>0</v>
      </c>
      <c r="AD1853" s="4">
        <v>0</v>
      </c>
      <c r="AE1853" s="2">
        <v>0.06</v>
      </c>
      <c r="AF1853" s="5">
        <f t="shared" si="270"/>
        <v>0</v>
      </c>
      <c r="AG1853" s="9">
        <v>0.3</v>
      </c>
      <c r="AH1853" s="4">
        <f t="shared" si="266"/>
        <v>0</v>
      </c>
      <c r="AJ1853" s="126" t="e">
        <v>#N/A</v>
      </c>
      <c r="AK1853" s="80">
        <f t="shared" si="271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264"/>
        <v>19288.310000000001</v>
      </c>
      <c r="X1854" s="13">
        <f t="shared" si="265"/>
        <v>0</v>
      </c>
      <c r="Y1854" s="13">
        <f t="shared" si="267"/>
        <v>0</v>
      </c>
      <c r="Z1854" s="2">
        <v>0</v>
      </c>
      <c r="AA1854" s="4">
        <v>0</v>
      </c>
      <c r="AB1854" s="4">
        <f t="shared" si="268"/>
        <v>0</v>
      </c>
      <c r="AC1854" s="6">
        <f t="shared" si="269"/>
        <v>0</v>
      </c>
      <c r="AD1854" s="4">
        <v>1245.0299999999997</v>
      </c>
      <c r="AE1854" s="2">
        <v>0.06</v>
      </c>
      <c r="AF1854" s="5">
        <f t="shared" si="270"/>
        <v>74.701799999999977</v>
      </c>
      <c r="AG1854" s="9">
        <v>0.1</v>
      </c>
      <c r="AH1854" s="4">
        <f t="shared" si="266"/>
        <v>0</v>
      </c>
      <c r="AJ1854" s="126" t="e">
        <v>#N/A</v>
      </c>
      <c r="AK1854" s="80">
        <f t="shared" si="271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264"/>
        <v>13050</v>
      </c>
      <c r="X1855" s="13">
        <f t="shared" si="265"/>
        <v>0</v>
      </c>
      <c r="Y1855" s="13">
        <f t="shared" si="267"/>
        <v>0</v>
      </c>
      <c r="Z1855" s="2">
        <v>0</v>
      </c>
      <c r="AA1855" s="4">
        <v>0</v>
      </c>
      <c r="AB1855" s="4">
        <f t="shared" si="268"/>
        <v>0</v>
      </c>
      <c r="AC1855" s="6">
        <f t="shared" si="269"/>
        <v>0</v>
      </c>
      <c r="AD1855" s="4">
        <v>0</v>
      </c>
      <c r="AE1855" s="2">
        <v>7.0000000000000007E-2</v>
      </c>
      <c r="AF1855" s="5">
        <f t="shared" si="270"/>
        <v>0</v>
      </c>
      <c r="AG1855" s="9">
        <v>0.25</v>
      </c>
      <c r="AH1855" s="4">
        <f t="shared" si="266"/>
        <v>0</v>
      </c>
      <c r="AJ1855" s="126" t="e">
        <v>#N/A</v>
      </c>
      <c r="AK1855" s="80">
        <f t="shared" si="271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272">T1856+U1856-V1856</f>
        <v>308886.03000000009</v>
      </c>
      <c r="X1856" s="13">
        <f t="shared" si="265"/>
        <v>1026.6116504854369</v>
      </c>
      <c r="Y1856" s="13">
        <f t="shared" si="267"/>
        <v>1026.6116504854369</v>
      </c>
      <c r="Z1856" s="2">
        <v>0</v>
      </c>
      <c r="AA1856" s="4">
        <v>0</v>
      </c>
      <c r="AB1856" s="4">
        <f t="shared" si="268"/>
        <v>1026.6116504854369</v>
      </c>
      <c r="AC1856" s="6">
        <f t="shared" si="269"/>
        <v>30.798349514563142</v>
      </c>
      <c r="AD1856" s="4">
        <v>0</v>
      </c>
      <c r="AE1856" s="2">
        <v>7.0000000000000007E-2</v>
      </c>
      <c r="AF1856" s="5">
        <f t="shared" si="270"/>
        <v>0</v>
      </c>
      <c r="AG1856" s="9">
        <v>0</v>
      </c>
      <c r="AH1856" s="4">
        <f t="shared" si="266"/>
        <v>1057.4100000000001</v>
      </c>
      <c r="AJ1856" s="126" t="e">
        <v>#N/A</v>
      </c>
      <c r="AK1856" s="80">
        <f t="shared" si="271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272"/>
        <v>2747.1099999999988</v>
      </c>
      <c r="X1857" s="13">
        <f t="shared" ref="X1857:X1920" si="273">IF(P1857="折扣",V1857*Q1857,IF(P1857="返现",V1857,V1857/(1+Q1857+AG1857)))</f>
        <v>0</v>
      </c>
      <c r="Y1857" s="13">
        <f t="shared" si="267"/>
        <v>0</v>
      </c>
      <c r="Z1857" s="2">
        <v>0</v>
      </c>
      <c r="AA1857" s="4">
        <v>0</v>
      </c>
      <c r="AB1857" s="4">
        <f t="shared" si="268"/>
        <v>0</v>
      </c>
      <c r="AC1857" s="6">
        <f t="shared" si="269"/>
        <v>0</v>
      </c>
      <c r="AD1857" s="4">
        <v>0</v>
      </c>
      <c r="AE1857" s="2">
        <v>7.0000000000000007E-2</v>
      </c>
      <c r="AF1857" s="5">
        <f t="shared" si="270"/>
        <v>0</v>
      </c>
      <c r="AG1857" s="9">
        <v>0</v>
      </c>
      <c r="AH1857" s="4">
        <f t="shared" ref="AH1857:AH1920" si="274">V1857/(1+AG1857)</f>
        <v>0</v>
      </c>
      <c r="AJ1857" s="126" t="e">
        <v>#N/A</v>
      </c>
      <c r="AK1857" s="80">
        <f t="shared" si="271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272"/>
        <v>37388.965999999986</v>
      </c>
      <c r="X1858" s="13">
        <f t="shared" si="273"/>
        <v>0</v>
      </c>
      <c r="Y1858" s="13">
        <f t="shared" si="267"/>
        <v>0</v>
      </c>
      <c r="Z1858" s="2">
        <v>0</v>
      </c>
      <c r="AA1858" s="4">
        <v>0</v>
      </c>
      <c r="AB1858" s="4">
        <f t="shared" si="268"/>
        <v>0</v>
      </c>
      <c r="AC1858" s="6">
        <f t="shared" si="269"/>
        <v>0</v>
      </c>
      <c r="AD1858" s="4">
        <v>0</v>
      </c>
      <c r="AE1858" s="2">
        <v>7.0000000000000007E-2</v>
      </c>
      <c r="AF1858" s="5">
        <f t="shared" si="270"/>
        <v>0</v>
      </c>
      <c r="AG1858" s="9">
        <v>0.4</v>
      </c>
      <c r="AH1858" s="4">
        <f t="shared" si="274"/>
        <v>0</v>
      </c>
      <c r="AJ1858" s="126" t="e">
        <v>#N/A</v>
      </c>
      <c r="AK1858" s="80">
        <f t="shared" si="271"/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272"/>
        <v>58070.141999999985</v>
      </c>
      <c r="X1859" s="13">
        <f t="shared" si="273"/>
        <v>0</v>
      </c>
      <c r="Y1859" s="13">
        <f t="shared" ref="Y1859:Y1922" si="27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276">X1859+AA1859</f>
        <v>0</v>
      </c>
      <c r="AC1859" s="6">
        <f t="shared" ref="AC1859:AC1922" si="27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278">AD1859*AE1859</f>
        <v>0</v>
      </c>
      <c r="AG1859" s="9">
        <v>0.4</v>
      </c>
      <c r="AH1859" s="4">
        <f t="shared" si="274"/>
        <v>0</v>
      </c>
      <c r="AJ1859" s="126" t="e">
        <v>#N/A</v>
      </c>
      <c r="AK1859" s="80">
        <f t="shared" ref="AK1859:AK1922" si="279">X1859+AA1859-AB1859</f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272"/>
        <v>64050.65330780053</v>
      </c>
      <c r="X1860" s="13">
        <f t="shared" si="273"/>
        <v>0</v>
      </c>
      <c r="Y1860" s="13">
        <f t="shared" si="275"/>
        <v>0</v>
      </c>
      <c r="Z1860" s="2">
        <v>0</v>
      </c>
      <c r="AA1860" s="4">
        <v>0</v>
      </c>
      <c r="AB1860" s="4">
        <f t="shared" si="276"/>
        <v>0</v>
      </c>
      <c r="AC1860" s="6">
        <f t="shared" si="277"/>
        <v>0</v>
      </c>
      <c r="AD1860" s="4">
        <v>0</v>
      </c>
      <c r="AE1860" s="2">
        <v>7.0000000000000007E-2</v>
      </c>
      <c r="AF1860" s="5">
        <f t="shared" si="278"/>
        <v>0</v>
      </c>
      <c r="AG1860" s="9">
        <v>0.4</v>
      </c>
      <c r="AH1860" s="4">
        <f t="shared" si="274"/>
        <v>0</v>
      </c>
      <c r="AJ1860" s="126" t="e">
        <v>#N/A</v>
      </c>
      <c r="AK1860" s="80">
        <f t="shared" si="279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272"/>
        <v>-75791.59</v>
      </c>
      <c r="X1861" s="13">
        <f t="shared" si="273"/>
        <v>0</v>
      </c>
      <c r="Y1861" s="13">
        <f t="shared" si="275"/>
        <v>0</v>
      </c>
      <c r="Z1861" s="2">
        <v>0</v>
      </c>
      <c r="AA1861" s="4">
        <v>0</v>
      </c>
      <c r="AB1861" s="4">
        <f t="shared" si="276"/>
        <v>0</v>
      </c>
      <c r="AC1861" s="6">
        <f t="shared" si="277"/>
        <v>0</v>
      </c>
      <c r="AD1861" s="4">
        <v>0</v>
      </c>
      <c r="AE1861" s="2">
        <v>7.0000000000000007E-2</v>
      </c>
      <c r="AF1861" s="5">
        <f t="shared" si="278"/>
        <v>0</v>
      </c>
      <c r="AG1861" s="9">
        <v>0.4</v>
      </c>
      <c r="AH1861" s="4">
        <f t="shared" si="274"/>
        <v>0</v>
      </c>
      <c r="AJ1861" s="126" t="e">
        <v>#N/A</v>
      </c>
      <c r="AK1861" s="80">
        <f t="shared" si="279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272"/>
        <v>44543.499000000003</v>
      </c>
      <c r="X1862" s="13">
        <f t="shared" si="273"/>
        <v>0</v>
      </c>
      <c r="Y1862" s="13">
        <f t="shared" si="275"/>
        <v>0</v>
      </c>
      <c r="Z1862" s="2">
        <v>0</v>
      </c>
      <c r="AA1862" s="4">
        <v>0</v>
      </c>
      <c r="AB1862" s="4">
        <f t="shared" si="276"/>
        <v>0</v>
      </c>
      <c r="AC1862" s="6">
        <f t="shared" si="277"/>
        <v>0</v>
      </c>
      <c r="AD1862" s="4">
        <v>0</v>
      </c>
      <c r="AE1862" s="2">
        <v>0.06</v>
      </c>
      <c r="AF1862" s="5">
        <f t="shared" si="278"/>
        <v>0</v>
      </c>
      <c r="AG1862" s="9">
        <v>0.37</v>
      </c>
      <c r="AH1862" s="4">
        <f t="shared" si="274"/>
        <v>0</v>
      </c>
      <c r="AJ1862" s="126" t="e">
        <v>#N/A</v>
      </c>
      <c r="AK1862" s="80">
        <f t="shared" si="279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272"/>
        <v>32626.959999999999</v>
      </c>
      <c r="X1863" s="13">
        <f t="shared" si="273"/>
        <v>6390.1067961165027</v>
      </c>
      <c r="Y1863" s="13">
        <f t="shared" si="275"/>
        <v>0</v>
      </c>
      <c r="Z1863" s="2">
        <v>0</v>
      </c>
      <c r="AA1863" s="4">
        <v>0</v>
      </c>
      <c r="AB1863" s="4">
        <f t="shared" si="276"/>
        <v>6390.1067961165027</v>
      </c>
      <c r="AC1863" s="6">
        <f t="shared" si="277"/>
        <v>191.70320388349501</v>
      </c>
      <c r="AD1863" s="4">
        <v>6581.8099999999977</v>
      </c>
      <c r="AE1863" s="2">
        <v>0.06</v>
      </c>
      <c r="AF1863" s="5">
        <f t="shared" si="278"/>
        <v>394.90859999999986</v>
      </c>
      <c r="AG1863" s="9">
        <v>0</v>
      </c>
      <c r="AH1863" s="4">
        <f t="shared" si="274"/>
        <v>6581.8099999999977</v>
      </c>
      <c r="AJ1863" s="126" t="e">
        <v>#N/A</v>
      </c>
      <c r="AK1863" s="80">
        <f t="shared" si="279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272"/>
        <v>0.63999999994848622</v>
      </c>
      <c r="X1864" s="13">
        <f t="shared" si="273"/>
        <v>0</v>
      </c>
      <c r="Y1864" s="13">
        <f t="shared" si="275"/>
        <v>0</v>
      </c>
      <c r="Z1864" s="2">
        <v>0</v>
      </c>
      <c r="AA1864" s="4">
        <v>0</v>
      </c>
      <c r="AB1864" s="4">
        <f t="shared" si="276"/>
        <v>0</v>
      </c>
      <c r="AC1864" s="6">
        <f t="shared" si="277"/>
        <v>0</v>
      </c>
      <c r="AD1864" s="4">
        <v>0</v>
      </c>
      <c r="AE1864" s="2">
        <v>0.06</v>
      </c>
      <c r="AF1864" s="5">
        <f t="shared" si="278"/>
        <v>0</v>
      </c>
      <c r="AG1864" s="9">
        <v>0</v>
      </c>
      <c r="AH1864" s="4">
        <f t="shared" si="274"/>
        <v>0</v>
      </c>
      <c r="AJ1864" s="126" t="e">
        <v>#N/A</v>
      </c>
      <c r="AK1864" s="80">
        <f t="shared" si="279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272"/>
        <v>-73.039199996477691</v>
      </c>
      <c r="X1865" s="13">
        <f t="shared" si="273"/>
        <v>0</v>
      </c>
      <c r="Y1865" s="13">
        <f t="shared" si="275"/>
        <v>0</v>
      </c>
      <c r="Z1865" s="2">
        <v>0</v>
      </c>
      <c r="AA1865" s="4">
        <v>0</v>
      </c>
      <c r="AB1865" s="4">
        <f t="shared" si="276"/>
        <v>0</v>
      </c>
      <c r="AC1865" s="6">
        <f t="shared" si="277"/>
        <v>0</v>
      </c>
      <c r="AD1865" s="4">
        <v>0</v>
      </c>
      <c r="AE1865" s="2">
        <v>0.06</v>
      </c>
      <c r="AF1865" s="5">
        <f t="shared" si="278"/>
        <v>0</v>
      </c>
      <c r="AG1865" s="9">
        <v>0.24</v>
      </c>
      <c r="AH1865" s="4">
        <f t="shared" si="274"/>
        <v>0</v>
      </c>
      <c r="AJ1865" s="126" t="e">
        <v>#N/A</v>
      </c>
      <c r="AK1865" s="80">
        <f t="shared" si="279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272"/>
        <v>3.19999999992433E-2</v>
      </c>
      <c r="X1866" s="13">
        <f t="shared" si="273"/>
        <v>0</v>
      </c>
      <c r="Y1866" s="13">
        <f t="shared" si="275"/>
        <v>0</v>
      </c>
      <c r="Z1866" s="2">
        <v>0</v>
      </c>
      <c r="AA1866" s="4">
        <v>0</v>
      </c>
      <c r="AB1866" s="4">
        <f t="shared" si="276"/>
        <v>0</v>
      </c>
      <c r="AC1866" s="6">
        <f t="shared" si="277"/>
        <v>0</v>
      </c>
      <c r="AD1866" s="4">
        <v>0</v>
      </c>
      <c r="AE1866" s="2">
        <v>7.0000000000000007E-2</v>
      </c>
      <c r="AF1866" s="5">
        <f t="shared" si="278"/>
        <v>0</v>
      </c>
      <c r="AG1866" s="9">
        <v>0.4</v>
      </c>
      <c r="AH1866" s="4">
        <f t="shared" si="274"/>
        <v>0</v>
      </c>
      <c r="AJ1866" s="126" t="e">
        <v>#N/A</v>
      </c>
      <c r="AK1866" s="80">
        <f t="shared" si="279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272"/>
        <v>112948.92999999998</v>
      </c>
      <c r="X1867" s="13">
        <f t="shared" si="273"/>
        <v>0</v>
      </c>
      <c r="Y1867" s="13">
        <f t="shared" si="275"/>
        <v>0</v>
      </c>
      <c r="Z1867" s="2">
        <v>0</v>
      </c>
      <c r="AA1867" s="4">
        <v>0</v>
      </c>
      <c r="AB1867" s="4">
        <f t="shared" si="276"/>
        <v>0</v>
      </c>
      <c r="AC1867" s="6">
        <f t="shared" si="277"/>
        <v>0</v>
      </c>
      <c r="AD1867" s="4">
        <v>0</v>
      </c>
      <c r="AE1867" s="2">
        <v>7.0000000000000007E-2</v>
      </c>
      <c r="AF1867" s="5">
        <f t="shared" si="278"/>
        <v>0</v>
      </c>
      <c r="AG1867" s="9">
        <v>0.4</v>
      </c>
      <c r="AH1867" s="4">
        <f t="shared" si="274"/>
        <v>0</v>
      </c>
      <c r="AJ1867" s="126" t="e">
        <v>#N/A</v>
      </c>
      <c r="AK1867" s="80">
        <f t="shared" si="279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272"/>
        <v>5.234734503832442</v>
      </c>
      <c r="X1868" s="13">
        <f t="shared" si="273"/>
        <v>0</v>
      </c>
      <c r="Y1868" s="13">
        <f t="shared" si="275"/>
        <v>0</v>
      </c>
      <c r="Z1868" s="2">
        <v>0</v>
      </c>
      <c r="AA1868" s="4">
        <v>0</v>
      </c>
      <c r="AB1868" s="4">
        <f t="shared" si="276"/>
        <v>0</v>
      </c>
      <c r="AC1868" s="6">
        <f t="shared" si="277"/>
        <v>0</v>
      </c>
      <c r="AD1868" s="4">
        <v>0</v>
      </c>
      <c r="AE1868" s="2">
        <v>7.0000000000000007E-2</v>
      </c>
      <c r="AF1868" s="5">
        <f t="shared" si="278"/>
        <v>0</v>
      </c>
      <c r="AG1868" s="9">
        <v>0.4</v>
      </c>
      <c r="AH1868" s="4">
        <f t="shared" si="274"/>
        <v>0</v>
      </c>
      <c r="AJ1868" s="126" t="e">
        <v>#N/A</v>
      </c>
      <c r="AK1868" s="80">
        <f t="shared" si="279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272"/>
        <v>48080.9</v>
      </c>
      <c r="X1869" s="13">
        <f t="shared" si="273"/>
        <v>1211.9823008849553</v>
      </c>
      <c r="Y1869" s="13">
        <f t="shared" si="275"/>
        <v>1211.9823008849553</v>
      </c>
      <c r="Z1869" s="2">
        <v>0</v>
      </c>
      <c r="AA1869" s="4">
        <v>0</v>
      </c>
      <c r="AB1869" s="4">
        <f t="shared" si="276"/>
        <v>1211.9823008849553</v>
      </c>
      <c r="AC1869" s="6">
        <f t="shared" si="277"/>
        <v>157.55769911504444</v>
      </c>
      <c r="AD1869" s="4">
        <v>0</v>
      </c>
      <c r="AE1869" s="2">
        <v>0.06</v>
      </c>
      <c r="AF1869" s="5">
        <f t="shared" si="278"/>
        <v>0</v>
      </c>
      <c r="AG1869" s="9">
        <v>0.1</v>
      </c>
      <c r="AH1869" s="4">
        <f t="shared" si="274"/>
        <v>1245.0363636363634</v>
      </c>
      <c r="AJ1869" s="126" t="e">
        <v>#N/A</v>
      </c>
      <c r="AK1869" s="80">
        <f t="shared" si="279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272"/>
        <v>0</v>
      </c>
      <c r="X1870" s="13">
        <f t="shared" si="273"/>
        <v>-1.2621359223046664</v>
      </c>
      <c r="Y1870" s="13">
        <f t="shared" si="275"/>
        <v>0</v>
      </c>
      <c r="Z1870" s="2">
        <v>0</v>
      </c>
      <c r="AA1870" s="4">
        <v>0</v>
      </c>
      <c r="AB1870" s="4">
        <f t="shared" si="276"/>
        <v>-1.2621359223046664</v>
      </c>
      <c r="AC1870" s="6">
        <f t="shared" si="277"/>
        <v>-3.7864077669140128E-2</v>
      </c>
      <c r="AD1870" s="4">
        <v>0</v>
      </c>
      <c r="AE1870" s="2">
        <v>0.06</v>
      </c>
      <c r="AF1870" s="5">
        <f t="shared" si="278"/>
        <v>0</v>
      </c>
      <c r="AG1870" s="9">
        <v>0</v>
      </c>
      <c r="AH1870" s="4">
        <f t="shared" si="274"/>
        <v>-1.2999999999738066</v>
      </c>
      <c r="AJ1870" s="126" t="e">
        <v>#N/A</v>
      </c>
      <c r="AK1870" s="80">
        <f t="shared" si="279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272"/>
        <v>0.56000000005587935</v>
      </c>
      <c r="X1871" s="13">
        <f t="shared" si="273"/>
        <v>0</v>
      </c>
      <c r="Y1871" s="13">
        <f t="shared" si="275"/>
        <v>0</v>
      </c>
      <c r="Z1871" s="2">
        <v>0</v>
      </c>
      <c r="AA1871" s="4">
        <v>0</v>
      </c>
      <c r="AB1871" s="4">
        <f t="shared" si="276"/>
        <v>0</v>
      </c>
      <c r="AC1871" s="6">
        <f t="shared" si="277"/>
        <v>0</v>
      </c>
      <c r="AD1871" s="4">
        <v>0</v>
      </c>
      <c r="AE1871" s="2">
        <v>0</v>
      </c>
      <c r="AF1871" s="5">
        <f t="shared" si="278"/>
        <v>0</v>
      </c>
      <c r="AG1871" s="9">
        <v>0.06</v>
      </c>
      <c r="AH1871" s="4">
        <f t="shared" si="274"/>
        <v>0</v>
      </c>
      <c r="AJ1871" s="126" t="e">
        <v>#N/A</v>
      </c>
      <c r="AK1871" s="80">
        <f t="shared" si="279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272"/>
        <v>-4683882.1199999992</v>
      </c>
      <c r="X1872" s="13">
        <f t="shared" si="273"/>
        <v>11145</v>
      </c>
      <c r="Y1872" s="13">
        <f t="shared" si="275"/>
        <v>11145</v>
      </c>
      <c r="Z1872" s="2">
        <v>0</v>
      </c>
      <c r="AA1872" s="4">
        <v>0</v>
      </c>
      <c r="AB1872" s="4">
        <f t="shared" si="276"/>
        <v>11145</v>
      </c>
      <c r="AC1872" s="6">
        <f t="shared" si="277"/>
        <v>0</v>
      </c>
      <c r="AD1872" s="4">
        <v>0</v>
      </c>
      <c r="AE1872" s="2">
        <v>7.0000000000000007E-2</v>
      </c>
      <c r="AF1872" s="5">
        <f t="shared" si="278"/>
        <v>0</v>
      </c>
      <c r="AG1872" s="9">
        <v>0</v>
      </c>
      <c r="AH1872" s="4">
        <f t="shared" si="274"/>
        <v>11145</v>
      </c>
      <c r="AJ1872" s="126" t="e">
        <v>#N/A</v>
      </c>
      <c r="AK1872" s="80">
        <f t="shared" si="279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272"/>
        <v>-121533.92000000003</v>
      </c>
      <c r="X1873" s="13">
        <f t="shared" si="273"/>
        <v>0</v>
      </c>
      <c r="Y1873" s="13">
        <f t="shared" si="275"/>
        <v>0</v>
      </c>
      <c r="Z1873" s="2">
        <v>0</v>
      </c>
      <c r="AA1873" s="4">
        <v>0</v>
      </c>
      <c r="AB1873" s="4">
        <f t="shared" si="276"/>
        <v>0</v>
      </c>
      <c r="AC1873" s="6">
        <f t="shared" si="277"/>
        <v>0</v>
      </c>
      <c r="AD1873" s="4">
        <v>0</v>
      </c>
      <c r="AE1873" s="2">
        <v>0.06</v>
      </c>
      <c r="AF1873" s="5">
        <f t="shared" si="278"/>
        <v>0</v>
      </c>
      <c r="AG1873" s="9">
        <v>0</v>
      </c>
      <c r="AH1873" s="4">
        <f t="shared" si="274"/>
        <v>0</v>
      </c>
      <c r="AJ1873" s="126" t="e">
        <v>#N/A</v>
      </c>
      <c r="AK1873" s="80">
        <f t="shared" si="279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272"/>
        <v>49338.349999999991</v>
      </c>
      <c r="X1874" s="13">
        <f t="shared" si="273"/>
        <v>7637.44</v>
      </c>
      <c r="Y1874" s="13">
        <f t="shared" si="275"/>
        <v>0</v>
      </c>
      <c r="Z1874" s="2">
        <v>0</v>
      </c>
      <c r="AA1874" s="4">
        <v>0</v>
      </c>
      <c r="AB1874" s="4">
        <f t="shared" si="276"/>
        <v>7637.44</v>
      </c>
      <c r="AC1874" s="6">
        <f t="shared" si="277"/>
        <v>0</v>
      </c>
      <c r="AD1874" s="4">
        <v>7637.44</v>
      </c>
      <c r="AE1874" s="2">
        <v>0.06</v>
      </c>
      <c r="AF1874" s="5">
        <f t="shared" si="278"/>
        <v>458.24639999999994</v>
      </c>
      <c r="AG1874" s="9">
        <v>0</v>
      </c>
      <c r="AH1874" s="4">
        <f t="shared" si="274"/>
        <v>7637.44</v>
      </c>
      <c r="AJ1874" s="126" t="e">
        <v>#N/A</v>
      </c>
      <c r="AK1874" s="80">
        <f t="shared" si="279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272"/>
        <v>52750</v>
      </c>
      <c r="X1875" s="13">
        <f t="shared" si="273"/>
        <v>0</v>
      </c>
      <c r="Y1875" s="13">
        <f t="shared" si="275"/>
        <v>0</v>
      </c>
      <c r="Z1875" s="2">
        <v>0</v>
      </c>
      <c r="AA1875" s="4">
        <v>0</v>
      </c>
      <c r="AB1875" s="4">
        <f t="shared" si="276"/>
        <v>0</v>
      </c>
      <c r="AC1875" s="6">
        <f t="shared" si="277"/>
        <v>0</v>
      </c>
      <c r="AD1875" s="4">
        <v>0</v>
      </c>
      <c r="AE1875" s="2">
        <v>7.0000000000000007E-2</v>
      </c>
      <c r="AF1875" s="5">
        <f t="shared" si="278"/>
        <v>0</v>
      </c>
      <c r="AG1875" s="9">
        <v>0</v>
      </c>
      <c r="AH1875" s="4">
        <f t="shared" si="274"/>
        <v>0</v>
      </c>
      <c r="AJ1875" s="126" t="e">
        <v>#N/A</v>
      </c>
      <c r="AK1875" s="80">
        <f t="shared" si="279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272"/>
        <v>-1129904.6889999984</v>
      </c>
      <c r="X1876" s="13">
        <f t="shared" si="273"/>
        <v>0</v>
      </c>
      <c r="Y1876" s="13">
        <f t="shared" si="275"/>
        <v>0</v>
      </c>
      <c r="Z1876" s="2">
        <v>0</v>
      </c>
      <c r="AA1876" s="4">
        <v>0</v>
      </c>
      <c r="AB1876" s="4">
        <f t="shared" si="276"/>
        <v>0</v>
      </c>
      <c r="AC1876" s="6">
        <f t="shared" si="277"/>
        <v>0</v>
      </c>
      <c r="AD1876" s="4">
        <v>0</v>
      </c>
      <c r="AE1876" s="2">
        <v>0</v>
      </c>
      <c r="AF1876" s="5">
        <f t="shared" si="278"/>
        <v>0</v>
      </c>
      <c r="AG1876" s="9">
        <v>0.3</v>
      </c>
      <c r="AH1876" s="4">
        <f t="shared" si="274"/>
        <v>0</v>
      </c>
      <c r="AJ1876" s="126" t="e">
        <v>#N/A</v>
      </c>
      <c r="AK1876" s="80">
        <f t="shared" si="279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272"/>
        <v>39643.97159999999</v>
      </c>
      <c r="X1877" s="13">
        <f t="shared" si="273"/>
        <v>0</v>
      </c>
      <c r="Y1877" s="13">
        <f t="shared" si="275"/>
        <v>0</v>
      </c>
      <c r="Z1877" s="2">
        <v>0</v>
      </c>
      <c r="AA1877" s="4">
        <v>0</v>
      </c>
      <c r="AB1877" s="4">
        <f t="shared" si="276"/>
        <v>0</v>
      </c>
      <c r="AC1877" s="6">
        <f t="shared" si="277"/>
        <v>0</v>
      </c>
      <c r="AD1877" s="4">
        <v>0</v>
      </c>
      <c r="AE1877" s="2">
        <v>0</v>
      </c>
      <c r="AF1877" s="5">
        <f t="shared" si="278"/>
        <v>0</v>
      </c>
      <c r="AG1877" s="9">
        <v>0.24</v>
      </c>
      <c r="AH1877" s="4">
        <f t="shared" si="274"/>
        <v>0</v>
      </c>
      <c r="AJ1877" s="126" t="e">
        <v>#N/A</v>
      </c>
      <c r="AK1877" s="80">
        <f t="shared" si="279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272"/>
        <v>1985.0600000000118</v>
      </c>
      <c r="X1878" s="13">
        <f t="shared" si="273"/>
        <v>0</v>
      </c>
      <c r="Y1878" s="13">
        <f t="shared" si="275"/>
        <v>0</v>
      </c>
      <c r="Z1878" s="2">
        <v>0</v>
      </c>
      <c r="AA1878" s="4">
        <v>0</v>
      </c>
      <c r="AB1878" s="4">
        <f t="shared" si="276"/>
        <v>0</v>
      </c>
      <c r="AC1878" s="6">
        <f t="shared" si="277"/>
        <v>0</v>
      </c>
      <c r="AD1878" s="4">
        <v>0</v>
      </c>
      <c r="AE1878" s="2">
        <v>0</v>
      </c>
      <c r="AF1878" s="5">
        <f t="shared" si="278"/>
        <v>0</v>
      </c>
      <c r="AG1878" s="9">
        <v>0</v>
      </c>
      <c r="AH1878" s="4">
        <f t="shared" si="274"/>
        <v>0</v>
      </c>
      <c r="AJ1878" s="126" t="e">
        <v>#N/A</v>
      </c>
      <c r="AK1878" s="80">
        <f t="shared" si="279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272"/>
        <v>2999.9957999999997</v>
      </c>
      <c r="X1879" s="13">
        <f t="shared" si="273"/>
        <v>0</v>
      </c>
      <c r="Y1879" s="13">
        <f t="shared" si="275"/>
        <v>0</v>
      </c>
      <c r="Z1879" s="2">
        <v>0</v>
      </c>
      <c r="AA1879" s="4">
        <v>0</v>
      </c>
      <c r="AB1879" s="4">
        <f t="shared" si="276"/>
        <v>0</v>
      </c>
      <c r="AC1879" s="6">
        <f t="shared" si="277"/>
        <v>0</v>
      </c>
      <c r="AD1879" s="4">
        <v>0</v>
      </c>
      <c r="AE1879" s="2">
        <v>7.0000000000000007E-2</v>
      </c>
      <c r="AF1879" s="5">
        <f t="shared" si="278"/>
        <v>0</v>
      </c>
      <c r="AG1879" s="9">
        <v>0.38</v>
      </c>
      <c r="AH1879" s="4">
        <f t="shared" si="274"/>
        <v>0</v>
      </c>
      <c r="AJ1879" s="126" t="e">
        <v>#N/A</v>
      </c>
      <c r="AK1879" s="80">
        <f t="shared" si="279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272"/>
        <v>9265.39</v>
      </c>
      <c r="X1880" s="13">
        <f t="shared" si="273"/>
        <v>0</v>
      </c>
      <c r="Y1880" s="13">
        <f t="shared" si="275"/>
        <v>0</v>
      </c>
      <c r="Z1880" s="2">
        <v>0</v>
      </c>
      <c r="AA1880" s="4">
        <v>0</v>
      </c>
      <c r="AB1880" s="4">
        <f t="shared" si="276"/>
        <v>0</v>
      </c>
      <c r="AC1880" s="6">
        <f t="shared" si="277"/>
        <v>0</v>
      </c>
      <c r="AD1880" s="4">
        <v>0</v>
      </c>
      <c r="AE1880" s="2">
        <v>0.06</v>
      </c>
      <c r="AF1880" s="5">
        <f t="shared" si="278"/>
        <v>0</v>
      </c>
      <c r="AG1880" s="9">
        <v>0</v>
      </c>
      <c r="AH1880" s="4">
        <f t="shared" si="274"/>
        <v>0</v>
      </c>
      <c r="AJ1880" s="126" t="e">
        <v>#N/A</v>
      </c>
      <c r="AK1880" s="80">
        <f t="shared" si="279"/>
        <v>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272"/>
        <v>-6085.3600000000006</v>
      </c>
      <c r="X1881" s="13">
        <f t="shared" si="273"/>
        <v>0</v>
      </c>
      <c r="Y1881" s="13">
        <f t="shared" si="275"/>
        <v>0</v>
      </c>
      <c r="Z1881" s="2">
        <v>0</v>
      </c>
      <c r="AA1881" s="4">
        <v>0</v>
      </c>
      <c r="AB1881" s="4">
        <f t="shared" si="276"/>
        <v>0</v>
      </c>
      <c r="AC1881" s="6">
        <f t="shared" si="277"/>
        <v>0</v>
      </c>
      <c r="AD1881" s="4">
        <v>0</v>
      </c>
      <c r="AE1881" s="2">
        <v>0</v>
      </c>
      <c r="AF1881" s="5">
        <f t="shared" si="278"/>
        <v>0</v>
      </c>
      <c r="AG1881" s="9">
        <v>0</v>
      </c>
      <c r="AH1881" s="4">
        <f t="shared" si="274"/>
        <v>0</v>
      </c>
      <c r="AJ1881" s="126" t="e">
        <v>#N/A</v>
      </c>
      <c r="AK1881" s="80">
        <f t="shared" si="279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272"/>
        <v>583.78000000000009</v>
      </c>
      <c r="X1882" s="13">
        <f t="shared" si="273"/>
        <v>0</v>
      </c>
      <c r="Y1882" s="13">
        <f t="shared" si="275"/>
        <v>0</v>
      </c>
      <c r="Z1882" s="2">
        <v>0</v>
      </c>
      <c r="AA1882" s="4">
        <v>0</v>
      </c>
      <c r="AB1882" s="4">
        <f t="shared" si="276"/>
        <v>0</v>
      </c>
      <c r="AC1882" s="6">
        <f t="shared" si="277"/>
        <v>0</v>
      </c>
      <c r="AD1882" s="4">
        <v>0</v>
      </c>
      <c r="AE1882" s="2">
        <v>0.06</v>
      </c>
      <c r="AF1882" s="5">
        <f t="shared" si="278"/>
        <v>0</v>
      </c>
      <c r="AG1882" s="9">
        <v>0</v>
      </c>
      <c r="AH1882" s="4">
        <f t="shared" si="274"/>
        <v>0</v>
      </c>
      <c r="AJ1882" s="126" t="e">
        <v>#N/A</v>
      </c>
      <c r="AK1882" s="80">
        <f t="shared" si="279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272"/>
        <v>535.6</v>
      </c>
      <c r="X1883" s="13">
        <f t="shared" si="273"/>
        <v>0</v>
      </c>
      <c r="Y1883" s="13">
        <f t="shared" si="275"/>
        <v>0</v>
      </c>
      <c r="Z1883" s="2">
        <v>0</v>
      </c>
      <c r="AA1883" s="4">
        <v>0</v>
      </c>
      <c r="AB1883" s="4">
        <f t="shared" si="276"/>
        <v>0</v>
      </c>
      <c r="AC1883" s="6">
        <f t="shared" si="277"/>
        <v>0</v>
      </c>
      <c r="AD1883" s="4">
        <v>0</v>
      </c>
      <c r="AE1883" s="2">
        <v>0.06</v>
      </c>
      <c r="AF1883" s="5">
        <f t="shared" si="278"/>
        <v>0</v>
      </c>
      <c r="AG1883" s="9">
        <v>0</v>
      </c>
      <c r="AH1883" s="4">
        <f t="shared" si="274"/>
        <v>0</v>
      </c>
      <c r="AJ1883" s="126" t="e">
        <v>#N/A</v>
      </c>
      <c r="AK1883" s="80">
        <f t="shared" si="279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272"/>
        <v>1000</v>
      </c>
      <c r="X1884" s="13">
        <f t="shared" si="273"/>
        <v>0</v>
      </c>
      <c r="Y1884" s="13">
        <f t="shared" si="275"/>
        <v>0</v>
      </c>
      <c r="Z1884" s="2">
        <v>0</v>
      </c>
      <c r="AA1884" s="4">
        <v>0</v>
      </c>
      <c r="AB1884" s="4">
        <f t="shared" si="276"/>
        <v>0</v>
      </c>
      <c r="AC1884" s="6">
        <f t="shared" si="277"/>
        <v>0</v>
      </c>
      <c r="AD1884" s="4">
        <v>0</v>
      </c>
      <c r="AE1884" s="2">
        <v>0.06</v>
      </c>
      <c r="AF1884" s="5">
        <f t="shared" si="278"/>
        <v>0</v>
      </c>
      <c r="AG1884" s="9">
        <v>0</v>
      </c>
      <c r="AH1884" s="4">
        <f t="shared" si="274"/>
        <v>0</v>
      </c>
      <c r="AJ1884" s="126" t="e">
        <v>#N/A</v>
      </c>
      <c r="AK1884" s="80">
        <f t="shared" si="279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272"/>
        <v>160473.87</v>
      </c>
      <c r="X1885" s="13">
        <f t="shared" si="273"/>
        <v>0</v>
      </c>
      <c r="Y1885" s="13">
        <f t="shared" si="275"/>
        <v>0</v>
      </c>
      <c r="Z1885" s="2">
        <v>0</v>
      </c>
      <c r="AA1885" s="4">
        <v>0</v>
      </c>
      <c r="AB1885" s="4">
        <f t="shared" si="276"/>
        <v>0</v>
      </c>
      <c r="AC1885" s="6">
        <f t="shared" si="277"/>
        <v>0</v>
      </c>
      <c r="AD1885" s="4">
        <v>0</v>
      </c>
      <c r="AE1885" s="2">
        <v>7.0000000000000007E-2</v>
      </c>
      <c r="AF1885" s="5">
        <f t="shared" si="278"/>
        <v>0</v>
      </c>
      <c r="AG1885" s="9">
        <v>0</v>
      </c>
      <c r="AH1885" s="4">
        <f t="shared" si="274"/>
        <v>0</v>
      </c>
      <c r="AJ1885" s="126" t="e">
        <v>#N/A</v>
      </c>
      <c r="AK1885" s="80">
        <f t="shared" si="279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272"/>
        <v>65.160000000002583</v>
      </c>
      <c r="X1886" s="13">
        <f t="shared" si="273"/>
        <v>0</v>
      </c>
      <c r="Y1886" s="13">
        <f t="shared" si="275"/>
        <v>0</v>
      </c>
      <c r="Z1886" s="2">
        <v>0</v>
      </c>
      <c r="AA1886" s="4">
        <v>0</v>
      </c>
      <c r="AB1886" s="4">
        <f t="shared" si="276"/>
        <v>0</v>
      </c>
      <c r="AC1886" s="6">
        <f t="shared" si="277"/>
        <v>0</v>
      </c>
      <c r="AD1886" s="4">
        <v>0</v>
      </c>
      <c r="AE1886" s="2">
        <v>0.06</v>
      </c>
      <c r="AF1886" s="5">
        <f t="shared" si="278"/>
        <v>0</v>
      </c>
      <c r="AG1886" s="9">
        <v>0</v>
      </c>
      <c r="AH1886" s="4">
        <f t="shared" si="274"/>
        <v>0</v>
      </c>
      <c r="AJ1886" s="126" t="e">
        <v>#N/A</v>
      </c>
      <c r="AK1886" s="80">
        <f t="shared" si="279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272"/>
        <v>8035.9300000000021</v>
      </c>
      <c r="X1887" s="13">
        <f t="shared" si="273"/>
        <v>0</v>
      </c>
      <c r="Y1887" s="13">
        <f t="shared" si="275"/>
        <v>0</v>
      </c>
      <c r="Z1887" s="2">
        <v>0</v>
      </c>
      <c r="AA1887" s="4">
        <v>0</v>
      </c>
      <c r="AB1887" s="4">
        <f t="shared" si="276"/>
        <v>0</v>
      </c>
      <c r="AC1887" s="6">
        <f t="shared" si="277"/>
        <v>0</v>
      </c>
      <c r="AD1887" s="4">
        <v>0</v>
      </c>
      <c r="AE1887" s="2">
        <v>0.06</v>
      </c>
      <c r="AF1887" s="5">
        <f t="shared" si="278"/>
        <v>0</v>
      </c>
      <c r="AG1887" s="9">
        <v>0</v>
      </c>
      <c r="AH1887" s="4">
        <f t="shared" si="274"/>
        <v>0</v>
      </c>
      <c r="AJ1887" s="126" t="e">
        <v>#N/A</v>
      </c>
      <c r="AK1887" s="80">
        <f t="shared" si="279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272"/>
        <v>6268.48</v>
      </c>
      <c r="X1888" s="13">
        <f t="shared" si="273"/>
        <v>0</v>
      </c>
      <c r="Y1888" s="13">
        <f t="shared" si="275"/>
        <v>0</v>
      </c>
      <c r="Z1888" s="2">
        <v>0</v>
      </c>
      <c r="AA1888" s="4">
        <v>0</v>
      </c>
      <c r="AB1888" s="4">
        <f t="shared" si="276"/>
        <v>0</v>
      </c>
      <c r="AC1888" s="6">
        <f t="shared" si="277"/>
        <v>0</v>
      </c>
      <c r="AD1888" s="4">
        <v>0</v>
      </c>
      <c r="AE1888" s="2">
        <v>0.06</v>
      </c>
      <c r="AF1888" s="5">
        <f t="shared" si="278"/>
        <v>0</v>
      </c>
      <c r="AG1888" s="9">
        <v>0</v>
      </c>
      <c r="AH1888" s="4">
        <f t="shared" si="274"/>
        <v>0</v>
      </c>
      <c r="AJ1888" s="126" t="e">
        <v>#N/A</v>
      </c>
      <c r="AK1888" s="80">
        <f t="shared" si="279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272"/>
        <v>2474.6900000000005</v>
      </c>
      <c r="X1889" s="13">
        <f t="shared" si="273"/>
        <v>0</v>
      </c>
      <c r="Y1889" s="13">
        <f t="shared" si="275"/>
        <v>0</v>
      </c>
      <c r="Z1889" s="2">
        <v>0</v>
      </c>
      <c r="AA1889" s="4">
        <v>0</v>
      </c>
      <c r="AB1889" s="4">
        <f t="shared" si="276"/>
        <v>0</v>
      </c>
      <c r="AC1889" s="6">
        <f t="shared" si="277"/>
        <v>0</v>
      </c>
      <c r="AD1889" s="4">
        <v>0</v>
      </c>
      <c r="AE1889" s="2">
        <v>0.06</v>
      </c>
      <c r="AF1889" s="5">
        <f t="shared" si="278"/>
        <v>0</v>
      </c>
      <c r="AG1889" s="9">
        <v>0</v>
      </c>
      <c r="AH1889" s="4">
        <f t="shared" si="274"/>
        <v>0</v>
      </c>
      <c r="AJ1889" s="126" t="e">
        <v>#N/A</v>
      </c>
      <c r="AK1889" s="80">
        <f t="shared" si="279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272"/>
        <v>170076.12724137912</v>
      </c>
      <c r="X1890" s="13">
        <f t="shared" si="273"/>
        <v>0</v>
      </c>
      <c r="Y1890" s="13">
        <f t="shared" si="275"/>
        <v>0</v>
      </c>
      <c r="Z1890" s="2">
        <v>0</v>
      </c>
      <c r="AA1890" s="4">
        <v>0</v>
      </c>
      <c r="AB1890" s="4">
        <f t="shared" si="276"/>
        <v>0</v>
      </c>
      <c r="AC1890" s="6">
        <f t="shared" si="277"/>
        <v>0</v>
      </c>
      <c r="AD1890" s="4">
        <v>0</v>
      </c>
      <c r="AE1890" s="2">
        <v>0</v>
      </c>
      <c r="AF1890" s="5">
        <f t="shared" si="278"/>
        <v>0</v>
      </c>
      <c r="AG1890" s="9">
        <v>0.3</v>
      </c>
      <c r="AH1890" s="4">
        <f t="shared" si="274"/>
        <v>0</v>
      </c>
      <c r="AJ1890" s="126" t="e">
        <v>#N/A</v>
      </c>
      <c r="AK1890" s="80">
        <f t="shared" si="279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272"/>
        <v>-170012.66200000001</v>
      </c>
      <c r="X1891" s="13">
        <f t="shared" si="273"/>
        <v>0</v>
      </c>
      <c r="Y1891" s="13">
        <f t="shared" si="275"/>
        <v>0</v>
      </c>
      <c r="Z1891" s="2">
        <v>0</v>
      </c>
      <c r="AA1891" s="4">
        <v>0</v>
      </c>
      <c r="AB1891" s="4">
        <f t="shared" si="276"/>
        <v>0</v>
      </c>
      <c r="AC1891" s="6">
        <f t="shared" si="277"/>
        <v>0</v>
      </c>
      <c r="AD1891" s="4">
        <v>0</v>
      </c>
      <c r="AE1891" s="2">
        <v>0</v>
      </c>
      <c r="AF1891" s="5">
        <f t="shared" si="278"/>
        <v>0</v>
      </c>
      <c r="AG1891" s="9">
        <v>0.3</v>
      </c>
      <c r="AH1891" s="4">
        <f t="shared" si="274"/>
        <v>0</v>
      </c>
      <c r="AJ1891" s="126" t="e">
        <v>#N/A</v>
      </c>
      <c r="AK1891" s="80">
        <f t="shared" si="279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272"/>
        <v>0</v>
      </c>
      <c r="X1892" s="13">
        <f t="shared" si="273"/>
        <v>0</v>
      </c>
      <c r="Y1892" s="13">
        <f t="shared" si="275"/>
        <v>0</v>
      </c>
      <c r="Z1892" s="2">
        <v>0</v>
      </c>
      <c r="AA1892" s="4">
        <v>0</v>
      </c>
      <c r="AB1892" s="4">
        <f t="shared" si="276"/>
        <v>0</v>
      </c>
      <c r="AC1892" s="6">
        <f t="shared" si="277"/>
        <v>0</v>
      </c>
      <c r="AD1892" s="4">
        <v>0</v>
      </c>
      <c r="AE1892" s="2">
        <v>0.06</v>
      </c>
      <c r="AF1892" s="5">
        <f t="shared" si="278"/>
        <v>0</v>
      </c>
      <c r="AG1892" s="9">
        <v>0.3</v>
      </c>
      <c r="AH1892" s="4">
        <f t="shared" si="274"/>
        <v>0</v>
      </c>
      <c r="AJ1892" s="126" t="e">
        <v>#N/A</v>
      </c>
      <c r="AK1892" s="80">
        <f t="shared" si="279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272"/>
        <v>20006157.745999996</v>
      </c>
      <c r="X1893" s="13">
        <f t="shared" si="273"/>
        <v>0</v>
      </c>
      <c r="Y1893" s="13">
        <f t="shared" si="275"/>
        <v>0</v>
      </c>
      <c r="Z1893" s="2">
        <v>0</v>
      </c>
      <c r="AA1893" s="4">
        <v>0</v>
      </c>
      <c r="AB1893" s="4">
        <f t="shared" si="276"/>
        <v>0</v>
      </c>
      <c r="AC1893" s="6">
        <f t="shared" si="277"/>
        <v>0</v>
      </c>
      <c r="AD1893" s="4">
        <v>0</v>
      </c>
      <c r="AE1893" s="2">
        <v>0.06</v>
      </c>
      <c r="AF1893" s="5">
        <f t="shared" si="278"/>
        <v>0</v>
      </c>
      <c r="AG1893" s="9">
        <v>0.3</v>
      </c>
      <c r="AH1893" s="4">
        <f t="shared" si="274"/>
        <v>0</v>
      </c>
      <c r="AJ1893" s="126" t="e">
        <v>#N/A</v>
      </c>
      <c r="AK1893" s="80">
        <f t="shared" si="279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272"/>
        <v>-1044.9708000000101</v>
      </c>
      <c r="X1894" s="13">
        <f t="shared" si="273"/>
        <v>0</v>
      </c>
      <c r="Y1894" s="13">
        <f t="shared" si="275"/>
        <v>0</v>
      </c>
      <c r="Z1894" s="2">
        <v>0</v>
      </c>
      <c r="AA1894" s="4">
        <v>0</v>
      </c>
      <c r="AB1894" s="4">
        <f t="shared" si="276"/>
        <v>0</v>
      </c>
      <c r="AC1894" s="6">
        <f t="shared" si="277"/>
        <v>0</v>
      </c>
      <c r="AD1894" s="4">
        <v>0</v>
      </c>
      <c r="AE1894" s="2">
        <v>7.0000000000000007E-2</v>
      </c>
      <c r="AF1894" s="5">
        <f t="shared" si="278"/>
        <v>0</v>
      </c>
      <c r="AG1894" s="9">
        <v>0.36</v>
      </c>
      <c r="AH1894" s="4">
        <f t="shared" si="274"/>
        <v>0</v>
      </c>
      <c r="AJ1894" s="126" t="e">
        <v>#N/A</v>
      </c>
      <c r="AK1894" s="80">
        <f t="shared" si="279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272"/>
        <v>0</v>
      </c>
      <c r="X1895" s="13">
        <f t="shared" si="273"/>
        <v>0</v>
      </c>
      <c r="Y1895" s="13">
        <f t="shared" si="275"/>
        <v>0</v>
      </c>
      <c r="Z1895" s="2">
        <v>0</v>
      </c>
      <c r="AA1895" s="4">
        <v>0</v>
      </c>
      <c r="AB1895" s="4">
        <f t="shared" si="276"/>
        <v>0</v>
      </c>
      <c r="AC1895" s="6">
        <f t="shared" si="277"/>
        <v>0</v>
      </c>
      <c r="AD1895" s="4">
        <v>0</v>
      </c>
      <c r="AE1895" s="2">
        <v>7.0000000000000007E-2</v>
      </c>
      <c r="AF1895" s="5">
        <f t="shared" si="278"/>
        <v>0</v>
      </c>
      <c r="AG1895" s="9">
        <v>0.36</v>
      </c>
      <c r="AH1895" s="4">
        <f t="shared" si="274"/>
        <v>0</v>
      </c>
      <c r="AJ1895" s="126" t="e">
        <v>#N/A</v>
      </c>
      <c r="AK1895" s="80">
        <f t="shared" si="279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272"/>
        <v>115138.81</v>
      </c>
      <c r="X1896" s="13">
        <f t="shared" si="273"/>
        <v>0</v>
      </c>
      <c r="Y1896" s="13">
        <f t="shared" si="275"/>
        <v>0</v>
      </c>
      <c r="Z1896" s="2">
        <v>0</v>
      </c>
      <c r="AA1896" s="4">
        <v>0</v>
      </c>
      <c r="AB1896" s="4">
        <f t="shared" si="276"/>
        <v>0</v>
      </c>
      <c r="AC1896" s="6">
        <f t="shared" si="277"/>
        <v>0</v>
      </c>
      <c r="AD1896" s="4">
        <v>0</v>
      </c>
      <c r="AE1896" s="2">
        <v>7.0000000000000007E-2</v>
      </c>
      <c r="AF1896" s="5">
        <f t="shared" si="278"/>
        <v>0</v>
      </c>
      <c r="AG1896" s="9">
        <v>0</v>
      </c>
      <c r="AH1896" s="4">
        <f t="shared" si="274"/>
        <v>0</v>
      </c>
      <c r="AJ1896" s="126" t="e">
        <v>#N/A</v>
      </c>
      <c r="AK1896" s="80">
        <f t="shared" si="279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272"/>
        <v>-329218.61920002924</v>
      </c>
      <c r="X1897" s="13">
        <f t="shared" si="273"/>
        <v>0</v>
      </c>
      <c r="Y1897" s="13">
        <f t="shared" si="275"/>
        <v>0</v>
      </c>
      <c r="Z1897" s="2">
        <v>0</v>
      </c>
      <c r="AA1897" s="4">
        <v>0</v>
      </c>
      <c r="AB1897" s="4">
        <f t="shared" si="276"/>
        <v>0</v>
      </c>
      <c r="AC1897" s="6">
        <f t="shared" si="277"/>
        <v>0</v>
      </c>
      <c r="AD1897" s="4">
        <v>0</v>
      </c>
      <c r="AE1897" s="2">
        <v>0</v>
      </c>
      <c r="AF1897" s="5">
        <f t="shared" si="278"/>
        <v>0</v>
      </c>
      <c r="AG1897" s="9">
        <v>0.12</v>
      </c>
      <c r="AH1897" s="4">
        <f t="shared" si="274"/>
        <v>0</v>
      </c>
      <c r="AJ1897" s="126" t="e">
        <v>#N/A</v>
      </c>
      <c r="AK1897" s="80">
        <f t="shared" si="279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272"/>
        <v>14770</v>
      </c>
      <c r="X1898" s="13">
        <f t="shared" si="273"/>
        <v>0</v>
      </c>
      <c r="Y1898" s="13">
        <f t="shared" si="275"/>
        <v>0</v>
      </c>
      <c r="Z1898" s="2">
        <v>0</v>
      </c>
      <c r="AA1898" s="4">
        <v>0</v>
      </c>
      <c r="AB1898" s="4">
        <f t="shared" si="276"/>
        <v>0</v>
      </c>
      <c r="AC1898" s="6">
        <f t="shared" si="277"/>
        <v>0</v>
      </c>
      <c r="AD1898" s="4">
        <v>0</v>
      </c>
      <c r="AE1898" s="2">
        <v>0</v>
      </c>
      <c r="AF1898" s="5">
        <f t="shared" si="278"/>
        <v>0</v>
      </c>
      <c r="AG1898" s="9">
        <v>0</v>
      </c>
      <c r="AH1898" s="4">
        <f t="shared" si="274"/>
        <v>0</v>
      </c>
      <c r="AJ1898" s="126" t="e">
        <v>#N/A</v>
      </c>
      <c r="AK1898" s="80">
        <f t="shared" si="279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272"/>
        <v>0</v>
      </c>
      <c r="X1899" s="13">
        <f t="shared" si="273"/>
        <v>0</v>
      </c>
      <c r="Y1899" s="13">
        <f t="shared" si="275"/>
        <v>0</v>
      </c>
      <c r="Z1899" s="2">
        <v>0</v>
      </c>
      <c r="AA1899" s="4">
        <v>0</v>
      </c>
      <c r="AB1899" s="4">
        <f t="shared" si="276"/>
        <v>0</v>
      </c>
      <c r="AC1899" s="6">
        <f t="shared" si="277"/>
        <v>0</v>
      </c>
      <c r="AD1899" s="4">
        <v>0</v>
      </c>
      <c r="AE1899" s="2">
        <v>0.06</v>
      </c>
      <c r="AF1899" s="5">
        <f t="shared" si="278"/>
        <v>0</v>
      </c>
      <c r="AG1899" s="9">
        <v>0</v>
      </c>
      <c r="AH1899" s="4">
        <f t="shared" si="274"/>
        <v>0</v>
      </c>
      <c r="AJ1899" s="126" t="e">
        <v>#N/A</v>
      </c>
      <c r="AK1899" s="80">
        <f t="shared" si="279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272"/>
        <v>-12128.130000000107</v>
      </c>
      <c r="X1900" s="13">
        <f t="shared" si="273"/>
        <v>0</v>
      </c>
      <c r="Y1900" s="13">
        <f t="shared" si="275"/>
        <v>0</v>
      </c>
      <c r="Z1900" s="2">
        <v>0</v>
      </c>
      <c r="AA1900" s="4">
        <v>0</v>
      </c>
      <c r="AB1900" s="4">
        <f t="shared" si="276"/>
        <v>0</v>
      </c>
      <c r="AC1900" s="6">
        <f t="shared" si="277"/>
        <v>0</v>
      </c>
      <c r="AD1900" s="4">
        <v>0</v>
      </c>
      <c r="AE1900" s="2">
        <v>0.06</v>
      </c>
      <c r="AF1900" s="5">
        <f t="shared" si="278"/>
        <v>0</v>
      </c>
      <c r="AG1900" s="9">
        <v>0</v>
      </c>
      <c r="AH1900" s="4">
        <f t="shared" si="274"/>
        <v>0</v>
      </c>
      <c r="AJ1900" s="126" t="e">
        <v>#N/A</v>
      </c>
      <c r="AK1900" s="80">
        <f t="shared" si="279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272"/>
        <v>5.6086000001450884</v>
      </c>
      <c r="X1901" s="13">
        <f t="shared" si="273"/>
        <v>0</v>
      </c>
      <c r="Y1901" s="13">
        <f t="shared" si="275"/>
        <v>0</v>
      </c>
      <c r="Z1901" s="2">
        <v>0</v>
      </c>
      <c r="AA1901" s="4">
        <v>0</v>
      </c>
      <c r="AB1901" s="4">
        <f t="shared" si="276"/>
        <v>0</v>
      </c>
      <c r="AC1901" s="6">
        <f t="shared" si="277"/>
        <v>0</v>
      </c>
      <c r="AD1901" s="4">
        <v>0</v>
      </c>
      <c r="AE1901" s="2">
        <v>0.06</v>
      </c>
      <c r="AF1901" s="5">
        <f t="shared" si="278"/>
        <v>0</v>
      </c>
      <c r="AG1901" s="9">
        <v>0.02</v>
      </c>
      <c r="AH1901" s="4">
        <f t="shared" si="274"/>
        <v>0</v>
      </c>
      <c r="AJ1901" s="126" t="e">
        <v>#N/A</v>
      </c>
      <c r="AK1901" s="80">
        <f t="shared" si="279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272"/>
        <v>22312.19</v>
      </c>
      <c r="X1902" s="13">
        <f t="shared" si="273"/>
        <v>0</v>
      </c>
      <c r="Y1902" s="13">
        <f t="shared" si="275"/>
        <v>0</v>
      </c>
      <c r="Z1902" s="2">
        <v>0</v>
      </c>
      <c r="AA1902" s="4">
        <v>0</v>
      </c>
      <c r="AB1902" s="4">
        <f t="shared" si="276"/>
        <v>0</v>
      </c>
      <c r="AC1902" s="6">
        <f t="shared" si="277"/>
        <v>0</v>
      </c>
      <c r="AD1902" s="4">
        <v>0</v>
      </c>
      <c r="AE1902" s="2">
        <v>0</v>
      </c>
      <c r="AF1902" s="5">
        <f t="shared" si="278"/>
        <v>0</v>
      </c>
      <c r="AG1902" s="9">
        <v>0</v>
      </c>
      <c r="AH1902" s="4">
        <f t="shared" si="274"/>
        <v>0</v>
      </c>
      <c r="AJ1902" s="126" t="e">
        <v>#N/A</v>
      </c>
      <c r="AK1902" s="80">
        <f t="shared" si="279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272"/>
        <v>6197.05</v>
      </c>
      <c r="X1903" s="13">
        <f t="shared" si="273"/>
        <v>0</v>
      </c>
      <c r="Y1903" s="13">
        <f t="shared" si="275"/>
        <v>0</v>
      </c>
      <c r="Z1903" s="2">
        <v>0</v>
      </c>
      <c r="AA1903" s="4">
        <v>0</v>
      </c>
      <c r="AB1903" s="4">
        <f t="shared" si="276"/>
        <v>0</v>
      </c>
      <c r="AC1903" s="6">
        <f t="shared" si="277"/>
        <v>0</v>
      </c>
      <c r="AD1903" s="4">
        <v>0</v>
      </c>
      <c r="AE1903" s="2">
        <v>0.06</v>
      </c>
      <c r="AF1903" s="5">
        <f t="shared" si="278"/>
        <v>0</v>
      </c>
      <c r="AG1903" s="9">
        <v>0</v>
      </c>
      <c r="AH1903" s="4">
        <f t="shared" si="274"/>
        <v>0</v>
      </c>
      <c r="AJ1903" s="126" t="e">
        <v>#N/A</v>
      </c>
      <c r="AK1903" s="80">
        <f t="shared" si="279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272"/>
        <v>13256.449999999999</v>
      </c>
      <c r="X1904" s="13">
        <f t="shared" si="273"/>
        <v>0</v>
      </c>
      <c r="Y1904" s="13">
        <f t="shared" si="275"/>
        <v>0</v>
      </c>
      <c r="Z1904" s="2">
        <v>0</v>
      </c>
      <c r="AA1904" s="4">
        <v>0</v>
      </c>
      <c r="AB1904" s="4">
        <f t="shared" si="276"/>
        <v>0</v>
      </c>
      <c r="AC1904" s="6">
        <f t="shared" si="277"/>
        <v>0</v>
      </c>
      <c r="AD1904" s="4">
        <v>0</v>
      </c>
      <c r="AE1904" s="2">
        <v>7.0000000000000007E-2</v>
      </c>
      <c r="AF1904" s="5">
        <f t="shared" si="278"/>
        <v>0</v>
      </c>
      <c r="AG1904" s="9">
        <v>0</v>
      </c>
      <c r="AH1904" s="4">
        <f t="shared" si="274"/>
        <v>0</v>
      </c>
      <c r="AJ1904" s="126" t="e">
        <v>#N/A</v>
      </c>
      <c r="AK1904" s="80">
        <f t="shared" si="279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272"/>
        <v>58598.229999999996</v>
      </c>
      <c r="X1905" s="13">
        <f t="shared" si="273"/>
        <v>0</v>
      </c>
      <c r="Y1905" s="13">
        <f t="shared" si="275"/>
        <v>0</v>
      </c>
      <c r="Z1905" s="2">
        <v>0</v>
      </c>
      <c r="AA1905" s="4">
        <v>0</v>
      </c>
      <c r="AB1905" s="4">
        <f t="shared" si="276"/>
        <v>0</v>
      </c>
      <c r="AC1905" s="6">
        <f t="shared" si="277"/>
        <v>0</v>
      </c>
      <c r="AD1905" s="4">
        <v>0</v>
      </c>
      <c r="AE1905" s="2">
        <v>0</v>
      </c>
      <c r="AF1905" s="5">
        <f t="shared" si="278"/>
        <v>0</v>
      </c>
      <c r="AG1905" s="9">
        <v>0.02</v>
      </c>
      <c r="AH1905" s="4">
        <f t="shared" si="274"/>
        <v>0</v>
      </c>
      <c r="AJ1905" s="126" t="e">
        <v>#N/A</v>
      </c>
      <c r="AK1905" s="80">
        <f t="shared" si="279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272"/>
        <v>26818.16</v>
      </c>
      <c r="X1906" s="13">
        <f t="shared" si="273"/>
        <v>0</v>
      </c>
      <c r="Y1906" s="13">
        <f t="shared" si="275"/>
        <v>0</v>
      </c>
      <c r="Z1906" s="2">
        <v>0</v>
      </c>
      <c r="AA1906" s="4">
        <v>0</v>
      </c>
      <c r="AB1906" s="4">
        <f t="shared" si="276"/>
        <v>0</v>
      </c>
      <c r="AC1906" s="6">
        <f t="shared" si="277"/>
        <v>0</v>
      </c>
      <c r="AD1906" s="4">
        <v>0</v>
      </c>
      <c r="AE1906" s="2">
        <v>0.06</v>
      </c>
      <c r="AF1906" s="5">
        <f t="shared" si="278"/>
        <v>0</v>
      </c>
      <c r="AG1906" s="9">
        <v>0</v>
      </c>
      <c r="AH1906" s="4">
        <f t="shared" si="274"/>
        <v>0</v>
      </c>
      <c r="AJ1906" s="126" t="e">
        <v>#N/A</v>
      </c>
      <c r="AK1906" s="80">
        <f t="shared" si="279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272"/>
        <v>7020</v>
      </c>
      <c r="X1907" s="13">
        <f t="shared" si="273"/>
        <v>0</v>
      </c>
      <c r="Y1907" s="13">
        <f t="shared" si="275"/>
        <v>0</v>
      </c>
      <c r="Z1907" s="2">
        <v>0</v>
      </c>
      <c r="AA1907" s="4">
        <v>0</v>
      </c>
      <c r="AB1907" s="4">
        <f t="shared" si="276"/>
        <v>0</v>
      </c>
      <c r="AC1907" s="6">
        <f t="shared" si="277"/>
        <v>0</v>
      </c>
      <c r="AD1907" s="4">
        <v>0</v>
      </c>
      <c r="AE1907" s="2">
        <v>0</v>
      </c>
      <c r="AF1907" s="5">
        <f t="shared" si="278"/>
        <v>0</v>
      </c>
      <c r="AG1907" s="9">
        <v>0</v>
      </c>
      <c r="AH1907" s="4">
        <f t="shared" si="274"/>
        <v>0</v>
      </c>
      <c r="AJ1907" s="126" t="e">
        <v>#N/A</v>
      </c>
      <c r="AK1907" s="80">
        <f t="shared" si="279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272"/>
        <v>62133.369999999995</v>
      </c>
      <c r="X1908" s="13">
        <f t="shared" si="273"/>
        <v>0</v>
      </c>
      <c r="Y1908" s="13">
        <f t="shared" si="275"/>
        <v>0</v>
      </c>
      <c r="Z1908" s="2">
        <v>0</v>
      </c>
      <c r="AA1908" s="4">
        <v>0</v>
      </c>
      <c r="AB1908" s="4">
        <f t="shared" si="276"/>
        <v>0</v>
      </c>
      <c r="AC1908" s="6">
        <f t="shared" si="277"/>
        <v>0</v>
      </c>
      <c r="AD1908" s="4">
        <v>0</v>
      </c>
      <c r="AE1908" s="2">
        <v>0.06</v>
      </c>
      <c r="AF1908" s="5">
        <f t="shared" si="278"/>
        <v>0</v>
      </c>
      <c r="AG1908" s="9">
        <v>0</v>
      </c>
      <c r="AH1908" s="4">
        <f t="shared" si="274"/>
        <v>0</v>
      </c>
      <c r="AJ1908" s="126" t="e">
        <v>#N/A</v>
      </c>
      <c r="AK1908" s="80">
        <f t="shared" si="279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272"/>
        <v>60000</v>
      </c>
      <c r="X1909" s="13">
        <f t="shared" si="273"/>
        <v>0</v>
      </c>
      <c r="Y1909" s="13">
        <f t="shared" si="275"/>
        <v>0</v>
      </c>
      <c r="Z1909" s="2">
        <v>0</v>
      </c>
      <c r="AA1909" s="4">
        <v>0</v>
      </c>
      <c r="AB1909" s="4">
        <f t="shared" si="276"/>
        <v>0</v>
      </c>
      <c r="AC1909" s="6">
        <f t="shared" si="277"/>
        <v>0</v>
      </c>
      <c r="AD1909" s="4">
        <v>0</v>
      </c>
      <c r="AE1909" s="2">
        <v>7.0000000000000007E-2</v>
      </c>
      <c r="AF1909" s="5">
        <f t="shared" si="278"/>
        <v>0</v>
      </c>
      <c r="AG1909" s="9">
        <v>0</v>
      </c>
      <c r="AH1909" s="4">
        <f t="shared" si="274"/>
        <v>0</v>
      </c>
      <c r="AJ1909" s="126" t="e">
        <v>#N/A</v>
      </c>
      <c r="AK1909" s="80">
        <f t="shared" si="279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272"/>
        <v>124154.45999999973</v>
      </c>
      <c r="X1910" s="13">
        <f t="shared" si="273"/>
        <v>0</v>
      </c>
      <c r="Y1910" s="13">
        <f t="shared" si="275"/>
        <v>0</v>
      </c>
      <c r="Z1910" s="2">
        <v>0</v>
      </c>
      <c r="AA1910" s="4">
        <v>0</v>
      </c>
      <c r="AB1910" s="4">
        <f t="shared" si="276"/>
        <v>0</v>
      </c>
      <c r="AC1910" s="6">
        <f t="shared" si="277"/>
        <v>0</v>
      </c>
      <c r="AD1910" s="4">
        <v>0</v>
      </c>
      <c r="AE1910" s="2">
        <v>0.06</v>
      </c>
      <c r="AF1910" s="5">
        <f t="shared" si="278"/>
        <v>0</v>
      </c>
      <c r="AG1910" s="9">
        <v>7.0000000000000007E-2</v>
      </c>
      <c r="AH1910" s="4">
        <f t="shared" si="274"/>
        <v>0</v>
      </c>
      <c r="AJ1910" s="126" t="e">
        <v>#N/A</v>
      </c>
      <c r="AK1910" s="80">
        <f t="shared" si="279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272"/>
        <v>-7433.9479452040014</v>
      </c>
      <c r="X1911" s="13">
        <f t="shared" si="273"/>
        <v>0</v>
      </c>
      <c r="Y1911" s="13">
        <f t="shared" si="275"/>
        <v>0</v>
      </c>
      <c r="Z1911" s="2">
        <v>0</v>
      </c>
      <c r="AA1911" s="4">
        <v>0</v>
      </c>
      <c r="AB1911" s="4">
        <f t="shared" si="276"/>
        <v>0</v>
      </c>
      <c r="AC1911" s="6">
        <f t="shared" si="277"/>
        <v>0</v>
      </c>
      <c r="AD1911" s="4">
        <v>0</v>
      </c>
      <c r="AE1911" s="2">
        <v>7.0000000000000007E-2</v>
      </c>
      <c r="AF1911" s="5">
        <f t="shared" si="278"/>
        <v>0</v>
      </c>
      <c r="AG1911" s="9">
        <v>0.46</v>
      </c>
      <c r="AH1911" s="4">
        <f t="shared" si="274"/>
        <v>0</v>
      </c>
      <c r="AJ1911" s="126" t="e">
        <v>#N/A</v>
      </c>
      <c r="AK1911" s="80">
        <f t="shared" si="279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272"/>
        <v>468097.95999999996</v>
      </c>
      <c r="X1912" s="13">
        <f t="shared" si="273"/>
        <v>0</v>
      </c>
      <c r="Y1912" s="13">
        <f t="shared" si="275"/>
        <v>0</v>
      </c>
      <c r="Z1912" s="2">
        <v>0</v>
      </c>
      <c r="AA1912" s="4">
        <v>0</v>
      </c>
      <c r="AB1912" s="4">
        <f t="shared" si="276"/>
        <v>0</v>
      </c>
      <c r="AC1912" s="6">
        <f t="shared" si="277"/>
        <v>0</v>
      </c>
      <c r="AD1912" s="4">
        <v>0</v>
      </c>
      <c r="AE1912" s="2">
        <v>7.0000000000000007E-2</v>
      </c>
      <c r="AF1912" s="5">
        <f t="shared" si="278"/>
        <v>0</v>
      </c>
      <c r="AG1912" s="9">
        <v>0.36</v>
      </c>
      <c r="AH1912" s="4">
        <f t="shared" si="274"/>
        <v>0</v>
      </c>
      <c r="AJ1912" s="126" t="e">
        <v>#N/A</v>
      </c>
      <c r="AK1912" s="80">
        <f t="shared" si="279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272"/>
        <v>-21373.010720540897</v>
      </c>
      <c r="X1913" s="13">
        <f t="shared" si="273"/>
        <v>0</v>
      </c>
      <c r="Y1913" s="13">
        <f t="shared" si="275"/>
        <v>0</v>
      </c>
      <c r="Z1913" s="2">
        <v>0</v>
      </c>
      <c r="AA1913" s="4">
        <v>0</v>
      </c>
      <c r="AB1913" s="4">
        <f t="shared" si="276"/>
        <v>0</v>
      </c>
      <c r="AC1913" s="6">
        <f t="shared" si="277"/>
        <v>0</v>
      </c>
      <c r="AD1913" s="4">
        <v>0</v>
      </c>
      <c r="AE1913" s="2">
        <v>7.0000000000000007E-2</v>
      </c>
      <c r="AF1913" s="5">
        <f t="shared" si="278"/>
        <v>0</v>
      </c>
      <c r="AG1913" s="9">
        <v>0.41</v>
      </c>
      <c r="AH1913" s="4">
        <f t="shared" si="274"/>
        <v>0</v>
      </c>
      <c r="AJ1913" s="126" t="e">
        <v>#N/A</v>
      </c>
      <c r="AK1913" s="80">
        <f t="shared" si="279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272"/>
        <v>5350.3468000004286</v>
      </c>
      <c r="X1914" s="13">
        <f t="shared" si="273"/>
        <v>0</v>
      </c>
      <c r="Y1914" s="13">
        <f t="shared" si="275"/>
        <v>0</v>
      </c>
      <c r="Z1914" s="2">
        <v>0</v>
      </c>
      <c r="AA1914" s="4">
        <v>0</v>
      </c>
      <c r="AB1914" s="4">
        <f t="shared" si="276"/>
        <v>0</v>
      </c>
      <c r="AC1914" s="6">
        <f t="shared" si="277"/>
        <v>0</v>
      </c>
      <c r="AD1914" s="4">
        <v>0</v>
      </c>
      <c r="AE1914" s="2">
        <v>7.0000000000000007E-2</v>
      </c>
      <c r="AF1914" s="5">
        <f t="shared" si="278"/>
        <v>0</v>
      </c>
      <c r="AG1914" s="9">
        <v>0.36</v>
      </c>
      <c r="AH1914" s="4">
        <f t="shared" si="274"/>
        <v>0</v>
      </c>
      <c r="AJ1914" s="126" t="e">
        <v>#N/A</v>
      </c>
      <c r="AK1914" s="80">
        <f t="shared" si="279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272"/>
        <v>63.648999999915986</v>
      </c>
      <c r="X1915" s="13">
        <f t="shared" si="273"/>
        <v>0</v>
      </c>
      <c r="Y1915" s="13">
        <f t="shared" si="275"/>
        <v>0</v>
      </c>
      <c r="Z1915" s="2">
        <v>0</v>
      </c>
      <c r="AA1915" s="4">
        <v>0</v>
      </c>
      <c r="AB1915" s="4">
        <f t="shared" si="276"/>
        <v>0</v>
      </c>
      <c r="AC1915" s="6">
        <f t="shared" si="277"/>
        <v>0</v>
      </c>
      <c r="AD1915" s="4">
        <v>0</v>
      </c>
      <c r="AE1915" s="2">
        <v>0</v>
      </c>
      <c r="AF1915" s="5">
        <f t="shared" si="278"/>
        <v>0</v>
      </c>
      <c r="AG1915" s="9">
        <v>0</v>
      </c>
      <c r="AH1915" s="4">
        <f t="shared" si="274"/>
        <v>0</v>
      </c>
      <c r="AJ1915" s="126" t="e">
        <v>#N/A</v>
      </c>
      <c r="AK1915" s="80">
        <f t="shared" si="279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272"/>
        <v>27534.366300000002</v>
      </c>
      <c r="X1916" s="13">
        <f t="shared" si="273"/>
        <v>0</v>
      </c>
      <c r="Y1916" s="13">
        <f t="shared" si="275"/>
        <v>0</v>
      </c>
      <c r="Z1916" s="2">
        <v>0</v>
      </c>
      <c r="AA1916" s="4">
        <v>0</v>
      </c>
      <c r="AB1916" s="4">
        <f t="shared" si="276"/>
        <v>0</v>
      </c>
      <c r="AC1916" s="6">
        <f t="shared" si="277"/>
        <v>0</v>
      </c>
      <c r="AD1916" s="4">
        <v>0</v>
      </c>
      <c r="AE1916" s="2">
        <v>0.06</v>
      </c>
      <c r="AF1916" s="5">
        <f t="shared" si="278"/>
        <v>0</v>
      </c>
      <c r="AG1916" s="9">
        <v>0.37</v>
      </c>
      <c r="AH1916" s="4">
        <f t="shared" si="274"/>
        <v>0</v>
      </c>
      <c r="AJ1916" s="126" t="e">
        <v>#N/A</v>
      </c>
      <c r="AK1916" s="80">
        <f t="shared" si="279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272"/>
        <v>12653.093999999999</v>
      </c>
      <c r="X1917" s="13">
        <f t="shared" si="273"/>
        <v>4.4518518518518517</v>
      </c>
      <c r="Y1917" s="13">
        <f t="shared" si="275"/>
        <v>0.16185185185185169</v>
      </c>
      <c r="Z1917" s="2">
        <v>0</v>
      </c>
      <c r="AA1917" s="4">
        <v>0</v>
      </c>
      <c r="AB1917" s="4">
        <f t="shared" si="276"/>
        <v>4.4518518518518517</v>
      </c>
      <c r="AC1917" s="6">
        <f t="shared" si="277"/>
        <v>1.5581481481481481</v>
      </c>
      <c r="AD1917" s="4">
        <v>4.29</v>
      </c>
      <c r="AE1917" s="2">
        <v>7.0000000000000007E-2</v>
      </c>
      <c r="AF1917" s="5">
        <f t="shared" si="278"/>
        <v>0.30030000000000001</v>
      </c>
      <c r="AG1917" s="9">
        <v>0.4</v>
      </c>
      <c r="AH1917" s="4">
        <f t="shared" si="274"/>
        <v>4.2928571428571427</v>
      </c>
      <c r="AJ1917" s="126" t="e">
        <v>#N/A</v>
      </c>
      <c r="AK1917" s="80">
        <f t="shared" si="279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272"/>
        <v>18486.165999999997</v>
      </c>
      <c r="X1918" s="13">
        <f t="shared" si="273"/>
        <v>0</v>
      </c>
      <c r="Y1918" s="13">
        <f t="shared" si="275"/>
        <v>0</v>
      </c>
      <c r="Z1918" s="2">
        <v>0</v>
      </c>
      <c r="AA1918" s="4">
        <v>0</v>
      </c>
      <c r="AB1918" s="4">
        <f t="shared" si="276"/>
        <v>0</v>
      </c>
      <c r="AC1918" s="6">
        <f t="shared" si="277"/>
        <v>0</v>
      </c>
      <c r="AD1918" s="4">
        <v>0</v>
      </c>
      <c r="AE1918" s="2">
        <v>7.0000000000000007E-2</v>
      </c>
      <c r="AF1918" s="5">
        <f t="shared" si="278"/>
        <v>0</v>
      </c>
      <c r="AG1918" s="9">
        <v>0.4</v>
      </c>
      <c r="AH1918" s="4">
        <f t="shared" si="274"/>
        <v>0</v>
      </c>
      <c r="AJ1918" s="126" t="e">
        <v>#N/A</v>
      </c>
      <c r="AK1918" s="80">
        <f t="shared" si="279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272"/>
        <v>71845.729027397349</v>
      </c>
      <c r="X1919" s="13">
        <f t="shared" si="273"/>
        <v>0</v>
      </c>
      <c r="Y1919" s="13">
        <f t="shared" si="275"/>
        <v>0</v>
      </c>
      <c r="Z1919" s="2">
        <v>0</v>
      </c>
      <c r="AA1919" s="4">
        <v>0</v>
      </c>
      <c r="AB1919" s="4">
        <f t="shared" si="276"/>
        <v>0</v>
      </c>
      <c r="AC1919" s="6">
        <f t="shared" si="277"/>
        <v>0</v>
      </c>
      <c r="AD1919" s="4">
        <v>0</v>
      </c>
      <c r="AE1919" s="2">
        <v>7.0000000000000007E-2</v>
      </c>
      <c r="AF1919" s="5">
        <f t="shared" si="278"/>
        <v>0</v>
      </c>
      <c r="AG1919" s="9">
        <v>0.46</v>
      </c>
      <c r="AH1919" s="4">
        <f t="shared" si="274"/>
        <v>0</v>
      </c>
      <c r="AJ1919" s="126" t="e">
        <v>#N/A</v>
      </c>
      <c r="AK1919" s="80">
        <f t="shared" si="279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280">T1920+U1920-V1920</f>
        <v>-44999.996399999996</v>
      </c>
      <c r="X1920" s="13">
        <f t="shared" si="273"/>
        <v>0</v>
      </c>
      <c r="Y1920" s="13">
        <f t="shared" si="275"/>
        <v>0</v>
      </c>
      <c r="Z1920" s="2">
        <v>0</v>
      </c>
      <c r="AA1920" s="4">
        <v>0</v>
      </c>
      <c r="AB1920" s="4">
        <f t="shared" si="276"/>
        <v>0</v>
      </c>
      <c r="AC1920" s="6">
        <f t="shared" si="277"/>
        <v>0</v>
      </c>
      <c r="AD1920" s="4">
        <v>0</v>
      </c>
      <c r="AE1920" s="2">
        <v>7.0000000000000007E-2</v>
      </c>
      <c r="AF1920" s="5">
        <f t="shared" si="278"/>
        <v>0</v>
      </c>
      <c r="AG1920" s="9">
        <v>0.41</v>
      </c>
      <c r="AH1920" s="4">
        <f t="shared" si="274"/>
        <v>0</v>
      </c>
      <c r="AJ1920" s="126" t="e">
        <v>#N/A</v>
      </c>
      <c r="AK1920" s="80">
        <f t="shared" si="279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280"/>
        <v>-26845.720799999999</v>
      </c>
      <c r="X1921" s="13">
        <f t="shared" ref="X1921:X1952" si="281">IF(P1921="折扣",V1921*Q1921,IF(P1921="返现",V1921,V1921/(1+Q1921+AG1921)))</f>
        <v>0</v>
      </c>
      <c r="Y1921" s="13">
        <f t="shared" si="275"/>
        <v>0</v>
      </c>
      <c r="Z1921" s="2">
        <v>0</v>
      </c>
      <c r="AA1921" s="4">
        <v>0</v>
      </c>
      <c r="AB1921" s="4">
        <f t="shared" si="276"/>
        <v>0</v>
      </c>
      <c r="AC1921" s="6">
        <f t="shared" si="277"/>
        <v>0</v>
      </c>
      <c r="AD1921" s="4">
        <v>0</v>
      </c>
      <c r="AE1921" s="2">
        <v>7.0000000000000007E-2</v>
      </c>
      <c r="AF1921" s="5">
        <f t="shared" si="278"/>
        <v>0</v>
      </c>
      <c r="AG1921" s="9">
        <v>0.46</v>
      </c>
      <c r="AH1921" s="4">
        <f t="shared" ref="AH1921:AH1952" si="282">V1921/(1+AG1921)</f>
        <v>0</v>
      </c>
      <c r="AJ1921" s="126" t="e">
        <v>#N/A</v>
      </c>
      <c r="AK1921" s="80">
        <f t="shared" si="279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280"/>
        <v>52448.685070439948</v>
      </c>
      <c r="X1922" s="13">
        <f t="shared" si="281"/>
        <v>0</v>
      </c>
      <c r="Y1922" s="13">
        <f t="shared" si="275"/>
        <v>0</v>
      </c>
      <c r="Z1922" s="2">
        <v>0</v>
      </c>
      <c r="AA1922" s="4">
        <v>0</v>
      </c>
      <c r="AB1922" s="4">
        <f t="shared" si="276"/>
        <v>0</v>
      </c>
      <c r="AC1922" s="6">
        <f t="shared" si="277"/>
        <v>0</v>
      </c>
      <c r="AD1922" s="4">
        <v>0</v>
      </c>
      <c r="AE1922" s="2">
        <v>7.0000000000000007E-2</v>
      </c>
      <c r="AF1922" s="5">
        <f t="shared" si="278"/>
        <v>0</v>
      </c>
      <c r="AG1922" s="9">
        <v>0.4</v>
      </c>
      <c r="AH1922" s="4">
        <f t="shared" si="282"/>
        <v>0</v>
      </c>
      <c r="AJ1922" s="126" t="e">
        <v>#N/A</v>
      </c>
      <c r="AK1922" s="80">
        <f t="shared" si="279"/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280"/>
        <v>0</v>
      </c>
      <c r="X1923" s="13">
        <f t="shared" si="281"/>
        <v>72404.133687943089</v>
      </c>
      <c r="Y1923" s="13">
        <f t="shared" ref="Y1923:Y1986" si="28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284">X1923+AA1923</f>
        <v>72404.133687943089</v>
      </c>
      <c r="AC1923" s="6">
        <f t="shared" ref="AC1923:AC1986" si="28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286">AD1923*AE1923</f>
        <v>0</v>
      </c>
      <c r="AG1923" s="9">
        <v>0.4</v>
      </c>
      <c r="AH1923" s="4">
        <f t="shared" si="282"/>
        <v>72921.306071428407</v>
      </c>
      <c r="AJ1923" s="126" t="e">
        <v>#N/A</v>
      </c>
      <c r="AK1923" s="80">
        <f t="shared" ref="AK1923:AK1986" si="287">X1923+AA1923-AB1923</f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280"/>
        <v>-3996.9150956944795</v>
      </c>
      <c r="X1924" s="13">
        <f t="shared" si="281"/>
        <v>0</v>
      </c>
      <c r="Y1924" s="13">
        <f t="shared" si="283"/>
        <v>0</v>
      </c>
      <c r="Z1924" s="2">
        <v>0</v>
      </c>
      <c r="AA1924" s="4">
        <v>0</v>
      </c>
      <c r="AB1924" s="4">
        <f t="shared" si="284"/>
        <v>0</v>
      </c>
      <c r="AC1924" s="6">
        <f t="shared" si="285"/>
        <v>0</v>
      </c>
      <c r="AD1924" s="4">
        <v>0</v>
      </c>
      <c r="AE1924" s="2">
        <v>7.0000000000000007E-2</v>
      </c>
      <c r="AF1924" s="5">
        <f t="shared" si="286"/>
        <v>0</v>
      </c>
      <c r="AG1924" s="9">
        <v>0.4</v>
      </c>
      <c r="AH1924" s="4">
        <f t="shared" si="282"/>
        <v>0</v>
      </c>
      <c r="AJ1924" s="126" t="e">
        <v>#N/A</v>
      </c>
      <c r="AK1924" s="80">
        <f t="shared" si="287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280"/>
        <v>-1.2000000016996637E-2</v>
      </c>
      <c r="X1925" s="13">
        <f t="shared" si="281"/>
        <v>0</v>
      </c>
      <c r="Y1925" s="13">
        <f t="shared" si="283"/>
        <v>0</v>
      </c>
      <c r="Z1925" s="2">
        <v>0</v>
      </c>
      <c r="AA1925" s="4">
        <v>0</v>
      </c>
      <c r="AB1925" s="4">
        <f t="shared" si="284"/>
        <v>0</v>
      </c>
      <c r="AC1925" s="6">
        <f t="shared" si="285"/>
        <v>0</v>
      </c>
      <c r="AD1925" s="4">
        <v>0</v>
      </c>
      <c r="AE1925" s="2">
        <v>7.0000000000000007E-2</v>
      </c>
      <c r="AF1925" s="5">
        <f t="shared" si="286"/>
        <v>0</v>
      </c>
      <c r="AG1925" s="9">
        <v>0.4</v>
      </c>
      <c r="AH1925" s="4">
        <f t="shared" si="282"/>
        <v>0</v>
      </c>
      <c r="AJ1925" s="126" t="e">
        <v>#N/A</v>
      </c>
      <c r="AK1925" s="80">
        <f t="shared" si="287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280"/>
        <v>-5.9999999998012754E-3</v>
      </c>
      <c r="X1926" s="13">
        <f t="shared" si="281"/>
        <v>0</v>
      </c>
      <c r="Y1926" s="13">
        <f t="shared" si="283"/>
        <v>0</v>
      </c>
      <c r="Z1926" s="2">
        <v>0</v>
      </c>
      <c r="AA1926" s="4">
        <v>0</v>
      </c>
      <c r="AB1926" s="4">
        <f t="shared" si="284"/>
        <v>0</v>
      </c>
      <c r="AC1926" s="6">
        <f t="shared" si="285"/>
        <v>0</v>
      </c>
      <c r="AD1926" s="4">
        <v>0</v>
      </c>
      <c r="AE1926" s="2">
        <v>7.0000000000000007E-2</v>
      </c>
      <c r="AF1926" s="5">
        <f t="shared" si="286"/>
        <v>0</v>
      </c>
      <c r="AG1926" s="9">
        <v>0.4</v>
      </c>
      <c r="AH1926" s="4">
        <f t="shared" si="282"/>
        <v>0</v>
      </c>
      <c r="AJ1926" s="126" t="e">
        <v>#N/A</v>
      </c>
      <c r="AK1926" s="80">
        <f t="shared" si="287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280"/>
        <v>-13927.29027636251</v>
      </c>
      <c r="X1927" s="13">
        <f t="shared" si="281"/>
        <v>0</v>
      </c>
      <c r="Y1927" s="13">
        <f t="shared" si="283"/>
        <v>0</v>
      </c>
      <c r="Z1927" s="2">
        <v>0</v>
      </c>
      <c r="AA1927" s="4">
        <v>0</v>
      </c>
      <c r="AB1927" s="4">
        <f t="shared" si="284"/>
        <v>0</v>
      </c>
      <c r="AC1927" s="6">
        <f t="shared" si="285"/>
        <v>0</v>
      </c>
      <c r="AD1927" s="4">
        <v>0</v>
      </c>
      <c r="AE1927" s="2">
        <v>7.0000000000000007E-2</v>
      </c>
      <c r="AF1927" s="5">
        <f t="shared" si="286"/>
        <v>0</v>
      </c>
      <c r="AG1927" s="9">
        <v>0.41</v>
      </c>
      <c r="AH1927" s="4">
        <f t="shared" si="282"/>
        <v>0</v>
      </c>
      <c r="AJ1927" s="126" t="e">
        <v>#N/A</v>
      </c>
      <c r="AK1927" s="80">
        <f t="shared" si="287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280"/>
        <v>14000</v>
      </c>
      <c r="X1928" s="13">
        <f t="shared" si="281"/>
        <v>0</v>
      </c>
      <c r="Y1928" s="13">
        <f t="shared" si="283"/>
        <v>0</v>
      </c>
      <c r="Z1928" s="2">
        <v>0</v>
      </c>
      <c r="AA1928" s="4">
        <v>0</v>
      </c>
      <c r="AB1928" s="4">
        <f t="shared" si="284"/>
        <v>0</v>
      </c>
      <c r="AC1928" s="6">
        <f t="shared" si="285"/>
        <v>0</v>
      </c>
      <c r="AD1928" s="4">
        <v>0</v>
      </c>
      <c r="AE1928" s="2">
        <v>7.0000000000000007E-2</v>
      </c>
      <c r="AF1928" s="5">
        <f t="shared" si="286"/>
        <v>0</v>
      </c>
      <c r="AG1928" s="9">
        <v>0.4</v>
      </c>
      <c r="AH1928" s="4">
        <f t="shared" si="282"/>
        <v>0</v>
      </c>
      <c r="AJ1928" s="126" t="e">
        <v>#N/A</v>
      </c>
      <c r="AK1928" s="80">
        <f t="shared" si="287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280"/>
        <v>-1427.2399986321689</v>
      </c>
      <c r="X1929" s="13">
        <f t="shared" si="281"/>
        <v>0</v>
      </c>
      <c r="Y1929" s="13">
        <f t="shared" si="283"/>
        <v>0</v>
      </c>
      <c r="Z1929" s="2">
        <v>0</v>
      </c>
      <c r="AA1929" s="4">
        <v>0</v>
      </c>
      <c r="AB1929" s="4">
        <f t="shared" si="284"/>
        <v>0</v>
      </c>
      <c r="AC1929" s="6">
        <f t="shared" si="285"/>
        <v>0</v>
      </c>
      <c r="AD1929" s="4">
        <v>0</v>
      </c>
      <c r="AE1929" s="2">
        <v>7.0000000000000007E-2</v>
      </c>
      <c r="AF1929" s="5">
        <f t="shared" si="286"/>
        <v>0</v>
      </c>
      <c r="AG1929" s="9">
        <v>0.4</v>
      </c>
      <c r="AH1929" s="4">
        <f t="shared" si="282"/>
        <v>0</v>
      </c>
      <c r="AJ1929" s="126" t="e">
        <v>#N/A</v>
      </c>
      <c r="AK1929" s="80">
        <f t="shared" si="287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280"/>
        <v>242.23590510948313</v>
      </c>
      <c r="X1930" s="13">
        <f t="shared" si="281"/>
        <v>0</v>
      </c>
      <c r="Y1930" s="13">
        <f t="shared" si="283"/>
        <v>0</v>
      </c>
      <c r="Z1930" s="2">
        <v>0</v>
      </c>
      <c r="AA1930" s="4">
        <v>0</v>
      </c>
      <c r="AB1930" s="4">
        <f t="shared" si="284"/>
        <v>0</v>
      </c>
      <c r="AC1930" s="6">
        <f t="shared" si="285"/>
        <v>0</v>
      </c>
      <c r="AD1930" s="4">
        <v>0</v>
      </c>
      <c r="AE1930" s="2">
        <v>0.06</v>
      </c>
      <c r="AF1930" s="5">
        <f t="shared" si="286"/>
        <v>0</v>
      </c>
      <c r="AG1930" s="9">
        <v>0.37</v>
      </c>
      <c r="AH1930" s="4">
        <f t="shared" si="282"/>
        <v>0</v>
      </c>
      <c r="AJ1930" s="126" t="e">
        <v>#N/A</v>
      </c>
      <c r="AK1930" s="80">
        <f t="shared" si="287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280"/>
        <v>41826.509999999966</v>
      </c>
      <c r="X1931" s="13">
        <f t="shared" si="281"/>
        <v>0</v>
      </c>
      <c r="Y1931" s="13">
        <f t="shared" si="283"/>
        <v>0</v>
      </c>
      <c r="Z1931" s="2">
        <v>0</v>
      </c>
      <c r="AA1931" s="4">
        <v>0</v>
      </c>
      <c r="AB1931" s="4">
        <f t="shared" si="284"/>
        <v>0</v>
      </c>
      <c r="AC1931" s="6">
        <f t="shared" si="285"/>
        <v>0</v>
      </c>
      <c r="AD1931" s="4">
        <v>0</v>
      </c>
      <c r="AE1931" s="2">
        <v>7.0000000000000007E-2</v>
      </c>
      <c r="AF1931" s="5">
        <f t="shared" si="286"/>
        <v>0</v>
      </c>
      <c r="AG1931" s="9">
        <v>0.41</v>
      </c>
      <c r="AH1931" s="4">
        <f t="shared" si="282"/>
        <v>0</v>
      </c>
      <c r="AJ1931" s="126" t="e">
        <v>#N/A</v>
      </c>
      <c r="AK1931" s="80">
        <f t="shared" si="287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280"/>
        <v>13171.470704793706</v>
      </c>
      <c r="X1932" s="13">
        <f t="shared" si="281"/>
        <v>0</v>
      </c>
      <c r="Y1932" s="13">
        <f t="shared" si="283"/>
        <v>0</v>
      </c>
      <c r="Z1932" s="2">
        <v>0</v>
      </c>
      <c r="AA1932" s="4">
        <v>0</v>
      </c>
      <c r="AB1932" s="4">
        <f t="shared" si="284"/>
        <v>0</v>
      </c>
      <c r="AC1932" s="6">
        <f t="shared" si="285"/>
        <v>0</v>
      </c>
      <c r="AD1932" s="4">
        <v>0</v>
      </c>
      <c r="AE1932" s="2">
        <v>7.0000000000000007E-2</v>
      </c>
      <c r="AF1932" s="5">
        <f t="shared" si="286"/>
        <v>0</v>
      </c>
      <c r="AG1932" s="9">
        <v>0.46</v>
      </c>
      <c r="AH1932" s="4">
        <f t="shared" si="282"/>
        <v>0</v>
      </c>
      <c r="AJ1932" s="126" t="e">
        <v>#N/A</v>
      </c>
      <c r="AK1932" s="80">
        <f t="shared" si="287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280"/>
        <v>-1997.87</v>
      </c>
      <c r="X1933" s="13">
        <f t="shared" si="281"/>
        <v>0</v>
      </c>
      <c r="Y1933" s="13">
        <f t="shared" si="283"/>
        <v>0</v>
      </c>
      <c r="Z1933" s="2">
        <v>0</v>
      </c>
      <c r="AA1933" s="4">
        <v>0</v>
      </c>
      <c r="AB1933" s="4">
        <f t="shared" si="284"/>
        <v>0</v>
      </c>
      <c r="AC1933" s="6">
        <f t="shared" si="285"/>
        <v>0</v>
      </c>
      <c r="AD1933" s="4">
        <v>0</v>
      </c>
      <c r="AE1933" s="2">
        <v>7.0000000000000007E-2</v>
      </c>
      <c r="AF1933" s="5">
        <f t="shared" si="286"/>
        <v>0</v>
      </c>
      <c r="AG1933" s="9">
        <v>0.46</v>
      </c>
      <c r="AH1933" s="4">
        <f t="shared" si="282"/>
        <v>0</v>
      </c>
      <c r="AJ1933" s="126" t="e">
        <v>#N/A</v>
      </c>
      <c r="AK1933" s="80">
        <f t="shared" si="287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280"/>
        <v>124575.60023211583</v>
      </c>
      <c r="X1934" s="13">
        <f t="shared" si="281"/>
        <v>0</v>
      </c>
      <c r="Y1934" s="13">
        <f t="shared" si="283"/>
        <v>0</v>
      </c>
      <c r="Z1934" s="2">
        <v>0</v>
      </c>
      <c r="AA1934" s="4">
        <v>0</v>
      </c>
      <c r="AB1934" s="4">
        <f t="shared" si="284"/>
        <v>0</v>
      </c>
      <c r="AC1934" s="6">
        <f t="shared" si="285"/>
        <v>0</v>
      </c>
      <c r="AD1934" s="4">
        <v>0</v>
      </c>
      <c r="AE1934" s="2">
        <v>0.06</v>
      </c>
      <c r="AF1934" s="5">
        <f t="shared" si="286"/>
        <v>0</v>
      </c>
      <c r="AG1934" s="9">
        <v>0.37</v>
      </c>
      <c r="AH1934" s="4">
        <f t="shared" si="282"/>
        <v>0</v>
      </c>
      <c r="AJ1934" s="126" t="e">
        <v>#N/A</v>
      </c>
      <c r="AK1934" s="80">
        <f t="shared" si="287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280"/>
        <v>12.659999999999901</v>
      </c>
      <c r="X1935" s="13">
        <f t="shared" si="281"/>
        <v>0</v>
      </c>
      <c r="Y1935" s="13">
        <f t="shared" si="283"/>
        <v>0</v>
      </c>
      <c r="Z1935" s="2">
        <v>0</v>
      </c>
      <c r="AA1935" s="4">
        <v>0</v>
      </c>
      <c r="AB1935" s="4">
        <f t="shared" si="284"/>
        <v>0</v>
      </c>
      <c r="AC1935" s="6">
        <f t="shared" si="285"/>
        <v>0</v>
      </c>
      <c r="AD1935" s="4">
        <v>0</v>
      </c>
      <c r="AE1935" s="2">
        <v>0.06</v>
      </c>
      <c r="AF1935" s="5">
        <f t="shared" si="286"/>
        <v>0</v>
      </c>
      <c r="AG1935" s="9">
        <v>0.37</v>
      </c>
      <c r="AH1935" s="4">
        <f t="shared" si="282"/>
        <v>0</v>
      </c>
      <c r="AJ1935" s="126" t="e">
        <v>#N/A</v>
      </c>
      <c r="AK1935" s="80">
        <f t="shared" si="287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280"/>
        <v>77615.606438356161</v>
      </c>
      <c r="X1936" s="13">
        <f t="shared" si="281"/>
        <v>0</v>
      </c>
      <c r="Y1936" s="13">
        <f t="shared" si="283"/>
        <v>0</v>
      </c>
      <c r="Z1936" s="2">
        <v>0</v>
      </c>
      <c r="AA1936" s="4">
        <v>0</v>
      </c>
      <c r="AB1936" s="4">
        <f t="shared" si="284"/>
        <v>0</v>
      </c>
      <c r="AC1936" s="6">
        <f t="shared" si="285"/>
        <v>0</v>
      </c>
      <c r="AD1936" s="4">
        <v>0</v>
      </c>
      <c r="AE1936" s="2">
        <v>7.0000000000000007E-2</v>
      </c>
      <c r="AF1936" s="5">
        <f t="shared" si="286"/>
        <v>0</v>
      </c>
      <c r="AG1936" s="9">
        <v>0.46</v>
      </c>
      <c r="AH1936" s="4">
        <f t="shared" si="282"/>
        <v>0</v>
      </c>
      <c r="AJ1936" s="126" t="e">
        <v>#N/A</v>
      </c>
      <c r="AK1936" s="80">
        <f t="shared" si="287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280"/>
        <v>2505.8718978102197</v>
      </c>
      <c r="X1937" s="13">
        <f t="shared" si="281"/>
        <v>0</v>
      </c>
      <c r="Y1937" s="13">
        <f t="shared" si="283"/>
        <v>0</v>
      </c>
      <c r="Z1937" s="2">
        <v>0</v>
      </c>
      <c r="AA1937" s="4">
        <v>0</v>
      </c>
      <c r="AB1937" s="4">
        <f t="shared" si="284"/>
        <v>0</v>
      </c>
      <c r="AC1937" s="6">
        <f t="shared" si="285"/>
        <v>0</v>
      </c>
      <c r="AD1937" s="4">
        <v>0</v>
      </c>
      <c r="AE1937" s="2">
        <v>0.06</v>
      </c>
      <c r="AF1937" s="5">
        <f t="shared" si="286"/>
        <v>0</v>
      </c>
      <c r="AG1937" s="9">
        <v>0.37</v>
      </c>
      <c r="AH1937" s="4">
        <f t="shared" si="282"/>
        <v>0</v>
      </c>
      <c r="AJ1937" s="126" t="e">
        <v>#N/A</v>
      </c>
      <c r="AK1937" s="80">
        <f t="shared" si="287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280"/>
        <v>45.723699999998644</v>
      </c>
      <c r="X1938" s="13">
        <f t="shared" si="281"/>
        <v>0</v>
      </c>
      <c r="Y1938" s="13">
        <f t="shared" si="283"/>
        <v>0</v>
      </c>
      <c r="Z1938" s="2">
        <v>0</v>
      </c>
      <c r="AA1938" s="4">
        <v>0</v>
      </c>
      <c r="AB1938" s="4">
        <f t="shared" si="284"/>
        <v>0</v>
      </c>
      <c r="AC1938" s="6">
        <f t="shared" si="285"/>
        <v>0</v>
      </c>
      <c r="AD1938" s="4">
        <v>0</v>
      </c>
      <c r="AE1938" s="2">
        <v>0.06</v>
      </c>
      <c r="AF1938" s="5">
        <f t="shared" si="286"/>
        <v>0</v>
      </c>
      <c r="AG1938" s="9">
        <v>0.37</v>
      </c>
      <c r="AH1938" s="4">
        <f t="shared" si="282"/>
        <v>0</v>
      </c>
      <c r="AJ1938" s="126" t="e">
        <v>#N/A</v>
      </c>
      <c r="AK1938" s="80">
        <f t="shared" si="287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280"/>
        <v>-49.886204379432456</v>
      </c>
      <c r="X1939" s="13">
        <f t="shared" si="281"/>
        <v>0</v>
      </c>
      <c r="Y1939" s="13">
        <f t="shared" si="283"/>
        <v>0</v>
      </c>
      <c r="Z1939" s="2">
        <v>0</v>
      </c>
      <c r="AA1939" s="4">
        <v>0</v>
      </c>
      <c r="AB1939" s="4">
        <f t="shared" si="284"/>
        <v>0</v>
      </c>
      <c r="AC1939" s="6">
        <f t="shared" si="285"/>
        <v>0</v>
      </c>
      <c r="AD1939" s="4">
        <v>0</v>
      </c>
      <c r="AE1939" s="2">
        <v>0.06</v>
      </c>
      <c r="AF1939" s="5">
        <f t="shared" si="286"/>
        <v>0</v>
      </c>
      <c r="AG1939" s="9">
        <v>0.37</v>
      </c>
      <c r="AH1939" s="4">
        <f t="shared" si="282"/>
        <v>0</v>
      </c>
      <c r="AJ1939" s="126" t="e">
        <v>#N/A</v>
      </c>
      <c r="AK1939" s="80">
        <f t="shared" si="287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280"/>
        <v>0</v>
      </c>
      <c r="X1940" s="13">
        <f t="shared" si="281"/>
        <v>20068.695104894734</v>
      </c>
      <c r="Y1940" s="13">
        <f t="shared" si="283"/>
        <v>20068.695104894734</v>
      </c>
      <c r="Z1940" s="2">
        <v>0</v>
      </c>
      <c r="AA1940" s="4">
        <v>0</v>
      </c>
      <c r="AB1940" s="4">
        <f t="shared" si="284"/>
        <v>20068.695104894734</v>
      </c>
      <c r="AC1940" s="6">
        <f t="shared" si="285"/>
        <v>8629.5388951047389</v>
      </c>
      <c r="AD1940" s="4">
        <v>0</v>
      </c>
      <c r="AE1940" s="2">
        <v>7.0000000000000007E-2</v>
      </c>
      <c r="AF1940" s="5">
        <f t="shared" si="286"/>
        <v>0</v>
      </c>
      <c r="AG1940" s="9">
        <v>0.4</v>
      </c>
      <c r="AH1940" s="4">
        <f t="shared" si="282"/>
        <v>20498.738571428195</v>
      </c>
      <c r="AJ1940" s="126" t="e">
        <v>#N/A</v>
      </c>
      <c r="AK1940" s="80">
        <f t="shared" si="287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280"/>
        <v>0.05</v>
      </c>
      <c r="X1941" s="13">
        <f t="shared" si="281"/>
        <v>0</v>
      </c>
      <c r="Y1941" s="13">
        <f t="shared" si="283"/>
        <v>0</v>
      </c>
      <c r="Z1941" s="2">
        <v>0</v>
      </c>
      <c r="AA1941" s="4">
        <v>0</v>
      </c>
      <c r="AB1941" s="4">
        <f t="shared" si="284"/>
        <v>0</v>
      </c>
      <c r="AC1941" s="6">
        <f t="shared" si="285"/>
        <v>0</v>
      </c>
      <c r="AD1941" s="4">
        <v>0</v>
      </c>
      <c r="AE1941" s="2">
        <v>7.0000000000000007E-2</v>
      </c>
      <c r="AF1941" s="5">
        <f t="shared" si="286"/>
        <v>0</v>
      </c>
      <c r="AG1941" s="9">
        <v>0.41</v>
      </c>
      <c r="AH1941" s="4">
        <f t="shared" si="282"/>
        <v>0</v>
      </c>
      <c r="AJ1941" s="126" t="e">
        <v>#N/A</v>
      </c>
      <c r="AK1941" s="80">
        <f t="shared" si="287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280"/>
        <v>27969.793795620441</v>
      </c>
      <c r="X1942" s="13">
        <f t="shared" si="281"/>
        <v>0</v>
      </c>
      <c r="Y1942" s="13">
        <f t="shared" si="283"/>
        <v>0</v>
      </c>
      <c r="Z1942" s="2">
        <v>0</v>
      </c>
      <c r="AA1942" s="4">
        <v>0</v>
      </c>
      <c r="AB1942" s="4">
        <f t="shared" si="284"/>
        <v>0</v>
      </c>
      <c r="AC1942" s="6">
        <f t="shared" si="285"/>
        <v>0</v>
      </c>
      <c r="AD1942" s="4">
        <v>0</v>
      </c>
      <c r="AE1942" s="2">
        <v>0.06</v>
      </c>
      <c r="AF1942" s="5">
        <f t="shared" si="286"/>
        <v>0</v>
      </c>
      <c r="AG1942" s="9">
        <v>0.37</v>
      </c>
      <c r="AH1942" s="4">
        <f t="shared" si="282"/>
        <v>0</v>
      </c>
      <c r="AJ1942" s="126" t="e">
        <v>#N/A</v>
      </c>
      <c r="AK1942" s="80">
        <f t="shared" si="287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280"/>
        <v>-56746.807504651188</v>
      </c>
      <c r="X1943" s="13">
        <f t="shared" si="281"/>
        <v>0</v>
      </c>
      <c r="Y1943" s="13">
        <f t="shared" si="283"/>
        <v>0</v>
      </c>
      <c r="Z1943" s="2">
        <v>0</v>
      </c>
      <c r="AA1943" s="4">
        <v>0</v>
      </c>
      <c r="AB1943" s="4">
        <f t="shared" si="284"/>
        <v>0</v>
      </c>
      <c r="AC1943" s="6">
        <f t="shared" si="285"/>
        <v>0</v>
      </c>
      <c r="AD1943" s="4">
        <v>0</v>
      </c>
      <c r="AE1943" s="2">
        <v>7.0000000000000007E-2</v>
      </c>
      <c r="AF1943" s="5">
        <f t="shared" si="286"/>
        <v>0</v>
      </c>
      <c r="AG1943" s="9">
        <v>0.4</v>
      </c>
      <c r="AH1943" s="4">
        <f t="shared" si="282"/>
        <v>0</v>
      </c>
      <c r="AJ1943" s="126" t="e">
        <v>#N/A</v>
      </c>
      <c r="AK1943" s="80">
        <f t="shared" si="287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280"/>
        <v>-3481.5356934388265</v>
      </c>
      <c r="X1944" s="13">
        <f t="shared" si="281"/>
        <v>0</v>
      </c>
      <c r="Y1944" s="13">
        <f t="shared" si="283"/>
        <v>0</v>
      </c>
      <c r="Z1944" s="2">
        <v>0</v>
      </c>
      <c r="AA1944" s="4">
        <v>0</v>
      </c>
      <c r="AB1944" s="4">
        <f t="shared" si="284"/>
        <v>0</v>
      </c>
      <c r="AC1944" s="6">
        <f t="shared" si="285"/>
        <v>0</v>
      </c>
      <c r="AD1944" s="4">
        <v>0</v>
      </c>
      <c r="AE1944" s="2">
        <v>0.06</v>
      </c>
      <c r="AF1944" s="5">
        <f t="shared" si="286"/>
        <v>0</v>
      </c>
      <c r="AG1944" s="9">
        <v>0.37</v>
      </c>
      <c r="AH1944" s="4">
        <f t="shared" si="282"/>
        <v>0</v>
      </c>
      <c r="AJ1944" s="126" t="e">
        <v>#N/A</v>
      </c>
      <c r="AK1944" s="80">
        <f t="shared" si="287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280"/>
        <v>0.16800000070361421</v>
      </c>
      <c r="X1945" s="13">
        <f t="shared" si="281"/>
        <v>0</v>
      </c>
      <c r="Y1945" s="13">
        <f t="shared" si="283"/>
        <v>0</v>
      </c>
      <c r="Z1945" s="2">
        <v>0</v>
      </c>
      <c r="AA1945" s="4">
        <v>0</v>
      </c>
      <c r="AB1945" s="4">
        <f t="shared" si="284"/>
        <v>0</v>
      </c>
      <c r="AC1945" s="6">
        <f t="shared" si="285"/>
        <v>0</v>
      </c>
      <c r="AD1945" s="4">
        <v>0</v>
      </c>
      <c r="AE1945" s="2">
        <v>7.0000000000000007E-2</v>
      </c>
      <c r="AF1945" s="5">
        <f t="shared" si="286"/>
        <v>0</v>
      </c>
      <c r="AG1945" s="9">
        <v>0.46</v>
      </c>
      <c r="AH1945" s="4">
        <f t="shared" si="282"/>
        <v>0</v>
      </c>
      <c r="AJ1945" s="126" t="e">
        <v>#N/A</v>
      </c>
      <c r="AK1945" s="80">
        <f t="shared" si="287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280"/>
        <v>61137.986145203991</v>
      </c>
      <c r="X1946" s="13">
        <f t="shared" si="281"/>
        <v>0</v>
      </c>
      <c r="Y1946" s="13">
        <f t="shared" si="283"/>
        <v>0</v>
      </c>
      <c r="Z1946" s="2">
        <v>0</v>
      </c>
      <c r="AA1946" s="4">
        <v>0</v>
      </c>
      <c r="AB1946" s="4">
        <f t="shared" si="284"/>
        <v>0</v>
      </c>
      <c r="AC1946" s="6">
        <f t="shared" si="285"/>
        <v>0</v>
      </c>
      <c r="AD1946" s="4">
        <v>0</v>
      </c>
      <c r="AE1946" s="2">
        <v>7.0000000000000007E-2</v>
      </c>
      <c r="AF1946" s="5">
        <f t="shared" si="286"/>
        <v>0</v>
      </c>
      <c r="AG1946" s="9">
        <v>0.46</v>
      </c>
      <c r="AH1946" s="4">
        <f t="shared" si="282"/>
        <v>0</v>
      </c>
      <c r="AJ1946" s="126" t="e">
        <v>#N/A</v>
      </c>
      <c r="AK1946" s="80">
        <f t="shared" si="287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280"/>
        <v>14000</v>
      </c>
      <c r="X1947" s="13">
        <f t="shared" si="281"/>
        <v>0</v>
      </c>
      <c r="Y1947" s="13">
        <f t="shared" si="283"/>
        <v>0</v>
      </c>
      <c r="Z1947" s="2">
        <v>0</v>
      </c>
      <c r="AA1947" s="4">
        <v>0</v>
      </c>
      <c r="AB1947" s="4">
        <f t="shared" si="284"/>
        <v>0</v>
      </c>
      <c r="AC1947" s="6">
        <f t="shared" si="285"/>
        <v>0</v>
      </c>
      <c r="AD1947" s="4">
        <v>0</v>
      </c>
      <c r="AE1947" s="2">
        <v>7.0000000000000007E-2</v>
      </c>
      <c r="AF1947" s="5">
        <f t="shared" si="286"/>
        <v>0</v>
      </c>
      <c r="AG1947" s="9">
        <v>0.46</v>
      </c>
      <c r="AH1947" s="4">
        <f t="shared" si="282"/>
        <v>0</v>
      </c>
      <c r="AJ1947" s="126" t="e">
        <v>#N/A</v>
      </c>
      <c r="AK1947" s="80">
        <f t="shared" si="287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280"/>
        <v>22187.300465756074</v>
      </c>
      <c r="X1948" s="13">
        <f t="shared" si="281"/>
        <v>0</v>
      </c>
      <c r="Y1948" s="13">
        <f t="shared" si="283"/>
        <v>0</v>
      </c>
      <c r="Z1948" s="2">
        <v>0</v>
      </c>
      <c r="AA1948" s="4">
        <v>0</v>
      </c>
      <c r="AB1948" s="4">
        <f t="shared" si="284"/>
        <v>0</v>
      </c>
      <c r="AC1948" s="6">
        <f t="shared" si="285"/>
        <v>0</v>
      </c>
      <c r="AD1948" s="4">
        <v>0</v>
      </c>
      <c r="AE1948" s="2">
        <v>7.0000000000000007E-2</v>
      </c>
      <c r="AF1948" s="5">
        <f t="shared" si="286"/>
        <v>0</v>
      </c>
      <c r="AG1948" s="9">
        <v>0.46</v>
      </c>
      <c r="AH1948" s="4">
        <f t="shared" si="282"/>
        <v>0</v>
      </c>
      <c r="AJ1948" s="126" t="e">
        <v>#N/A</v>
      </c>
      <c r="AK1948" s="80">
        <f t="shared" si="287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280"/>
        <v>4.0000000793952495E-2</v>
      </c>
      <c r="X1949" s="13">
        <f t="shared" si="281"/>
        <v>0</v>
      </c>
      <c r="Y1949" s="13">
        <f t="shared" si="283"/>
        <v>0</v>
      </c>
      <c r="Z1949" s="2">
        <v>0</v>
      </c>
      <c r="AA1949" s="4">
        <v>0</v>
      </c>
      <c r="AB1949" s="4">
        <f t="shared" si="284"/>
        <v>0</v>
      </c>
      <c r="AC1949" s="6">
        <f t="shared" si="285"/>
        <v>0</v>
      </c>
      <c r="AD1949" s="4">
        <v>0</v>
      </c>
      <c r="AE1949" s="2">
        <v>7.0000000000000007E-2</v>
      </c>
      <c r="AF1949" s="5">
        <f t="shared" si="286"/>
        <v>0</v>
      </c>
      <c r="AG1949" s="9">
        <v>0.46</v>
      </c>
      <c r="AH1949" s="4">
        <f t="shared" si="282"/>
        <v>0</v>
      </c>
      <c r="AJ1949" s="126" t="e">
        <v>#N/A</v>
      </c>
      <c r="AK1949" s="80">
        <f t="shared" si="287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280"/>
        <v>-160156.09419999988</v>
      </c>
      <c r="X1950" s="13">
        <f t="shared" si="281"/>
        <v>0</v>
      </c>
      <c r="Y1950" s="13">
        <f t="shared" si="283"/>
        <v>0</v>
      </c>
      <c r="Z1950" s="2">
        <v>0</v>
      </c>
      <c r="AA1950" s="4">
        <v>0</v>
      </c>
      <c r="AB1950" s="4">
        <f t="shared" si="284"/>
        <v>0</v>
      </c>
      <c r="AC1950" s="6">
        <f t="shared" si="285"/>
        <v>0</v>
      </c>
      <c r="AD1950" s="4">
        <v>0</v>
      </c>
      <c r="AE1950" s="2">
        <v>7.0000000000000007E-2</v>
      </c>
      <c r="AF1950" s="5">
        <f t="shared" si="286"/>
        <v>0</v>
      </c>
      <c r="AG1950" s="9">
        <v>0.38</v>
      </c>
      <c r="AH1950" s="4">
        <f t="shared" si="282"/>
        <v>0</v>
      </c>
      <c r="AJ1950" s="126" t="e">
        <v>#N/A</v>
      </c>
      <c r="AK1950" s="80">
        <f t="shared" si="287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280"/>
        <v>3213968.64</v>
      </c>
      <c r="X1951" s="13">
        <f t="shared" si="281"/>
        <v>0</v>
      </c>
      <c r="Y1951" s="13">
        <f t="shared" si="283"/>
        <v>0</v>
      </c>
      <c r="Z1951" s="2">
        <v>0</v>
      </c>
      <c r="AA1951" s="4">
        <v>0</v>
      </c>
      <c r="AB1951" s="4">
        <f t="shared" si="284"/>
        <v>0</v>
      </c>
      <c r="AC1951" s="6">
        <f t="shared" si="285"/>
        <v>0</v>
      </c>
      <c r="AD1951" s="4">
        <v>0</v>
      </c>
      <c r="AE1951" s="2">
        <v>0.06</v>
      </c>
      <c r="AF1951" s="5">
        <f t="shared" si="286"/>
        <v>0</v>
      </c>
      <c r="AG1951" s="9">
        <v>0.1</v>
      </c>
      <c r="AH1951" s="4">
        <f t="shared" si="282"/>
        <v>0</v>
      </c>
      <c r="AJ1951" s="126" t="e">
        <v>#N/A</v>
      </c>
      <c r="AK1951" s="80">
        <f t="shared" si="287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280"/>
        <v>-141796.72999999978</v>
      </c>
      <c r="X1952" s="13">
        <f t="shared" si="281"/>
        <v>0</v>
      </c>
      <c r="Y1952" s="13">
        <f t="shared" si="283"/>
        <v>0</v>
      </c>
      <c r="Z1952" s="2">
        <v>0</v>
      </c>
      <c r="AA1952" s="4">
        <v>0</v>
      </c>
      <c r="AB1952" s="4">
        <f t="shared" si="284"/>
        <v>0</v>
      </c>
      <c r="AC1952" s="6">
        <f t="shared" si="285"/>
        <v>0</v>
      </c>
      <c r="AD1952" s="4">
        <v>0</v>
      </c>
      <c r="AE1952" s="2">
        <v>0.06</v>
      </c>
      <c r="AF1952" s="5">
        <f t="shared" si="286"/>
        <v>0</v>
      </c>
      <c r="AG1952" s="9">
        <v>0.28000000000000003</v>
      </c>
      <c r="AH1952" s="4">
        <f t="shared" si="282"/>
        <v>0</v>
      </c>
      <c r="AJ1952" s="126" t="e">
        <v>#N/A</v>
      </c>
      <c r="AK1952" s="80">
        <f t="shared" si="287"/>
        <v>0</v>
      </c>
      <c r="AM1952" s="85"/>
    </row>
    <row r="1953" spans="1:39" hidden="1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280"/>
        <v>2125628.4400000013</v>
      </c>
      <c r="X1953" s="13">
        <f t="shared" ref="X1953:X2016" si="288">IF(P1953="折扣",V1953*Q1953,IF(P1953="返现",V1953,V1953/(1+Q1953)))</f>
        <v>2930173.629999999</v>
      </c>
      <c r="Y1953" s="13">
        <f t="shared" si="283"/>
        <v>0</v>
      </c>
      <c r="Z1953" s="2">
        <v>0</v>
      </c>
      <c r="AA1953" s="4">
        <v>0</v>
      </c>
      <c r="AB1953" s="4">
        <f t="shared" si="284"/>
        <v>2930173.629999999</v>
      </c>
      <c r="AC1953" s="6">
        <f t="shared" si="285"/>
        <v>0</v>
      </c>
      <c r="AD1953" s="13">
        <f>V1953</f>
        <v>2930173.629999999</v>
      </c>
      <c r="AE1953" s="2">
        <v>0</v>
      </c>
      <c r="AF1953" s="5">
        <f t="shared" si="28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287"/>
        <v>0</v>
      </c>
      <c r="AM1953" s="85"/>
    </row>
    <row r="1954" spans="1:39" hidden="1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280"/>
        <v>200000</v>
      </c>
      <c r="X1954" s="13">
        <f t="shared" si="288"/>
        <v>0</v>
      </c>
      <c r="Y1954" s="13">
        <f t="shared" si="283"/>
        <v>0</v>
      </c>
      <c r="Z1954" s="2">
        <v>0</v>
      </c>
      <c r="AA1954" s="4">
        <v>0</v>
      </c>
      <c r="AB1954" s="4">
        <f t="shared" si="284"/>
        <v>0</v>
      </c>
      <c r="AC1954" s="6">
        <f t="shared" si="285"/>
        <v>0</v>
      </c>
      <c r="AD1954" s="13">
        <f t="shared" ref="AD1954:AD2017" si="289">V1954</f>
        <v>0</v>
      </c>
      <c r="AE1954" s="2">
        <v>0</v>
      </c>
      <c r="AF1954" s="5">
        <f t="shared" si="286"/>
        <v>0</v>
      </c>
      <c r="AG1954" s="2">
        <v>0</v>
      </c>
      <c r="AH1954" s="5">
        <f t="shared" ref="AH1954:AH2017" si="290">V1954</f>
        <v>0</v>
      </c>
      <c r="AJ1954" s="126" t="e">
        <v>#N/A</v>
      </c>
      <c r="AK1954" s="80">
        <f t="shared" si="287"/>
        <v>0</v>
      </c>
      <c r="AM1954" s="85"/>
    </row>
    <row r="1955" spans="1:39" hidden="1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280"/>
        <v>0</v>
      </c>
      <c r="X1955" s="13">
        <f t="shared" si="288"/>
        <v>0</v>
      </c>
      <c r="Y1955" s="13">
        <f t="shared" si="283"/>
        <v>0</v>
      </c>
      <c r="Z1955" s="2">
        <v>0</v>
      </c>
      <c r="AA1955" s="4">
        <v>0</v>
      </c>
      <c r="AB1955" s="4">
        <f t="shared" si="284"/>
        <v>0</v>
      </c>
      <c r="AC1955" s="6">
        <f t="shared" si="285"/>
        <v>0</v>
      </c>
      <c r="AD1955" s="13">
        <f t="shared" si="289"/>
        <v>0</v>
      </c>
      <c r="AE1955" s="2">
        <v>0</v>
      </c>
      <c r="AF1955" s="5">
        <f t="shared" si="286"/>
        <v>0</v>
      </c>
      <c r="AG1955" s="2">
        <v>0</v>
      </c>
      <c r="AH1955" s="5">
        <f t="shared" si="290"/>
        <v>0</v>
      </c>
      <c r="AJ1955" s="126" t="e">
        <v>#N/A</v>
      </c>
      <c r="AK1955" s="80">
        <f t="shared" si="287"/>
        <v>0</v>
      </c>
      <c r="AM1955" s="85"/>
    </row>
    <row r="1956" spans="1:39" hidden="1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280"/>
        <v>788362.30000000028</v>
      </c>
      <c r="X1956" s="13">
        <f t="shared" si="288"/>
        <v>1011637.6999999997</v>
      </c>
      <c r="Y1956" s="13">
        <f t="shared" si="283"/>
        <v>0</v>
      </c>
      <c r="Z1956" s="2">
        <v>0</v>
      </c>
      <c r="AA1956" s="4">
        <v>0</v>
      </c>
      <c r="AB1956" s="4">
        <f t="shared" si="284"/>
        <v>1011637.6999999997</v>
      </c>
      <c r="AC1956" s="6">
        <f t="shared" si="285"/>
        <v>0</v>
      </c>
      <c r="AD1956" s="13">
        <f t="shared" si="289"/>
        <v>1011637.6999999997</v>
      </c>
      <c r="AE1956" s="2">
        <v>0</v>
      </c>
      <c r="AF1956" s="5">
        <f t="shared" si="286"/>
        <v>0</v>
      </c>
      <c r="AG1956" s="2">
        <v>0</v>
      </c>
      <c r="AH1956" s="5">
        <f t="shared" si="290"/>
        <v>1011637.6999999997</v>
      </c>
      <c r="AJ1956" s="126" t="e">
        <v>#N/A</v>
      </c>
      <c r="AK1956" s="80">
        <f t="shared" si="287"/>
        <v>0</v>
      </c>
      <c r="AM1956" s="85"/>
    </row>
    <row r="1957" spans="1:39" hidden="1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280"/>
        <v>1571.6600000000008</v>
      </c>
      <c r="X1957" s="13">
        <f t="shared" si="288"/>
        <v>3444.3</v>
      </c>
      <c r="Y1957" s="13">
        <f t="shared" si="283"/>
        <v>0</v>
      </c>
      <c r="Z1957" s="2">
        <v>0.03</v>
      </c>
      <c r="AA1957" s="4">
        <f t="shared" ref="AA1957:AA1959" si="291">X1957*Z1957</f>
        <v>103.32900000000001</v>
      </c>
      <c r="AB1957" s="4">
        <f t="shared" si="284"/>
        <v>3547.6290000000004</v>
      </c>
      <c r="AC1957" s="6">
        <f t="shared" si="285"/>
        <v>0</v>
      </c>
      <c r="AD1957" s="13">
        <f t="shared" si="289"/>
        <v>3444.3</v>
      </c>
      <c r="AE1957" s="2">
        <v>0</v>
      </c>
      <c r="AF1957" s="5">
        <f t="shared" si="286"/>
        <v>0</v>
      </c>
      <c r="AG1957" s="2">
        <v>0</v>
      </c>
      <c r="AH1957" s="5">
        <f t="shared" si="290"/>
        <v>3444.3</v>
      </c>
      <c r="AJ1957" s="126" t="e">
        <v>#N/A</v>
      </c>
      <c r="AK1957" s="80">
        <f t="shared" si="287"/>
        <v>0</v>
      </c>
      <c r="AM1957" s="85"/>
    </row>
    <row r="1958" spans="1:39" hidden="1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280"/>
        <v>-611.86999999856835</v>
      </c>
      <c r="X1958" s="13">
        <f t="shared" si="288"/>
        <v>6729.72</v>
      </c>
      <c r="Y1958" s="13">
        <f t="shared" si="283"/>
        <v>0</v>
      </c>
      <c r="Z1958" s="2">
        <v>5.5E-2</v>
      </c>
      <c r="AA1958" s="4">
        <f t="shared" si="291"/>
        <v>370.13460000000003</v>
      </c>
      <c r="AB1958" s="4">
        <f t="shared" si="284"/>
        <v>7099.8546000000006</v>
      </c>
      <c r="AC1958" s="6">
        <f t="shared" si="285"/>
        <v>0</v>
      </c>
      <c r="AD1958" s="13">
        <f t="shared" si="289"/>
        <v>6729.72</v>
      </c>
      <c r="AE1958" s="2">
        <v>0</v>
      </c>
      <c r="AF1958" s="5">
        <f t="shared" si="286"/>
        <v>0</v>
      </c>
      <c r="AG1958" s="2">
        <v>0</v>
      </c>
      <c r="AH1958" s="5">
        <f t="shared" si="290"/>
        <v>6729.72</v>
      </c>
      <c r="AJ1958" s="126" t="e">
        <v>#N/A</v>
      </c>
      <c r="AK1958" s="80">
        <f t="shared" si="287"/>
        <v>0</v>
      </c>
      <c r="AM1958" s="85"/>
    </row>
    <row r="1959" spans="1:39" hidden="1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280"/>
        <v>515545.09999999567</v>
      </c>
      <c r="X1959" s="13">
        <f t="shared" si="288"/>
        <v>9560.64</v>
      </c>
      <c r="Y1959" s="13">
        <f t="shared" si="283"/>
        <v>0</v>
      </c>
      <c r="Z1959" s="2">
        <v>5.5E-2</v>
      </c>
      <c r="AA1959" s="4">
        <f t="shared" si="291"/>
        <v>525.83519999999999</v>
      </c>
      <c r="AB1959" s="4">
        <f t="shared" si="284"/>
        <v>10086.475199999999</v>
      </c>
      <c r="AC1959" s="6">
        <f t="shared" si="285"/>
        <v>0</v>
      </c>
      <c r="AD1959" s="13">
        <f t="shared" si="289"/>
        <v>9560.64</v>
      </c>
      <c r="AE1959" s="2">
        <v>0</v>
      </c>
      <c r="AF1959" s="5">
        <f t="shared" si="286"/>
        <v>0</v>
      </c>
      <c r="AG1959" s="2">
        <v>0</v>
      </c>
      <c r="AH1959" s="5">
        <f t="shared" si="290"/>
        <v>9560.64</v>
      </c>
      <c r="AJ1959" s="126" t="e">
        <v>#N/A</v>
      </c>
      <c r="AK1959" s="80">
        <f t="shared" si="287"/>
        <v>0</v>
      </c>
      <c r="AM1959" s="85"/>
    </row>
    <row r="1960" spans="1:39" hidden="1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280"/>
        <v>19807.659999999974</v>
      </c>
      <c r="X1960" s="13">
        <f t="shared" si="288"/>
        <v>50781.440000000002</v>
      </c>
      <c r="Y1960" s="13">
        <f t="shared" si="283"/>
        <v>0</v>
      </c>
      <c r="Z1960" s="2">
        <v>0</v>
      </c>
      <c r="AA1960" s="4">
        <v>0</v>
      </c>
      <c r="AB1960" s="4">
        <f t="shared" si="284"/>
        <v>50781.440000000002</v>
      </c>
      <c r="AC1960" s="6">
        <f t="shared" si="285"/>
        <v>0</v>
      </c>
      <c r="AD1960" s="13">
        <f t="shared" si="289"/>
        <v>50781.440000000002</v>
      </c>
      <c r="AE1960" s="2">
        <v>0</v>
      </c>
      <c r="AF1960" s="5">
        <f t="shared" si="286"/>
        <v>0</v>
      </c>
      <c r="AG1960" s="2">
        <v>0</v>
      </c>
      <c r="AH1960" s="5">
        <f t="shared" si="290"/>
        <v>50781.440000000002</v>
      </c>
      <c r="AJ1960" s="126" t="e">
        <v>#N/A</v>
      </c>
      <c r="AK1960" s="80">
        <f t="shared" si="287"/>
        <v>0</v>
      </c>
      <c r="AM1960" s="85"/>
    </row>
    <row r="1961" spans="1:39" hidden="1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280"/>
        <v>17166.050000000003</v>
      </c>
      <c r="X1961" s="13">
        <f t="shared" si="288"/>
        <v>31969.89</v>
      </c>
      <c r="Y1961" s="13">
        <f t="shared" si="283"/>
        <v>0</v>
      </c>
      <c r="Z1961" s="2">
        <v>0</v>
      </c>
      <c r="AA1961" s="4">
        <v>0</v>
      </c>
      <c r="AB1961" s="4">
        <f t="shared" si="284"/>
        <v>31969.89</v>
      </c>
      <c r="AC1961" s="6">
        <f t="shared" si="285"/>
        <v>0</v>
      </c>
      <c r="AD1961" s="13">
        <f t="shared" si="289"/>
        <v>31969.89</v>
      </c>
      <c r="AE1961" s="2">
        <v>0</v>
      </c>
      <c r="AF1961" s="5">
        <f t="shared" si="286"/>
        <v>0</v>
      </c>
      <c r="AG1961" s="2">
        <v>0</v>
      </c>
      <c r="AH1961" s="5">
        <f t="shared" si="290"/>
        <v>31969.89</v>
      </c>
      <c r="AJ1961" s="126" t="e">
        <v>#N/A</v>
      </c>
      <c r="AK1961" s="80">
        <f t="shared" si="287"/>
        <v>0</v>
      </c>
      <c r="AM1961" s="85"/>
    </row>
    <row r="1962" spans="1:39" hidden="1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280"/>
        <v>18874.789999999979</v>
      </c>
      <c r="X1962" s="13">
        <f t="shared" si="288"/>
        <v>72361.55</v>
      </c>
      <c r="Y1962" s="13">
        <f t="shared" si="283"/>
        <v>0</v>
      </c>
      <c r="Z1962" s="2">
        <v>0</v>
      </c>
      <c r="AA1962" s="4">
        <v>0</v>
      </c>
      <c r="AB1962" s="4">
        <f t="shared" si="284"/>
        <v>72361.55</v>
      </c>
      <c r="AC1962" s="6">
        <f t="shared" si="285"/>
        <v>0</v>
      </c>
      <c r="AD1962" s="13">
        <f t="shared" si="289"/>
        <v>72361.55</v>
      </c>
      <c r="AE1962" s="2">
        <v>0</v>
      </c>
      <c r="AF1962" s="5">
        <f t="shared" si="286"/>
        <v>0</v>
      </c>
      <c r="AG1962" s="2">
        <v>0</v>
      </c>
      <c r="AH1962" s="5">
        <f t="shared" si="290"/>
        <v>72361.55</v>
      </c>
      <c r="AJ1962" s="126" t="e">
        <v>#N/A</v>
      </c>
      <c r="AK1962" s="80">
        <f t="shared" si="287"/>
        <v>0</v>
      </c>
      <c r="AM1962" s="85"/>
    </row>
    <row r="1963" spans="1:39" hidden="1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280"/>
        <v>159275.03000000003</v>
      </c>
      <c r="X1963" s="13">
        <f t="shared" si="288"/>
        <v>96696.74</v>
      </c>
      <c r="Y1963" s="13">
        <f t="shared" si="283"/>
        <v>0</v>
      </c>
      <c r="Z1963" s="2">
        <v>0.03</v>
      </c>
      <c r="AA1963" s="4">
        <f t="shared" ref="AA1963:AA1964" si="292">X1963*Z1963</f>
        <v>2900.9022</v>
      </c>
      <c r="AB1963" s="4">
        <f t="shared" si="284"/>
        <v>99597.642200000002</v>
      </c>
      <c r="AC1963" s="6">
        <f t="shared" si="285"/>
        <v>0</v>
      </c>
      <c r="AD1963" s="13">
        <f t="shared" si="289"/>
        <v>96696.74</v>
      </c>
      <c r="AE1963" s="2">
        <v>0</v>
      </c>
      <c r="AF1963" s="5">
        <f t="shared" si="286"/>
        <v>0</v>
      </c>
      <c r="AG1963" s="2">
        <v>0</v>
      </c>
      <c r="AH1963" s="5">
        <f t="shared" si="290"/>
        <v>96696.74</v>
      </c>
      <c r="AJ1963" s="126" t="e">
        <v>#N/A</v>
      </c>
      <c r="AK1963" s="80">
        <f t="shared" si="287"/>
        <v>0</v>
      </c>
      <c r="AM1963" s="85"/>
    </row>
    <row r="1964" spans="1:39" hidden="1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280"/>
        <v>118455.55999999997</v>
      </c>
      <c r="X1964" s="13">
        <f t="shared" si="288"/>
        <v>137054.42000000001</v>
      </c>
      <c r="Y1964" s="13">
        <f t="shared" si="283"/>
        <v>0</v>
      </c>
      <c r="Z1964" s="2">
        <v>0.03</v>
      </c>
      <c r="AA1964" s="4">
        <f t="shared" si="292"/>
        <v>4111.6325999999999</v>
      </c>
      <c r="AB1964" s="4">
        <f t="shared" si="284"/>
        <v>141166.05260000002</v>
      </c>
      <c r="AC1964" s="6">
        <f t="shared" si="285"/>
        <v>0</v>
      </c>
      <c r="AD1964" s="13">
        <f t="shared" si="289"/>
        <v>137054.42000000001</v>
      </c>
      <c r="AE1964" s="2">
        <v>0</v>
      </c>
      <c r="AF1964" s="5">
        <f t="shared" si="286"/>
        <v>0</v>
      </c>
      <c r="AG1964" s="2">
        <v>0</v>
      </c>
      <c r="AH1964" s="5">
        <f t="shared" si="290"/>
        <v>137054.42000000001</v>
      </c>
      <c r="AJ1964" s="126" t="e">
        <v>#N/A</v>
      </c>
      <c r="AK1964" s="80">
        <f t="shared" si="287"/>
        <v>0</v>
      </c>
      <c r="AM1964" s="85"/>
    </row>
    <row r="1965" spans="1:39" hidden="1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280"/>
        <v>0</v>
      </c>
      <c r="X1965" s="13">
        <f t="shared" si="288"/>
        <v>0</v>
      </c>
      <c r="Y1965" s="13">
        <f t="shared" si="283"/>
        <v>0</v>
      </c>
      <c r="Z1965" s="2">
        <v>0</v>
      </c>
      <c r="AA1965" s="4">
        <v>0</v>
      </c>
      <c r="AB1965" s="4">
        <f t="shared" si="284"/>
        <v>0</v>
      </c>
      <c r="AC1965" s="6">
        <f t="shared" si="285"/>
        <v>0</v>
      </c>
      <c r="AD1965" s="13">
        <f t="shared" si="289"/>
        <v>0</v>
      </c>
      <c r="AE1965" s="2">
        <v>0</v>
      </c>
      <c r="AF1965" s="5">
        <f t="shared" si="286"/>
        <v>0</v>
      </c>
      <c r="AG1965" s="2">
        <v>0</v>
      </c>
      <c r="AH1965" s="5">
        <f t="shared" si="290"/>
        <v>0</v>
      </c>
      <c r="AJ1965" s="126" t="e">
        <v>#N/A</v>
      </c>
      <c r="AK1965" s="80">
        <f t="shared" si="287"/>
        <v>0</v>
      </c>
      <c r="AM1965" s="85"/>
    </row>
    <row r="1966" spans="1:39" hidden="1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280"/>
        <v>0</v>
      </c>
      <c r="X1966" s="13">
        <f t="shared" si="288"/>
        <v>-6021929.2799999984</v>
      </c>
      <c r="Y1966" s="13">
        <f t="shared" si="283"/>
        <v>0</v>
      </c>
      <c r="Z1966" s="2">
        <v>0</v>
      </c>
      <c r="AA1966" s="4">
        <v>0</v>
      </c>
      <c r="AB1966" s="4">
        <f t="shared" si="284"/>
        <v>-6021929.2799999984</v>
      </c>
      <c r="AC1966" s="6">
        <f t="shared" si="285"/>
        <v>0</v>
      </c>
      <c r="AD1966" s="13">
        <f t="shared" si="289"/>
        <v>-6021929.2799999984</v>
      </c>
      <c r="AE1966" s="2">
        <v>0</v>
      </c>
      <c r="AF1966" s="5">
        <f t="shared" si="286"/>
        <v>0</v>
      </c>
      <c r="AG1966" s="2">
        <v>0</v>
      </c>
      <c r="AH1966" s="5">
        <f t="shared" si="290"/>
        <v>-6021929.2799999984</v>
      </c>
      <c r="AJ1966" s="126" t="e">
        <v>#N/A</v>
      </c>
      <c r="AK1966" s="80">
        <f t="shared" si="287"/>
        <v>0</v>
      </c>
      <c r="AM1966" s="85"/>
    </row>
    <row r="1967" spans="1:39" hidden="1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280"/>
        <v>1303.8299999999581</v>
      </c>
      <c r="X1967" s="13">
        <f t="shared" si="288"/>
        <v>851082.68</v>
      </c>
      <c r="Y1967" s="13">
        <f t="shared" si="283"/>
        <v>0</v>
      </c>
      <c r="Z1967" s="2">
        <v>0.03</v>
      </c>
      <c r="AA1967" s="4">
        <f>X1967*Z1967</f>
        <v>25532.4804</v>
      </c>
      <c r="AB1967" s="4">
        <f t="shared" si="284"/>
        <v>876615.16040000005</v>
      </c>
      <c r="AC1967" s="6">
        <f t="shared" si="285"/>
        <v>0</v>
      </c>
      <c r="AD1967" s="13">
        <f t="shared" si="289"/>
        <v>851082.68</v>
      </c>
      <c r="AE1967" s="2">
        <v>0</v>
      </c>
      <c r="AF1967" s="5">
        <f t="shared" si="286"/>
        <v>0</v>
      </c>
      <c r="AG1967" s="2">
        <v>0</v>
      </c>
      <c r="AH1967" s="5">
        <f t="shared" si="290"/>
        <v>851082.68</v>
      </c>
      <c r="AJ1967" s="126" t="e">
        <v>#N/A</v>
      </c>
      <c r="AK1967" s="80">
        <f t="shared" si="287"/>
        <v>0</v>
      </c>
      <c r="AM1967" s="85"/>
    </row>
    <row r="1968" spans="1:39" hidden="1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280"/>
        <v>0</v>
      </c>
      <c r="X1968" s="13">
        <f t="shared" si="288"/>
        <v>10600000</v>
      </c>
      <c r="Y1968" s="13">
        <f t="shared" si="283"/>
        <v>0</v>
      </c>
      <c r="Z1968" s="2">
        <v>0</v>
      </c>
      <c r="AA1968" s="4">
        <v>0</v>
      </c>
      <c r="AB1968" s="4">
        <f t="shared" si="284"/>
        <v>10600000</v>
      </c>
      <c r="AC1968" s="6">
        <f t="shared" si="285"/>
        <v>0</v>
      </c>
      <c r="AD1968" s="13">
        <f t="shared" si="289"/>
        <v>10600000</v>
      </c>
      <c r="AE1968" s="2">
        <v>0</v>
      </c>
      <c r="AF1968" s="5">
        <f t="shared" si="286"/>
        <v>0</v>
      </c>
      <c r="AG1968" s="2">
        <v>0</v>
      </c>
      <c r="AH1968" s="5">
        <f t="shared" si="290"/>
        <v>10600000</v>
      </c>
      <c r="AJ1968" s="126" t="e">
        <v>#N/A</v>
      </c>
      <c r="AK1968" s="80">
        <f t="shared" si="287"/>
        <v>0</v>
      </c>
      <c r="AM1968" s="85"/>
    </row>
    <row r="1969" spans="1:39" hidden="1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280"/>
        <v>30158.470000000016</v>
      </c>
      <c r="X1969" s="13">
        <f t="shared" si="288"/>
        <v>66301.149999999994</v>
      </c>
      <c r="Y1969" s="13">
        <f t="shared" si="283"/>
        <v>0</v>
      </c>
      <c r="Z1969" s="2">
        <v>0</v>
      </c>
      <c r="AA1969" s="4">
        <v>0</v>
      </c>
      <c r="AB1969" s="4">
        <f t="shared" si="284"/>
        <v>66301.149999999994</v>
      </c>
      <c r="AC1969" s="6">
        <f t="shared" si="285"/>
        <v>0</v>
      </c>
      <c r="AD1969" s="13">
        <f t="shared" si="289"/>
        <v>66301.149999999994</v>
      </c>
      <c r="AE1969" s="2">
        <v>0</v>
      </c>
      <c r="AF1969" s="5">
        <f t="shared" si="286"/>
        <v>0</v>
      </c>
      <c r="AG1969" s="2">
        <v>0</v>
      </c>
      <c r="AH1969" s="5">
        <f t="shared" si="290"/>
        <v>66301.149999999994</v>
      </c>
      <c r="AJ1969" s="126" t="e">
        <v>#N/A</v>
      </c>
      <c r="AK1969" s="80">
        <f t="shared" si="287"/>
        <v>0</v>
      </c>
      <c r="AM1969" s="85"/>
    </row>
    <row r="1970" spans="1:39" hidden="1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280"/>
        <v>12285.759999999991</v>
      </c>
      <c r="X1970" s="13">
        <f t="shared" si="288"/>
        <v>29080.2</v>
      </c>
      <c r="Y1970" s="13">
        <f t="shared" si="283"/>
        <v>0</v>
      </c>
      <c r="Z1970" s="2">
        <v>0.05</v>
      </c>
      <c r="AA1970" s="4">
        <f>X1970/(1-Z1970)*Z1970</f>
        <v>1530.5368421052635</v>
      </c>
      <c r="AB1970" s="4">
        <f t="shared" si="284"/>
        <v>30610.736842105263</v>
      </c>
      <c r="AC1970" s="6">
        <f t="shared" si="285"/>
        <v>0</v>
      </c>
      <c r="AD1970" s="13">
        <f t="shared" si="289"/>
        <v>29080.2</v>
      </c>
      <c r="AE1970" s="2">
        <v>0</v>
      </c>
      <c r="AF1970" s="5">
        <f t="shared" si="286"/>
        <v>0</v>
      </c>
      <c r="AG1970" s="2">
        <v>0</v>
      </c>
      <c r="AH1970" s="5">
        <f t="shared" si="290"/>
        <v>29080.2</v>
      </c>
      <c r="AJ1970" s="126" t="e">
        <v>#N/A</v>
      </c>
      <c r="AK1970" s="80">
        <f t="shared" si="287"/>
        <v>0</v>
      </c>
      <c r="AM1970" s="85"/>
    </row>
    <row r="1971" spans="1:39" hidden="1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280"/>
        <v>25854.180000000037</v>
      </c>
      <c r="X1971" s="13">
        <f t="shared" si="288"/>
        <v>104819.67</v>
      </c>
      <c r="Y1971" s="13">
        <f t="shared" si="283"/>
        <v>0</v>
      </c>
      <c r="Z1971" s="2">
        <v>0.03</v>
      </c>
      <c r="AA1971" s="4">
        <f>X1971*Z1971</f>
        <v>3144.5900999999999</v>
      </c>
      <c r="AB1971" s="4">
        <f t="shared" si="284"/>
        <v>107964.2601</v>
      </c>
      <c r="AC1971" s="6">
        <f t="shared" si="285"/>
        <v>0</v>
      </c>
      <c r="AD1971" s="13">
        <f t="shared" si="289"/>
        <v>104819.67</v>
      </c>
      <c r="AE1971" s="2">
        <v>0</v>
      </c>
      <c r="AF1971" s="5">
        <f t="shared" si="286"/>
        <v>0</v>
      </c>
      <c r="AG1971" s="2">
        <v>0</v>
      </c>
      <c r="AH1971" s="5">
        <f t="shared" si="290"/>
        <v>104819.67</v>
      </c>
      <c r="AJ1971" s="126" t="e">
        <v>#N/A</v>
      </c>
      <c r="AK1971" s="80">
        <f t="shared" si="287"/>
        <v>0</v>
      </c>
      <c r="AM1971" s="85"/>
    </row>
    <row r="1972" spans="1:39" hidden="1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280"/>
        <v>254549.60000000003</v>
      </c>
      <c r="X1972" s="13">
        <f t="shared" si="288"/>
        <v>0</v>
      </c>
      <c r="Y1972" s="13">
        <f t="shared" si="283"/>
        <v>0</v>
      </c>
      <c r="Z1972" s="2">
        <v>0.03</v>
      </c>
      <c r="AA1972" s="4">
        <f>X1972/(1-Z1972)*Z1972</f>
        <v>0</v>
      </c>
      <c r="AB1972" s="4">
        <f t="shared" si="284"/>
        <v>0</v>
      </c>
      <c r="AC1972" s="6">
        <f t="shared" si="285"/>
        <v>0</v>
      </c>
      <c r="AD1972" s="13">
        <f t="shared" si="289"/>
        <v>0</v>
      </c>
      <c r="AE1972" s="2">
        <v>0</v>
      </c>
      <c r="AF1972" s="5">
        <f t="shared" si="286"/>
        <v>0</v>
      </c>
      <c r="AG1972" s="2">
        <v>0</v>
      </c>
      <c r="AH1972" s="5">
        <f t="shared" si="290"/>
        <v>0</v>
      </c>
      <c r="AJ1972" s="126" t="e">
        <v>#N/A</v>
      </c>
      <c r="AK1972" s="80">
        <f t="shared" si="287"/>
        <v>0</v>
      </c>
      <c r="AM1972" s="85"/>
    </row>
    <row r="1973" spans="1:39" hidden="1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280"/>
        <v>39866.940000000017</v>
      </c>
      <c r="X1973" s="13">
        <f t="shared" si="288"/>
        <v>69687.63</v>
      </c>
      <c r="Y1973" s="13">
        <f t="shared" si="283"/>
        <v>0</v>
      </c>
      <c r="Z1973" s="2">
        <v>0</v>
      </c>
      <c r="AA1973" s="4">
        <v>0</v>
      </c>
      <c r="AB1973" s="4">
        <f t="shared" si="284"/>
        <v>69687.63</v>
      </c>
      <c r="AC1973" s="6">
        <f t="shared" si="285"/>
        <v>0</v>
      </c>
      <c r="AD1973" s="13">
        <f t="shared" si="289"/>
        <v>69687.63</v>
      </c>
      <c r="AE1973" s="2">
        <v>0</v>
      </c>
      <c r="AF1973" s="5">
        <f t="shared" si="286"/>
        <v>0</v>
      </c>
      <c r="AG1973" s="2">
        <v>0</v>
      </c>
      <c r="AH1973" s="5">
        <f t="shared" si="290"/>
        <v>69687.63</v>
      </c>
      <c r="AJ1973" s="126" t="e">
        <v>#N/A</v>
      </c>
      <c r="AK1973" s="80">
        <f t="shared" si="287"/>
        <v>0</v>
      </c>
      <c r="AM1973" s="85"/>
    </row>
    <row r="1974" spans="1:39" hidden="1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280"/>
        <v>9.0949470177292824E-12</v>
      </c>
      <c r="X1974" s="13">
        <f t="shared" si="288"/>
        <v>0</v>
      </c>
      <c r="Y1974" s="13">
        <f t="shared" si="283"/>
        <v>0</v>
      </c>
      <c r="Z1974" s="2">
        <v>0</v>
      </c>
      <c r="AA1974" s="4">
        <v>0</v>
      </c>
      <c r="AB1974" s="4">
        <f t="shared" si="284"/>
        <v>0</v>
      </c>
      <c r="AC1974" s="6">
        <f t="shared" si="285"/>
        <v>0</v>
      </c>
      <c r="AD1974" s="13">
        <f t="shared" si="289"/>
        <v>0</v>
      </c>
      <c r="AE1974" s="2">
        <v>0</v>
      </c>
      <c r="AF1974" s="5">
        <f t="shared" si="286"/>
        <v>0</v>
      </c>
      <c r="AG1974" s="2">
        <v>0</v>
      </c>
      <c r="AH1974" s="5">
        <f t="shared" si="290"/>
        <v>0</v>
      </c>
      <c r="AJ1974" s="126" t="e">
        <v>#N/A</v>
      </c>
      <c r="AK1974" s="80">
        <f t="shared" si="287"/>
        <v>0</v>
      </c>
      <c r="AM1974" s="85"/>
    </row>
    <row r="1975" spans="1:39" hidden="1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280"/>
        <v>0</v>
      </c>
      <c r="X1975" s="13">
        <f t="shared" si="288"/>
        <v>0</v>
      </c>
      <c r="Y1975" s="13">
        <f t="shared" si="283"/>
        <v>0</v>
      </c>
      <c r="Z1975" s="2">
        <v>0</v>
      </c>
      <c r="AA1975" s="4">
        <v>0</v>
      </c>
      <c r="AB1975" s="4">
        <f t="shared" si="284"/>
        <v>0</v>
      </c>
      <c r="AC1975" s="6">
        <f t="shared" si="285"/>
        <v>0</v>
      </c>
      <c r="AD1975" s="13">
        <f t="shared" si="289"/>
        <v>0</v>
      </c>
      <c r="AE1975" s="2">
        <v>0</v>
      </c>
      <c r="AF1975" s="5">
        <f t="shared" si="286"/>
        <v>0</v>
      </c>
      <c r="AG1975" s="2">
        <v>0</v>
      </c>
      <c r="AH1975" s="5">
        <f t="shared" si="290"/>
        <v>0</v>
      </c>
      <c r="AJ1975" s="126" t="e">
        <v>#N/A</v>
      </c>
      <c r="AK1975" s="80">
        <f t="shared" si="287"/>
        <v>0</v>
      </c>
      <c r="AM1975" s="85"/>
    </row>
    <row r="1976" spans="1:39" hidden="1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280"/>
        <v>0</v>
      </c>
      <c r="X1976" s="13">
        <f t="shared" si="288"/>
        <v>7548529.1100000031</v>
      </c>
      <c r="Y1976" s="13">
        <f t="shared" si="283"/>
        <v>0</v>
      </c>
      <c r="Z1976" s="2">
        <v>0</v>
      </c>
      <c r="AA1976" s="4">
        <v>0</v>
      </c>
      <c r="AB1976" s="4">
        <f t="shared" si="284"/>
        <v>7548529.1100000031</v>
      </c>
      <c r="AC1976" s="6">
        <f t="shared" si="285"/>
        <v>0</v>
      </c>
      <c r="AD1976" s="13">
        <f t="shared" si="289"/>
        <v>7548529.1100000031</v>
      </c>
      <c r="AE1976" s="2">
        <v>0</v>
      </c>
      <c r="AF1976" s="5">
        <f t="shared" si="286"/>
        <v>0</v>
      </c>
      <c r="AG1976" s="2">
        <v>0</v>
      </c>
      <c r="AH1976" s="5">
        <f t="shared" si="290"/>
        <v>7548529.1100000031</v>
      </c>
      <c r="AJ1976" s="126" t="e">
        <v>#N/A</v>
      </c>
      <c r="AK1976" s="80">
        <f t="shared" si="287"/>
        <v>0</v>
      </c>
      <c r="AM1976" s="85"/>
    </row>
    <row r="1977" spans="1:39" hidden="1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280"/>
        <v>0</v>
      </c>
      <c r="X1977" s="13">
        <f t="shared" si="288"/>
        <v>0</v>
      </c>
      <c r="Y1977" s="13">
        <f t="shared" si="283"/>
        <v>0</v>
      </c>
      <c r="Z1977" s="2">
        <v>0</v>
      </c>
      <c r="AA1977" s="4">
        <v>0</v>
      </c>
      <c r="AB1977" s="4">
        <f t="shared" si="284"/>
        <v>0</v>
      </c>
      <c r="AC1977" s="6">
        <f t="shared" si="285"/>
        <v>0</v>
      </c>
      <c r="AD1977" s="13">
        <f t="shared" si="289"/>
        <v>0</v>
      </c>
      <c r="AE1977" s="2">
        <v>0</v>
      </c>
      <c r="AF1977" s="5">
        <f t="shared" si="286"/>
        <v>0</v>
      </c>
      <c r="AG1977" s="2">
        <v>0</v>
      </c>
      <c r="AH1977" s="5">
        <f t="shared" si="290"/>
        <v>0</v>
      </c>
      <c r="AJ1977" s="126" t="e">
        <v>#N/A</v>
      </c>
      <c r="AK1977" s="80">
        <f t="shared" si="287"/>
        <v>0</v>
      </c>
      <c r="AM1977" s="85"/>
    </row>
    <row r="1978" spans="1:39" hidden="1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280"/>
        <v>81385.200000000012</v>
      </c>
      <c r="X1978" s="13">
        <f t="shared" si="288"/>
        <v>339380.3</v>
      </c>
      <c r="Y1978" s="13">
        <f t="shared" si="283"/>
        <v>0</v>
      </c>
      <c r="Z1978" s="2">
        <v>0.03</v>
      </c>
      <c r="AA1978" s="4">
        <f t="shared" ref="AA1978:AA1979" si="293">X1978*Z1978</f>
        <v>10181.409</v>
      </c>
      <c r="AB1978" s="4">
        <f t="shared" si="284"/>
        <v>349561.70899999997</v>
      </c>
      <c r="AC1978" s="6">
        <f t="shared" si="285"/>
        <v>0</v>
      </c>
      <c r="AD1978" s="13">
        <f t="shared" si="289"/>
        <v>339380.3</v>
      </c>
      <c r="AE1978" s="2">
        <v>0</v>
      </c>
      <c r="AF1978" s="5">
        <f t="shared" si="286"/>
        <v>0</v>
      </c>
      <c r="AG1978" s="2">
        <v>0</v>
      </c>
      <c r="AH1978" s="5">
        <f t="shared" si="290"/>
        <v>339380.3</v>
      </c>
      <c r="AJ1978" s="126" t="e">
        <v>#N/A</v>
      </c>
      <c r="AK1978" s="80">
        <f t="shared" si="287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280"/>
        <v>9708.74</v>
      </c>
      <c r="X1979" s="13">
        <f t="shared" si="288"/>
        <v>0</v>
      </c>
      <c r="Y1979" s="13">
        <f t="shared" si="283"/>
        <v>0</v>
      </c>
      <c r="Z1979" s="2">
        <v>0.03</v>
      </c>
      <c r="AA1979" s="4">
        <f t="shared" si="293"/>
        <v>0</v>
      </c>
      <c r="AB1979" s="4">
        <f t="shared" si="284"/>
        <v>0</v>
      </c>
      <c r="AC1979" s="6">
        <f t="shared" si="285"/>
        <v>0</v>
      </c>
      <c r="AD1979" s="13">
        <f t="shared" si="289"/>
        <v>0</v>
      </c>
      <c r="AE1979" s="2">
        <v>0</v>
      </c>
      <c r="AF1979" s="5">
        <f t="shared" si="286"/>
        <v>0</v>
      </c>
      <c r="AG1979" s="2">
        <v>0</v>
      </c>
      <c r="AH1979" s="5">
        <f t="shared" si="290"/>
        <v>0</v>
      </c>
      <c r="AJ1979" s="126" t="e">
        <v>#N/A</v>
      </c>
      <c r="AK1979" s="80">
        <f t="shared" si="287"/>
        <v>0</v>
      </c>
      <c r="AM1979" s="85"/>
    </row>
    <row r="1980" spans="1:39" hidden="1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280"/>
        <v>894606.69</v>
      </c>
      <c r="X1980" s="13">
        <f t="shared" si="288"/>
        <v>160867.78</v>
      </c>
      <c r="Y1980" s="13">
        <f t="shared" si="283"/>
        <v>0</v>
      </c>
      <c r="Z1980" s="2">
        <v>0</v>
      </c>
      <c r="AA1980" s="4">
        <v>0</v>
      </c>
      <c r="AB1980" s="4">
        <f t="shared" si="284"/>
        <v>160867.78</v>
      </c>
      <c r="AC1980" s="6">
        <f t="shared" si="285"/>
        <v>0</v>
      </c>
      <c r="AD1980" s="13">
        <f t="shared" si="289"/>
        <v>160867.78</v>
      </c>
      <c r="AE1980" s="2">
        <v>0</v>
      </c>
      <c r="AF1980" s="5">
        <f t="shared" si="286"/>
        <v>0</v>
      </c>
      <c r="AG1980" s="2">
        <v>0</v>
      </c>
      <c r="AH1980" s="5">
        <f t="shared" si="290"/>
        <v>160867.78</v>
      </c>
      <c r="AJ1980" s="126" t="e">
        <v>#N/A</v>
      </c>
      <c r="AK1980" s="80">
        <f t="shared" si="287"/>
        <v>0</v>
      </c>
      <c r="AM1980" s="85"/>
    </row>
    <row r="1981" spans="1:39" hidden="1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280"/>
        <v>0</v>
      </c>
      <c r="X1981" s="13">
        <f t="shared" si="288"/>
        <v>680328.72</v>
      </c>
      <c r="Y1981" s="13">
        <f t="shared" si="283"/>
        <v>0</v>
      </c>
      <c r="Z1981" s="2">
        <v>0</v>
      </c>
      <c r="AA1981" s="4">
        <v>0</v>
      </c>
      <c r="AB1981" s="4">
        <f t="shared" si="284"/>
        <v>680328.72</v>
      </c>
      <c r="AC1981" s="6">
        <f t="shared" si="285"/>
        <v>0</v>
      </c>
      <c r="AD1981" s="13">
        <f t="shared" si="289"/>
        <v>680328.72</v>
      </c>
      <c r="AE1981" s="2">
        <v>0</v>
      </c>
      <c r="AF1981" s="5">
        <f t="shared" si="286"/>
        <v>0</v>
      </c>
      <c r="AG1981" s="2">
        <v>0</v>
      </c>
      <c r="AH1981" s="5">
        <f t="shared" si="290"/>
        <v>680328.72</v>
      </c>
      <c r="AJ1981" s="126" t="e">
        <v>#N/A</v>
      </c>
      <c r="AK1981" s="80">
        <f t="shared" si="287"/>
        <v>0</v>
      </c>
      <c r="AM1981" s="85"/>
    </row>
    <row r="1982" spans="1:39" hidden="1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280"/>
        <v>0</v>
      </c>
      <c r="X1982" s="13">
        <f t="shared" si="288"/>
        <v>200627.94</v>
      </c>
      <c r="Y1982" s="13">
        <f t="shared" si="283"/>
        <v>0</v>
      </c>
      <c r="Z1982" s="2">
        <v>0.03</v>
      </c>
      <c r="AA1982" s="4">
        <f>X1982*Z1982</f>
        <v>6018.8382000000001</v>
      </c>
      <c r="AB1982" s="4">
        <f t="shared" si="284"/>
        <v>206646.7782</v>
      </c>
      <c r="AC1982" s="6">
        <f t="shared" si="285"/>
        <v>0</v>
      </c>
      <c r="AD1982" s="13">
        <f t="shared" si="289"/>
        <v>200627.94</v>
      </c>
      <c r="AE1982" s="2">
        <v>0</v>
      </c>
      <c r="AF1982" s="5">
        <f t="shared" si="286"/>
        <v>0</v>
      </c>
      <c r="AG1982" s="2">
        <v>0</v>
      </c>
      <c r="AH1982" s="5">
        <f t="shared" si="290"/>
        <v>200627.94</v>
      </c>
      <c r="AJ1982" s="126" t="e">
        <v>#N/A</v>
      </c>
      <c r="AK1982" s="80">
        <f t="shared" si="287"/>
        <v>0</v>
      </c>
      <c r="AM1982" s="85"/>
    </row>
    <row r="1983" spans="1:39" hidden="1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280"/>
        <v>8290.2999999999993</v>
      </c>
      <c r="X1983" s="13">
        <f t="shared" si="288"/>
        <v>0</v>
      </c>
      <c r="Y1983" s="13">
        <f t="shared" si="283"/>
        <v>0</v>
      </c>
      <c r="Z1983" s="2">
        <v>0.02</v>
      </c>
      <c r="AA1983" s="4">
        <f>X1983/(1-Z1983)*Z1983</f>
        <v>0</v>
      </c>
      <c r="AB1983" s="4">
        <f t="shared" si="284"/>
        <v>0</v>
      </c>
      <c r="AC1983" s="6">
        <f t="shared" si="285"/>
        <v>0</v>
      </c>
      <c r="AD1983" s="13">
        <f t="shared" si="289"/>
        <v>0</v>
      </c>
      <c r="AE1983" s="2">
        <v>0</v>
      </c>
      <c r="AF1983" s="5">
        <f t="shared" si="286"/>
        <v>0</v>
      </c>
      <c r="AG1983" s="2">
        <v>0</v>
      </c>
      <c r="AH1983" s="5">
        <f t="shared" si="290"/>
        <v>0</v>
      </c>
      <c r="AJ1983" s="126" t="e">
        <v>#N/A</v>
      </c>
      <c r="AK1983" s="80">
        <f t="shared" si="287"/>
        <v>0</v>
      </c>
      <c r="AM1983" s="85"/>
    </row>
    <row r="1984" spans="1:39" hidden="1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294">T1984+U1984-V1984</f>
        <v>37743.599999999627</v>
      </c>
      <c r="X1984" s="13">
        <f t="shared" si="288"/>
        <v>0</v>
      </c>
      <c r="Y1984" s="13">
        <f t="shared" si="283"/>
        <v>0</v>
      </c>
      <c r="Z1984" s="2">
        <v>0</v>
      </c>
      <c r="AA1984" s="4">
        <v>0</v>
      </c>
      <c r="AB1984" s="4">
        <f t="shared" si="284"/>
        <v>0</v>
      </c>
      <c r="AC1984" s="6">
        <f t="shared" si="285"/>
        <v>0</v>
      </c>
      <c r="AD1984" s="13">
        <f t="shared" si="289"/>
        <v>0</v>
      </c>
      <c r="AE1984" s="2">
        <v>0</v>
      </c>
      <c r="AF1984" s="5">
        <f t="shared" si="286"/>
        <v>0</v>
      </c>
      <c r="AG1984" s="2">
        <v>0</v>
      </c>
      <c r="AH1984" s="5">
        <f t="shared" si="290"/>
        <v>0</v>
      </c>
      <c r="AJ1984" s="126" t="e">
        <v>#N/A</v>
      </c>
      <c r="AK1984" s="80">
        <f t="shared" si="287"/>
        <v>0</v>
      </c>
      <c r="AM1984" s="85"/>
    </row>
    <row r="1985" spans="1:39" hidden="1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294"/>
        <v>27042.07</v>
      </c>
      <c r="X1985" s="13">
        <f t="shared" si="288"/>
        <v>0</v>
      </c>
      <c r="Y1985" s="13">
        <f t="shared" si="283"/>
        <v>0</v>
      </c>
      <c r="Z1985" s="2">
        <v>0.02</v>
      </c>
      <c r="AA1985" s="4">
        <f>X1985*Z1985</f>
        <v>0</v>
      </c>
      <c r="AB1985" s="4">
        <f t="shared" si="284"/>
        <v>0</v>
      </c>
      <c r="AC1985" s="6">
        <f t="shared" si="285"/>
        <v>0</v>
      </c>
      <c r="AD1985" s="13">
        <f t="shared" si="289"/>
        <v>0</v>
      </c>
      <c r="AE1985" s="2">
        <v>0</v>
      </c>
      <c r="AF1985" s="5">
        <f t="shared" si="286"/>
        <v>0</v>
      </c>
      <c r="AG1985" s="2">
        <v>0</v>
      </c>
      <c r="AH1985" s="5">
        <f t="shared" si="290"/>
        <v>0</v>
      </c>
      <c r="AJ1985" s="126" t="e">
        <v>#N/A</v>
      </c>
      <c r="AK1985" s="80">
        <f t="shared" si="287"/>
        <v>0</v>
      </c>
      <c r="AM1985" s="85"/>
    </row>
    <row r="1986" spans="1:39" hidden="1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294"/>
        <v>2.4699999999955082</v>
      </c>
      <c r="X1986" s="13">
        <f t="shared" si="288"/>
        <v>0</v>
      </c>
      <c r="Y1986" s="13">
        <f t="shared" si="283"/>
        <v>0</v>
      </c>
      <c r="Z1986" s="2">
        <v>0</v>
      </c>
      <c r="AA1986" s="4">
        <v>0</v>
      </c>
      <c r="AB1986" s="4">
        <f t="shared" si="284"/>
        <v>0</v>
      </c>
      <c r="AC1986" s="6">
        <f t="shared" si="285"/>
        <v>0</v>
      </c>
      <c r="AD1986" s="13">
        <f t="shared" si="289"/>
        <v>0</v>
      </c>
      <c r="AE1986" s="2">
        <v>0</v>
      </c>
      <c r="AF1986" s="5">
        <f t="shared" si="286"/>
        <v>0</v>
      </c>
      <c r="AG1986" s="2">
        <v>0</v>
      </c>
      <c r="AH1986" s="5">
        <f t="shared" si="290"/>
        <v>0</v>
      </c>
      <c r="AJ1986" s="126" t="e">
        <v>#N/A</v>
      </c>
      <c r="AK1986" s="80">
        <f t="shared" si="287"/>
        <v>0</v>
      </c>
      <c r="AM1986" s="85"/>
    </row>
    <row r="1987" spans="1:39" hidden="1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294"/>
        <v>70.369999999999891</v>
      </c>
      <c r="X1987" s="13">
        <f t="shared" si="288"/>
        <v>7286.04</v>
      </c>
      <c r="Y1987" s="13">
        <f t="shared" ref="Y1987:Y2050" si="29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296">X1987+AA1987</f>
        <v>7504.6211999999996</v>
      </c>
      <c r="AC1987" s="6">
        <f t="shared" ref="AC1987:AC2050" si="297">IF(P1987="返现",X1987*Q1987,V1987-X1987)</f>
        <v>0</v>
      </c>
      <c r="AD1987" s="13">
        <f t="shared" si="289"/>
        <v>7286.04</v>
      </c>
      <c r="AE1987" s="2">
        <v>0</v>
      </c>
      <c r="AF1987" s="5">
        <f t="shared" ref="AF1987:AF2050" si="298">AD1987*AE1987</f>
        <v>0</v>
      </c>
      <c r="AG1987" s="2">
        <v>0</v>
      </c>
      <c r="AH1987" s="5">
        <f t="shared" si="290"/>
        <v>7286.04</v>
      </c>
      <c r="AJ1987" s="126" t="e">
        <v>#N/A</v>
      </c>
      <c r="AK1987" s="80">
        <f t="shared" ref="AK1987:AK2050" si="299">X1987+AA1987-AB1987</f>
        <v>0</v>
      </c>
      <c r="AM1987" s="85"/>
    </row>
    <row r="1988" spans="1:39" hidden="1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294"/>
        <v>63847.100000000006</v>
      </c>
      <c r="X1988" s="13">
        <f t="shared" si="288"/>
        <v>0</v>
      </c>
      <c r="Y1988" s="13">
        <f t="shared" si="295"/>
        <v>0</v>
      </c>
      <c r="Z1988" s="2">
        <v>0.03</v>
      </c>
      <c r="AA1988" s="4">
        <f>X1988/(1-Z1988)*Z1988</f>
        <v>0</v>
      </c>
      <c r="AB1988" s="4">
        <f t="shared" si="296"/>
        <v>0</v>
      </c>
      <c r="AC1988" s="6">
        <f t="shared" si="297"/>
        <v>0</v>
      </c>
      <c r="AD1988" s="13">
        <f t="shared" si="289"/>
        <v>0</v>
      </c>
      <c r="AE1988" s="2">
        <v>0</v>
      </c>
      <c r="AF1988" s="5">
        <f t="shared" si="298"/>
        <v>0</v>
      </c>
      <c r="AG1988" s="2">
        <v>0</v>
      </c>
      <c r="AH1988" s="5">
        <f t="shared" si="290"/>
        <v>0</v>
      </c>
      <c r="AJ1988" s="126" t="e">
        <v>#N/A</v>
      </c>
      <c r="AK1988" s="80">
        <f t="shared" si="299"/>
        <v>0</v>
      </c>
      <c r="AM1988" s="85"/>
    </row>
    <row r="1989" spans="1:39" hidden="1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294"/>
        <v>131.29999999999956</v>
      </c>
      <c r="X1989" s="13">
        <f t="shared" si="288"/>
        <v>10.02</v>
      </c>
      <c r="Y1989" s="13">
        <f t="shared" si="295"/>
        <v>0</v>
      </c>
      <c r="Z1989" s="2">
        <v>0.05</v>
      </c>
      <c r="AA1989" s="4">
        <f t="shared" ref="AA1989:AA1990" si="300">X1989*Z1989</f>
        <v>0.501</v>
      </c>
      <c r="AB1989" s="4">
        <f t="shared" si="296"/>
        <v>10.520999999999999</v>
      </c>
      <c r="AC1989" s="6">
        <f t="shared" si="297"/>
        <v>0</v>
      </c>
      <c r="AD1989" s="13">
        <f t="shared" si="289"/>
        <v>10.02</v>
      </c>
      <c r="AE1989" s="2">
        <v>0</v>
      </c>
      <c r="AF1989" s="5">
        <f t="shared" si="298"/>
        <v>0</v>
      </c>
      <c r="AG1989" s="2">
        <v>0</v>
      </c>
      <c r="AH1989" s="5">
        <f t="shared" si="290"/>
        <v>10.02</v>
      </c>
      <c r="AJ1989" s="126" t="e">
        <v>#N/A</v>
      </c>
      <c r="AK1989" s="80">
        <f t="shared" si="299"/>
        <v>0</v>
      </c>
      <c r="AM1989" s="85"/>
    </row>
    <row r="1990" spans="1:39" hidden="1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294"/>
        <v>5786.369999999999</v>
      </c>
      <c r="X1990" s="13">
        <f t="shared" si="288"/>
        <v>0</v>
      </c>
      <c r="Y1990" s="13">
        <f t="shared" si="295"/>
        <v>0</v>
      </c>
      <c r="Z1990" s="2">
        <v>0.03</v>
      </c>
      <c r="AA1990" s="4">
        <f t="shared" si="300"/>
        <v>0</v>
      </c>
      <c r="AB1990" s="4">
        <f t="shared" si="296"/>
        <v>0</v>
      </c>
      <c r="AC1990" s="6">
        <f t="shared" si="297"/>
        <v>0</v>
      </c>
      <c r="AD1990" s="13">
        <f t="shared" si="289"/>
        <v>0</v>
      </c>
      <c r="AE1990" s="2">
        <v>0</v>
      </c>
      <c r="AF1990" s="5">
        <f t="shared" si="298"/>
        <v>0</v>
      </c>
      <c r="AG1990" s="2">
        <v>0</v>
      </c>
      <c r="AH1990" s="5">
        <f t="shared" si="290"/>
        <v>0</v>
      </c>
      <c r="AJ1990" s="126" t="e">
        <v>#N/A</v>
      </c>
      <c r="AK1990" s="80">
        <f t="shared" si="299"/>
        <v>0</v>
      </c>
      <c r="AM1990" s="85"/>
    </row>
    <row r="1991" spans="1:39" hidden="1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294"/>
        <v>-9.7999999999956344</v>
      </c>
      <c r="X1991" s="13">
        <f t="shared" si="288"/>
        <v>0</v>
      </c>
      <c r="Y1991" s="13">
        <f t="shared" si="295"/>
        <v>0</v>
      </c>
      <c r="Z1991" s="2">
        <v>0</v>
      </c>
      <c r="AA1991" s="4">
        <v>0</v>
      </c>
      <c r="AB1991" s="4">
        <f t="shared" si="296"/>
        <v>0</v>
      </c>
      <c r="AC1991" s="6">
        <f t="shared" si="297"/>
        <v>0</v>
      </c>
      <c r="AD1991" s="13">
        <f t="shared" si="289"/>
        <v>0</v>
      </c>
      <c r="AE1991" s="2">
        <v>0</v>
      </c>
      <c r="AF1991" s="5">
        <f t="shared" si="298"/>
        <v>0</v>
      </c>
      <c r="AG1991" s="2">
        <v>0</v>
      </c>
      <c r="AH1991" s="5">
        <f t="shared" si="290"/>
        <v>0</v>
      </c>
      <c r="AJ1991" s="126" t="e">
        <v>#N/A</v>
      </c>
      <c r="AK1991" s="80">
        <f t="shared" si="299"/>
        <v>0</v>
      </c>
      <c r="AM1991" s="85"/>
    </row>
    <row r="1992" spans="1:39" hidden="1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294"/>
        <v>149.69999999999982</v>
      </c>
      <c r="X1992" s="13">
        <f t="shared" si="288"/>
        <v>0</v>
      </c>
      <c r="Y1992" s="13">
        <f t="shared" si="295"/>
        <v>0</v>
      </c>
      <c r="Z1992" s="2">
        <v>0.01</v>
      </c>
      <c r="AA1992" s="4">
        <f>X1992*Z1992</f>
        <v>0</v>
      </c>
      <c r="AB1992" s="4">
        <f t="shared" si="296"/>
        <v>0</v>
      </c>
      <c r="AC1992" s="6">
        <f t="shared" si="297"/>
        <v>0</v>
      </c>
      <c r="AD1992" s="13">
        <f t="shared" si="289"/>
        <v>0</v>
      </c>
      <c r="AE1992" s="2">
        <v>0</v>
      </c>
      <c r="AF1992" s="5">
        <f t="shared" si="298"/>
        <v>0</v>
      </c>
      <c r="AG1992" s="2">
        <v>0</v>
      </c>
      <c r="AH1992" s="5">
        <f t="shared" si="290"/>
        <v>0</v>
      </c>
      <c r="AJ1992" s="126" t="e">
        <v>#N/A</v>
      </c>
      <c r="AK1992" s="80">
        <f t="shared" si="299"/>
        <v>0</v>
      </c>
      <c r="AM1992" s="85"/>
    </row>
    <row r="1993" spans="1:39" hidden="1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294"/>
        <v>36329.809999999983</v>
      </c>
      <c r="X1993" s="13">
        <f t="shared" si="288"/>
        <v>0</v>
      </c>
      <c r="Y1993" s="13">
        <f t="shared" si="295"/>
        <v>0</v>
      </c>
      <c r="Z1993" s="2">
        <v>0</v>
      </c>
      <c r="AA1993" s="4">
        <v>0</v>
      </c>
      <c r="AB1993" s="4">
        <f t="shared" si="296"/>
        <v>0</v>
      </c>
      <c r="AC1993" s="6">
        <f t="shared" si="297"/>
        <v>0</v>
      </c>
      <c r="AD1993" s="13">
        <f t="shared" si="289"/>
        <v>0</v>
      </c>
      <c r="AE1993" s="2">
        <v>0</v>
      </c>
      <c r="AF1993" s="5">
        <f t="shared" si="298"/>
        <v>0</v>
      </c>
      <c r="AG1993" s="2">
        <v>0</v>
      </c>
      <c r="AH1993" s="5">
        <f t="shared" si="290"/>
        <v>0</v>
      </c>
      <c r="AJ1993" s="126" t="e">
        <v>#N/A</v>
      </c>
      <c r="AK1993" s="80">
        <f t="shared" si="299"/>
        <v>0</v>
      </c>
      <c r="AM1993" s="85"/>
    </row>
    <row r="1994" spans="1:39" hidden="1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294"/>
        <v>12099.5</v>
      </c>
      <c r="X1994" s="13">
        <f t="shared" si="288"/>
        <v>0</v>
      </c>
      <c r="Y1994" s="13">
        <f t="shared" si="295"/>
        <v>0</v>
      </c>
      <c r="Z1994" s="2">
        <v>0</v>
      </c>
      <c r="AA1994" s="4">
        <v>0</v>
      </c>
      <c r="AB1994" s="4">
        <f t="shared" si="296"/>
        <v>0</v>
      </c>
      <c r="AC1994" s="6">
        <f t="shared" si="297"/>
        <v>0</v>
      </c>
      <c r="AD1994" s="13">
        <f t="shared" si="289"/>
        <v>0</v>
      </c>
      <c r="AE1994" s="2">
        <v>0</v>
      </c>
      <c r="AF1994" s="5">
        <f t="shared" si="298"/>
        <v>0</v>
      </c>
      <c r="AG1994" s="2">
        <v>0</v>
      </c>
      <c r="AH1994" s="5">
        <f t="shared" si="290"/>
        <v>0</v>
      </c>
      <c r="AJ1994" s="126" t="e">
        <v>#N/A</v>
      </c>
      <c r="AK1994" s="80">
        <f t="shared" si="299"/>
        <v>0</v>
      </c>
      <c r="AM1994" s="85"/>
    </row>
    <row r="1995" spans="1:39" hidden="1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294"/>
        <v>451</v>
      </c>
      <c r="X1995" s="13">
        <f t="shared" si="288"/>
        <v>0</v>
      </c>
      <c r="Y1995" s="13">
        <f t="shared" si="295"/>
        <v>0</v>
      </c>
      <c r="Z1995" s="2">
        <v>0</v>
      </c>
      <c r="AA1995" s="4">
        <v>0</v>
      </c>
      <c r="AB1995" s="4">
        <f t="shared" si="296"/>
        <v>0</v>
      </c>
      <c r="AC1995" s="6">
        <f t="shared" si="297"/>
        <v>0</v>
      </c>
      <c r="AD1995" s="13">
        <f t="shared" si="289"/>
        <v>0</v>
      </c>
      <c r="AE1995" s="2">
        <v>0</v>
      </c>
      <c r="AF1995" s="5">
        <f t="shared" si="298"/>
        <v>0</v>
      </c>
      <c r="AG1995" s="2">
        <v>0</v>
      </c>
      <c r="AH1995" s="5">
        <f t="shared" si="290"/>
        <v>0</v>
      </c>
      <c r="AJ1995" s="126" t="e">
        <v>#N/A</v>
      </c>
      <c r="AK1995" s="80">
        <f t="shared" si="299"/>
        <v>0</v>
      </c>
      <c r="AM1995" s="85"/>
    </row>
    <row r="1996" spans="1:39" hidden="1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294"/>
        <v>10988.1</v>
      </c>
      <c r="X1996" s="13">
        <f t="shared" si="288"/>
        <v>0</v>
      </c>
      <c r="Y1996" s="13">
        <f t="shared" si="295"/>
        <v>0</v>
      </c>
      <c r="Z1996" s="2">
        <v>0</v>
      </c>
      <c r="AA1996" s="4">
        <v>0</v>
      </c>
      <c r="AB1996" s="4">
        <f t="shared" si="296"/>
        <v>0</v>
      </c>
      <c r="AC1996" s="6">
        <f t="shared" si="297"/>
        <v>0</v>
      </c>
      <c r="AD1996" s="13">
        <f t="shared" si="289"/>
        <v>0</v>
      </c>
      <c r="AE1996" s="2">
        <v>0</v>
      </c>
      <c r="AF1996" s="5">
        <f t="shared" si="298"/>
        <v>0</v>
      </c>
      <c r="AG1996" s="2">
        <v>0</v>
      </c>
      <c r="AH1996" s="5">
        <f t="shared" si="290"/>
        <v>0</v>
      </c>
      <c r="AJ1996" s="126" t="e">
        <v>#N/A</v>
      </c>
      <c r="AK1996" s="80">
        <f t="shared" si="299"/>
        <v>0</v>
      </c>
      <c r="AM1996" s="85"/>
    </row>
    <row r="1997" spans="1:39" hidden="1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294"/>
        <v>144.20000000000201</v>
      </c>
      <c r="X1997" s="13">
        <f t="shared" si="288"/>
        <v>0</v>
      </c>
      <c r="Y1997" s="13">
        <f t="shared" si="295"/>
        <v>0</v>
      </c>
      <c r="Z1997" s="2">
        <v>0</v>
      </c>
      <c r="AA1997" s="4">
        <v>0</v>
      </c>
      <c r="AB1997" s="4">
        <f t="shared" si="296"/>
        <v>0</v>
      </c>
      <c r="AC1997" s="6">
        <f t="shared" si="297"/>
        <v>0</v>
      </c>
      <c r="AD1997" s="13">
        <f t="shared" si="289"/>
        <v>0</v>
      </c>
      <c r="AE1997" s="2">
        <v>0</v>
      </c>
      <c r="AF1997" s="5">
        <f t="shared" si="298"/>
        <v>0</v>
      </c>
      <c r="AG1997" s="2">
        <v>0</v>
      </c>
      <c r="AH1997" s="5">
        <f t="shared" si="290"/>
        <v>0</v>
      </c>
      <c r="AJ1997" s="126" t="e">
        <v>#N/A</v>
      </c>
      <c r="AK1997" s="80">
        <f t="shared" si="299"/>
        <v>0</v>
      </c>
      <c r="AM1997" s="85"/>
    </row>
    <row r="1998" spans="1:39" hidden="1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294"/>
        <v>-3747.9499999999925</v>
      </c>
      <c r="X1998" s="13">
        <f t="shared" si="288"/>
        <v>0</v>
      </c>
      <c r="Y1998" s="13">
        <f t="shared" si="295"/>
        <v>0</v>
      </c>
      <c r="Z1998" s="2">
        <v>0</v>
      </c>
      <c r="AA1998" s="4">
        <v>0</v>
      </c>
      <c r="AB1998" s="4">
        <f t="shared" si="296"/>
        <v>0</v>
      </c>
      <c r="AC1998" s="6">
        <f t="shared" si="297"/>
        <v>0</v>
      </c>
      <c r="AD1998" s="13">
        <f t="shared" si="289"/>
        <v>0</v>
      </c>
      <c r="AE1998" s="2">
        <v>0</v>
      </c>
      <c r="AF1998" s="5">
        <f t="shared" si="298"/>
        <v>0</v>
      </c>
      <c r="AG1998" s="2">
        <v>0</v>
      </c>
      <c r="AH1998" s="5">
        <f t="shared" si="290"/>
        <v>0</v>
      </c>
      <c r="AJ1998" s="126" t="e">
        <v>#N/A</v>
      </c>
      <c r="AK1998" s="80">
        <f t="shared" si="299"/>
        <v>0</v>
      </c>
      <c r="AM1998" s="85"/>
    </row>
    <row r="1999" spans="1:39" hidden="1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294"/>
        <v>20003.5</v>
      </c>
      <c r="X1999" s="13">
        <f t="shared" si="288"/>
        <v>0</v>
      </c>
      <c r="Y1999" s="13">
        <f t="shared" si="295"/>
        <v>0</v>
      </c>
      <c r="Z1999" s="2">
        <v>0.01</v>
      </c>
      <c r="AA1999" s="4">
        <f>X1999*Z1999</f>
        <v>0</v>
      </c>
      <c r="AB1999" s="4">
        <f t="shared" si="296"/>
        <v>0</v>
      </c>
      <c r="AC1999" s="6">
        <f t="shared" si="297"/>
        <v>0</v>
      </c>
      <c r="AD1999" s="13">
        <f t="shared" si="289"/>
        <v>0</v>
      </c>
      <c r="AE1999" s="2">
        <v>0</v>
      </c>
      <c r="AF1999" s="5">
        <f t="shared" si="298"/>
        <v>0</v>
      </c>
      <c r="AG1999" s="2">
        <v>0</v>
      </c>
      <c r="AH1999" s="5">
        <f t="shared" si="290"/>
        <v>0</v>
      </c>
      <c r="AJ1999" s="126" t="e">
        <v>#N/A</v>
      </c>
      <c r="AK1999" s="80">
        <f t="shared" si="299"/>
        <v>0</v>
      </c>
      <c r="AM1999" s="85"/>
    </row>
    <row r="2000" spans="1:39" hidden="1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294"/>
        <v>74654.09</v>
      </c>
      <c r="X2000" s="13">
        <f t="shared" si="288"/>
        <v>0</v>
      </c>
      <c r="Y2000" s="13">
        <f t="shared" si="295"/>
        <v>0</v>
      </c>
      <c r="Z2000" s="2">
        <v>0</v>
      </c>
      <c r="AA2000" s="4">
        <v>0</v>
      </c>
      <c r="AB2000" s="4">
        <f t="shared" si="296"/>
        <v>0</v>
      </c>
      <c r="AC2000" s="6">
        <f t="shared" si="297"/>
        <v>0</v>
      </c>
      <c r="AD2000" s="13">
        <f t="shared" si="289"/>
        <v>0</v>
      </c>
      <c r="AE2000" s="2">
        <v>0</v>
      </c>
      <c r="AF2000" s="5">
        <f t="shared" si="298"/>
        <v>0</v>
      </c>
      <c r="AG2000" s="2">
        <v>0</v>
      </c>
      <c r="AH2000" s="5">
        <f t="shared" si="290"/>
        <v>0</v>
      </c>
      <c r="AJ2000" s="126" t="e">
        <v>#N/A</v>
      </c>
      <c r="AK2000" s="80">
        <f t="shared" si="299"/>
        <v>0</v>
      </c>
      <c r="AM2000" s="85"/>
    </row>
    <row r="2001" spans="1:39" hidden="1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294"/>
        <v>-62.87</v>
      </c>
      <c r="X2001" s="13">
        <f t="shared" si="288"/>
        <v>0</v>
      </c>
      <c r="Y2001" s="13">
        <f t="shared" si="295"/>
        <v>0</v>
      </c>
      <c r="Z2001" s="2">
        <v>0</v>
      </c>
      <c r="AA2001" s="4">
        <v>0</v>
      </c>
      <c r="AB2001" s="4">
        <f t="shared" si="296"/>
        <v>0</v>
      </c>
      <c r="AC2001" s="6">
        <f t="shared" si="297"/>
        <v>0</v>
      </c>
      <c r="AD2001" s="13">
        <f t="shared" si="289"/>
        <v>0</v>
      </c>
      <c r="AE2001" s="2">
        <v>0</v>
      </c>
      <c r="AF2001" s="5">
        <f t="shared" si="298"/>
        <v>0</v>
      </c>
      <c r="AG2001" s="2">
        <v>0</v>
      </c>
      <c r="AH2001" s="5">
        <f t="shared" si="290"/>
        <v>0</v>
      </c>
      <c r="AJ2001" s="126" t="e">
        <v>#N/A</v>
      </c>
      <c r="AK2001" s="80">
        <f t="shared" si="299"/>
        <v>0</v>
      </c>
      <c r="AM2001" s="85"/>
    </row>
    <row r="2002" spans="1:39" hidden="1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294"/>
        <v>-81.099999999976703</v>
      </c>
      <c r="X2002" s="13">
        <f t="shared" si="288"/>
        <v>0</v>
      </c>
      <c r="Y2002" s="13">
        <f t="shared" si="295"/>
        <v>0</v>
      </c>
      <c r="Z2002" s="2">
        <v>0</v>
      </c>
      <c r="AA2002" s="4">
        <v>0</v>
      </c>
      <c r="AB2002" s="4">
        <f t="shared" si="296"/>
        <v>0</v>
      </c>
      <c r="AC2002" s="6">
        <f t="shared" si="297"/>
        <v>0</v>
      </c>
      <c r="AD2002" s="13">
        <f t="shared" si="289"/>
        <v>0</v>
      </c>
      <c r="AE2002" s="2">
        <v>0</v>
      </c>
      <c r="AF2002" s="5">
        <f t="shared" si="298"/>
        <v>0</v>
      </c>
      <c r="AG2002" s="2">
        <v>0</v>
      </c>
      <c r="AH2002" s="5">
        <f t="shared" si="290"/>
        <v>0</v>
      </c>
      <c r="AJ2002" s="126" t="e">
        <v>#N/A</v>
      </c>
      <c r="AK2002" s="80">
        <f t="shared" si="299"/>
        <v>0</v>
      </c>
      <c r="AM2002" s="85"/>
    </row>
    <row r="2003" spans="1:39" hidden="1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294"/>
        <v>199.9</v>
      </c>
      <c r="X2003" s="13">
        <f t="shared" si="288"/>
        <v>0</v>
      </c>
      <c r="Y2003" s="13">
        <f t="shared" si="295"/>
        <v>0</v>
      </c>
      <c r="Z2003" s="2">
        <v>0.03</v>
      </c>
      <c r="AA2003" s="4">
        <f>X2003*Z2003</f>
        <v>0</v>
      </c>
      <c r="AB2003" s="4">
        <f t="shared" si="296"/>
        <v>0</v>
      </c>
      <c r="AC2003" s="6">
        <f t="shared" si="297"/>
        <v>0</v>
      </c>
      <c r="AD2003" s="13">
        <f t="shared" si="289"/>
        <v>0</v>
      </c>
      <c r="AE2003" s="2">
        <v>0</v>
      </c>
      <c r="AF2003" s="5">
        <f t="shared" si="298"/>
        <v>0</v>
      </c>
      <c r="AG2003" s="2">
        <v>0</v>
      </c>
      <c r="AH2003" s="5">
        <f t="shared" si="290"/>
        <v>0</v>
      </c>
      <c r="AJ2003" s="126" t="e">
        <v>#N/A</v>
      </c>
      <c r="AK2003" s="80">
        <f t="shared" si="299"/>
        <v>0</v>
      </c>
      <c r="AM2003" s="85"/>
    </row>
    <row r="2004" spans="1:39" hidden="1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294"/>
        <v>4.5</v>
      </c>
      <c r="X2004" s="13">
        <f t="shared" si="288"/>
        <v>0</v>
      </c>
      <c r="Y2004" s="13">
        <f t="shared" si="295"/>
        <v>0</v>
      </c>
      <c r="Z2004" s="2">
        <v>0</v>
      </c>
      <c r="AA2004" s="4">
        <v>0</v>
      </c>
      <c r="AB2004" s="4">
        <f t="shared" si="296"/>
        <v>0</v>
      </c>
      <c r="AC2004" s="6">
        <f t="shared" si="297"/>
        <v>0</v>
      </c>
      <c r="AD2004" s="13">
        <f t="shared" si="289"/>
        <v>0</v>
      </c>
      <c r="AE2004" s="2">
        <v>0</v>
      </c>
      <c r="AF2004" s="5">
        <f t="shared" si="298"/>
        <v>0</v>
      </c>
      <c r="AG2004" s="2">
        <v>0</v>
      </c>
      <c r="AH2004" s="5">
        <f t="shared" si="290"/>
        <v>0</v>
      </c>
      <c r="AJ2004" s="126" t="e">
        <v>#N/A</v>
      </c>
      <c r="AK2004" s="80">
        <f t="shared" si="299"/>
        <v>0</v>
      </c>
      <c r="AM2004" s="85"/>
    </row>
    <row r="2005" spans="1:39" hidden="1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294"/>
        <v>150.11000000000101</v>
      </c>
      <c r="X2005" s="13">
        <f t="shared" si="288"/>
        <v>0</v>
      </c>
      <c r="Y2005" s="13">
        <f t="shared" si="295"/>
        <v>0</v>
      </c>
      <c r="Z2005" s="2">
        <v>0</v>
      </c>
      <c r="AA2005" s="4">
        <v>0</v>
      </c>
      <c r="AB2005" s="4">
        <f t="shared" si="296"/>
        <v>0</v>
      </c>
      <c r="AC2005" s="6">
        <f t="shared" si="297"/>
        <v>0</v>
      </c>
      <c r="AD2005" s="13">
        <f t="shared" si="289"/>
        <v>0</v>
      </c>
      <c r="AE2005" s="2">
        <v>0</v>
      </c>
      <c r="AF2005" s="5">
        <f t="shared" si="298"/>
        <v>0</v>
      </c>
      <c r="AG2005" s="2">
        <v>0</v>
      </c>
      <c r="AH2005" s="5">
        <f t="shared" si="290"/>
        <v>0</v>
      </c>
      <c r="AJ2005" s="126" t="e">
        <v>#N/A</v>
      </c>
      <c r="AK2005" s="80">
        <f t="shared" si="299"/>
        <v>0</v>
      </c>
      <c r="AM2005" s="85"/>
    </row>
    <row r="2006" spans="1:39" hidden="1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294"/>
        <v>0.22999999999999701</v>
      </c>
      <c r="X2006" s="13">
        <f t="shared" si="288"/>
        <v>0</v>
      </c>
      <c r="Y2006" s="13">
        <f t="shared" si="295"/>
        <v>0</v>
      </c>
      <c r="Z2006" s="2">
        <v>0</v>
      </c>
      <c r="AA2006" s="4">
        <v>0</v>
      </c>
      <c r="AB2006" s="4">
        <f t="shared" si="296"/>
        <v>0</v>
      </c>
      <c r="AC2006" s="6">
        <f t="shared" si="297"/>
        <v>0</v>
      </c>
      <c r="AD2006" s="13">
        <f t="shared" si="289"/>
        <v>0</v>
      </c>
      <c r="AE2006" s="2">
        <v>0</v>
      </c>
      <c r="AF2006" s="5">
        <f t="shared" si="298"/>
        <v>0</v>
      </c>
      <c r="AG2006" s="2">
        <v>0</v>
      </c>
      <c r="AH2006" s="5">
        <f t="shared" si="290"/>
        <v>0</v>
      </c>
      <c r="AJ2006" s="126" t="e">
        <v>#N/A</v>
      </c>
      <c r="AK2006" s="80">
        <f t="shared" si="299"/>
        <v>0</v>
      </c>
      <c r="AM2006" s="85"/>
    </row>
    <row r="2007" spans="1:39" hidden="1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294"/>
        <v>-13.600000000002201</v>
      </c>
      <c r="X2007" s="13">
        <f t="shared" si="288"/>
        <v>0</v>
      </c>
      <c r="Y2007" s="13">
        <f t="shared" si="295"/>
        <v>0</v>
      </c>
      <c r="Z2007" s="2">
        <v>0</v>
      </c>
      <c r="AA2007" s="4">
        <v>0</v>
      </c>
      <c r="AB2007" s="4">
        <f t="shared" si="296"/>
        <v>0</v>
      </c>
      <c r="AC2007" s="6">
        <f t="shared" si="297"/>
        <v>0</v>
      </c>
      <c r="AD2007" s="13">
        <f t="shared" si="289"/>
        <v>0</v>
      </c>
      <c r="AE2007" s="2">
        <v>0</v>
      </c>
      <c r="AF2007" s="5">
        <f t="shared" si="298"/>
        <v>0</v>
      </c>
      <c r="AG2007" s="2">
        <v>0</v>
      </c>
      <c r="AH2007" s="5">
        <f t="shared" si="290"/>
        <v>0</v>
      </c>
      <c r="AJ2007" s="126" t="e">
        <v>#N/A</v>
      </c>
      <c r="AK2007" s="80">
        <f t="shared" si="299"/>
        <v>0</v>
      </c>
      <c r="AM2007" s="85"/>
    </row>
    <row r="2008" spans="1:39" hidden="1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294"/>
        <v>-13.100000000000399</v>
      </c>
      <c r="X2008" s="13">
        <f t="shared" si="288"/>
        <v>0</v>
      </c>
      <c r="Y2008" s="13">
        <f t="shared" si="295"/>
        <v>0</v>
      </c>
      <c r="Z2008" s="2">
        <v>0</v>
      </c>
      <c r="AA2008" s="4">
        <v>0</v>
      </c>
      <c r="AB2008" s="4">
        <f t="shared" si="296"/>
        <v>0</v>
      </c>
      <c r="AC2008" s="6">
        <f t="shared" si="297"/>
        <v>0</v>
      </c>
      <c r="AD2008" s="13">
        <f t="shared" si="289"/>
        <v>0</v>
      </c>
      <c r="AE2008" s="2">
        <v>0</v>
      </c>
      <c r="AF2008" s="5">
        <f t="shared" si="298"/>
        <v>0</v>
      </c>
      <c r="AG2008" s="2">
        <v>0</v>
      </c>
      <c r="AH2008" s="5">
        <f t="shared" si="290"/>
        <v>0</v>
      </c>
      <c r="AJ2008" s="126" t="e">
        <v>#N/A</v>
      </c>
      <c r="AK2008" s="80">
        <f t="shared" si="299"/>
        <v>0</v>
      </c>
      <c r="AM2008" s="85"/>
    </row>
    <row r="2009" spans="1:39" hidden="1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294"/>
        <v>5.7</v>
      </c>
      <c r="X2009" s="13">
        <f t="shared" si="288"/>
        <v>0</v>
      </c>
      <c r="Y2009" s="13">
        <f t="shared" si="295"/>
        <v>0</v>
      </c>
      <c r="Z2009" s="2">
        <v>0</v>
      </c>
      <c r="AA2009" s="4">
        <v>0</v>
      </c>
      <c r="AB2009" s="4">
        <f t="shared" si="296"/>
        <v>0</v>
      </c>
      <c r="AC2009" s="6">
        <f t="shared" si="297"/>
        <v>0</v>
      </c>
      <c r="AD2009" s="13">
        <f t="shared" si="289"/>
        <v>0</v>
      </c>
      <c r="AE2009" s="2">
        <v>0</v>
      </c>
      <c r="AF2009" s="5">
        <f t="shared" si="298"/>
        <v>0</v>
      </c>
      <c r="AG2009" s="2">
        <v>0</v>
      </c>
      <c r="AH2009" s="5">
        <f t="shared" si="290"/>
        <v>0</v>
      </c>
      <c r="AJ2009" s="126" t="e">
        <v>#N/A</v>
      </c>
      <c r="AK2009" s="80">
        <f t="shared" si="299"/>
        <v>0</v>
      </c>
      <c r="AM2009" s="85"/>
    </row>
    <row r="2010" spans="1:39" hidden="1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294"/>
        <v>-72.400000000000006</v>
      </c>
      <c r="X2010" s="13">
        <f t="shared" si="288"/>
        <v>0</v>
      </c>
      <c r="Y2010" s="13">
        <f t="shared" si="295"/>
        <v>0</v>
      </c>
      <c r="Z2010" s="2">
        <v>0</v>
      </c>
      <c r="AA2010" s="4">
        <v>0</v>
      </c>
      <c r="AB2010" s="4">
        <f t="shared" si="296"/>
        <v>0</v>
      </c>
      <c r="AC2010" s="6">
        <f t="shared" si="297"/>
        <v>0</v>
      </c>
      <c r="AD2010" s="13">
        <f t="shared" si="289"/>
        <v>0</v>
      </c>
      <c r="AE2010" s="2">
        <v>0</v>
      </c>
      <c r="AF2010" s="5">
        <f t="shared" si="298"/>
        <v>0</v>
      </c>
      <c r="AG2010" s="2">
        <v>0</v>
      </c>
      <c r="AH2010" s="5">
        <f t="shared" si="290"/>
        <v>0</v>
      </c>
      <c r="AJ2010" s="126" t="e">
        <v>#N/A</v>
      </c>
      <c r="AK2010" s="80">
        <f t="shared" si="299"/>
        <v>0</v>
      </c>
      <c r="AM2010" s="85"/>
    </row>
    <row r="2011" spans="1:39" hidden="1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294"/>
        <v>99918.34</v>
      </c>
      <c r="X2011" s="13">
        <f t="shared" si="288"/>
        <v>0</v>
      </c>
      <c r="Y2011" s="13">
        <f t="shared" si="295"/>
        <v>0</v>
      </c>
      <c r="Z2011" s="2">
        <v>0</v>
      </c>
      <c r="AA2011" s="4">
        <v>0</v>
      </c>
      <c r="AB2011" s="4">
        <f t="shared" si="296"/>
        <v>0</v>
      </c>
      <c r="AC2011" s="6">
        <f t="shared" si="297"/>
        <v>0</v>
      </c>
      <c r="AD2011" s="13">
        <f t="shared" si="289"/>
        <v>0</v>
      </c>
      <c r="AE2011" s="2">
        <v>0</v>
      </c>
      <c r="AF2011" s="5">
        <f t="shared" si="298"/>
        <v>0</v>
      </c>
      <c r="AG2011" s="2">
        <v>0</v>
      </c>
      <c r="AH2011" s="5">
        <f t="shared" si="290"/>
        <v>0</v>
      </c>
      <c r="AJ2011" s="126" t="e">
        <v>#N/A</v>
      </c>
      <c r="AK2011" s="80">
        <f t="shared" si="299"/>
        <v>0</v>
      </c>
      <c r="AM2011" s="85"/>
    </row>
    <row r="2012" spans="1:39" hidden="1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294"/>
        <v>99116.210000000196</v>
      </c>
      <c r="X2012" s="13">
        <f t="shared" si="288"/>
        <v>0</v>
      </c>
      <c r="Y2012" s="13">
        <f t="shared" si="295"/>
        <v>0</v>
      </c>
      <c r="Z2012" s="2">
        <v>0</v>
      </c>
      <c r="AA2012" s="4">
        <v>0</v>
      </c>
      <c r="AB2012" s="4">
        <f t="shared" si="296"/>
        <v>0</v>
      </c>
      <c r="AC2012" s="6">
        <f t="shared" si="297"/>
        <v>0</v>
      </c>
      <c r="AD2012" s="13">
        <f t="shared" si="289"/>
        <v>0</v>
      </c>
      <c r="AE2012" s="2">
        <v>0</v>
      </c>
      <c r="AF2012" s="5">
        <f t="shared" si="298"/>
        <v>0</v>
      </c>
      <c r="AG2012" s="2">
        <v>0</v>
      </c>
      <c r="AH2012" s="5">
        <f t="shared" si="290"/>
        <v>0</v>
      </c>
      <c r="AJ2012" s="126" t="e">
        <v>#N/A</v>
      </c>
      <c r="AK2012" s="80">
        <f t="shared" si="299"/>
        <v>0</v>
      </c>
      <c r="AM2012" s="85"/>
    </row>
    <row r="2013" spans="1:39" hidden="1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294"/>
        <v>128.87999999991007</v>
      </c>
      <c r="X2013" s="13">
        <f t="shared" si="288"/>
        <v>0</v>
      </c>
      <c r="Y2013" s="13">
        <f t="shared" si="295"/>
        <v>0</v>
      </c>
      <c r="Z2013" s="2">
        <v>0</v>
      </c>
      <c r="AA2013" s="4">
        <v>0</v>
      </c>
      <c r="AB2013" s="4">
        <f t="shared" si="296"/>
        <v>0</v>
      </c>
      <c r="AC2013" s="6">
        <f t="shared" si="297"/>
        <v>0</v>
      </c>
      <c r="AD2013" s="13">
        <f t="shared" si="289"/>
        <v>0</v>
      </c>
      <c r="AE2013" s="2">
        <v>0</v>
      </c>
      <c r="AF2013" s="5">
        <f t="shared" si="298"/>
        <v>0</v>
      </c>
      <c r="AG2013" s="2">
        <v>0</v>
      </c>
      <c r="AH2013" s="5">
        <f t="shared" si="290"/>
        <v>0</v>
      </c>
      <c r="AJ2013" s="126" t="e">
        <v>#N/A</v>
      </c>
      <c r="AK2013" s="80">
        <f t="shared" si="299"/>
        <v>0</v>
      </c>
      <c r="AM2013" s="85"/>
    </row>
    <row r="2014" spans="1:39" hidden="1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294"/>
        <v>17294.249999999956</v>
      </c>
      <c r="X2014" s="13">
        <f t="shared" si="288"/>
        <v>0</v>
      </c>
      <c r="Y2014" s="13">
        <f t="shared" si="295"/>
        <v>0</v>
      </c>
      <c r="Z2014" s="2">
        <v>0.03</v>
      </c>
      <c r="AA2014" s="4">
        <f>X2014*Z2014</f>
        <v>0</v>
      </c>
      <c r="AB2014" s="4">
        <f t="shared" si="296"/>
        <v>0</v>
      </c>
      <c r="AC2014" s="6">
        <f t="shared" si="297"/>
        <v>0</v>
      </c>
      <c r="AD2014" s="13">
        <f t="shared" si="289"/>
        <v>0</v>
      </c>
      <c r="AE2014" s="2">
        <v>0</v>
      </c>
      <c r="AF2014" s="5">
        <f t="shared" si="298"/>
        <v>0</v>
      </c>
      <c r="AG2014" s="2">
        <v>0</v>
      </c>
      <c r="AH2014" s="5">
        <f t="shared" si="290"/>
        <v>0</v>
      </c>
      <c r="AJ2014" s="126" t="e">
        <v>#N/A</v>
      </c>
      <c r="AK2014" s="80">
        <f t="shared" si="299"/>
        <v>0</v>
      </c>
      <c r="AM2014" s="85"/>
    </row>
    <row r="2015" spans="1:39" hidden="1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294"/>
        <v>-99.199999999998894</v>
      </c>
      <c r="X2015" s="13">
        <f t="shared" si="288"/>
        <v>0</v>
      </c>
      <c r="Y2015" s="13">
        <f t="shared" si="295"/>
        <v>0</v>
      </c>
      <c r="Z2015" s="2">
        <v>0</v>
      </c>
      <c r="AA2015" s="4">
        <v>0</v>
      </c>
      <c r="AB2015" s="4">
        <f t="shared" si="296"/>
        <v>0</v>
      </c>
      <c r="AC2015" s="6">
        <f t="shared" si="297"/>
        <v>0</v>
      </c>
      <c r="AD2015" s="13">
        <f t="shared" si="289"/>
        <v>0</v>
      </c>
      <c r="AE2015" s="2">
        <v>0</v>
      </c>
      <c r="AF2015" s="5">
        <f t="shared" si="298"/>
        <v>0</v>
      </c>
      <c r="AG2015" s="2">
        <v>0</v>
      </c>
      <c r="AH2015" s="5">
        <f t="shared" si="290"/>
        <v>0</v>
      </c>
      <c r="AJ2015" s="126" t="e">
        <v>#N/A</v>
      </c>
      <c r="AK2015" s="80">
        <f t="shared" si="299"/>
        <v>0</v>
      </c>
      <c r="AM2015" s="85"/>
    </row>
    <row r="2016" spans="1:39" hidden="1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294"/>
        <v>-46.4</v>
      </c>
      <c r="X2016" s="13">
        <f t="shared" si="288"/>
        <v>0</v>
      </c>
      <c r="Y2016" s="13">
        <f t="shared" si="295"/>
        <v>0</v>
      </c>
      <c r="Z2016" s="2">
        <v>0</v>
      </c>
      <c r="AA2016" s="4">
        <v>0</v>
      </c>
      <c r="AB2016" s="4">
        <f t="shared" si="296"/>
        <v>0</v>
      </c>
      <c r="AC2016" s="6">
        <f t="shared" si="297"/>
        <v>0</v>
      </c>
      <c r="AD2016" s="13">
        <f t="shared" si="289"/>
        <v>0</v>
      </c>
      <c r="AE2016" s="2">
        <v>0</v>
      </c>
      <c r="AF2016" s="5">
        <f t="shared" si="298"/>
        <v>0</v>
      </c>
      <c r="AG2016" s="2">
        <v>0</v>
      </c>
      <c r="AH2016" s="5">
        <f t="shared" si="290"/>
        <v>0</v>
      </c>
      <c r="AJ2016" s="126" t="e">
        <v>#N/A</v>
      </c>
      <c r="AK2016" s="80">
        <f t="shared" si="299"/>
        <v>0</v>
      </c>
      <c r="AM2016" s="85"/>
    </row>
    <row r="2017" spans="1:39" hidden="1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294"/>
        <v>-68.149999999979627</v>
      </c>
      <c r="X2017" s="13">
        <f t="shared" ref="X2017:X2080" si="301">IF(P2017="折扣",V2017*Q2017,IF(P2017="返现",V2017,V2017/(1+Q2017)))</f>
        <v>0</v>
      </c>
      <c r="Y2017" s="13">
        <f t="shared" si="295"/>
        <v>0</v>
      </c>
      <c r="Z2017" s="2">
        <v>0</v>
      </c>
      <c r="AA2017" s="4">
        <v>0</v>
      </c>
      <c r="AB2017" s="4">
        <f t="shared" si="296"/>
        <v>0</v>
      </c>
      <c r="AC2017" s="6">
        <f t="shared" si="297"/>
        <v>0</v>
      </c>
      <c r="AD2017" s="13">
        <f t="shared" si="289"/>
        <v>0</v>
      </c>
      <c r="AE2017" s="2">
        <v>0</v>
      </c>
      <c r="AF2017" s="5">
        <f t="shared" si="298"/>
        <v>0</v>
      </c>
      <c r="AG2017" s="2">
        <v>0</v>
      </c>
      <c r="AH2017" s="5">
        <f t="shared" si="290"/>
        <v>0</v>
      </c>
      <c r="AJ2017" s="126" t="e">
        <v>#N/A</v>
      </c>
      <c r="AK2017" s="80">
        <f t="shared" si="299"/>
        <v>0</v>
      </c>
      <c r="AM2017" s="85"/>
    </row>
    <row r="2018" spans="1:39" hidden="1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294"/>
        <v>-13.999999999994801</v>
      </c>
      <c r="X2018" s="13">
        <f t="shared" si="301"/>
        <v>0</v>
      </c>
      <c r="Y2018" s="13">
        <f t="shared" si="295"/>
        <v>0</v>
      </c>
      <c r="Z2018" s="2">
        <v>0</v>
      </c>
      <c r="AA2018" s="4">
        <v>0</v>
      </c>
      <c r="AB2018" s="4">
        <f t="shared" si="296"/>
        <v>0</v>
      </c>
      <c r="AC2018" s="6">
        <f t="shared" si="297"/>
        <v>0</v>
      </c>
      <c r="AD2018" s="13">
        <f t="shared" ref="AD2018:AD2058" si="302">V2018</f>
        <v>0</v>
      </c>
      <c r="AE2018" s="2">
        <v>0</v>
      </c>
      <c r="AF2018" s="5">
        <f t="shared" si="298"/>
        <v>0</v>
      </c>
      <c r="AG2018" s="2">
        <v>0</v>
      </c>
      <c r="AH2018" s="5">
        <f t="shared" ref="AH2018:AH2058" si="303">V2018</f>
        <v>0</v>
      </c>
      <c r="AJ2018" s="126" t="e">
        <v>#N/A</v>
      </c>
      <c r="AK2018" s="80">
        <f t="shared" si="299"/>
        <v>0</v>
      </c>
      <c r="AM2018" s="85"/>
    </row>
    <row r="2019" spans="1:39" hidden="1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294"/>
        <v>12687.279999999999</v>
      </c>
      <c r="X2019" s="13">
        <f t="shared" si="301"/>
        <v>0</v>
      </c>
      <c r="Y2019" s="13">
        <f t="shared" si="295"/>
        <v>0</v>
      </c>
      <c r="Z2019" s="2">
        <v>0.03</v>
      </c>
      <c r="AA2019" s="4">
        <f>X2019*Z2019</f>
        <v>0</v>
      </c>
      <c r="AB2019" s="4">
        <f t="shared" si="296"/>
        <v>0</v>
      </c>
      <c r="AC2019" s="6">
        <f t="shared" si="297"/>
        <v>0</v>
      </c>
      <c r="AD2019" s="13">
        <f t="shared" si="302"/>
        <v>0</v>
      </c>
      <c r="AE2019" s="2">
        <v>0</v>
      </c>
      <c r="AF2019" s="5">
        <f t="shared" si="298"/>
        <v>0</v>
      </c>
      <c r="AG2019" s="2">
        <v>0</v>
      </c>
      <c r="AH2019" s="5">
        <f t="shared" si="303"/>
        <v>0</v>
      </c>
      <c r="AJ2019" s="126" t="e">
        <v>#N/A</v>
      </c>
      <c r="AK2019" s="80">
        <f t="shared" si="299"/>
        <v>0</v>
      </c>
      <c r="AM2019" s="85"/>
    </row>
    <row r="2020" spans="1:39" hidden="1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294"/>
        <v>0.23999999999980259</v>
      </c>
      <c r="X2020" s="13">
        <f t="shared" si="301"/>
        <v>1.2</v>
      </c>
      <c r="Y2020" s="13">
        <f t="shared" si="295"/>
        <v>0</v>
      </c>
      <c r="Z2020" s="2">
        <v>0</v>
      </c>
      <c r="AA2020" s="4">
        <v>0</v>
      </c>
      <c r="AB2020" s="4">
        <f t="shared" si="296"/>
        <v>1.2</v>
      </c>
      <c r="AC2020" s="6">
        <f t="shared" si="297"/>
        <v>0</v>
      </c>
      <c r="AD2020" s="13">
        <f t="shared" si="302"/>
        <v>1.2</v>
      </c>
      <c r="AE2020" s="2">
        <v>0</v>
      </c>
      <c r="AF2020" s="5">
        <f t="shared" si="298"/>
        <v>0</v>
      </c>
      <c r="AG2020" s="2">
        <v>0</v>
      </c>
      <c r="AH2020" s="5">
        <f t="shared" si="303"/>
        <v>1.2</v>
      </c>
      <c r="AJ2020" s="126" t="e">
        <v>#N/A</v>
      </c>
      <c r="AK2020" s="80">
        <f t="shared" si="299"/>
        <v>0</v>
      </c>
      <c r="AM2020" s="85"/>
    </row>
    <row r="2021" spans="1:39" hidden="1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294"/>
        <v>61.2</v>
      </c>
      <c r="X2021" s="13">
        <f t="shared" si="301"/>
        <v>0</v>
      </c>
      <c r="Y2021" s="13">
        <f t="shared" si="295"/>
        <v>0</v>
      </c>
      <c r="Z2021" s="2">
        <v>0</v>
      </c>
      <c r="AA2021" s="4">
        <v>0</v>
      </c>
      <c r="AB2021" s="4">
        <f t="shared" si="296"/>
        <v>0</v>
      </c>
      <c r="AC2021" s="6">
        <f t="shared" si="297"/>
        <v>0</v>
      </c>
      <c r="AD2021" s="13">
        <f t="shared" si="302"/>
        <v>0</v>
      </c>
      <c r="AE2021" s="2">
        <v>0</v>
      </c>
      <c r="AF2021" s="5">
        <f t="shared" si="298"/>
        <v>0</v>
      </c>
      <c r="AG2021" s="2">
        <v>0</v>
      </c>
      <c r="AH2021" s="5">
        <f t="shared" si="303"/>
        <v>0</v>
      </c>
      <c r="AJ2021" s="126" t="e">
        <v>#N/A</v>
      </c>
      <c r="AK2021" s="80">
        <f t="shared" si="299"/>
        <v>0</v>
      </c>
      <c r="AM2021" s="85"/>
    </row>
    <row r="2022" spans="1:39" hidden="1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294"/>
        <v>996</v>
      </c>
      <c r="X2022" s="13">
        <f t="shared" si="301"/>
        <v>0</v>
      </c>
      <c r="Y2022" s="13">
        <f t="shared" si="295"/>
        <v>0</v>
      </c>
      <c r="Z2022" s="2">
        <v>0</v>
      </c>
      <c r="AA2022" s="4">
        <v>0</v>
      </c>
      <c r="AB2022" s="4">
        <f t="shared" si="296"/>
        <v>0</v>
      </c>
      <c r="AC2022" s="6">
        <f t="shared" si="297"/>
        <v>0</v>
      </c>
      <c r="AD2022" s="13">
        <f t="shared" si="302"/>
        <v>0</v>
      </c>
      <c r="AE2022" s="2">
        <v>0</v>
      </c>
      <c r="AF2022" s="5">
        <f t="shared" si="298"/>
        <v>0</v>
      </c>
      <c r="AG2022" s="2">
        <v>0</v>
      </c>
      <c r="AH2022" s="5">
        <f t="shared" si="303"/>
        <v>0</v>
      </c>
      <c r="AJ2022" s="126" t="e">
        <v>#N/A</v>
      </c>
      <c r="AK2022" s="80">
        <f t="shared" si="299"/>
        <v>0</v>
      </c>
      <c r="AM2022" s="85"/>
    </row>
    <row r="2023" spans="1:39" hidden="1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294"/>
        <v>92388.24</v>
      </c>
      <c r="X2023" s="13">
        <f t="shared" si="301"/>
        <v>0</v>
      </c>
      <c r="Y2023" s="13">
        <f t="shared" si="295"/>
        <v>0</v>
      </c>
      <c r="Z2023" s="2">
        <v>0</v>
      </c>
      <c r="AA2023" s="4">
        <v>0</v>
      </c>
      <c r="AB2023" s="4">
        <f t="shared" si="296"/>
        <v>0</v>
      </c>
      <c r="AC2023" s="6">
        <f t="shared" si="297"/>
        <v>0</v>
      </c>
      <c r="AD2023" s="13">
        <f t="shared" si="302"/>
        <v>0</v>
      </c>
      <c r="AE2023" s="2">
        <v>0</v>
      </c>
      <c r="AF2023" s="5">
        <f t="shared" si="298"/>
        <v>0</v>
      </c>
      <c r="AG2023" s="2">
        <v>0</v>
      </c>
      <c r="AH2023" s="5">
        <f t="shared" si="303"/>
        <v>0</v>
      </c>
      <c r="AJ2023" s="126" t="e">
        <v>#N/A</v>
      </c>
      <c r="AK2023" s="80">
        <f t="shared" si="299"/>
        <v>0</v>
      </c>
      <c r="AM2023" s="85"/>
    </row>
    <row r="2024" spans="1:39" hidden="1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294"/>
        <v>184.29999999999899</v>
      </c>
      <c r="X2024" s="13">
        <f t="shared" si="301"/>
        <v>0</v>
      </c>
      <c r="Y2024" s="13">
        <f t="shared" si="295"/>
        <v>0</v>
      </c>
      <c r="Z2024" s="2">
        <v>0</v>
      </c>
      <c r="AA2024" s="4">
        <v>0</v>
      </c>
      <c r="AB2024" s="4">
        <f t="shared" si="296"/>
        <v>0</v>
      </c>
      <c r="AC2024" s="6">
        <f t="shared" si="297"/>
        <v>0</v>
      </c>
      <c r="AD2024" s="13">
        <f t="shared" si="302"/>
        <v>0</v>
      </c>
      <c r="AE2024" s="2">
        <v>0</v>
      </c>
      <c r="AF2024" s="5">
        <f t="shared" si="298"/>
        <v>0</v>
      </c>
      <c r="AG2024" s="2">
        <v>0</v>
      </c>
      <c r="AH2024" s="5">
        <f t="shared" si="303"/>
        <v>0</v>
      </c>
      <c r="AJ2024" s="126" t="e">
        <v>#N/A</v>
      </c>
      <c r="AK2024" s="80">
        <f t="shared" si="299"/>
        <v>0</v>
      </c>
      <c r="AM2024" s="85"/>
    </row>
    <row r="2025" spans="1:39" hidden="1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294"/>
        <v>21.840000000000099</v>
      </c>
      <c r="X2025" s="13">
        <f t="shared" si="301"/>
        <v>0</v>
      </c>
      <c r="Y2025" s="13">
        <f t="shared" si="295"/>
        <v>0</v>
      </c>
      <c r="Z2025" s="2">
        <v>0</v>
      </c>
      <c r="AA2025" s="4">
        <v>0</v>
      </c>
      <c r="AB2025" s="4">
        <f t="shared" si="296"/>
        <v>0</v>
      </c>
      <c r="AC2025" s="6">
        <f t="shared" si="297"/>
        <v>0</v>
      </c>
      <c r="AD2025" s="13">
        <f t="shared" si="302"/>
        <v>0</v>
      </c>
      <c r="AE2025" s="2">
        <v>0</v>
      </c>
      <c r="AF2025" s="5">
        <f t="shared" si="298"/>
        <v>0</v>
      </c>
      <c r="AG2025" s="2">
        <v>0</v>
      </c>
      <c r="AH2025" s="5">
        <f t="shared" si="303"/>
        <v>0</v>
      </c>
      <c r="AJ2025" s="126" t="e">
        <v>#N/A</v>
      </c>
      <c r="AK2025" s="80">
        <f t="shared" si="299"/>
        <v>0</v>
      </c>
      <c r="AM2025" s="85"/>
    </row>
    <row r="2026" spans="1:39" hidden="1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294"/>
        <v>-18.219999999999299</v>
      </c>
      <c r="X2026" s="13">
        <f t="shared" si="301"/>
        <v>0</v>
      </c>
      <c r="Y2026" s="13">
        <f t="shared" si="295"/>
        <v>0</v>
      </c>
      <c r="Z2026" s="2">
        <v>0</v>
      </c>
      <c r="AA2026" s="4">
        <v>0</v>
      </c>
      <c r="AB2026" s="4">
        <f t="shared" si="296"/>
        <v>0</v>
      </c>
      <c r="AC2026" s="6">
        <f t="shared" si="297"/>
        <v>0</v>
      </c>
      <c r="AD2026" s="13">
        <f t="shared" si="302"/>
        <v>0</v>
      </c>
      <c r="AE2026" s="2">
        <v>0</v>
      </c>
      <c r="AF2026" s="5">
        <f t="shared" si="298"/>
        <v>0</v>
      </c>
      <c r="AG2026" s="2">
        <v>0</v>
      </c>
      <c r="AH2026" s="5">
        <f t="shared" si="303"/>
        <v>0</v>
      </c>
      <c r="AJ2026" s="126" t="e">
        <v>#N/A</v>
      </c>
      <c r="AK2026" s="80">
        <f t="shared" si="299"/>
        <v>0</v>
      </c>
      <c r="AM2026" s="85"/>
    </row>
    <row r="2027" spans="1:39" hidden="1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294"/>
        <v>-11.5199999998986</v>
      </c>
      <c r="X2027" s="13">
        <f t="shared" si="301"/>
        <v>0</v>
      </c>
      <c r="Y2027" s="13">
        <f t="shared" si="295"/>
        <v>0</v>
      </c>
      <c r="Z2027" s="2">
        <v>0</v>
      </c>
      <c r="AA2027" s="4">
        <v>0</v>
      </c>
      <c r="AB2027" s="4">
        <f t="shared" si="296"/>
        <v>0</v>
      </c>
      <c r="AC2027" s="6">
        <f t="shared" si="297"/>
        <v>0</v>
      </c>
      <c r="AD2027" s="13">
        <f t="shared" si="302"/>
        <v>0</v>
      </c>
      <c r="AE2027" s="2">
        <v>0</v>
      </c>
      <c r="AF2027" s="5">
        <f t="shared" si="298"/>
        <v>0</v>
      </c>
      <c r="AG2027" s="2">
        <v>0</v>
      </c>
      <c r="AH2027" s="5">
        <f t="shared" si="303"/>
        <v>0</v>
      </c>
      <c r="AJ2027" s="126" t="e">
        <v>#N/A</v>
      </c>
      <c r="AK2027" s="80">
        <f t="shared" si="299"/>
        <v>0</v>
      </c>
      <c r="AM2027" s="85"/>
    </row>
    <row r="2028" spans="1:39" hidden="1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294"/>
        <v>-102.17</v>
      </c>
      <c r="X2028" s="13">
        <f t="shared" si="301"/>
        <v>0</v>
      </c>
      <c r="Y2028" s="13">
        <f t="shared" si="295"/>
        <v>0</v>
      </c>
      <c r="Z2028" s="2">
        <v>0</v>
      </c>
      <c r="AA2028" s="4">
        <v>0</v>
      </c>
      <c r="AB2028" s="4">
        <f t="shared" si="296"/>
        <v>0</v>
      </c>
      <c r="AC2028" s="6">
        <f t="shared" si="297"/>
        <v>0</v>
      </c>
      <c r="AD2028" s="13">
        <f t="shared" si="302"/>
        <v>0</v>
      </c>
      <c r="AE2028" s="2">
        <v>0</v>
      </c>
      <c r="AF2028" s="5">
        <f t="shared" si="298"/>
        <v>0</v>
      </c>
      <c r="AG2028" s="2">
        <v>0</v>
      </c>
      <c r="AH2028" s="5">
        <f t="shared" si="303"/>
        <v>0</v>
      </c>
      <c r="AJ2028" s="126" t="e">
        <v>#N/A</v>
      </c>
      <c r="AK2028" s="80">
        <f t="shared" si="299"/>
        <v>0</v>
      </c>
      <c r="AM2028" s="85"/>
    </row>
    <row r="2029" spans="1:39" hidden="1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294"/>
        <v>19624.8</v>
      </c>
      <c r="X2029" s="13">
        <f t="shared" si="301"/>
        <v>0</v>
      </c>
      <c r="Y2029" s="13">
        <f t="shared" si="295"/>
        <v>0</v>
      </c>
      <c r="Z2029" s="2">
        <v>0</v>
      </c>
      <c r="AA2029" s="4">
        <v>0</v>
      </c>
      <c r="AB2029" s="4">
        <f t="shared" si="296"/>
        <v>0</v>
      </c>
      <c r="AC2029" s="6">
        <f t="shared" si="297"/>
        <v>0</v>
      </c>
      <c r="AD2029" s="13">
        <f t="shared" si="302"/>
        <v>0</v>
      </c>
      <c r="AE2029" s="2">
        <v>0</v>
      </c>
      <c r="AF2029" s="5">
        <f t="shared" si="298"/>
        <v>0</v>
      </c>
      <c r="AG2029" s="2">
        <v>0</v>
      </c>
      <c r="AH2029" s="5">
        <f t="shared" si="303"/>
        <v>0</v>
      </c>
      <c r="AJ2029" s="126" t="e">
        <v>#N/A</v>
      </c>
      <c r="AK2029" s="80">
        <f t="shared" si="299"/>
        <v>0</v>
      </c>
      <c r="AM2029" s="85"/>
    </row>
    <row r="2030" spans="1:39" hidden="1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294"/>
        <v>-11.9000000000015</v>
      </c>
      <c r="X2030" s="13">
        <f t="shared" si="301"/>
        <v>0</v>
      </c>
      <c r="Y2030" s="13">
        <f t="shared" si="295"/>
        <v>0</v>
      </c>
      <c r="Z2030" s="2">
        <v>0</v>
      </c>
      <c r="AA2030" s="4">
        <v>0</v>
      </c>
      <c r="AB2030" s="4">
        <f t="shared" si="296"/>
        <v>0</v>
      </c>
      <c r="AC2030" s="6">
        <f t="shared" si="297"/>
        <v>0</v>
      </c>
      <c r="AD2030" s="13">
        <f t="shared" si="302"/>
        <v>0</v>
      </c>
      <c r="AE2030" s="2">
        <v>0</v>
      </c>
      <c r="AF2030" s="5">
        <f t="shared" si="298"/>
        <v>0</v>
      </c>
      <c r="AG2030" s="2">
        <v>0</v>
      </c>
      <c r="AH2030" s="5">
        <f t="shared" si="303"/>
        <v>0</v>
      </c>
      <c r="AJ2030" s="126" t="e">
        <v>#N/A</v>
      </c>
      <c r="AK2030" s="80">
        <f t="shared" si="299"/>
        <v>0</v>
      </c>
      <c r="AM2030" s="85"/>
    </row>
    <row r="2031" spans="1:39" hidden="1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294"/>
        <v>1633.6</v>
      </c>
      <c r="X2031" s="13">
        <f t="shared" si="301"/>
        <v>0</v>
      </c>
      <c r="Y2031" s="13">
        <f t="shared" si="295"/>
        <v>0</v>
      </c>
      <c r="Z2031" s="2">
        <v>0</v>
      </c>
      <c r="AA2031" s="4">
        <v>0</v>
      </c>
      <c r="AB2031" s="4">
        <f t="shared" si="296"/>
        <v>0</v>
      </c>
      <c r="AC2031" s="6">
        <f t="shared" si="297"/>
        <v>0</v>
      </c>
      <c r="AD2031" s="13">
        <f t="shared" si="302"/>
        <v>0</v>
      </c>
      <c r="AE2031" s="2">
        <v>0</v>
      </c>
      <c r="AF2031" s="5">
        <f t="shared" si="298"/>
        <v>0</v>
      </c>
      <c r="AG2031" s="2">
        <v>0</v>
      </c>
      <c r="AH2031" s="5">
        <f t="shared" si="303"/>
        <v>0</v>
      </c>
      <c r="AJ2031" s="126" t="e">
        <v>#N/A</v>
      </c>
      <c r="AK2031" s="80">
        <f t="shared" si="299"/>
        <v>0</v>
      </c>
      <c r="AM2031" s="85"/>
    </row>
    <row r="2032" spans="1:39" hidden="1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294"/>
        <v>154.28000000000975</v>
      </c>
      <c r="X2032" s="13">
        <f t="shared" si="301"/>
        <v>0</v>
      </c>
      <c r="Y2032" s="13">
        <f t="shared" si="295"/>
        <v>0</v>
      </c>
      <c r="Z2032" s="2">
        <v>0.01</v>
      </c>
      <c r="AA2032" s="4">
        <f>X2032/(1-Z2032)*Z2032</f>
        <v>0</v>
      </c>
      <c r="AB2032" s="4">
        <f t="shared" si="296"/>
        <v>0</v>
      </c>
      <c r="AC2032" s="6">
        <f t="shared" si="297"/>
        <v>0</v>
      </c>
      <c r="AD2032" s="13">
        <f t="shared" si="302"/>
        <v>0</v>
      </c>
      <c r="AE2032" s="2">
        <v>0</v>
      </c>
      <c r="AF2032" s="5">
        <f t="shared" si="298"/>
        <v>0</v>
      </c>
      <c r="AG2032" s="2">
        <v>0</v>
      </c>
      <c r="AH2032" s="5">
        <f t="shared" si="303"/>
        <v>0</v>
      </c>
      <c r="AJ2032" s="126" t="e">
        <v>#N/A</v>
      </c>
      <c r="AK2032" s="80">
        <f t="shared" si="299"/>
        <v>0</v>
      </c>
      <c r="AM2032" s="85"/>
    </row>
    <row r="2033" spans="1:39" hidden="1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294"/>
        <v>2639.8</v>
      </c>
      <c r="X2033" s="13">
        <f t="shared" si="301"/>
        <v>0</v>
      </c>
      <c r="Y2033" s="13">
        <f t="shared" si="295"/>
        <v>0</v>
      </c>
      <c r="Z2033" s="2">
        <v>0</v>
      </c>
      <c r="AA2033" s="4">
        <v>0</v>
      </c>
      <c r="AB2033" s="4">
        <f t="shared" si="296"/>
        <v>0</v>
      </c>
      <c r="AC2033" s="6">
        <f t="shared" si="297"/>
        <v>0</v>
      </c>
      <c r="AD2033" s="13">
        <f t="shared" si="302"/>
        <v>0</v>
      </c>
      <c r="AE2033" s="2">
        <v>0</v>
      </c>
      <c r="AF2033" s="5">
        <f t="shared" si="298"/>
        <v>0</v>
      </c>
      <c r="AG2033" s="2">
        <v>0</v>
      </c>
      <c r="AH2033" s="5">
        <f t="shared" si="303"/>
        <v>0</v>
      </c>
      <c r="AJ2033" s="126" t="e">
        <v>#N/A</v>
      </c>
      <c r="AK2033" s="80">
        <f t="shared" si="299"/>
        <v>0</v>
      </c>
      <c r="AM2033" s="85"/>
    </row>
    <row r="2034" spans="1:39" hidden="1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294"/>
        <v>7.0000000000000298E-2</v>
      </c>
      <c r="X2034" s="13">
        <f t="shared" si="301"/>
        <v>0</v>
      </c>
      <c r="Y2034" s="13">
        <f t="shared" si="295"/>
        <v>0</v>
      </c>
      <c r="Z2034" s="2">
        <v>0</v>
      </c>
      <c r="AA2034" s="4">
        <v>0</v>
      </c>
      <c r="AB2034" s="4"/>
      <c r="AC2034" s="6">
        <f t="shared" si="297"/>
        <v>0</v>
      </c>
      <c r="AD2034" s="13">
        <f t="shared" si="302"/>
        <v>0</v>
      </c>
      <c r="AE2034" s="2">
        <v>0</v>
      </c>
      <c r="AF2034" s="5">
        <f t="shared" si="298"/>
        <v>0</v>
      </c>
      <c r="AG2034" s="2">
        <v>0</v>
      </c>
      <c r="AH2034" s="5">
        <f t="shared" si="303"/>
        <v>0</v>
      </c>
      <c r="AJ2034" s="126">
        <v>45</v>
      </c>
      <c r="AK2034" s="80">
        <f t="shared" si="299"/>
        <v>0</v>
      </c>
      <c r="AM2034" s="85"/>
    </row>
    <row r="2035" spans="1:39" hidden="1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294"/>
        <v>136.5</v>
      </c>
      <c r="X2035" s="13">
        <f t="shared" si="301"/>
        <v>0</v>
      </c>
      <c r="Y2035" s="13">
        <f t="shared" si="295"/>
        <v>0</v>
      </c>
      <c r="Z2035" s="2">
        <v>0</v>
      </c>
      <c r="AA2035" s="4">
        <v>0</v>
      </c>
      <c r="AB2035" s="4">
        <f t="shared" si="296"/>
        <v>0</v>
      </c>
      <c r="AC2035" s="6">
        <f t="shared" si="297"/>
        <v>0</v>
      </c>
      <c r="AD2035" s="13">
        <f t="shared" si="302"/>
        <v>0</v>
      </c>
      <c r="AE2035" s="2">
        <v>0</v>
      </c>
      <c r="AF2035" s="5">
        <f t="shared" si="298"/>
        <v>0</v>
      </c>
      <c r="AG2035" s="2">
        <v>0</v>
      </c>
      <c r="AH2035" s="5">
        <f t="shared" si="303"/>
        <v>0</v>
      </c>
      <c r="AJ2035" s="126" t="e">
        <v>#N/A</v>
      </c>
      <c r="AK2035" s="80">
        <f t="shared" si="299"/>
        <v>0</v>
      </c>
      <c r="AM2035" s="85"/>
    </row>
    <row r="2036" spans="1:39" hidden="1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294"/>
        <v>6500.6</v>
      </c>
      <c r="X2036" s="13">
        <f t="shared" si="301"/>
        <v>0</v>
      </c>
      <c r="Y2036" s="13">
        <f t="shared" si="295"/>
        <v>0</v>
      </c>
      <c r="Z2036" s="2">
        <v>0.03</v>
      </c>
      <c r="AA2036" s="4">
        <f t="shared" ref="AA2036:AA2037" si="304">X2036*Z2036</f>
        <v>0</v>
      </c>
      <c r="AB2036" s="4">
        <f t="shared" si="296"/>
        <v>0</v>
      </c>
      <c r="AC2036" s="6">
        <f t="shared" si="297"/>
        <v>0</v>
      </c>
      <c r="AD2036" s="13">
        <f t="shared" si="302"/>
        <v>0</v>
      </c>
      <c r="AE2036" s="2">
        <v>0</v>
      </c>
      <c r="AF2036" s="5">
        <f t="shared" si="298"/>
        <v>0</v>
      </c>
      <c r="AG2036" s="2">
        <v>0</v>
      </c>
      <c r="AH2036" s="5">
        <f t="shared" si="303"/>
        <v>0</v>
      </c>
      <c r="AJ2036" s="126" t="e">
        <v>#N/A</v>
      </c>
      <c r="AK2036" s="80">
        <f t="shared" si="299"/>
        <v>0</v>
      </c>
      <c r="AM2036" s="85"/>
    </row>
    <row r="2037" spans="1:39" hidden="1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294"/>
        <v>102</v>
      </c>
      <c r="X2037" s="13">
        <f t="shared" si="301"/>
        <v>6</v>
      </c>
      <c r="Y2037" s="13">
        <f t="shared" si="295"/>
        <v>0</v>
      </c>
      <c r="Z2037" s="2">
        <v>0.03</v>
      </c>
      <c r="AA2037" s="4">
        <f t="shared" si="304"/>
        <v>0.18</v>
      </c>
      <c r="AB2037" s="4">
        <f t="shared" si="296"/>
        <v>6.18</v>
      </c>
      <c r="AC2037" s="6">
        <f t="shared" si="297"/>
        <v>0</v>
      </c>
      <c r="AD2037" s="13">
        <f t="shared" si="302"/>
        <v>6</v>
      </c>
      <c r="AE2037" s="2">
        <v>0</v>
      </c>
      <c r="AF2037" s="5">
        <f t="shared" si="298"/>
        <v>0</v>
      </c>
      <c r="AG2037" s="2">
        <v>0</v>
      </c>
      <c r="AH2037" s="5">
        <f t="shared" si="303"/>
        <v>6</v>
      </c>
      <c r="AJ2037" s="126" t="e">
        <v>#N/A</v>
      </c>
      <c r="AK2037" s="80">
        <f t="shared" si="299"/>
        <v>0</v>
      </c>
      <c r="AM2037" s="85"/>
    </row>
    <row r="2038" spans="1:39" hidden="1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294"/>
        <v>-4</v>
      </c>
      <c r="X2038" s="13">
        <f t="shared" si="301"/>
        <v>0</v>
      </c>
      <c r="Y2038" s="13">
        <f t="shared" si="295"/>
        <v>0</v>
      </c>
      <c r="Z2038" s="2">
        <v>0</v>
      </c>
      <c r="AA2038" s="4">
        <v>0</v>
      </c>
      <c r="AB2038" s="4">
        <f t="shared" si="296"/>
        <v>0</v>
      </c>
      <c r="AC2038" s="6">
        <f t="shared" si="297"/>
        <v>0</v>
      </c>
      <c r="AD2038" s="13">
        <f t="shared" si="302"/>
        <v>0</v>
      </c>
      <c r="AE2038" s="2">
        <v>0</v>
      </c>
      <c r="AF2038" s="5">
        <f t="shared" si="298"/>
        <v>0</v>
      </c>
      <c r="AG2038" s="2">
        <v>0</v>
      </c>
      <c r="AH2038" s="5">
        <f t="shared" si="303"/>
        <v>0</v>
      </c>
      <c r="AJ2038" s="126" t="e">
        <v>#N/A</v>
      </c>
      <c r="AK2038" s="80">
        <f t="shared" si="299"/>
        <v>0</v>
      </c>
      <c r="AM2038" s="85"/>
    </row>
    <row r="2039" spans="1:39" hidden="1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294"/>
        <v>-23.1999999999998</v>
      </c>
      <c r="X2039" s="13">
        <f t="shared" si="301"/>
        <v>0</v>
      </c>
      <c r="Y2039" s="13">
        <f t="shared" si="295"/>
        <v>0</v>
      </c>
      <c r="Z2039" s="2">
        <v>0</v>
      </c>
      <c r="AA2039" s="4">
        <v>0</v>
      </c>
      <c r="AB2039" s="4">
        <f t="shared" si="296"/>
        <v>0</v>
      </c>
      <c r="AC2039" s="6">
        <f t="shared" si="297"/>
        <v>0</v>
      </c>
      <c r="AD2039" s="13">
        <f t="shared" si="302"/>
        <v>0</v>
      </c>
      <c r="AE2039" s="2">
        <v>0</v>
      </c>
      <c r="AF2039" s="5">
        <f t="shared" si="298"/>
        <v>0</v>
      </c>
      <c r="AG2039" s="2">
        <v>0</v>
      </c>
      <c r="AH2039" s="5">
        <f t="shared" si="303"/>
        <v>0</v>
      </c>
      <c r="AJ2039" s="126" t="e">
        <v>#N/A</v>
      </c>
      <c r="AK2039" s="80">
        <f t="shared" si="299"/>
        <v>0</v>
      </c>
      <c r="AM2039" s="85"/>
    </row>
    <row r="2040" spans="1:39" hidden="1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294"/>
        <v>5.4</v>
      </c>
      <c r="X2040" s="13">
        <f t="shared" si="301"/>
        <v>0</v>
      </c>
      <c r="Y2040" s="13">
        <f t="shared" si="295"/>
        <v>0</v>
      </c>
      <c r="Z2040" s="2">
        <v>0</v>
      </c>
      <c r="AA2040" s="4">
        <v>0</v>
      </c>
      <c r="AB2040" s="4">
        <f t="shared" si="296"/>
        <v>0</v>
      </c>
      <c r="AC2040" s="6">
        <f t="shared" si="297"/>
        <v>0</v>
      </c>
      <c r="AD2040" s="13">
        <f t="shared" si="302"/>
        <v>0</v>
      </c>
      <c r="AE2040" s="2">
        <v>0</v>
      </c>
      <c r="AF2040" s="5">
        <f t="shared" si="298"/>
        <v>0</v>
      </c>
      <c r="AG2040" s="2">
        <v>0</v>
      </c>
      <c r="AH2040" s="5">
        <f t="shared" si="303"/>
        <v>0</v>
      </c>
      <c r="AJ2040" s="126" t="e">
        <v>#N/A</v>
      </c>
      <c r="AK2040" s="80">
        <f t="shared" si="299"/>
        <v>0</v>
      </c>
      <c r="AM2040" s="85"/>
    </row>
    <row r="2041" spans="1:39" hidden="1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294"/>
        <v>7992.7</v>
      </c>
      <c r="X2041" s="13">
        <f t="shared" si="301"/>
        <v>0</v>
      </c>
      <c r="Y2041" s="13">
        <f t="shared" si="295"/>
        <v>0</v>
      </c>
      <c r="Z2041" s="2">
        <v>0</v>
      </c>
      <c r="AA2041" s="4">
        <v>0</v>
      </c>
      <c r="AB2041" s="4">
        <f t="shared" si="296"/>
        <v>0</v>
      </c>
      <c r="AC2041" s="6">
        <f t="shared" si="297"/>
        <v>0</v>
      </c>
      <c r="AD2041" s="13">
        <f t="shared" si="302"/>
        <v>0</v>
      </c>
      <c r="AE2041" s="2">
        <v>0</v>
      </c>
      <c r="AF2041" s="5">
        <f t="shared" si="298"/>
        <v>0</v>
      </c>
      <c r="AG2041" s="2">
        <v>0</v>
      </c>
      <c r="AH2041" s="5">
        <f t="shared" si="303"/>
        <v>0</v>
      </c>
      <c r="AJ2041" s="126" t="e">
        <v>#N/A</v>
      </c>
      <c r="AK2041" s="80">
        <f t="shared" si="299"/>
        <v>0</v>
      </c>
      <c r="AM2041" s="85"/>
    </row>
    <row r="2042" spans="1:39" hidden="1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294"/>
        <v>-5</v>
      </c>
      <c r="X2042" s="13">
        <f t="shared" si="301"/>
        <v>0</v>
      </c>
      <c r="Y2042" s="13">
        <f t="shared" si="295"/>
        <v>0</v>
      </c>
      <c r="Z2042" s="2">
        <v>0</v>
      </c>
      <c r="AA2042" s="4">
        <v>0</v>
      </c>
      <c r="AB2042" s="4">
        <f t="shared" si="296"/>
        <v>0</v>
      </c>
      <c r="AC2042" s="6">
        <f t="shared" si="297"/>
        <v>0</v>
      </c>
      <c r="AD2042" s="13">
        <f t="shared" si="302"/>
        <v>0</v>
      </c>
      <c r="AE2042" s="2">
        <v>0</v>
      </c>
      <c r="AF2042" s="5">
        <f t="shared" si="298"/>
        <v>0</v>
      </c>
      <c r="AG2042" s="2">
        <v>0</v>
      </c>
      <c r="AH2042" s="5">
        <f t="shared" si="303"/>
        <v>0</v>
      </c>
      <c r="AJ2042" s="126" t="e">
        <v>#N/A</v>
      </c>
      <c r="AK2042" s="80">
        <f t="shared" si="299"/>
        <v>0</v>
      </c>
      <c r="AM2042" s="85"/>
    </row>
    <row r="2043" spans="1:39" hidden="1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294"/>
        <v>676.6</v>
      </c>
      <c r="X2043" s="13">
        <f t="shared" si="301"/>
        <v>0</v>
      </c>
      <c r="Y2043" s="13">
        <f t="shared" si="295"/>
        <v>0</v>
      </c>
      <c r="Z2043" s="2">
        <v>0</v>
      </c>
      <c r="AA2043" s="4">
        <v>0</v>
      </c>
      <c r="AB2043" s="4">
        <f t="shared" si="296"/>
        <v>0</v>
      </c>
      <c r="AC2043" s="6">
        <f t="shared" si="297"/>
        <v>0</v>
      </c>
      <c r="AD2043" s="13">
        <f t="shared" si="302"/>
        <v>0</v>
      </c>
      <c r="AE2043" s="2">
        <v>0</v>
      </c>
      <c r="AF2043" s="5">
        <f t="shared" si="298"/>
        <v>0</v>
      </c>
      <c r="AG2043" s="2">
        <v>0</v>
      </c>
      <c r="AH2043" s="5">
        <f t="shared" si="303"/>
        <v>0</v>
      </c>
      <c r="AJ2043" s="126" t="e">
        <v>#N/A</v>
      </c>
      <c r="AK2043" s="80">
        <f t="shared" si="299"/>
        <v>0</v>
      </c>
      <c r="AM2043" s="85"/>
    </row>
    <row r="2044" spans="1:39" hidden="1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294"/>
        <v>46.04</v>
      </c>
      <c r="X2044" s="13">
        <f t="shared" si="301"/>
        <v>0</v>
      </c>
      <c r="Y2044" s="13">
        <f t="shared" si="295"/>
        <v>0</v>
      </c>
      <c r="Z2044" s="2">
        <v>0</v>
      </c>
      <c r="AA2044" s="4">
        <v>0</v>
      </c>
      <c r="AB2044" s="4">
        <f t="shared" si="296"/>
        <v>0</v>
      </c>
      <c r="AC2044" s="6">
        <f t="shared" si="297"/>
        <v>0</v>
      </c>
      <c r="AD2044" s="13">
        <f t="shared" si="302"/>
        <v>0</v>
      </c>
      <c r="AE2044" s="2">
        <v>0</v>
      </c>
      <c r="AF2044" s="5">
        <f t="shared" si="298"/>
        <v>0</v>
      </c>
      <c r="AG2044" s="2">
        <v>0</v>
      </c>
      <c r="AH2044" s="5">
        <f t="shared" si="303"/>
        <v>0</v>
      </c>
      <c r="AJ2044" s="126" t="e">
        <v>#N/A</v>
      </c>
      <c r="AK2044" s="80">
        <f t="shared" si="299"/>
        <v>0</v>
      </c>
      <c r="AM2044" s="85"/>
    </row>
    <row r="2045" spans="1:39" hidden="1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294"/>
        <v>15624.1</v>
      </c>
      <c r="X2045" s="13">
        <f t="shared" si="301"/>
        <v>0</v>
      </c>
      <c r="Y2045" s="13">
        <f t="shared" si="295"/>
        <v>0</v>
      </c>
      <c r="Z2045" s="2">
        <v>0</v>
      </c>
      <c r="AA2045" s="4">
        <v>0</v>
      </c>
      <c r="AB2045" s="4">
        <f t="shared" si="296"/>
        <v>0</v>
      </c>
      <c r="AC2045" s="6">
        <f t="shared" si="297"/>
        <v>0</v>
      </c>
      <c r="AD2045" s="13">
        <f t="shared" si="302"/>
        <v>0</v>
      </c>
      <c r="AE2045" s="2">
        <v>0</v>
      </c>
      <c r="AF2045" s="5">
        <f t="shared" si="298"/>
        <v>0</v>
      </c>
      <c r="AG2045" s="2">
        <v>0</v>
      </c>
      <c r="AH2045" s="5">
        <f t="shared" si="303"/>
        <v>0</v>
      </c>
      <c r="AJ2045" s="126" t="e">
        <v>#N/A</v>
      </c>
      <c r="AK2045" s="80">
        <f t="shared" si="299"/>
        <v>0</v>
      </c>
      <c r="AM2045" s="85"/>
    </row>
    <row r="2046" spans="1:39" hidden="1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294"/>
        <v>105.94999999999982</v>
      </c>
      <c r="X2046" s="13">
        <f t="shared" si="301"/>
        <v>0</v>
      </c>
      <c r="Y2046" s="13">
        <f t="shared" si="295"/>
        <v>0</v>
      </c>
      <c r="Z2046" s="2">
        <v>0</v>
      </c>
      <c r="AA2046" s="4">
        <v>0</v>
      </c>
      <c r="AB2046" s="4">
        <f t="shared" si="296"/>
        <v>0</v>
      </c>
      <c r="AC2046" s="6">
        <f t="shared" si="297"/>
        <v>0</v>
      </c>
      <c r="AD2046" s="13">
        <f t="shared" si="302"/>
        <v>0</v>
      </c>
      <c r="AE2046" s="2">
        <v>0</v>
      </c>
      <c r="AF2046" s="5">
        <f t="shared" si="298"/>
        <v>0</v>
      </c>
      <c r="AG2046" s="2">
        <v>0</v>
      </c>
      <c r="AH2046" s="5">
        <f t="shared" si="303"/>
        <v>0</v>
      </c>
      <c r="AJ2046" s="126" t="e">
        <v>#N/A</v>
      </c>
      <c r="AK2046" s="80">
        <f t="shared" si="299"/>
        <v>0</v>
      </c>
      <c r="AM2046" s="85"/>
    </row>
    <row r="2047" spans="1:39" hidden="1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294"/>
        <v>691.69999999999982</v>
      </c>
      <c r="X2047" s="13">
        <f t="shared" si="301"/>
        <v>0</v>
      </c>
      <c r="Y2047" s="13">
        <f t="shared" si="295"/>
        <v>0</v>
      </c>
      <c r="Z2047" s="2">
        <v>0.05</v>
      </c>
      <c r="AA2047" s="4">
        <f t="shared" ref="AA2047:AA2049" si="305">X2047*Z2047</f>
        <v>0</v>
      </c>
      <c r="AB2047" s="4">
        <f t="shared" si="296"/>
        <v>0</v>
      </c>
      <c r="AC2047" s="6">
        <f t="shared" si="297"/>
        <v>0</v>
      </c>
      <c r="AD2047" s="13">
        <f t="shared" si="302"/>
        <v>0</v>
      </c>
      <c r="AE2047" s="2">
        <v>0</v>
      </c>
      <c r="AF2047" s="5">
        <f t="shared" si="298"/>
        <v>0</v>
      </c>
      <c r="AG2047" s="2">
        <v>0</v>
      </c>
      <c r="AH2047" s="5">
        <f t="shared" si="303"/>
        <v>0</v>
      </c>
      <c r="AJ2047" s="126" t="e">
        <v>#N/A</v>
      </c>
      <c r="AK2047" s="80">
        <f t="shared" si="299"/>
        <v>0</v>
      </c>
      <c r="AM2047" s="85"/>
    </row>
    <row r="2048" spans="1:39" hidden="1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06">T2048+U2048-V2048</f>
        <v>20000</v>
      </c>
      <c r="X2048" s="13">
        <f t="shared" si="301"/>
        <v>0</v>
      </c>
      <c r="Y2048" s="13">
        <f t="shared" si="295"/>
        <v>0</v>
      </c>
      <c r="Z2048" s="2">
        <v>0.03</v>
      </c>
      <c r="AA2048" s="4">
        <f t="shared" si="305"/>
        <v>0</v>
      </c>
      <c r="AB2048" s="4">
        <f t="shared" si="296"/>
        <v>0</v>
      </c>
      <c r="AC2048" s="6">
        <f t="shared" si="297"/>
        <v>0</v>
      </c>
      <c r="AD2048" s="13">
        <f t="shared" si="302"/>
        <v>0</v>
      </c>
      <c r="AE2048" s="2">
        <v>0</v>
      </c>
      <c r="AF2048" s="5">
        <f t="shared" si="298"/>
        <v>0</v>
      </c>
      <c r="AG2048" s="2">
        <v>0</v>
      </c>
      <c r="AH2048" s="5">
        <f t="shared" si="303"/>
        <v>0</v>
      </c>
      <c r="AJ2048" s="126" t="e">
        <v>#N/A</v>
      </c>
      <c r="AK2048" s="80">
        <f t="shared" si="299"/>
        <v>0</v>
      </c>
      <c r="AM2048" s="85"/>
    </row>
    <row r="2049" spans="1:39" hidden="1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06"/>
        <v>12</v>
      </c>
      <c r="X2049" s="13">
        <f t="shared" si="301"/>
        <v>0</v>
      </c>
      <c r="Y2049" s="13">
        <f t="shared" si="295"/>
        <v>0</v>
      </c>
      <c r="Z2049" s="2">
        <v>0.02</v>
      </c>
      <c r="AA2049" s="4">
        <f t="shared" si="305"/>
        <v>0</v>
      </c>
      <c r="AB2049" s="4">
        <f t="shared" si="296"/>
        <v>0</v>
      </c>
      <c r="AC2049" s="6">
        <f t="shared" si="297"/>
        <v>0</v>
      </c>
      <c r="AD2049" s="13">
        <f t="shared" si="302"/>
        <v>0</v>
      </c>
      <c r="AE2049" s="2">
        <v>0</v>
      </c>
      <c r="AF2049" s="5">
        <f t="shared" si="298"/>
        <v>0</v>
      </c>
      <c r="AG2049" s="2">
        <v>0</v>
      </c>
      <c r="AH2049" s="5">
        <f t="shared" si="303"/>
        <v>0</v>
      </c>
      <c r="AJ2049" s="126" t="e">
        <v>#N/A</v>
      </c>
      <c r="AK2049" s="80">
        <f t="shared" si="299"/>
        <v>0</v>
      </c>
      <c r="AM2049" s="85"/>
    </row>
    <row r="2050" spans="1:39" hidden="1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06"/>
        <v>-32</v>
      </c>
      <c r="X2050" s="13">
        <f t="shared" si="301"/>
        <v>0</v>
      </c>
      <c r="Y2050" s="13">
        <f t="shared" si="295"/>
        <v>0</v>
      </c>
      <c r="Z2050" s="2">
        <v>0</v>
      </c>
      <c r="AA2050" s="4">
        <v>0</v>
      </c>
      <c r="AB2050" s="4">
        <f t="shared" si="296"/>
        <v>0</v>
      </c>
      <c r="AC2050" s="6">
        <f t="shared" si="297"/>
        <v>0</v>
      </c>
      <c r="AD2050" s="13">
        <f t="shared" si="302"/>
        <v>0</v>
      </c>
      <c r="AE2050" s="2">
        <v>0</v>
      </c>
      <c r="AF2050" s="5">
        <f t="shared" si="298"/>
        <v>0</v>
      </c>
      <c r="AG2050" s="2">
        <v>0</v>
      </c>
      <c r="AH2050" s="5">
        <f t="shared" si="303"/>
        <v>0</v>
      </c>
      <c r="AJ2050" s="126" t="e">
        <v>#N/A</v>
      </c>
      <c r="AK2050" s="80">
        <f t="shared" si="299"/>
        <v>0</v>
      </c>
      <c r="AM2050" s="85"/>
    </row>
    <row r="2051" spans="1:39" hidden="1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06"/>
        <v>43.76</v>
      </c>
      <c r="X2051" s="13">
        <f t="shared" si="301"/>
        <v>0</v>
      </c>
      <c r="Y2051" s="13">
        <f t="shared" ref="Y2051:Y2114" si="30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08">X2051+AA2051</f>
        <v>0</v>
      </c>
      <c r="AC2051" s="6">
        <f t="shared" ref="AC2051:AC2114" si="309">IF(P2051="返现",X2051*Q2051,V2051-X2051)</f>
        <v>0</v>
      </c>
      <c r="AD2051" s="13">
        <f t="shared" si="302"/>
        <v>0</v>
      </c>
      <c r="AE2051" s="2">
        <v>0</v>
      </c>
      <c r="AF2051" s="5">
        <f t="shared" ref="AF2051:AF2114" si="310">AD2051*AE2051</f>
        <v>0</v>
      </c>
      <c r="AG2051" s="2">
        <v>0</v>
      </c>
      <c r="AH2051" s="5">
        <f t="shared" si="303"/>
        <v>0</v>
      </c>
      <c r="AJ2051" s="126" t="e">
        <v>#N/A</v>
      </c>
      <c r="AK2051" s="80">
        <f t="shared" ref="AK2051:AK2114" si="311">X2051+AA2051-AB2051</f>
        <v>0</v>
      </c>
      <c r="AM2051" s="85"/>
    </row>
    <row r="2052" spans="1:39" hidden="1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06"/>
        <v>28038</v>
      </c>
      <c r="X2052" s="13">
        <f t="shared" si="301"/>
        <v>0</v>
      </c>
      <c r="Y2052" s="13">
        <f t="shared" si="307"/>
        <v>0</v>
      </c>
      <c r="Z2052" s="2">
        <v>0</v>
      </c>
      <c r="AA2052" s="4">
        <v>0</v>
      </c>
      <c r="AB2052" s="4">
        <f t="shared" si="308"/>
        <v>0</v>
      </c>
      <c r="AC2052" s="6">
        <f t="shared" si="309"/>
        <v>0</v>
      </c>
      <c r="AD2052" s="13">
        <f t="shared" si="302"/>
        <v>0</v>
      </c>
      <c r="AE2052" s="2">
        <v>0</v>
      </c>
      <c r="AF2052" s="5">
        <f t="shared" si="310"/>
        <v>0</v>
      </c>
      <c r="AG2052" s="2">
        <v>0</v>
      </c>
      <c r="AH2052" s="5">
        <f t="shared" si="303"/>
        <v>0</v>
      </c>
      <c r="AJ2052" s="126" t="e">
        <v>#N/A</v>
      </c>
      <c r="AK2052" s="80">
        <f t="shared" si="311"/>
        <v>0</v>
      </c>
      <c r="AM2052" s="85"/>
    </row>
    <row r="2053" spans="1:39" hidden="1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06"/>
        <v>6846.43</v>
      </c>
      <c r="X2053" s="13">
        <f t="shared" si="301"/>
        <v>0</v>
      </c>
      <c r="Y2053" s="13">
        <f t="shared" si="307"/>
        <v>0</v>
      </c>
      <c r="Z2053" s="2">
        <v>0.02</v>
      </c>
      <c r="AA2053" s="4">
        <f>X2053*Z2053</f>
        <v>0</v>
      </c>
      <c r="AB2053" s="4">
        <f t="shared" si="308"/>
        <v>0</v>
      </c>
      <c r="AC2053" s="6">
        <f t="shared" si="309"/>
        <v>0</v>
      </c>
      <c r="AD2053" s="13">
        <f t="shared" si="302"/>
        <v>0</v>
      </c>
      <c r="AE2053" s="2">
        <v>0</v>
      </c>
      <c r="AF2053" s="5">
        <f t="shared" si="310"/>
        <v>0</v>
      </c>
      <c r="AG2053" s="2">
        <v>0</v>
      </c>
      <c r="AH2053" s="5">
        <f t="shared" si="303"/>
        <v>0</v>
      </c>
      <c r="AJ2053" s="126" t="e">
        <v>#N/A</v>
      </c>
      <c r="AK2053" s="80">
        <f t="shared" si="311"/>
        <v>0</v>
      </c>
      <c r="AM2053" s="85"/>
    </row>
    <row r="2054" spans="1:39" hidden="1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06"/>
        <v>10000</v>
      </c>
      <c r="X2054" s="13">
        <f t="shared" si="301"/>
        <v>0</v>
      </c>
      <c r="Y2054" s="13">
        <f t="shared" si="307"/>
        <v>0</v>
      </c>
      <c r="Z2054" s="2">
        <v>0</v>
      </c>
      <c r="AA2054" s="4">
        <v>0</v>
      </c>
      <c r="AB2054" s="4">
        <f t="shared" si="308"/>
        <v>0</v>
      </c>
      <c r="AC2054" s="6">
        <f t="shared" si="309"/>
        <v>0</v>
      </c>
      <c r="AD2054" s="13">
        <f t="shared" si="302"/>
        <v>0</v>
      </c>
      <c r="AE2054" s="2">
        <v>0</v>
      </c>
      <c r="AF2054" s="5">
        <f t="shared" si="310"/>
        <v>0</v>
      </c>
      <c r="AG2054" s="2">
        <v>0</v>
      </c>
      <c r="AH2054" s="5">
        <f t="shared" si="303"/>
        <v>0</v>
      </c>
      <c r="AJ2054" s="126" t="e">
        <v>#N/A</v>
      </c>
      <c r="AK2054" s="80">
        <f t="shared" si="311"/>
        <v>0</v>
      </c>
      <c r="AM2054" s="85"/>
    </row>
    <row r="2055" spans="1:39" hidden="1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06"/>
        <v>35484</v>
      </c>
      <c r="X2055" s="13">
        <f t="shared" si="301"/>
        <v>0</v>
      </c>
      <c r="Y2055" s="13">
        <f t="shared" si="307"/>
        <v>0</v>
      </c>
      <c r="Z2055" s="2">
        <v>0</v>
      </c>
      <c r="AA2055" s="4">
        <v>0</v>
      </c>
      <c r="AB2055" s="4">
        <f t="shared" si="308"/>
        <v>0</v>
      </c>
      <c r="AC2055" s="6">
        <f t="shared" si="309"/>
        <v>0</v>
      </c>
      <c r="AD2055" s="13">
        <f t="shared" si="302"/>
        <v>0</v>
      </c>
      <c r="AE2055" s="2">
        <v>0</v>
      </c>
      <c r="AF2055" s="5">
        <f t="shared" si="310"/>
        <v>0</v>
      </c>
      <c r="AG2055" s="2">
        <v>0</v>
      </c>
      <c r="AH2055" s="5">
        <f t="shared" si="303"/>
        <v>0</v>
      </c>
      <c r="AJ2055" s="126" t="e">
        <v>#N/A</v>
      </c>
      <c r="AK2055" s="80">
        <f t="shared" si="311"/>
        <v>0</v>
      </c>
      <c r="AM2055" s="85"/>
    </row>
    <row r="2056" spans="1:39" hidden="1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06"/>
        <v>400000</v>
      </c>
      <c r="X2056" s="13">
        <f t="shared" si="301"/>
        <v>0</v>
      </c>
      <c r="Y2056" s="13">
        <f t="shared" si="307"/>
        <v>0</v>
      </c>
      <c r="Z2056" s="2">
        <v>0</v>
      </c>
      <c r="AA2056" s="4">
        <v>0</v>
      </c>
      <c r="AB2056" s="4">
        <f t="shared" si="308"/>
        <v>0</v>
      </c>
      <c r="AC2056" s="6">
        <f t="shared" si="309"/>
        <v>0</v>
      </c>
      <c r="AD2056" s="13">
        <f t="shared" si="302"/>
        <v>0</v>
      </c>
      <c r="AE2056" s="2">
        <v>0</v>
      </c>
      <c r="AF2056" s="5">
        <f t="shared" si="310"/>
        <v>0</v>
      </c>
      <c r="AG2056" s="2">
        <v>0</v>
      </c>
      <c r="AH2056" s="5">
        <f t="shared" si="303"/>
        <v>0</v>
      </c>
      <c r="AJ2056" s="126" t="e">
        <v>#N/A</v>
      </c>
      <c r="AK2056" s="80">
        <f t="shared" si="311"/>
        <v>0</v>
      </c>
      <c r="AM2056" s="85"/>
    </row>
    <row r="2057" spans="1:39" hidden="1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06"/>
        <v>10</v>
      </c>
      <c r="X2057" s="13">
        <f t="shared" si="301"/>
        <v>0</v>
      </c>
      <c r="Y2057" s="13">
        <f t="shared" si="307"/>
        <v>0</v>
      </c>
      <c r="Z2057" s="2">
        <v>0</v>
      </c>
      <c r="AA2057" s="4">
        <v>0</v>
      </c>
      <c r="AB2057" s="4">
        <f t="shared" si="308"/>
        <v>0</v>
      </c>
      <c r="AC2057" s="6">
        <f t="shared" si="309"/>
        <v>0</v>
      </c>
      <c r="AD2057" s="13">
        <f t="shared" si="302"/>
        <v>0</v>
      </c>
      <c r="AE2057" s="2">
        <v>0</v>
      </c>
      <c r="AF2057" s="5">
        <f t="shared" si="310"/>
        <v>0</v>
      </c>
      <c r="AG2057" s="2">
        <v>0</v>
      </c>
      <c r="AH2057" s="5">
        <f t="shared" si="303"/>
        <v>0</v>
      </c>
      <c r="AJ2057" s="126" t="e">
        <v>#N/A</v>
      </c>
      <c r="AK2057" s="80">
        <f t="shared" si="311"/>
        <v>0</v>
      </c>
      <c r="AM2057" s="85"/>
    </row>
    <row r="2058" spans="1:39" hidden="1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06"/>
        <v>148.93</v>
      </c>
      <c r="X2058" s="13">
        <f t="shared" si="301"/>
        <v>0</v>
      </c>
      <c r="Y2058" s="13">
        <f t="shared" si="307"/>
        <v>0</v>
      </c>
      <c r="Z2058" s="2">
        <v>0</v>
      </c>
      <c r="AA2058" s="4">
        <v>0</v>
      </c>
      <c r="AB2058" s="4">
        <f t="shared" si="308"/>
        <v>0</v>
      </c>
      <c r="AC2058" s="6">
        <f t="shared" si="309"/>
        <v>0</v>
      </c>
      <c r="AD2058" s="13">
        <f t="shared" si="302"/>
        <v>0</v>
      </c>
      <c r="AE2058" s="2">
        <v>0</v>
      </c>
      <c r="AF2058" s="5">
        <f t="shared" si="310"/>
        <v>0</v>
      </c>
      <c r="AG2058" s="2">
        <v>0</v>
      </c>
      <c r="AH2058" s="5">
        <f t="shared" si="303"/>
        <v>0</v>
      </c>
      <c r="AJ2058" s="126" t="e">
        <v>#N/A</v>
      </c>
      <c r="AK2058" s="80">
        <f t="shared" si="311"/>
        <v>0</v>
      </c>
      <c r="AM2058" s="85"/>
    </row>
    <row r="2059" spans="1:39" hidden="1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06"/>
        <v>25354.731999999996</v>
      </c>
      <c r="X2059" s="13">
        <f t="shared" si="301"/>
        <v>14645.269500000002</v>
      </c>
      <c r="Y2059" s="13">
        <f t="shared" si="307"/>
        <v>14645.269500000002</v>
      </c>
      <c r="Z2059" s="2">
        <v>0</v>
      </c>
      <c r="AA2059" s="4">
        <v>0</v>
      </c>
      <c r="AB2059" s="4">
        <f t="shared" si="308"/>
        <v>14645.269500000002</v>
      </c>
      <c r="AC2059" s="6">
        <f t="shared" si="309"/>
        <v>0</v>
      </c>
      <c r="AD2059" s="4">
        <v>0</v>
      </c>
      <c r="AE2059" s="2">
        <v>0.1</v>
      </c>
      <c r="AF2059" s="5">
        <f t="shared" si="31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11"/>
        <v>0</v>
      </c>
      <c r="AM2059" s="85"/>
    </row>
    <row r="2060" spans="1:39" hidden="1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06"/>
        <v>496351.63899999997</v>
      </c>
      <c r="X2060" s="13">
        <f>IF(P2060="折扣",V2060*Q2060,IF(P2060="返现",V2060,(V2060-56367.24)/(1+Q2060)))</f>
        <v>1057913.9565217393</v>
      </c>
      <c r="Y2060" s="13">
        <f t="shared" si="307"/>
        <v>276822.21652173926</v>
      </c>
      <c r="Z2060" s="2">
        <v>0</v>
      </c>
      <c r="AA2060" s="4">
        <v>0</v>
      </c>
      <c r="AB2060" s="4">
        <f t="shared" si="308"/>
        <v>1057913.9565217393</v>
      </c>
      <c r="AC2060" s="6">
        <f t="shared" si="309"/>
        <v>215054.33347826079</v>
      </c>
      <c r="AD2060" s="4">
        <v>781091.74</v>
      </c>
      <c r="AE2060" s="2">
        <v>0.1</v>
      </c>
      <c r="AF2060" s="5">
        <f t="shared" si="310"/>
        <v>78109.173999999999</v>
      </c>
      <c r="AG2060" s="2">
        <v>0.15</v>
      </c>
      <c r="AH2060" s="4">
        <f t="shared" ref="AH2060:AH2076" si="312">V2060/(1+AG2060)</f>
        <v>1106928.947826087</v>
      </c>
      <c r="AJ2060" s="126" t="e">
        <v>#N/A</v>
      </c>
      <c r="AK2060" s="80">
        <f t="shared" si="311"/>
        <v>0</v>
      </c>
      <c r="AM2060" s="85"/>
    </row>
    <row r="2061" spans="1:39" hidden="1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06"/>
        <v>106144.81999999995</v>
      </c>
      <c r="X2061" s="13">
        <f>IF(P2061="折扣",V2061*Q2061,IF(P2061="返现",V2061,(V2061-2364.03)/(1+Q2061)))</f>
        <v>234331.0608695652</v>
      </c>
      <c r="Y2061" s="13">
        <f t="shared" si="307"/>
        <v>0</v>
      </c>
      <c r="Z2061" s="2">
        <v>0</v>
      </c>
      <c r="AA2061" s="4">
        <v>0</v>
      </c>
      <c r="AB2061" s="4">
        <f t="shared" si="308"/>
        <v>234331.0608695652</v>
      </c>
      <c r="AC2061" s="6">
        <f t="shared" si="309"/>
        <v>37513.689130434796</v>
      </c>
      <c r="AD2061" s="4">
        <v>271844.75</v>
      </c>
      <c r="AE2061" s="2">
        <v>0.1</v>
      </c>
      <c r="AF2061" s="5">
        <f t="shared" si="310"/>
        <v>27184.475000000002</v>
      </c>
      <c r="AG2061" s="2">
        <v>0.15</v>
      </c>
      <c r="AH2061" s="4">
        <f t="shared" si="312"/>
        <v>236386.73913043481</v>
      </c>
      <c r="AJ2061" s="126" t="e">
        <v>#N/A</v>
      </c>
      <c r="AK2061" s="80">
        <f t="shared" si="311"/>
        <v>0</v>
      </c>
      <c r="AM2061" s="85"/>
    </row>
    <row r="2062" spans="1:39" hidden="1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06"/>
        <v>0</v>
      </c>
      <c r="X2062" s="13">
        <f t="shared" si="301"/>
        <v>5306.2549999999992</v>
      </c>
      <c r="Y2062" s="13">
        <f t="shared" si="307"/>
        <v>5306.2549999999992</v>
      </c>
      <c r="Z2062" s="2">
        <v>0</v>
      </c>
      <c r="AA2062" s="4">
        <v>0</v>
      </c>
      <c r="AB2062" s="4">
        <f t="shared" si="308"/>
        <v>5306.2549999999992</v>
      </c>
      <c r="AC2062" s="6">
        <f t="shared" si="309"/>
        <v>530.6255000000001</v>
      </c>
      <c r="AD2062" s="4">
        <v>0</v>
      </c>
      <c r="AE2062" s="2">
        <v>0.1</v>
      </c>
      <c r="AF2062" s="5">
        <f t="shared" si="310"/>
        <v>0</v>
      </c>
      <c r="AG2062" s="2">
        <v>0.15</v>
      </c>
      <c r="AH2062" s="4">
        <f t="shared" si="312"/>
        <v>5075.5482608695647</v>
      </c>
      <c r="AJ2062" s="126" t="e">
        <v>#N/A</v>
      </c>
      <c r="AK2062" s="80">
        <f t="shared" si="311"/>
        <v>0</v>
      </c>
      <c r="AM2062" s="85"/>
    </row>
    <row r="2063" spans="1:39" hidden="1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06"/>
        <v>577631.91199999966</v>
      </c>
      <c r="X2063" s="13">
        <f t="shared" si="301"/>
        <v>0</v>
      </c>
      <c r="Y2063" s="13">
        <f t="shared" si="307"/>
        <v>0</v>
      </c>
      <c r="Z2063" s="2">
        <v>0</v>
      </c>
      <c r="AA2063" s="4">
        <v>0</v>
      </c>
      <c r="AB2063" s="4">
        <f t="shared" si="308"/>
        <v>0</v>
      </c>
      <c r="AC2063" s="6">
        <f t="shared" si="309"/>
        <v>0</v>
      </c>
      <c r="AD2063" s="4">
        <v>0</v>
      </c>
      <c r="AE2063" s="2">
        <v>0.1</v>
      </c>
      <c r="AF2063" s="5">
        <f t="shared" si="310"/>
        <v>0</v>
      </c>
      <c r="AG2063" s="2">
        <v>0.15</v>
      </c>
      <c r="AH2063" s="4">
        <f t="shared" si="312"/>
        <v>0</v>
      </c>
      <c r="AJ2063" s="126" t="e">
        <v>#N/A</v>
      </c>
      <c r="AK2063" s="80">
        <f t="shared" si="311"/>
        <v>0</v>
      </c>
      <c r="AM2063" s="85"/>
    </row>
    <row r="2064" spans="1:39" hidden="1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06"/>
        <v>41153.254499999981</v>
      </c>
      <c r="X2064" s="13">
        <f t="shared" si="301"/>
        <v>0</v>
      </c>
      <c r="Y2064" s="13">
        <f t="shared" si="307"/>
        <v>0</v>
      </c>
      <c r="Z2064" s="2">
        <v>0</v>
      </c>
      <c r="AA2064" s="4">
        <v>0</v>
      </c>
      <c r="AB2064" s="4">
        <f t="shared" si="308"/>
        <v>0</v>
      </c>
      <c r="AC2064" s="6">
        <f t="shared" si="309"/>
        <v>0</v>
      </c>
      <c r="AD2064" s="4">
        <v>0</v>
      </c>
      <c r="AE2064" s="2">
        <v>0.1</v>
      </c>
      <c r="AF2064" s="5">
        <f t="shared" si="310"/>
        <v>0</v>
      </c>
      <c r="AG2064" s="2">
        <v>0.15</v>
      </c>
      <c r="AH2064" s="4">
        <f t="shared" si="312"/>
        <v>0</v>
      </c>
      <c r="AJ2064" s="126" t="e">
        <v>#N/A</v>
      </c>
      <c r="AK2064" s="80">
        <f t="shared" si="311"/>
        <v>0</v>
      </c>
      <c r="AM2064" s="85"/>
    </row>
    <row r="2065" spans="1:39" hidden="1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06"/>
        <v>45000.331500000029</v>
      </c>
      <c r="X2065" s="13">
        <f t="shared" si="301"/>
        <v>0</v>
      </c>
      <c r="Y2065" s="13">
        <f t="shared" si="307"/>
        <v>0</v>
      </c>
      <c r="Z2065" s="2">
        <v>0</v>
      </c>
      <c r="AA2065" s="4">
        <v>0</v>
      </c>
      <c r="AB2065" s="4">
        <f t="shared" si="308"/>
        <v>0</v>
      </c>
      <c r="AC2065" s="6">
        <f t="shared" si="309"/>
        <v>0</v>
      </c>
      <c r="AD2065" s="4">
        <v>0</v>
      </c>
      <c r="AE2065" s="2">
        <v>0.1</v>
      </c>
      <c r="AF2065" s="5">
        <f t="shared" si="310"/>
        <v>0</v>
      </c>
      <c r="AG2065" s="2">
        <v>0.15</v>
      </c>
      <c r="AH2065" s="4">
        <f t="shared" si="312"/>
        <v>0</v>
      </c>
      <c r="AJ2065" s="126" t="e">
        <v>#N/A</v>
      </c>
      <c r="AK2065" s="80">
        <f t="shared" si="311"/>
        <v>0</v>
      </c>
      <c r="AM2065" s="85"/>
    </row>
    <row r="2066" spans="1:39" hidden="1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06"/>
        <v>-0.48100000011618249</v>
      </c>
      <c r="X2066" s="13">
        <f t="shared" si="301"/>
        <v>0</v>
      </c>
      <c r="Y2066" s="13">
        <f t="shared" si="307"/>
        <v>0</v>
      </c>
      <c r="Z2066" s="2">
        <v>0</v>
      </c>
      <c r="AA2066" s="4">
        <v>0</v>
      </c>
      <c r="AB2066" s="4">
        <f t="shared" si="308"/>
        <v>0</v>
      </c>
      <c r="AC2066" s="6">
        <f t="shared" si="309"/>
        <v>0</v>
      </c>
      <c r="AD2066" s="4">
        <v>0</v>
      </c>
      <c r="AE2066" s="2">
        <v>0.1</v>
      </c>
      <c r="AF2066" s="5">
        <f t="shared" si="310"/>
        <v>0</v>
      </c>
      <c r="AG2066" s="2">
        <v>0.15</v>
      </c>
      <c r="AH2066" s="4">
        <f t="shared" si="312"/>
        <v>0</v>
      </c>
      <c r="AJ2066" s="126" t="e">
        <v>#N/A</v>
      </c>
      <c r="AK2066" s="80">
        <f t="shared" si="311"/>
        <v>0</v>
      </c>
      <c r="AM2066" s="85"/>
    </row>
    <row r="2067" spans="1:39" hidden="1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06"/>
        <v>675.27800000000207</v>
      </c>
      <c r="X2067" s="13">
        <f t="shared" si="301"/>
        <v>0</v>
      </c>
      <c r="Y2067" s="13">
        <f t="shared" si="307"/>
        <v>0</v>
      </c>
      <c r="Z2067" s="2">
        <v>0</v>
      </c>
      <c r="AA2067" s="4">
        <v>0</v>
      </c>
      <c r="AB2067" s="4">
        <f t="shared" si="308"/>
        <v>0</v>
      </c>
      <c r="AC2067" s="6">
        <f t="shared" si="309"/>
        <v>0</v>
      </c>
      <c r="AD2067" s="4">
        <v>0</v>
      </c>
      <c r="AE2067" s="2">
        <v>0.1</v>
      </c>
      <c r="AF2067" s="5">
        <f t="shared" si="310"/>
        <v>0</v>
      </c>
      <c r="AG2067" s="2">
        <v>0.15</v>
      </c>
      <c r="AH2067" s="4">
        <f t="shared" si="312"/>
        <v>0</v>
      </c>
      <c r="AJ2067" s="126" t="e">
        <v>#N/A</v>
      </c>
      <c r="AK2067" s="80">
        <f t="shared" si="311"/>
        <v>0</v>
      </c>
      <c r="AM2067" s="85"/>
    </row>
    <row r="2068" spans="1:39" hidden="1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06"/>
        <v>13132.321499999998</v>
      </c>
      <c r="X2068" s="13">
        <f t="shared" si="301"/>
        <v>0</v>
      </c>
      <c r="Y2068" s="13">
        <f t="shared" si="307"/>
        <v>0</v>
      </c>
      <c r="Z2068" s="2">
        <v>0</v>
      </c>
      <c r="AA2068" s="4">
        <v>0</v>
      </c>
      <c r="AB2068" s="4">
        <f t="shared" si="308"/>
        <v>0</v>
      </c>
      <c r="AC2068" s="6">
        <f t="shared" si="309"/>
        <v>0</v>
      </c>
      <c r="AD2068" s="4">
        <v>0</v>
      </c>
      <c r="AE2068" s="2">
        <v>0.1</v>
      </c>
      <c r="AF2068" s="5">
        <f t="shared" si="310"/>
        <v>0</v>
      </c>
      <c r="AG2068" s="2">
        <v>0.15</v>
      </c>
      <c r="AH2068" s="4">
        <f t="shared" si="312"/>
        <v>0</v>
      </c>
      <c r="AJ2068" s="126" t="e">
        <v>#N/A</v>
      </c>
      <c r="AK2068" s="80">
        <f t="shared" si="311"/>
        <v>0</v>
      </c>
      <c r="AM2068" s="85"/>
    </row>
    <row r="2069" spans="1:39" hidden="1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06"/>
        <v>1.4499999999088686E-2</v>
      </c>
      <c r="X2069" s="13">
        <f t="shared" si="301"/>
        <v>0</v>
      </c>
      <c r="Y2069" s="13">
        <f t="shared" si="307"/>
        <v>0</v>
      </c>
      <c r="Z2069" s="2">
        <v>0</v>
      </c>
      <c r="AA2069" s="4">
        <v>0</v>
      </c>
      <c r="AB2069" s="4">
        <f t="shared" si="308"/>
        <v>0</v>
      </c>
      <c r="AC2069" s="6">
        <f t="shared" si="309"/>
        <v>0</v>
      </c>
      <c r="AD2069" s="4">
        <v>0</v>
      </c>
      <c r="AE2069" s="2">
        <v>0.1</v>
      </c>
      <c r="AF2069" s="5">
        <f t="shared" si="310"/>
        <v>0</v>
      </c>
      <c r="AG2069" s="2">
        <v>0.15</v>
      </c>
      <c r="AH2069" s="4">
        <f t="shared" si="312"/>
        <v>0</v>
      </c>
      <c r="AJ2069" s="126" t="e">
        <v>#N/A</v>
      </c>
      <c r="AK2069" s="80">
        <f t="shared" si="311"/>
        <v>0</v>
      </c>
      <c r="AM2069" s="85"/>
    </row>
    <row r="2070" spans="1:39" hidden="1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06"/>
        <v>1.3999999999668944E-2</v>
      </c>
      <c r="X2070" s="13">
        <f t="shared" si="301"/>
        <v>0</v>
      </c>
      <c r="Y2070" s="13">
        <f t="shared" si="307"/>
        <v>0</v>
      </c>
      <c r="Z2070" s="2">
        <v>0</v>
      </c>
      <c r="AA2070" s="4">
        <v>0</v>
      </c>
      <c r="AB2070" s="4">
        <f t="shared" si="308"/>
        <v>0</v>
      </c>
      <c r="AC2070" s="6">
        <f t="shared" si="309"/>
        <v>0</v>
      </c>
      <c r="AD2070" s="4">
        <v>0</v>
      </c>
      <c r="AE2070" s="2">
        <v>0.1</v>
      </c>
      <c r="AF2070" s="5">
        <f t="shared" si="310"/>
        <v>0</v>
      </c>
      <c r="AG2070" s="2">
        <v>0.15</v>
      </c>
      <c r="AH2070" s="4">
        <f t="shared" si="312"/>
        <v>0</v>
      </c>
      <c r="AJ2070" s="126" t="e">
        <v>#N/A</v>
      </c>
      <c r="AK2070" s="80">
        <f t="shared" si="311"/>
        <v>0</v>
      </c>
      <c r="AM2070" s="85"/>
    </row>
    <row r="2071" spans="1:39" hidden="1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06"/>
        <v>2740.9789999999998</v>
      </c>
      <c r="X2071" s="13">
        <f t="shared" si="301"/>
        <v>0</v>
      </c>
      <c r="Y2071" s="13">
        <f t="shared" si="307"/>
        <v>0</v>
      </c>
      <c r="Z2071" s="2">
        <v>0</v>
      </c>
      <c r="AA2071" s="4">
        <v>0</v>
      </c>
      <c r="AB2071" s="4">
        <f t="shared" si="308"/>
        <v>0</v>
      </c>
      <c r="AC2071" s="6">
        <f t="shared" si="309"/>
        <v>0</v>
      </c>
      <c r="AD2071" s="4">
        <v>0</v>
      </c>
      <c r="AE2071" s="2">
        <v>0.1</v>
      </c>
      <c r="AF2071" s="5">
        <f t="shared" si="310"/>
        <v>0</v>
      </c>
      <c r="AG2071" s="2">
        <v>0.15</v>
      </c>
      <c r="AH2071" s="4">
        <f t="shared" si="312"/>
        <v>0</v>
      </c>
      <c r="AJ2071" s="126" t="e">
        <v>#N/A</v>
      </c>
      <c r="AK2071" s="80">
        <f t="shared" si="311"/>
        <v>0</v>
      </c>
      <c r="AM2071" s="85"/>
    </row>
    <row r="2072" spans="1:39" hidden="1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06"/>
        <v>9.9999999802093953E-3</v>
      </c>
      <c r="X2072" s="13">
        <f t="shared" si="301"/>
        <v>0</v>
      </c>
      <c r="Y2072" s="13">
        <f t="shared" si="307"/>
        <v>0</v>
      </c>
      <c r="Z2072" s="2">
        <v>0</v>
      </c>
      <c r="AA2072" s="4">
        <v>0</v>
      </c>
      <c r="AB2072" s="4">
        <f t="shared" si="308"/>
        <v>0</v>
      </c>
      <c r="AC2072" s="6">
        <f t="shared" si="309"/>
        <v>0</v>
      </c>
      <c r="AD2072" s="4">
        <v>0</v>
      </c>
      <c r="AE2072" s="2">
        <v>0.1</v>
      </c>
      <c r="AF2072" s="5">
        <f t="shared" si="310"/>
        <v>0</v>
      </c>
      <c r="AG2072" s="2">
        <v>0.2</v>
      </c>
      <c r="AH2072" s="4">
        <f t="shared" si="312"/>
        <v>0</v>
      </c>
      <c r="AJ2072" s="126" t="e">
        <v>#N/A</v>
      </c>
      <c r="AK2072" s="80">
        <f t="shared" si="311"/>
        <v>0</v>
      </c>
      <c r="AM2072" s="85"/>
    </row>
    <row r="2073" spans="1:39" hidden="1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06"/>
        <v>-128.19200000000077</v>
      </c>
      <c r="X2073" s="13">
        <f t="shared" si="301"/>
        <v>0</v>
      </c>
      <c r="Y2073" s="13">
        <f t="shared" si="307"/>
        <v>0</v>
      </c>
      <c r="Z2073" s="2">
        <v>0</v>
      </c>
      <c r="AA2073" s="4">
        <v>0</v>
      </c>
      <c r="AB2073" s="4">
        <f t="shared" si="308"/>
        <v>0</v>
      </c>
      <c r="AC2073" s="6">
        <f t="shared" si="309"/>
        <v>0</v>
      </c>
      <c r="AD2073" s="4">
        <v>0</v>
      </c>
      <c r="AE2073" s="2">
        <v>0.1</v>
      </c>
      <c r="AF2073" s="5">
        <f t="shared" si="310"/>
        <v>0</v>
      </c>
      <c r="AG2073" s="2">
        <v>0.2</v>
      </c>
      <c r="AH2073" s="4">
        <f t="shared" si="312"/>
        <v>0</v>
      </c>
      <c r="AJ2073" s="126" t="e">
        <v>#N/A</v>
      </c>
      <c r="AK2073" s="80">
        <f t="shared" si="311"/>
        <v>0</v>
      </c>
      <c r="AM2073" s="85"/>
    </row>
    <row r="2074" spans="1:39" hidden="1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06"/>
        <v>-0.314</v>
      </c>
      <c r="X2074" s="13">
        <f t="shared" si="301"/>
        <v>0</v>
      </c>
      <c r="Y2074" s="13">
        <f t="shared" si="307"/>
        <v>0</v>
      </c>
      <c r="Z2074" s="2">
        <v>0</v>
      </c>
      <c r="AA2074" s="4">
        <v>0</v>
      </c>
      <c r="AB2074" s="4">
        <f t="shared" si="308"/>
        <v>0</v>
      </c>
      <c r="AC2074" s="6">
        <f t="shared" si="309"/>
        <v>0</v>
      </c>
      <c r="AD2074" s="4">
        <v>0</v>
      </c>
      <c r="AE2074" s="2">
        <v>0.1</v>
      </c>
      <c r="AF2074" s="5">
        <f t="shared" si="310"/>
        <v>0</v>
      </c>
      <c r="AG2074" s="2">
        <v>0.2</v>
      </c>
      <c r="AH2074" s="4">
        <f t="shared" si="312"/>
        <v>0</v>
      </c>
      <c r="AJ2074" s="126" t="e">
        <v>#N/A</v>
      </c>
      <c r="AK2074" s="80">
        <f t="shared" si="311"/>
        <v>0</v>
      </c>
      <c r="AM2074" s="85"/>
    </row>
    <row r="2075" spans="1:39" hidden="1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06"/>
        <v>8125.5360000000001</v>
      </c>
      <c r="X2075" s="13">
        <f t="shared" si="301"/>
        <v>0</v>
      </c>
      <c r="Y2075" s="13">
        <f t="shared" si="307"/>
        <v>0</v>
      </c>
      <c r="Z2075" s="2">
        <v>0</v>
      </c>
      <c r="AA2075" s="4">
        <v>0</v>
      </c>
      <c r="AB2075" s="4">
        <f t="shared" si="308"/>
        <v>0</v>
      </c>
      <c r="AC2075" s="6">
        <f t="shared" si="309"/>
        <v>0</v>
      </c>
      <c r="AD2075" s="4">
        <v>0</v>
      </c>
      <c r="AE2075" s="2">
        <v>0.1</v>
      </c>
      <c r="AF2075" s="5">
        <f t="shared" si="310"/>
        <v>0</v>
      </c>
      <c r="AG2075" s="2">
        <v>0.2</v>
      </c>
      <c r="AH2075" s="4">
        <f t="shared" si="312"/>
        <v>0</v>
      </c>
      <c r="AJ2075" s="126" t="e">
        <v>#N/A</v>
      </c>
      <c r="AK2075" s="80">
        <f t="shared" si="311"/>
        <v>0</v>
      </c>
      <c r="AM2075" s="85"/>
    </row>
    <row r="2076" spans="1:39" hidden="1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06"/>
        <v>57026.803999999996</v>
      </c>
      <c r="X2076" s="13">
        <f t="shared" si="301"/>
        <v>0</v>
      </c>
      <c r="Y2076" s="13">
        <f t="shared" si="307"/>
        <v>0</v>
      </c>
      <c r="Z2076" s="2">
        <v>0</v>
      </c>
      <c r="AA2076" s="4">
        <v>0</v>
      </c>
      <c r="AB2076" s="4">
        <f t="shared" si="308"/>
        <v>0</v>
      </c>
      <c r="AC2076" s="6">
        <f t="shared" si="309"/>
        <v>0</v>
      </c>
      <c r="AD2076" s="4">
        <v>0</v>
      </c>
      <c r="AE2076" s="2">
        <v>0.1</v>
      </c>
      <c r="AF2076" s="5">
        <f t="shared" si="310"/>
        <v>0</v>
      </c>
      <c r="AG2076" s="2">
        <v>0.2</v>
      </c>
      <c r="AH2076" s="4">
        <f t="shared" si="312"/>
        <v>0</v>
      </c>
      <c r="AJ2076" s="126" t="e">
        <v>#N/A</v>
      </c>
      <c r="AK2076" s="80">
        <f t="shared" si="311"/>
        <v>0</v>
      </c>
      <c r="AM2076" s="85"/>
    </row>
    <row r="2077" spans="1:39" hidden="1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06"/>
        <v>-14073.440000000031</v>
      </c>
      <c r="X2077" s="13">
        <f t="shared" si="301"/>
        <v>114073.44000000003</v>
      </c>
      <c r="Y2077" s="13">
        <f t="shared" si="307"/>
        <v>0</v>
      </c>
      <c r="Z2077" s="2">
        <v>0</v>
      </c>
      <c r="AA2077" s="4">
        <v>0</v>
      </c>
      <c r="AB2077" s="4">
        <f t="shared" si="308"/>
        <v>114073.44000000003</v>
      </c>
      <c r="AC2077" s="6">
        <f t="shared" si="309"/>
        <v>0</v>
      </c>
      <c r="AD2077" s="13">
        <f>V2077</f>
        <v>114073.44000000003</v>
      </c>
      <c r="AE2077" s="2">
        <v>0.17</v>
      </c>
      <c r="AF2077" s="5">
        <f t="shared" si="31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11"/>
        <v>0</v>
      </c>
      <c r="AM2077" s="85"/>
    </row>
    <row r="2078" spans="1:39" hidden="1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06"/>
        <v>4972.8500000000004</v>
      </c>
      <c r="X2078" s="13">
        <f t="shared" si="301"/>
        <v>27.15</v>
      </c>
      <c r="Y2078" s="13">
        <f t="shared" si="307"/>
        <v>0</v>
      </c>
      <c r="Z2078" s="2">
        <v>0</v>
      </c>
      <c r="AA2078" s="4">
        <v>0</v>
      </c>
      <c r="AB2078" s="4">
        <f t="shared" si="308"/>
        <v>27.15</v>
      </c>
      <c r="AC2078" s="6">
        <f t="shared" si="309"/>
        <v>0</v>
      </c>
      <c r="AD2078" s="13">
        <f t="shared" ref="AD2078:AD2141" si="313">V2078</f>
        <v>27.15</v>
      </c>
      <c r="AE2078" s="2">
        <v>0.17</v>
      </c>
      <c r="AF2078" s="5">
        <f t="shared" si="310"/>
        <v>4.6154999999999999</v>
      </c>
      <c r="AG2078" s="2">
        <v>0</v>
      </c>
      <c r="AH2078" s="5">
        <f t="shared" ref="AH2078:AH2141" si="314">V2078</f>
        <v>27.15</v>
      </c>
      <c r="AJ2078" s="126" t="e">
        <v>#N/A</v>
      </c>
      <c r="AK2078" s="80">
        <f t="shared" si="311"/>
        <v>0</v>
      </c>
      <c r="AM2078" s="85"/>
    </row>
    <row r="2079" spans="1:39" hidden="1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06"/>
        <v>8715.2900000000009</v>
      </c>
      <c r="X2079" s="13">
        <f t="shared" si="301"/>
        <v>2237.9700000000003</v>
      </c>
      <c r="Y2079" s="13">
        <f t="shared" si="307"/>
        <v>0</v>
      </c>
      <c r="Z2079" s="2">
        <v>0</v>
      </c>
      <c r="AA2079" s="4">
        <v>0</v>
      </c>
      <c r="AB2079" s="4">
        <f t="shared" si="308"/>
        <v>2237.9700000000003</v>
      </c>
      <c r="AC2079" s="6">
        <f t="shared" si="309"/>
        <v>0</v>
      </c>
      <c r="AD2079" s="13">
        <f t="shared" si="313"/>
        <v>2237.9700000000003</v>
      </c>
      <c r="AE2079" s="2">
        <v>0.17</v>
      </c>
      <c r="AF2079" s="5">
        <f t="shared" si="310"/>
        <v>380.45490000000007</v>
      </c>
      <c r="AG2079" s="2">
        <v>0</v>
      </c>
      <c r="AH2079" s="5">
        <f t="shared" si="314"/>
        <v>2237.9700000000003</v>
      </c>
      <c r="AJ2079" s="126" t="e">
        <v>#N/A</v>
      </c>
      <c r="AK2079" s="80">
        <f t="shared" si="311"/>
        <v>0</v>
      </c>
      <c r="AM2079" s="85"/>
    </row>
    <row r="2080" spans="1:39" hidden="1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06"/>
        <v>8320.4100000000108</v>
      </c>
      <c r="X2080" s="13">
        <f t="shared" si="301"/>
        <v>38234.5</v>
      </c>
      <c r="Y2080" s="13">
        <f t="shared" si="307"/>
        <v>0</v>
      </c>
      <c r="Z2080" s="2">
        <v>0</v>
      </c>
      <c r="AA2080" s="4">
        <v>0</v>
      </c>
      <c r="AB2080" s="4">
        <f t="shared" si="308"/>
        <v>38234.5</v>
      </c>
      <c r="AC2080" s="6">
        <f t="shared" si="309"/>
        <v>0</v>
      </c>
      <c r="AD2080" s="13">
        <f t="shared" si="313"/>
        <v>38234.5</v>
      </c>
      <c r="AE2080" s="2">
        <v>0.17</v>
      </c>
      <c r="AF2080" s="5">
        <f t="shared" si="310"/>
        <v>6499.8650000000007</v>
      </c>
      <c r="AG2080" s="2">
        <v>0</v>
      </c>
      <c r="AH2080" s="5">
        <f t="shared" si="314"/>
        <v>38234.5</v>
      </c>
      <c r="AJ2080" s="126" t="e">
        <v>#N/A</v>
      </c>
      <c r="AK2080" s="80">
        <f t="shared" si="311"/>
        <v>0</v>
      </c>
      <c r="AM2080" s="85"/>
    </row>
    <row r="2081" spans="1:39" hidden="1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06"/>
        <v>37323.790000000008</v>
      </c>
      <c r="X2081" s="13">
        <f t="shared" ref="X2081:X2144" si="315">IF(P2081="折扣",V2081*Q2081,IF(P2081="返现",V2081,V2081/(1+Q2081)))</f>
        <v>146153.4</v>
      </c>
      <c r="Y2081" s="13">
        <f t="shared" si="307"/>
        <v>0</v>
      </c>
      <c r="Z2081" s="2">
        <v>0</v>
      </c>
      <c r="AA2081" s="4">
        <v>0</v>
      </c>
      <c r="AB2081" s="4">
        <f t="shared" si="308"/>
        <v>146153.4</v>
      </c>
      <c r="AC2081" s="6">
        <f t="shared" si="309"/>
        <v>0</v>
      </c>
      <c r="AD2081" s="13">
        <f t="shared" si="313"/>
        <v>146153.4</v>
      </c>
      <c r="AE2081" s="2">
        <v>0.17</v>
      </c>
      <c r="AF2081" s="5">
        <f t="shared" si="310"/>
        <v>24846.078000000001</v>
      </c>
      <c r="AG2081" s="2">
        <v>0</v>
      </c>
      <c r="AH2081" s="5">
        <f t="shared" si="314"/>
        <v>146153.4</v>
      </c>
      <c r="AJ2081" s="126" t="e">
        <v>#N/A</v>
      </c>
      <c r="AK2081" s="80">
        <f t="shared" si="311"/>
        <v>0</v>
      </c>
      <c r="AM2081" s="85"/>
    </row>
    <row r="2082" spans="1:39" hidden="1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06"/>
        <v>8859.6899999999987</v>
      </c>
      <c r="X2082" s="13">
        <f t="shared" si="315"/>
        <v>31630.34</v>
      </c>
      <c r="Y2082" s="13">
        <f t="shared" si="307"/>
        <v>0</v>
      </c>
      <c r="Z2082" s="2">
        <v>0</v>
      </c>
      <c r="AA2082" s="4">
        <v>0</v>
      </c>
      <c r="AB2082" s="4">
        <f t="shared" si="308"/>
        <v>31630.34</v>
      </c>
      <c r="AC2082" s="6">
        <f t="shared" si="309"/>
        <v>0</v>
      </c>
      <c r="AD2082" s="13">
        <f t="shared" si="313"/>
        <v>31630.34</v>
      </c>
      <c r="AE2082" s="2">
        <v>0.17</v>
      </c>
      <c r="AF2082" s="5">
        <f t="shared" si="310"/>
        <v>5377.1578000000009</v>
      </c>
      <c r="AG2082" s="2">
        <v>0</v>
      </c>
      <c r="AH2082" s="5">
        <f t="shared" si="314"/>
        <v>31630.34</v>
      </c>
      <c r="AJ2082" s="126" t="e">
        <v>#N/A</v>
      </c>
      <c r="AK2082" s="80">
        <f t="shared" si="311"/>
        <v>0</v>
      </c>
      <c r="AM2082" s="85"/>
    </row>
    <row r="2083" spans="1:39" hidden="1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06"/>
        <v>-2.9103830456733704E-11</v>
      </c>
      <c r="X2083" s="13">
        <f t="shared" si="315"/>
        <v>0</v>
      </c>
      <c r="Y2083" s="13">
        <f t="shared" si="307"/>
        <v>0</v>
      </c>
      <c r="Z2083" s="2">
        <v>0</v>
      </c>
      <c r="AA2083" s="4">
        <v>0</v>
      </c>
      <c r="AB2083" s="4">
        <f t="shared" si="308"/>
        <v>0</v>
      </c>
      <c r="AC2083" s="6">
        <f t="shared" si="309"/>
        <v>0</v>
      </c>
      <c r="AD2083" s="13">
        <f t="shared" si="313"/>
        <v>0</v>
      </c>
      <c r="AE2083" s="2">
        <v>0.17</v>
      </c>
      <c r="AF2083" s="5">
        <f t="shared" si="310"/>
        <v>0</v>
      </c>
      <c r="AG2083" s="2">
        <v>0</v>
      </c>
      <c r="AH2083" s="5">
        <f t="shared" si="314"/>
        <v>0</v>
      </c>
      <c r="AJ2083" s="126" t="e">
        <v>#N/A</v>
      </c>
      <c r="AK2083" s="80">
        <f t="shared" si="311"/>
        <v>0</v>
      </c>
      <c r="AM2083" s="85"/>
    </row>
    <row r="2084" spans="1:39" hidden="1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06"/>
        <v>4905.2499999999854</v>
      </c>
      <c r="X2084" s="13">
        <f t="shared" si="315"/>
        <v>35425.068627450979</v>
      </c>
      <c r="Y2084" s="13">
        <f t="shared" si="307"/>
        <v>0</v>
      </c>
      <c r="Z2084" s="2">
        <v>0</v>
      </c>
      <c r="AA2084" s="4">
        <v>0</v>
      </c>
      <c r="AB2084" s="4">
        <f t="shared" si="308"/>
        <v>35425.068627450979</v>
      </c>
      <c r="AC2084" s="6">
        <f t="shared" si="309"/>
        <v>708.50137254902074</v>
      </c>
      <c r="AD2084" s="13">
        <f t="shared" si="313"/>
        <v>36133.57</v>
      </c>
      <c r="AE2084" s="2">
        <v>0.17</v>
      </c>
      <c r="AF2084" s="5">
        <f t="shared" si="310"/>
        <v>6142.7069000000001</v>
      </c>
      <c r="AG2084" s="2">
        <v>0</v>
      </c>
      <c r="AH2084" s="5">
        <f t="shared" si="314"/>
        <v>36133.57</v>
      </c>
      <c r="AJ2084" s="126" t="e">
        <v>#N/A</v>
      </c>
      <c r="AK2084" s="80">
        <f t="shared" si="311"/>
        <v>0</v>
      </c>
      <c r="AM2084" s="85"/>
    </row>
    <row r="2085" spans="1:39" hidden="1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06"/>
        <v>8467.69</v>
      </c>
      <c r="X2085" s="13">
        <f t="shared" si="315"/>
        <v>11306.186274509802</v>
      </c>
      <c r="Y2085" s="13">
        <f t="shared" si="307"/>
        <v>0</v>
      </c>
      <c r="Z2085" s="2">
        <v>0</v>
      </c>
      <c r="AA2085" s="4">
        <v>0</v>
      </c>
      <c r="AB2085" s="4">
        <f t="shared" si="308"/>
        <v>11306.186274509802</v>
      </c>
      <c r="AC2085" s="6">
        <f t="shared" si="309"/>
        <v>226.1237254901971</v>
      </c>
      <c r="AD2085" s="13">
        <f t="shared" si="313"/>
        <v>11532.31</v>
      </c>
      <c r="AE2085" s="2">
        <v>0.17</v>
      </c>
      <c r="AF2085" s="5">
        <f t="shared" si="310"/>
        <v>1960.4927</v>
      </c>
      <c r="AG2085" s="2">
        <v>0</v>
      </c>
      <c r="AH2085" s="5">
        <f t="shared" si="314"/>
        <v>11532.31</v>
      </c>
      <c r="AJ2085" s="126" t="e">
        <v>#N/A</v>
      </c>
      <c r="AK2085" s="80">
        <f t="shared" si="311"/>
        <v>0</v>
      </c>
      <c r="AM2085" s="85"/>
    </row>
    <row r="2086" spans="1:39" hidden="1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06"/>
        <v>0</v>
      </c>
      <c r="X2086" s="13">
        <f t="shared" si="315"/>
        <v>0</v>
      </c>
      <c r="Y2086" s="13">
        <f t="shared" si="307"/>
        <v>0</v>
      </c>
      <c r="Z2086" s="2">
        <v>0</v>
      </c>
      <c r="AA2086" s="4">
        <v>0</v>
      </c>
      <c r="AB2086" s="4">
        <f t="shared" si="308"/>
        <v>0</v>
      </c>
      <c r="AC2086" s="6">
        <f t="shared" si="309"/>
        <v>0</v>
      </c>
      <c r="AD2086" s="13">
        <f t="shared" si="313"/>
        <v>0</v>
      </c>
      <c r="AE2086" s="2">
        <v>0.17</v>
      </c>
      <c r="AF2086" s="5">
        <f t="shared" si="310"/>
        <v>0</v>
      </c>
      <c r="AG2086" s="2">
        <v>0</v>
      </c>
      <c r="AH2086" s="5">
        <f t="shared" si="314"/>
        <v>0</v>
      </c>
      <c r="AJ2086" s="126" t="e">
        <v>#N/A</v>
      </c>
      <c r="AK2086" s="80">
        <f t="shared" si="311"/>
        <v>0</v>
      </c>
      <c r="AM2086" s="85"/>
    </row>
    <row r="2087" spans="1:39" hidden="1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06"/>
        <v>25373.53</v>
      </c>
      <c r="X2087" s="13">
        <f t="shared" si="315"/>
        <v>129626.47</v>
      </c>
      <c r="Y2087" s="13">
        <f t="shared" si="307"/>
        <v>0</v>
      </c>
      <c r="Z2087" s="2">
        <v>0</v>
      </c>
      <c r="AA2087" s="4">
        <v>0</v>
      </c>
      <c r="AB2087" s="4">
        <f t="shared" si="308"/>
        <v>129626.47</v>
      </c>
      <c r="AC2087" s="6">
        <f t="shared" si="309"/>
        <v>0</v>
      </c>
      <c r="AD2087" s="13">
        <f t="shared" si="313"/>
        <v>129626.47</v>
      </c>
      <c r="AE2087" s="2">
        <v>0.17</v>
      </c>
      <c r="AF2087" s="5">
        <f t="shared" si="310"/>
        <v>22036.499900000003</v>
      </c>
      <c r="AG2087" s="2">
        <v>0</v>
      </c>
      <c r="AH2087" s="5">
        <f t="shared" si="314"/>
        <v>129626.47</v>
      </c>
      <c r="AJ2087" s="126" t="e">
        <v>#N/A</v>
      </c>
      <c r="AK2087" s="80">
        <f t="shared" si="311"/>
        <v>0</v>
      </c>
      <c r="AM2087" s="85"/>
    </row>
    <row r="2088" spans="1:39" hidden="1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06"/>
        <v>16963.210000000072</v>
      </c>
      <c r="X2088" s="13">
        <f t="shared" si="315"/>
        <v>30325.47</v>
      </c>
      <c r="Y2088" s="13">
        <f t="shared" si="307"/>
        <v>0</v>
      </c>
      <c r="Z2088" s="2">
        <v>0</v>
      </c>
      <c r="AA2088" s="4">
        <v>0</v>
      </c>
      <c r="AB2088" s="4">
        <f t="shared" si="308"/>
        <v>30325.47</v>
      </c>
      <c r="AC2088" s="6">
        <f t="shared" si="309"/>
        <v>0</v>
      </c>
      <c r="AD2088" s="13">
        <f t="shared" si="313"/>
        <v>30325.47</v>
      </c>
      <c r="AE2088" s="2">
        <v>0.17</v>
      </c>
      <c r="AF2088" s="5">
        <f t="shared" si="310"/>
        <v>5155.3299000000006</v>
      </c>
      <c r="AG2088" s="2">
        <v>0</v>
      </c>
      <c r="AH2088" s="5">
        <f t="shared" si="314"/>
        <v>30325.47</v>
      </c>
      <c r="AJ2088" s="126" t="e">
        <v>#N/A</v>
      </c>
      <c r="AK2088" s="80">
        <f t="shared" si="311"/>
        <v>0</v>
      </c>
      <c r="AM2088" s="85"/>
    </row>
    <row r="2089" spans="1:39" hidden="1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06"/>
        <v>4342.119999999999</v>
      </c>
      <c r="X2089" s="13">
        <f t="shared" si="315"/>
        <v>1669.94</v>
      </c>
      <c r="Y2089" s="13">
        <f t="shared" si="307"/>
        <v>0</v>
      </c>
      <c r="Z2089" s="2">
        <v>0</v>
      </c>
      <c r="AA2089" s="4">
        <v>0</v>
      </c>
      <c r="AB2089" s="4">
        <f t="shared" si="308"/>
        <v>1669.94</v>
      </c>
      <c r="AC2089" s="6">
        <f t="shared" si="309"/>
        <v>0</v>
      </c>
      <c r="AD2089" s="13">
        <f t="shared" si="313"/>
        <v>1669.94</v>
      </c>
      <c r="AE2089" s="2">
        <v>0.17</v>
      </c>
      <c r="AF2089" s="5">
        <f t="shared" si="310"/>
        <v>283.88980000000004</v>
      </c>
      <c r="AG2089" s="2">
        <v>0</v>
      </c>
      <c r="AH2089" s="5">
        <f t="shared" si="314"/>
        <v>1669.94</v>
      </c>
      <c r="AJ2089" s="126" t="e">
        <v>#N/A</v>
      </c>
      <c r="AK2089" s="80">
        <f t="shared" si="311"/>
        <v>0</v>
      </c>
      <c r="AM2089" s="85"/>
    </row>
    <row r="2090" spans="1:39" hidden="1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06"/>
        <v>30837.800300000017</v>
      </c>
      <c r="X2090" s="13">
        <f t="shared" si="315"/>
        <v>109467.52445544553</v>
      </c>
      <c r="Y2090" s="13">
        <f t="shared" si="307"/>
        <v>0</v>
      </c>
      <c r="Z2090" s="2">
        <v>0</v>
      </c>
      <c r="AA2090" s="4">
        <v>0</v>
      </c>
      <c r="AB2090" s="4">
        <f t="shared" si="308"/>
        <v>109467.52445544553</v>
      </c>
      <c r="AC2090" s="6">
        <f t="shared" si="309"/>
        <v>1094.6752445544553</v>
      </c>
      <c r="AD2090" s="13">
        <f t="shared" si="313"/>
        <v>110562.19969999998</v>
      </c>
      <c r="AE2090" s="2">
        <v>0.17</v>
      </c>
      <c r="AF2090" s="5">
        <f t="shared" si="310"/>
        <v>18795.573948999998</v>
      </c>
      <c r="AG2090" s="2">
        <v>0</v>
      </c>
      <c r="AH2090" s="5">
        <f t="shared" si="314"/>
        <v>110562.19969999998</v>
      </c>
      <c r="AJ2090" s="126" t="e">
        <v>#N/A</v>
      </c>
      <c r="AK2090" s="80">
        <f t="shared" si="311"/>
        <v>0</v>
      </c>
      <c r="AM2090" s="85"/>
    </row>
    <row r="2091" spans="1:39" hidden="1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06"/>
        <v>71813.100000000035</v>
      </c>
      <c r="X2091" s="13">
        <f t="shared" si="315"/>
        <v>28186.899999999965</v>
      </c>
      <c r="Y2091" s="13">
        <f t="shared" si="307"/>
        <v>0</v>
      </c>
      <c r="Z2091" s="2">
        <v>0</v>
      </c>
      <c r="AA2091" s="4">
        <v>0</v>
      </c>
      <c r="AB2091" s="4">
        <f t="shared" si="308"/>
        <v>28186.899999999965</v>
      </c>
      <c r="AC2091" s="6">
        <f t="shared" si="309"/>
        <v>0</v>
      </c>
      <c r="AD2091" s="13">
        <f t="shared" si="313"/>
        <v>28186.899999999965</v>
      </c>
      <c r="AE2091" s="2">
        <v>0.17</v>
      </c>
      <c r="AF2091" s="5">
        <f t="shared" si="310"/>
        <v>4791.7729999999947</v>
      </c>
      <c r="AG2091" s="2">
        <v>0</v>
      </c>
      <c r="AH2091" s="5">
        <f t="shared" si="314"/>
        <v>28186.899999999965</v>
      </c>
      <c r="AJ2091" s="126" t="e">
        <v>#N/A</v>
      </c>
      <c r="AK2091" s="80">
        <f t="shared" si="311"/>
        <v>0</v>
      </c>
      <c r="AM2091" s="85"/>
    </row>
    <row r="2092" spans="1:39" hidden="1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06"/>
        <v>143726.60000000009</v>
      </c>
      <c r="X2092" s="13">
        <f t="shared" si="315"/>
        <v>366273.39999999991</v>
      </c>
      <c r="Y2092" s="13">
        <f t="shared" si="307"/>
        <v>0</v>
      </c>
      <c r="Z2092" s="2">
        <v>0</v>
      </c>
      <c r="AA2092" s="4">
        <v>0</v>
      </c>
      <c r="AB2092" s="4">
        <f t="shared" si="308"/>
        <v>366273.39999999991</v>
      </c>
      <c r="AC2092" s="6">
        <f t="shared" si="309"/>
        <v>0</v>
      </c>
      <c r="AD2092" s="13">
        <f t="shared" si="313"/>
        <v>366273.39999999991</v>
      </c>
      <c r="AE2092" s="2">
        <v>0.17</v>
      </c>
      <c r="AF2092" s="5">
        <f t="shared" si="310"/>
        <v>62266.477999999988</v>
      </c>
      <c r="AG2092" s="2">
        <v>0</v>
      </c>
      <c r="AH2092" s="5">
        <f t="shared" si="314"/>
        <v>366273.39999999991</v>
      </c>
      <c r="AJ2092" s="126" t="e">
        <v>#N/A</v>
      </c>
      <c r="AK2092" s="80">
        <f t="shared" si="311"/>
        <v>0</v>
      </c>
      <c r="AM2092" s="85"/>
    </row>
    <row r="2093" spans="1:39" hidden="1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06"/>
        <v>3444.2000000000262</v>
      </c>
      <c r="X2093" s="13">
        <f t="shared" si="315"/>
        <v>49987.961165048539</v>
      </c>
      <c r="Y2093" s="13">
        <f t="shared" si="307"/>
        <v>0</v>
      </c>
      <c r="Z2093" s="2">
        <v>0</v>
      </c>
      <c r="AA2093" s="4">
        <v>0</v>
      </c>
      <c r="AB2093" s="4">
        <f t="shared" si="308"/>
        <v>49987.961165048539</v>
      </c>
      <c r="AC2093" s="6">
        <f t="shared" si="309"/>
        <v>1499.63883495146</v>
      </c>
      <c r="AD2093" s="13">
        <f t="shared" si="313"/>
        <v>51487.6</v>
      </c>
      <c r="AE2093" s="2">
        <v>0.17</v>
      </c>
      <c r="AF2093" s="5">
        <f t="shared" si="310"/>
        <v>8752.8919999999998</v>
      </c>
      <c r="AG2093" s="2">
        <v>0</v>
      </c>
      <c r="AH2093" s="5">
        <f t="shared" si="314"/>
        <v>51487.6</v>
      </c>
      <c r="AJ2093" s="126" t="e">
        <v>#N/A</v>
      </c>
      <c r="AK2093" s="80">
        <f t="shared" si="311"/>
        <v>0</v>
      </c>
      <c r="AM2093" s="85"/>
    </row>
    <row r="2094" spans="1:39" hidden="1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06"/>
        <v>50000</v>
      </c>
      <c r="X2094" s="13">
        <f t="shared" si="315"/>
        <v>0</v>
      </c>
      <c r="Y2094" s="13">
        <f t="shared" si="307"/>
        <v>0</v>
      </c>
      <c r="Z2094" s="2">
        <v>0</v>
      </c>
      <c r="AA2094" s="4">
        <v>0</v>
      </c>
      <c r="AB2094" s="4">
        <f t="shared" si="308"/>
        <v>0</v>
      </c>
      <c r="AC2094" s="6">
        <f t="shared" si="309"/>
        <v>0</v>
      </c>
      <c r="AD2094" s="13">
        <f t="shared" si="313"/>
        <v>0</v>
      </c>
      <c r="AE2094" s="2">
        <v>0.17</v>
      </c>
      <c r="AF2094" s="5">
        <f t="shared" si="310"/>
        <v>0</v>
      </c>
      <c r="AG2094" s="2">
        <v>0</v>
      </c>
      <c r="AH2094" s="5">
        <f t="shared" si="314"/>
        <v>0</v>
      </c>
      <c r="AJ2094" s="126" t="e">
        <v>#N/A</v>
      </c>
      <c r="AK2094" s="80">
        <f t="shared" si="311"/>
        <v>0</v>
      </c>
      <c r="AM2094" s="85"/>
    </row>
    <row r="2095" spans="1:39" hidden="1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06"/>
        <v>8704.6000000000131</v>
      </c>
      <c r="X2095" s="13">
        <f t="shared" si="315"/>
        <v>39909.56</v>
      </c>
      <c r="Y2095" s="13">
        <f t="shared" si="307"/>
        <v>0</v>
      </c>
      <c r="Z2095" s="2">
        <v>0.02</v>
      </c>
      <c r="AA2095" s="6">
        <f>X2095/(1-Z2095)*Z2095</f>
        <v>814.48081632653066</v>
      </c>
      <c r="AB2095" s="4">
        <f t="shared" si="308"/>
        <v>40724.040816326531</v>
      </c>
      <c r="AC2095" s="6">
        <f t="shared" si="309"/>
        <v>0</v>
      </c>
      <c r="AD2095" s="13">
        <f t="shared" si="313"/>
        <v>39909.56</v>
      </c>
      <c r="AE2095" s="2">
        <v>0.17</v>
      </c>
      <c r="AF2095" s="5">
        <f t="shared" si="310"/>
        <v>6784.6252000000004</v>
      </c>
      <c r="AG2095" s="2">
        <v>0</v>
      </c>
      <c r="AH2095" s="5">
        <f t="shared" si="314"/>
        <v>39909.56</v>
      </c>
      <c r="AJ2095" s="126" t="e">
        <v>#N/A</v>
      </c>
      <c r="AK2095" s="80">
        <f t="shared" si="311"/>
        <v>0</v>
      </c>
      <c r="AM2095" s="85"/>
    </row>
    <row r="2096" spans="1:39" hidden="1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06"/>
        <v>8282.9900000000089</v>
      </c>
      <c r="X2096" s="13">
        <f t="shared" si="315"/>
        <v>18638.73</v>
      </c>
      <c r="Y2096" s="13">
        <f t="shared" si="307"/>
        <v>0</v>
      </c>
      <c r="Z2096" s="2">
        <v>0</v>
      </c>
      <c r="AA2096" s="4">
        <v>0</v>
      </c>
      <c r="AB2096" s="4">
        <f t="shared" si="308"/>
        <v>18638.73</v>
      </c>
      <c r="AC2096" s="6">
        <f t="shared" si="309"/>
        <v>2070.9699999999975</v>
      </c>
      <c r="AD2096" s="13">
        <f t="shared" si="313"/>
        <v>20709.699999999997</v>
      </c>
      <c r="AE2096" s="2">
        <v>0.17</v>
      </c>
      <c r="AF2096" s="5">
        <f t="shared" si="310"/>
        <v>3520.6489999999999</v>
      </c>
      <c r="AG2096" s="2">
        <v>0</v>
      </c>
      <c r="AH2096" s="5">
        <f t="shared" si="314"/>
        <v>20709.699999999997</v>
      </c>
      <c r="AJ2096" s="126" t="e">
        <v>#N/A</v>
      </c>
      <c r="AK2096" s="80">
        <f t="shared" si="311"/>
        <v>0</v>
      </c>
      <c r="AM2096" s="85"/>
    </row>
    <row r="2097" spans="1:39" hidden="1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06"/>
        <v>0</v>
      </c>
      <c r="X2097" s="13">
        <f t="shared" si="315"/>
        <v>19495.421999999999</v>
      </c>
      <c r="Y2097" s="13">
        <f t="shared" si="307"/>
        <v>0</v>
      </c>
      <c r="Z2097" s="2">
        <v>0</v>
      </c>
      <c r="AA2097" s="4">
        <v>0</v>
      </c>
      <c r="AB2097" s="4">
        <f t="shared" si="308"/>
        <v>19495.421999999999</v>
      </c>
      <c r="AC2097" s="6">
        <f t="shared" si="309"/>
        <v>2166.1579999999994</v>
      </c>
      <c r="AD2097" s="13">
        <f t="shared" si="313"/>
        <v>21661.579999999998</v>
      </c>
      <c r="AE2097" s="2">
        <v>0.17</v>
      </c>
      <c r="AF2097" s="5">
        <f t="shared" si="310"/>
        <v>3682.4686000000002</v>
      </c>
      <c r="AG2097" s="2">
        <v>0</v>
      </c>
      <c r="AH2097" s="5">
        <f t="shared" si="314"/>
        <v>21661.579999999998</v>
      </c>
      <c r="AJ2097" s="126" t="e">
        <v>#N/A</v>
      </c>
      <c r="AK2097" s="80">
        <f t="shared" si="311"/>
        <v>0</v>
      </c>
      <c r="AM2097" s="85"/>
    </row>
    <row r="2098" spans="1:39" hidden="1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06"/>
        <v>5262.82</v>
      </c>
      <c r="X2098" s="13">
        <f t="shared" si="315"/>
        <v>3345.1379999999999</v>
      </c>
      <c r="Y2098" s="13">
        <f t="shared" si="307"/>
        <v>0</v>
      </c>
      <c r="Z2098" s="2">
        <v>0</v>
      </c>
      <c r="AA2098" s="4">
        <v>0</v>
      </c>
      <c r="AB2098" s="4">
        <f t="shared" si="308"/>
        <v>3345.1379999999999</v>
      </c>
      <c r="AC2098" s="6">
        <f t="shared" si="309"/>
        <v>371.68199999999979</v>
      </c>
      <c r="AD2098" s="13">
        <f t="shared" si="313"/>
        <v>3716.8199999999997</v>
      </c>
      <c r="AE2098" s="2">
        <v>0.17</v>
      </c>
      <c r="AF2098" s="5">
        <f t="shared" si="310"/>
        <v>631.85940000000005</v>
      </c>
      <c r="AG2098" s="2">
        <v>0</v>
      </c>
      <c r="AH2098" s="5">
        <f t="shared" si="314"/>
        <v>3716.8199999999997</v>
      </c>
      <c r="AJ2098" s="126" t="e">
        <v>#N/A</v>
      </c>
      <c r="AK2098" s="80">
        <f t="shared" si="311"/>
        <v>0</v>
      </c>
      <c r="AM2098" s="85"/>
    </row>
    <row r="2099" spans="1:39" hidden="1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06"/>
        <v>2216.7299999999977</v>
      </c>
      <c r="X2099" s="13">
        <f t="shared" si="315"/>
        <v>11646.882</v>
      </c>
      <c r="Y2099" s="13">
        <f t="shared" si="307"/>
        <v>0</v>
      </c>
      <c r="Z2099" s="2">
        <v>0</v>
      </c>
      <c r="AA2099" s="4">
        <v>0</v>
      </c>
      <c r="AB2099" s="4">
        <f t="shared" si="308"/>
        <v>11646.882</v>
      </c>
      <c r="AC2099" s="6">
        <f t="shared" si="309"/>
        <v>1294.098</v>
      </c>
      <c r="AD2099" s="13">
        <f t="shared" si="313"/>
        <v>12940.98</v>
      </c>
      <c r="AE2099" s="2">
        <v>0.17</v>
      </c>
      <c r="AF2099" s="5">
        <f t="shared" si="310"/>
        <v>2199.9666000000002</v>
      </c>
      <c r="AG2099" s="2">
        <v>0</v>
      </c>
      <c r="AH2099" s="5">
        <f t="shared" si="314"/>
        <v>12940.98</v>
      </c>
      <c r="AJ2099" s="126" t="e">
        <v>#N/A</v>
      </c>
      <c r="AK2099" s="80">
        <f t="shared" si="311"/>
        <v>0</v>
      </c>
      <c r="AM2099" s="85"/>
    </row>
    <row r="2100" spans="1:39" hidden="1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06"/>
        <v>-35.400000000001455</v>
      </c>
      <c r="X2100" s="13">
        <f t="shared" si="315"/>
        <v>25475.4</v>
      </c>
      <c r="Y2100" s="13">
        <f t="shared" si="307"/>
        <v>0</v>
      </c>
      <c r="Z2100" s="2">
        <v>0</v>
      </c>
      <c r="AA2100" s="4">
        <v>0</v>
      </c>
      <c r="AB2100" s="4">
        <f t="shared" si="308"/>
        <v>25475.4</v>
      </c>
      <c r="AC2100" s="6">
        <f t="shared" si="309"/>
        <v>2830.5999999999985</v>
      </c>
      <c r="AD2100" s="13">
        <f t="shared" si="313"/>
        <v>28306</v>
      </c>
      <c r="AE2100" s="2">
        <v>0.17</v>
      </c>
      <c r="AF2100" s="5">
        <f t="shared" si="310"/>
        <v>4812.0200000000004</v>
      </c>
      <c r="AG2100" s="2">
        <v>0</v>
      </c>
      <c r="AH2100" s="5">
        <f t="shared" si="314"/>
        <v>28306</v>
      </c>
      <c r="AJ2100" s="126" t="e">
        <v>#N/A</v>
      </c>
      <c r="AK2100" s="80">
        <f t="shared" si="311"/>
        <v>0</v>
      </c>
      <c r="AM2100" s="85"/>
    </row>
    <row r="2101" spans="1:39" hidden="1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06"/>
        <v>11002.5</v>
      </c>
      <c r="X2101" s="13">
        <f t="shared" si="315"/>
        <v>4185.576</v>
      </c>
      <c r="Y2101" s="13">
        <f t="shared" si="307"/>
        <v>0</v>
      </c>
      <c r="Z2101" s="2">
        <v>0</v>
      </c>
      <c r="AA2101" s="4">
        <v>0</v>
      </c>
      <c r="AB2101" s="4">
        <f t="shared" si="308"/>
        <v>4185.576</v>
      </c>
      <c r="AC2101" s="6">
        <f t="shared" si="309"/>
        <v>465.0639999999994</v>
      </c>
      <c r="AD2101" s="13">
        <f t="shared" si="313"/>
        <v>4650.6399999999994</v>
      </c>
      <c r="AE2101" s="2">
        <v>0.17</v>
      </c>
      <c r="AF2101" s="5">
        <f t="shared" si="310"/>
        <v>790.60879999999997</v>
      </c>
      <c r="AG2101" s="2">
        <v>0</v>
      </c>
      <c r="AH2101" s="5">
        <f t="shared" si="314"/>
        <v>4650.6399999999994</v>
      </c>
      <c r="AJ2101" s="126" t="e">
        <v>#N/A</v>
      </c>
      <c r="AK2101" s="80">
        <f t="shared" si="311"/>
        <v>0</v>
      </c>
      <c r="AM2101" s="85"/>
    </row>
    <row r="2102" spans="1:39" hidden="1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06"/>
        <v>4277.6799999999994</v>
      </c>
      <c r="X2102" s="13">
        <f t="shared" si="315"/>
        <v>3156.0390000000002</v>
      </c>
      <c r="Y2102" s="13">
        <f t="shared" si="307"/>
        <v>0</v>
      </c>
      <c r="Z2102" s="2">
        <v>0</v>
      </c>
      <c r="AA2102" s="4">
        <v>0</v>
      </c>
      <c r="AB2102" s="4">
        <f t="shared" si="308"/>
        <v>3156.0390000000002</v>
      </c>
      <c r="AC2102" s="6">
        <f t="shared" si="309"/>
        <v>350.67099999999982</v>
      </c>
      <c r="AD2102" s="13">
        <f t="shared" si="313"/>
        <v>3506.71</v>
      </c>
      <c r="AE2102" s="2">
        <v>0.17</v>
      </c>
      <c r="AF2102" s="5">
        <f t="shared" si="310"/>
        <v>596.14070000000004</v>
      </c>
      <c r="AG2102" s="2">
        <v>0</v>
      </c>
      <c r="AH2102" s="5">
        <f t="shared" si="314"/>
        <v>3506.71</v>
      </c>
      <c r="AJ2102" s="126" t="e">
        <v>#N/A</v>
      </c>
      <c r="AK2102" s="80">
        <f t="shared" si="311"/>
        <v>0</v>
      </c>
      <c r="AM2102" s="85"/>
    </row>
    <row r="2103" spans="1:39" hidden="1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06"/>
        <v>424000</v>
      </c>
      <c r="X2103" s="13">
        <f t="shared" si="315"/>
        <v>0</v>
      </c>
      <c r="Y2103" s="13">
        <f t="shared" si="307"/>
        <v>0</v>
      </c>
      <c r="Z2103" s="2">
        <v>0</v>
      </c>
      <c r="AA2103" s="4">
        <v>0</v>
      </c>
      <c r="AB2103" s="4">
        <f t="shared" si="308"/>
        <v>0</v>
      </c>
      <c r="AC2103" s="6">
        <f t="shared" si="309"/>
        <v>0</v>
      </c>
      <c r="AD2103" s="13">
        <f t="shared" si="313"/>
        <v>0</v>
      </c>
      <c r="AE2103" s="2">
        <v>0.17</v>
      </c>
      <c r="AF2103" s="5">
        <f t="shared" si="310"/>
        <v>0</v>
      </c>
      <c r="AG2103" s="2">
        <v>0</v>
      </c>
      <c r="AH2103" s="5">
        <f t="shared" si="314"/>
        <v>0</v>
      </c>
      <c r="AJ2103" s="126" t="e">
        <v>#N/A</v>
      </c>
      <c r="AK2103" s="80">
        <f t="shared" si="311"/>
        <v>0</v>
      </c>
      <c r="AM2103" s="85"/>
    </row>
    <row r="2104" spans="1:39" hidden="1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06"/>
        <v>67266.38</v>
      </c>
      <c r="X2104" s="13">
        <f t="shared" si="315"/>
        <v>46513.303921568622</v>
      </c>
      <c r="Y2104" s="13">
        <f t="shared" si="307"/>
        <v>0</v>
      </c>
      <c r="Z2104" s="2">
        <v>0</v>
      </c>
      <c r="AA2104" s="4">
        <v>0</v>
      </c>
      <c r="AB2104" s="4">
        <f t="shared" si="308"/>
        <v>46513.303921568622</v>
      </c>
      <c r="AC2104" s="6">
        <f t="shared" si="309"/>
        <v>930.26607843137026</v>
      </c>
      <c r="AD2104" s="13">
        <f t="shared" si="313"/>
        <v>47443.569999999992</v>
      </c>
      <c r="AE2104" s="2">
        <v>0.17</v>
      </c>
      <c r="AF2104" s="5">
        <f t="shared" si="310"/>
        <v>8065.406899999999</v>
      </c>
      <c r="AG2104" s="2">
        <v>0</v>
      </c>
      <c r="AH2104" s="5">
        <f t="shared" si="314"/>
        <v>47443.569999999992</v>
      </c>
      <c r="AJ2104" s="126" t="e">
        <v>#N/A</v>
      </c>
      <c r="AK2104" s="80">
        <f t="shared" si="311"/>
        <v>0</v>
      </c>
      <c r="AM2104" s="85"/>
    </row>
    <row r="2105" spans="1:39" hidden="1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06"/>
        <v>0</v>
      </c>
      <c r="X2105" s="13">
        <f t="shared" si="315"/>
        <v>0</v>
      </c>
      <c r="Y2105" s="13">
        <f t="shared" si="307"/>
        <v>0</v>
      </c>
      <c r="Z2105" s="2">
        <v>0</v>
      </c>
      <c r="AA2105" s="4">
        <v>0</v>
      </c>
      <c r="AB2105" s="4">
        <f t="shared" si="308"/>
        <v>0</v>
      </c>
      <c r="AC2105" s="6">
        <f t="shared" si="309"/>
        <v>0</v>
      </c>
      <c r="AD2105" s="13">
        <f t="shared" si="313"/>
        <v>0</v>
      </c>
      <c r="AE2105" s="2">
        <v>0.17</v>
      </c>
      <c r="AF2105" s="5">
        <f t="shared" si="310"/>
        <v>0</v>
      </c>
      <c r="AG2105" s="2">
        <v>0</v>
      </c>
      <c r="AH2105" s="5">
        <f t="shared" si="314"/>
        <v>0</v>
      </c>
      <c r="AJ2105" s="126" t="e">
        <v>#N/A</v>
      </c>
      <c r="AK2105" s="80">
        <f t="shared" si="311"/>
        <v>0</v>
      </c>
      <c r="AM2105" s="85"/>
    </row>
    <row r="2106" spans="1:39" hidden="1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06"/>
        <v>5311.7100000000009</v>
      </c>
      <c r="X2106" s="13">
        <f t="shared" si="315"/>
        <v>4221.08</v>
      </c>
      <c r="Y2106" s="13">
        <f t="shared" si="307"/>
        <v>0</v>
      </c>
      <c r="Z2106" s="2">
        <v>0</v>
      </c>
      <c r="AA2106" s="4">
        <v>0</v>
      </c>
      <c r="AB2106" s="4">
        <f t="shared" si="308"/>
        <v>4221.08</v>
      </c>
      <c r="AC2106" s="6">
        <f t="shared" si="309"/>
        <v>0</v>
      </c>
      <c r="AD2106" s="13">
        <f t="shared" si="313"/>
        <v>4221.08</v>
      </c>
      <c r="AE2106" s="2">
        <v>0.17</v>
      </c>
      <c r="AF2106" s="5">
        <f t="shared" si="310"/>
        <v>717.58360000000005</v>
      </c>
      <c r="AG2106" s="2">
        <v>0</v>
      </c>
      <c r="AH2106" s="5">
        <f t="shared" si="314"/>
        <v>4221.08</v>
      </c>
      <c r="AJ2106" s="126" t="e">
        <v>#N/A</v>
      </c>
      <c r="AK2106" s="80">
        <f t="shared" si="311"/>
        <v>0</v>
      </c>
      <c r="AM2106" s="85"/>
    </row>
    <row r="2107" spans="1:39" hidden="1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06"/>
        <v>19568.16</v>
      </c>
      <c r="X2107" s="13">
        <f t="shared" si="315"/>
        <v>431.84</v>
      </c>
      <c r="Y2107" s="13">
        <f t="shared" si="307"/>
        <v>0</v>
      </c>
      <c r="Z2107" s="2">
        <v>0</v>
      </c>
      <c r="AA2107" s="4">
        <v>0</v>
      </c>
      <c r="AB2107" s="4">
        <f t="shared" si="308"/>
        <v>431.84</v>
      </c>
      <c r="AC2107" s="6">
        <f t="shared" si="309"/>
        <v>0</v>
      </c>
      <c r="AD2107" s="13">
        <f t="shared" si="313"/>
        <v>431.84</v>
      </c>
      <c r="AE2107" s="2">
        <v>0.17</v>
      </c>
      <c r="AF2107" s="5">
        <f t="shared" si="310"/>
        <v>73.412800000000004</v>
      </c>
      <c r="AG2107" s="2">
        <v>0</v>
      </c>
      <c r="AH2107" s="5">
        <f t="shared" si="314"/>
        <v>431.84</v>
      </c>
      <c r="AJ2107" s="126" t="e">
        <v>#N/A</v>
      </c>
      <c r="AK2107" s="80">
        <f t="shared" si="311"/>
        <v>0</v>
      </c>
      <c r="AM2107" s="85"/>
    </row>
    <row r="2108" spans="1:39" hidden="1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06"/>
        <v>9589.5000999999993</v>
      </c>
      <c r="X2108" s="13">
        <f t="shared" si="315"/>
        <v>410.49990000000003</v>
      </c>
      <c r="Y2108" s="13">
        <f t="shared" si="307"/>
        <v>0</v>
      </c>
      <c r="Z2108" s="2">
        <v>0</v>
      </c>
      <c r="AA2108" s="4">
        <v>0</v>
      </c>
      <c r="AB2108" s="4">
        <f t="shared" si="308"/>
        <v>410.49990000000003</v>
      </c>
      <c r="AC2108" s="6">
        <f t="shared" si="309"/>
        <v>0</v>
      </c>
      <c r="AD2108" s="13">
        <f t="shared" si="313"/>
        <v>410.49990000000003</v>
      </c>
      <c r="AE2108" s="2">
        <v>0.17</v>
      </c>
      <c r="AF2108" s="5">
        <f t="shared" si="310"/>
        <v>69.784983000000011</v>
      </c>
      <c r="AG2108" s="2">
        <v>0</v>
      </c>
      <c r="AH2108" s="5">
        <f t="shared" si="314"/>
        <v>410.49990000000003</v>
      </c>
      <c r="AJ2108" s="126" t="e">
        <v>#N/A</v>
      </c>
      <c r="AK2108" s="80">
        <f t="shared" si="311"/>
        <v>0</v>
      </c>
      <c r="AM2108" s="85"/>
    </row>
    <row r="2109" spans="1:39" hidden="1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06"/>
        <v>3618.4000000000005</v>
      </c>
      <c r="X2109" s="13">
        <f t="shared" si="315"/>
        <v>5264.3</v>
      </c>
      <c r="Y2109" s="13">
        <f t="shared" si="307"/>
        <v>0</v>
      </c>
      <c r="Z2109" s="2">
        <v>0</v>
      </c>
      <c r="AA2109" s="4">
        <v>0</v>
      </c>
      <c r="AB2109" s="4">
        <f t="shared" si="308"/>
        <v>5264.3</v>
      </c>
      <c r="AC2109" s="6">
        <f t="shared" si="309"/>
        <v>0</v>
      </c>
      <c r="AD2109" s="13">
        <f t="shared" si="313"/>
        <v>5264.3</v>
      </c>
      <c r="AE2109" s="2">
        <v>0.17</v>
      </c>
      <c r="AF2109" s="5">
        <f t="shared" si="310"/>
        <v>894.93100000000004</v>
      </c>
      <c r="AG2109" s="2">
        <v>0</v>
      </c>
      <c r="AH2109" s="5">
        <f t="shared" si="314"/>
        <v>5264.3</v>
      </c>
      <c r="AJ2109" s="126" t="e">
        <v>#N/A</v>
      </c>
      <c r="AK2109" s="80">
        <f t="shared" si="311"/>
        <v>0</v>
      </c>
      <c r="AM2109" s="85"/>
    </row>
    <row r="2110" spans="1:39" hidden="1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06"/>
        <v>46279.199999999983</v>
      </c>
      <c r="X2110" s="13">
        <f t="shared" si="315"/>
        <v>77720.92</v>
      </c>
      <c r="Y2110" s="13">
        <f t="shared" si="307"/>
        <v>0</v>
      </c>
      <c r="Z2110" s="2">
        <v>0</v>
      </c>
      <c r="AA2110" s="4">
        <v>0</v>
      </c>
      <c r="AB2110" s="4">
        <f t="shared" si="308"/>
        <v>77720.92</v>
      </c>
      <c r="AC2110" s="6">
        <f t="shared" si="309"/>
        <v>0</v>
      </c>
      <c r="AD2110" s="13">
        <f t="shared" si="313"/>
        <v>77720.92</v>
      </c>
      <c r="AE2110" s="2">
        <v>0.17</v>
      </c>
      <c r="AF2110" s="5">
        <f t="shared" si="310"/>
        <v>13212.556400000001</v>
      </c>
      <c r="AG2110" s="2">
        <v>0</v>
      </c>
      <c r="AH2110" s="5">
        <f t="shared" si="314"/>
        <v>77720.92</v>
      </c>
      <c r="AJ2110" s="126" t="e">
        <v>#N/A</v>
      </c>
      <c r="AK2110" s="80">
        <f t="shared" si="311"/>
        <v>0</v>
      </c>
      <c r="AM2110" s="85"/>
    </row>
    <row r="2111" spans="1:39" hidden="1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06"/>
        <v>55806.910000000091</v>
      </c>
      <c r="X2111" s="13">
        <f t="shared" si="315"/>
        <v>150275.97999999998</v>
      </c>
      <c r="Y2111" s="13">
        <f t="shared" si="307"/>
        <v>0</v>
      </c>
      <c r="Z2111" s="2">
        <v>0</v>
      </c>
      <c r="AA2111" s="4">
        <v>0</v>
      </c>
      <c r="AB2111" s="4">
        <f t="shared" si="308"/>
        <v>150275.97999999998</v>
      </c>
      <c r="AC2111" s="6">
        <f t="shared" si="309"/>
        <v>0</v>
      </c>
      <c r="AD2111" s="13">
        <f t="shared" si="313"/>
        <v>150275.97999999998</v>
      </c>
      <c r="AE2111" s="2">
        <v>0.17</v>
      </c>
      <c r="AF2111" s="5">
        <f t="shared" si="310"/>
        <v>25546.9166</v>
      </c>
      <c r="AG2111" s="2">
        <v>0</v>
      </c>
      <c r="AH2111" s="5">
        <f t="shared" si="314"/>
        <v>150275.97999999998</v>
      </c>
      <c r="AJ2111" s="126" t="e">
        <v>#N/A</v>
      </c>
      <c r="AK2111" s="80">
        <f t="shared" si="311"/>
        <v>0</v>
      </c>
      <c r="AM2111" s="85"/>
    </row>
    <row r="2112" spans="1:39" hidden="1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16">T2112+U2112-V2112</f>
        <v>14623.71</v>
      </c>
      <c r="X2112" s="13">
        <f t="shared" si="315"/>
        <v>22925.9</v>
      </c>
      <c r="Y2112" s="13">
        <f t="shared" si="307"/>
        <v>0</v>
      </c>
      <c r="Z2112" s="2">
        <v>0</v>
      </c>
      <c r="AA2112" s="4">
        <v>0</v>
      </c>
      <c r="AB2112" s="4">
        <f t="shared" si="308"/>
        <v>22925.9</v>
      </c>
      <c r="AC2112" s="6">
        <f t="shared" si="309"/>
        <v>0</v>
      </c>
      <c r="AD2112" s="13">
        <f t="shared" si="313"/>
        <v>22925.9</v>
      </c>
      <c r="AE2112" s="2">
        <v>0.17</v>
      </c>
      <c r="AF2112" s="5">
        <f t="shared" si="310"/>
        <v>3897.4030000000007</v>
      </c>
      <c r="AG2112" s="2">
        <v>0</v>
      </c>
      <c r="AH2112" s="5">
        <f t="shared" si="314"/>
        <v>22925.9</v>
      </c>
      <c r="AJ2112" s="126" t="e">
        <v>#N/A</v>
      </c>
      <c r="AK2112" s="80">
        <f t="shared" si="311"/>
        <v>0</v>
      </c>
      <c r="AM2112" s="85"/>
    </row>
    <row r="2113" spans="1:39" hidden="1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16"/>
        <v>-1.6007106751203537E-10</v>
      </c>
      <c r="X2113" s="13">
        <f t="shared" si="315"/>
        <v>0</v>
      </c>
      <c r="Y2113" s="13">
        <f t="shared" si="307"/>
        <v>0</v>
      </c>
      <c r="Z2113" s="2">
        <v>0</v>
      </c>
      <c r="AA2113" s="4">
        <v>0</v>
      </c>
      <c r="AB2113" s="4">
        <f t="shared" si="308"/>
        <v>0</v>
      </c>
      <c r="AC2113" s="6">
        <f t="shared" si="309"/>
        <v>0</v>
      </c>
      <c r="AD2113" s="13">
        <f t="shared" si="313"/>
        <v>0</v>
      </c>
      <c r="AE2113" s="2">
        <v>0.17</v>
      </c>
      <c r="AF2113" s="5">
        <f t="shared" si="310"/>
        <v>0</v>
      </c>
      <c r="AG2113" s="2">
        <v>0</v>
      </c>
      <c r="AH2113" s="5">
        <f t="shared" si="314"/>
        <v>0</v>
      </c>
      <c r="AJ2113" s="126" t="e">
        <v>#N/A</v>
      </c>
      <c r="AK2113" s="80">
        <f t="shared" si="311"/>
        <v>0</v>
      </c>
      <c r="AM2113" s="85"/>
    </row>
    <row r="2114" spans="1:39" hidden="1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16"/>
        <v>1.7507773009128869E-11</v>
      </c>
      <c r="X2114" s="13">
        <f t="shared" si="315"/>
        <v>814.85436893203882</v>
      </c>
      <c r="Y2114" s="13">
        <f t="shared" si="307"/>
        <v>0</v>
      </c>
      <c r="Z2114" s="2">
        <v>0</v>
      </c>
      <c r="AA2114" s="4">
        <v>0</v>
      </c>
      <c r="AB2114" s="4">
        <f t="shared" si="308"/>
        <v>814.85436893203882</v>
      </c>
      <c r="AC2114" s="6">
        <f t="shared" si="309"/>
        <v>24.445631067961131</v>
      </c>
      <c r="AD2114" s="13">
        <f t="shared" si="313"/>
        <v>839.3</v>
      </c>
      <c r="AE2114" s="2">
        <v>0.17</v>
      </c>
      <c r="AF2114" s="5">
        <f t="shared" si="310"/>
        <v>142.68100000000001</v>
      </c>
      <c r="AG2114" s="2">
        <v>0</v>
      </c>
      <c r="AH2114" s="5">
        <f t="shared" si="314"/>
        <v>839.3</v>
      </c>
      <c r="AJ2114" s="126" t="e">
        <v>#N/A</v>
      </c>
      <c r="AK2114" s="80">
        <f t="shared" si="311"/>
        <v>0</v>
      </c>
      <c r="AM2114" s="85"/>
    </row>
    <row r="2115" spans="1:39" hidden="1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16"/>
        <v>8284</v>
      </c>
      <c r="X2115" s="13">
        <f t="shared" si="315"/>
        <v>18699.400000000001</v>
      </c>
      <c r="Y2115" s="13">
        <f t="shared" ref="Y2115:Y2178" si="31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18">X2115+AA2115</f>
        <v>18699.400000000001</v>
      </c>
      <c r="AC2115" s="6">
        <f t="shared" ref="AC2115:AC2178" si="319">IF(P2115="返现",X2115*Q2115,V2115-X2115)</f>
        <v>0</v>
      </c>
      <c r="AD2115" s="13">
        <f t="shared" si="313"/>
        <v>18699.400000000001</v>
      </c>
      <c r="AE2115" s="2">
        <v>0.17</v>
      </c>
      <c r="AF2115" s="5">
        <f t="shared" ref="AF2115:AF2178" si="320">AD2115*AE2115</f>
        <v>3178.8980000000006</v>
      </c>
      <c r="AG2115" s="2">
        <v>0</v>
      </c>
      <c r="AH2115" s="5">
        <f t="shared" si="314"/>
        <v>18699.400000000001</v>
      </c>
      <c r="AJ2115" s="126" t="e">
        <v>#N/A</v>
      </c>
      <c r="AK2115" s="80">
        <f t="shared" ref="AK2115:AK2178" si="321">X2115+AA2115-AB2115</f>
        <v>0</v>
      </c>
      <c r="AM2115" s="85"/>
    </row>
    <row r="2116" spans="1:39" hidden="1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16"/>
        <v>2854.4002999999939</v>
      </c>
      <c r="X2116" s="13">
        <f t="shared" si="315"/>
        <v>65749.22300970873</v>
      </c>
      <c r="Y2116" s="13">
        <f t="shared" si="317"/>
        <v>0</v>
      </c>
      <c r="Z2116" s="2">
        <v>0</v>
      </c>
      <c r="AA2116" s="4">
        <v>0</v>
      </c>
      <c r="AB2116" s="4">
        <f t="shared" si="318"/>
        <v>65749.22300970873</v>
      </c>
      <c r="AC2116" s="6">
        <f t="shared" si="319"/>
        <v>1972.476690291267</v>
      </c>
      <c r="AD2116" s="13">
        <f t="shared" si="313"/>
        <v>67721.699699999997</v>
      </c>
      <c r="AE2116" s="2">
        <v>0.17</v>
      </c>
      <c r="AF2116" s="5">
        <f t="shared" si="320"/>
        <v>11512.688949000001</v>
      </c>
      <c r="AG2116" s="2">
        <v>0</v>
      </c>
      <c r="AH2116" s="5">
        <f t="shared" si="314"/>
        <v>67721.699699999997</v>
      </c>
      <c r="AJ2116" s="126" t="e">
        <v>#N/A</v>
      </c>
      <c r="AK2116" s="80">
        <f t="shared" si="321"/>
        <v>0</v>
      </c>
      <c r="AM2116" s="85"/>
    </row>
    <row r="2117" spans="1:39" hidden="1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16"/>
        <v>3417.2999999999993</v>
      </c>
      <c r="X2117" s="13">
        <f t="shared" si="315"/>
        <v>10586.3</v>
      </c>
      <c r="Y2117" s="13">
        <f t="shared" si="317"/>
        <v>0</v>
      </c>
      <c r="Z2117" s="2">
        <v>0</v>
      </c>
      <c r="AA2117" s="4">
        <v>0</v>
      </c>
      <c r="AB2117" s="4">
        <f t="shared" si="318"/>
        <v>10586.3</v>
      </c>
      <c r="AC2117" s="6">
        <f t="shared" si="319"/>
        <v>0</v>
      </c>
      <c r="AD2117" s="13">
        <f t="shared" si="313"/>
        <v>10586.3</v>
      </c>
      <c r="AE2117" s="2">
        <v>0.17</v>
      </c>
      <c r="AF2117" s="5">
        <f t="shared" si="320"/>
        <v>1799.671</v>
      </c>
      <c r="AG2117" s="2">
        <v>0</v>
      </c>
      <c r="AH2117" s="5">
        <f t="shared" si="314"/>
        <v>10586.3</v>
      </c>
      <c r="AJ2117" s="126" t="e">
        <v>#N/A</v>
      </c>
      <c r="AK2117" s="80">
        <f t="shared" si="321"/>
        <v>0</v>
      </c>
      <c r="AM2117" s="85"/>
    </row>
    <row r="2118" spans="1:39" hidden="1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16"/>
        <v>2.9103830456733704E-11</v>
      </c>
      <c r="X2118" s="13">
        <f t="shared" si="315"/>
        <v>0</v>
      </c>
      <c r="Y2118" s="13">
        <f t="shared" si="317"/>
        <v>0</v>
      </c>
      <c r="Z2118" s="2">
        <v>0</v>
      </c>
      <c r="AA2118" s="4">
        <v>0</v>
      </c>
      <c r="AB2118" s="4">
        <f t="shared" si="318"/>
        <v>0</v>
      </c>
      <c r="AC2118" s="6">
        <f t="shared" si="319"/>
        <v>0</v>
      </c>
      <c r="AD2118" s="13">
        <f t="shared" si="313"/>
        <v>0</v>
      </c>
      <c r="AE2118" s="2">
        <v>0.17</v>
      </c>
      <c r="AF2118" s="5">
        <f t="shared" si="320"/>
        <v>0</v>
      </c>
      <c r="AG2118" s="2">
        <v>0</v>
      </c>
      <c r="AH2118" s="5">
        <f t="shared" si="314"/>
        <v>0</v>
      </c>
      <c r="AJ2118" s="126" t="e">
        <v>#N/A</v>
      </c>
      <c r="AK2118" s="80">
        <f t="shared" si="321"/>
        <v>0</v>
      </c>
      <c r="AM2118" s="85"/>
    </row>
    <row r="2119" spans="1:39" hidden="1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16"/>
        <v>1546.7001</v>
      </c>
      <c r="X2119" s="13">
        <f t="shared" si="315"/>
        <v>6413.8999000000003</v>
      </c>
      <c r="Y2119" s="13">
        <f t="shared" si="317"/>
        <v>0</v>
      </c>
      <c r="Z2119" s="2">
        <v>0</v>
      </c>
      <c r="AA2119" s="4">
        <v>0</v>
      </c>
      <c r="AB2119" s="4">
        <f t="shared" si="318"/>
        <v>6413.8999000000003</v>
      </c>
      <c r="AC2119" s="6">
        <f t="shared" si="319"/>
        <v>0</v>
      </c>
      <c r="AD2119" s="13">
        <f t="shared" si="313"/>
        <v>6413.8999000000003</v>
      </c>
      <c r="AE2119" s="2">
        <v>0.17</v>
      </c>
      <c r="AF2119" s="5">
        <f t="shared" si="320"/>
        <v>1090.3629830000002</v>
      </c>
      <c r="AG2119" s="2">
        <v>0</v>
      </c>
      <c r="AH2119" s="5">
        <f t="shared" si="314"/>
        <v>6413.8999000000003</v>
      </c>
      <c r="AJ2119" s="126" t="e">
        <v>#N/A</v>
      </c>
      <c r="AK2119" s="80">
        <f t="shared" si="321"/>
        <v>0</v>
      </c>
      <c r="AM2119" s="85"/>
    </row>
    <row r="2120" spans="1:39" hidden="1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16"/>
        <v>41820.000000000015</v>
      </c>
      <c r="X2120" s="13">
        <f t="shared" si="315"/>
        <v>14440.899999999998</v>
      </c>
      <c r="Y2120" s="13">
        <f t="shared" si="317"/>
        <v>0</v>
      </c>
      <c r="Z2120" s="2">
        <v>0</v>
      </c>
      <c r="AA2120" s="4">
        <v>0</v>
      </c>
      <c r="AB2120" s="4">
        <f t="shared" si="318"/>
        <v>14440.899999999998</v>
      </c>
      <c r="AC2120" s="6">
        <f t="shared" si="319"/>
        <v>0</v>
      </c>
      <c r="AD2120" s="13">
        <f t="shared" si="313"/>
        <v>14440.899999999998</v>
      </c>
      <c r="AE2120" s="2">
        <v>0.17</v>
      </c>
      <c r="AF2120" s="5">
        <f t="shared" si="320"/>
        <v>2454.953</v>
      </c>
      <c r="AG2120" s="2">
        <v>0</v>
      </c>
      <c r="AH2120" s="5">
        <f t="shared" si="314"/>
        <v>14440.899999999998</v>
      </c>
      <c r="AJ2120" s="126" t="e">
        <v>#N/A</v>
      </c>
      <c r="AK2120" s="80">
        <f t="shared" si="321"/>
        <v>0</v>
      </c>
      <c r="AM2120" s="85"/>
    </row>
    <row r="2121" spans="1:39" hidden="1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16"/>
        <v>1613.1999999999971</v>
      </c>
      <c r="X2121" s="13">
        <f t="shared" si="315"/>
        <v>15500</v>
      </c>
      <c r="Y2121" s="13">
        <f t="shared" si="317"/>
        <v>0</v>
      </c>
      <c r="Z2121" s="2">
        <v>0</v>
      </c>
      <c r="AA2121" s="4">
        <v>0</v>
      </c>
      <c r="AB2121" s="4">
        <f t="shared" si="318"/>
        <v>15500</v>
      </c>
      <c r="AC2121" s="6">
        <f t="shared" si="319"/>
        <v>0</v>
      </c>
      <c r="AD2121" s="13">
        <f t="shared" si="313"/>
        <v>15500</v>
      </c>
      <c r="AE2121" s="2">
        <v>0.17</v>
      </c>
      <c r="AF2121" s="5">
        <f t="shared" si="320"/>
        <v>2635</v>
      </c>
      <c r="AG2121" s="2">
        <v>0</v>
      </c>
      <c r="AH2121" s="5">
        <f t="shared" si="314"/>
        <v>15500</v>
      </c>
      <c r="AJ2121" s="126" t="e">
        <v>#N/A</v>
      </c>
      <c r="AK2121" s="80">
        <f t="shared" si="321"/>
        <v>0</v>
      </c>
      <c r="AM2121" s="85"/>
    </row>
    <row r="2122" spans="1:39" hidden="1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16"/>
        <v>49355.8</v>
      </c>
      <c r="X2122" s="13">
        <f t="shared" si="315"/>
        <v>644.20000000000005</v>
      </c>
      <c r="Y2122" s="13">
        <f t="shared" si="317"/>
        <v>0</v>
      </c>
      <c r="Z2122" s="2">
        <v>0</v>
      </c>
      <c r="AA2122" s="4">
        <v>0</v>
      </c>
      <c r="AB2122" s="4">
        <f t="shared" si="318"/>
        <v>644.20000000000005</v>
      </c>
      <c r="AC2122" s="6">
        <f t="shared" si="319"/>
        <v>0</v>
      </c>
      <c r="AD2122" s="13">
        <f t="shared" si="313"/>
        <v>644.20000000000005</v>
      </c>
      <c r="AE2122" s="2">
        <v>0.17</v>
      </c>
      <c r="AF2122" s="5">
        <f t="shared" si="320"/>
        <v>109.51400000000001</v>
      </c>
      <c r="AG2122" s="2">
        <v>0</v>
      </c>
      <c r="AH2122" s="5">
        <f t="shared" si="314"/>
        <v>644.20000000000005</v>
      </c>
      <c r="AJ2122" s="126" t="e">
        <v>#N/A</v>
      </c>
      <c r="AK2122" s="80">
        <f t="shared" si="321"/>
        <v>0</v>
      </c>
      <c r="AM2122" s="85"/>
    </row>
    <row r="2123" spans="1:39" hidden="1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16"/>
        <v>10113.400000000001</v>
      </c>
      <c r="X2123" s="13">
        <f t="shared" si="315"/>
        <v>44886.6</v>
      </c>
      <c r="Y2123" s="13">
        <f t="shared" si="317"/>
        <v>0</v>
      </c>
      <c r="Z2123" s="2">
        <v>0</v>
      </c>
      <c r="AA2123" s="4">
        <v>0</v>
      </c>
      <c r="AB2123" s="4">
        <f t="shared" si="318"/>
        <v>44886.6</v>
      </c>
      <c r="AC2123" s="6">
        <f t="shared" si="319"/>
        <v>0</v>
      </c>
      <c r="AD2123" s="13">
        <f t="shared" si="313"/>
        <v>44886.6</v>
      </c>
      <c r="AE2123" s="2">
        <v>0.17</v>
      </c>
      <c r="AF2123" s="5">
        <f t="shared" si="320"/>
        <v>7630.7220000000007</v>
      </c>
      <c r="AG2123" s="2">
        <v>0</v>
      </c>
      <c r="AH2123" s="5">
        <f t="shared" si="314"/>
        <v>44886.6</v>
      </c>
      <c r="AJ2123" s="126" t="e">
        <v>#N/A</v>
      </c>
      <c r="AK2123" s="80">
        <f t="shared" si="321"/>
        <v>0</v>
      </c>
      <c r="AM2123" s="85"/>
    </row>
    <row r="2124" spans="1:39" hidden="1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16"/>
        <v>48010.709999999905</v>
      </c>
      <c r="X2124" s="13">
        <f t="shared" si="315"/>
        <v>161372.98000000001</v>
      </c>
      <c r="Y2124" s="13">
        <f t="shared" si="317"/>
        <v>0</v>
      </c>
      <c r="Z2124" s="2">
        <v>0</v>
      </c>
      <c r="AA2124" s="4">
        <v>0</v>
      </c>
      <c r="AB2124" s="4">
        <f t="shared" si="318"/>
        <v>161372.98000000001</v>
      </c>
      <c r="AC2124" s="6">
        <f t="shared" si="319"/>
        <v>0</v>
      </c>
      <c r="AD2124" s="13">
        <f t="shared" si="313"/>
        <v>161372.98000000001</v>
      </c>
      <c r="AE2124" s="2">
        <v>0.17</v>
      </c>
      <c r="AF2124" s="5">
        <f t="shared" si="320"/>
        <v>27433.406600000002</v>
      </c>
      <c r="AG2124" s="2">
        <v>0</v>
      </c>
      <c r="AH2124" s="5">
        <f t="shared" si="314"/>
        <v>161372.98000000001</v>
      </c>
      <c r="AJ2124" s="126" t="e">
        <v>#N/A</v>
      </c>
      <c r="AK2124" s="80">
        <f t="shared" si="321"/>
        <v>0</v>
      </c>
      <c r="AM2124" s="85"/>
    </row>
    <row r="2125" spans="1:39" hidden="1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16"/>
        <v>0</v>
      </c>
      <c r="X2125" s="13">
        <f t="shared" si="315"/>
        <v>61.445544554309059</v>
      </c>
      <c r="Y2125" s="13">
        <f t="shared" si="317"/>
        <v>0</v>
      </c>
      <c r="Z2125" s="2">
        <v>0</v>
      </c>
      <c r="AA2125" s="4">
        <v>0</v>
      </c>
      <c r="AB2125" s="4">
        <f t="shared" si="318"/>
        <v>61.445544554309059</v>
      </c>
      <c r="AC2125" s="6">
        <f t="shared" si="319"/>
        <v>0.6144554455430935</v>
      </c>
      <c r="AD2125" s="13">
        <f t="shared" si="313"/>
        <v>62.059999999852153</v>
      </c>
      <c r="AE2125" s="2">
        <v>0.17</v>
      </c>
      <c r="AF2125" s="5">
        <f t="shared" si="320"/>
        <v>10.550199999974867</v>
      </c>
      <c r="AG2125" s="2">
        <v>0</v>
      </c>
      <c r="AH2125" s="5">
        <f t="shared" si="314"/>
        <v>62.059999999852153</v>
      </c>
      <c r="AJ2125" s="126" t="e">
        <v>#N/A</v>
      </c>
      <c r="AK2125" s="80">
        <f t="shared" si="321"/>
        <v>0</v>
      </c>
      <c r="AM2125" s="85"/>
    </row>
    <row r="2126" spans="1:39" hidden="1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16"/>
        <v>13736.919999999853</v>
      </c>
      <c r="X2126" s="13">
        <f>IF(P2126="折扣",V2126*Q2126,IF(P2126="返现",V2126,V2126/(1+Q2126)))+0.61</f>
        <v>72937.140000000145</v>
      </c>
      <c r="Y2126" s="13">
        <f t="shared" si="317"/>
        <v>0.61000000000058208</v>
      </c>
      <c r="Z2126" s="2">
        <v>0</v>
      </c>
      <c r="AA2126" s="4">
        <v>0</v>
      </c>
      <c r="AB2126" s="4">
        <f t="shared" si="318"/>
        <v>72937.140000000145</v>
      </c>
      <c r="AC2126" s="6">
        <f t="shared" si="319"/>
        <v>-0.61000000000058208</v>
      </c>
      <c r="AD2126" s="13">
        <f t="shared" si="313"/>
        <v>72936.530000000144</v>
      </c>
      <c r="AE2126" s="2">
        <v>0.17</v>
      </c>
      <c r="AF2126" s="5">
        <f t="shared" si="320"/>
        <v>12399.210100000026</v>
      </c>
      <c r="AG2126" s="2">
        <v>0</v>
      </c>
      <c r="AH2126" s="5">
        <f t="shared" si="314"/>
        <v>72936.530000000144</v>
      </c>
      <c r="AJ2126" s="126" t="e">
        <v>#N/A</v>
      </c>
      <c r="AK2126" s="80">
        <f t="shared" si="321"/>
        <v>0</v>
      </c>
      <c r="AM2126" s="85"/>
    </row>
    <row r="2127" spans="1:39" hidden="1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16"/>
        <v>10100</v>
      </c>
      <c r="X2127" s="13">
        <f t="shared" si="315"/>
        <v>0</v>
      </c>
      <c r="Y2127" s="13">
        <f t="shared" si="317"/>
        <v>0</v>
      </c>
      <c r="Z2127" s="2">
        <v>0</v>
      </c>
      <c r="AA2127" s="4">
        <v>0</v>
      </c>
      <c r="AB2127" s="4">
        <f t="shared" si="318"/>
        <v>0</v>
      </c>
      <c r="AC2127" s="6">
        <f t="shared" si="319"/>
        <v>0</v>
      </c>
      <c r="AD2127" s="13">
        <f t="shared" si="313"/>
        <v>0</v>
      </c>
      <c r="AE2127" s="2">
        <v>0.17</v>
      </c>
      <c r="AF2127" s="5">
        <f t="shared" si="320"/>
        <v>0</v>
      </c>
      <c r="AG2127" s="2">
        <v>0</v>
      </c>
      <c r="AH2127" s="5">
        <f t="shared" si="314"/>
        <v>0</v>
      </c>
      <c r="AJ2127" s="126" t="e">
        <v>#N/A</v>
      </c>
      <c r="AK2127" s="80">
        <f t="shared" si="321"/>
        <v>0</v>
      </c>
      <c r="AM2127" s="85"/>
    </row>
    <row r="2128" spans="1:39" hidden="1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16"/>
        <v>-22982.800000000017</v>
      </c>
      <c r="X2128" s="13">
        <f t="shared" si="315"/>
        <v>72982.800000000017</v>
      </c>
      <c r="Y2128" s="13">
        <f t="shared" si="317"/>
        <v>0</v>
      </c>
      <c r="Z2128" s="2">
        <v>0</v>
      </c>
      <c r="AA2128" s="4">
        <v>0</v>
      </c>
      <c r="AB2128" s="4">
        <f t="shared" si="318"/>
        <v>72982.800000000017</v>
      </c>
      <c r="AC2128" s="6">
        <f t="shared" si="319"/>
        <v>0</v>
      </c>
      <c r="AD2128" s="13">
        <f t="shared" si="313"/>
        <v>72982.800000000017</v>
      </c>
      <c r="AE2128" s="2">
        <v>0.17</v>
      </c>
      <c r="AF2128" s="5">
        <f t="shared" si="320"/>
        <v>12407.076000000005</v>
      </c>
      <c r="AG2128" s="2">
        <v>0</v>
      </c>
      <c r="AH2128" s="5">
        <f t="shared" si="314"/>
        <v>72982.800000000017</v>
      </c>
      <c r="AJ2128" s="126" t="e">
        <v>#N/A</v>
      </c>
      <c r="AK2128" s="80">
        <f t="shared" si="321"/>
        <v>0</v>
      </c>
      <c r="AM2128" s="85"/>
    </row>
    <row r="2129" spans="1:39" hidden="1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16"/>
        <v>-2.9103830456733704E-11</v>
      </c>
      <c r="X2129" s="13">
        <f t="shared" si="315"/>
        <v>0</v>
      </c>
      <c r="Y2129" s="13">
        <f t="shared" si="317"/>
        <v>0</v>
      </c>
      <c r="Z2129" s="2">
        <v>0</v>
      </c>
      <c r="AA2129" s="4">
        <v>0</v>
      </c>
      <c r="AB2129" s="4">
        <f t="shared" si="318"/>
        <v>0</v>
      </c>
      <c r="AC2129" s="6">
        <f t="shared" si="319"/>
        <v>0</v>
      </c>
      <c r="AD2129" s="13">
        <f t="shared" si="313"/>
        <v>0</v>
      </c>
      <c r="AE2129" s="2">
        <v>0.17</v>
      </c>
      <c r="AF2129" s="5">
        <f t="shared" si="320"/>
        <v>0</v>
      </c>
      <c r="AG2129" s="2">
        <v>0</v>
      </c>
      <c r="AH2129" s="5">
        <f t="shared" si="314"/>
        <v>0</v>
      </c>
      <c r="AJ2129" s="126" t="e">
        <v>#N/A</v>
      </c>
      <c r="AK2129" s="80">
        <f t="shared" si="321"/>
        <v>0</v>
      </c>
      <c r="AM2129" s="85"/>
    </row>
    <row r="2130" spans="1:39" hidden="1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16"/>
        <v>3222.9999999999927</v>
      </c>
      <c r="X2130" s="13">
        <f t="shared" si="315"/>
        <v>46777.000000000007</v>
      </c>
      <c r="Y2130" s="13">
        <f t="shared" si="317"/>
        <v>0</v>
      </c>
      <c r="Z2130" s="2">
        <v>0</v>
      </c>
      <c r="AA2130" s="4">
        <v>0</v>
      </c>
      <c r="AB2130" s="4">
        <f t="shared" si="318"/>
        <v>46777.000000000007</v>
      </c>
      <c r="AC2130" s="6">
        <f t="shared" si="319"/>
        <v>0</v>
      </c>
      <c r="AD2130" s="13">
        <f t="shared" si="313"/>
        <v>46777.000000000007</v>
      </c>
      <c r="AE2130" s="2">
        <v>0.17</v>
      </c>
      <c r="AF2130" s="5">
        <f t="shared" si="320"/>
        <v>7952.090000000002</v>
      </c>
      <c r="AG2130" s="2">
        <v>0</v>
      </c>
      <c r="AH2130" s="5">
        <f t="shared" si="314"/>
        <v>46777.000000000007</v>
      </c>
      <c r="AJ2130" s="126" t="e">
        <v>#N/A</v>
      </c>
      <c r="AK2130" s="80">
        <f t="shared" si="321"/>
        <v>0</v>
      </c>
      <c r="AM2130" s="85"/>
    </row>
    <row r="2131" spans="1:39" hidden="1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16"/>
        <v>9371.7999999999993</v>
      </c>
      <c r="X2131" s="13">
        <f t="shared" si="315"/>
        <v>628.20000000000005</v>
      </c>
      <c r="Y2131" s="13">
        <f t="shared" si="317"/>
        <v>0</v>
      </c>
      <c r="Z2131" s="2">
        <v>0</v>
      </c>
      <c r="AA2131" s="4">
        <v>0</v>
      </c>
      <c r="AB2131" s="4">
        <f t="shared" si="318"/>
        <v>628.20000000000005</v>
      </c>
      <c r="AC2131" s="6">
        <f t="shared" si="319"/>
        <v>0</v>
      </c>
      <c r="AD2131" s="13">
        <f t="shared" si="313"/>
        <v>628.20000000000005</v>
      </c>
      <c r="AE2131" s="2">
        <v>0.17</v>
      </c>
      <c r="AF2131" s="5">
        <f t="shared" si="320"/>
        <v>106.79400000000001</v>
      </c>
      <c r="AG2131" s="2">
        <v>0</v>
      </c>
      <c r="AH2131" s="5">
        <f t="shared" si="314"/>
        <v>628.20000000000005</v>
      </c>
      <c r="AJ2131" s="126" t="e">
        <v>#N/A</v>
      </c>
      <c r="AK2131" s="80">
        <f t="shared" si="321"/>
        <v>0</v>
      </c>
      <c r="AM2131" s="85"/>
    </row>
    <row r="2132" spans="1:39" hidden="1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16"/>
        <v>5528</v>
      </c>
      <c r="X2132" s="13">
        <f t="shared" si="315"/>
        <v>14472</v>
      </c>
      <c r="Y2132" s="13">
        <f t="shared" si="317"/>
        <v>0</v>
      </c>
      <c r="Z2132" s="2">
        <v>0</v>
      </c>
      <c r="AA2132" s="4">
        <v>0</v>
      </c>
      <c r="AB2132" s="4">
        <f t="shared" si="318"/>
        <v>14472</v>
      </c>
      <c r="AC2132" s="6">
        <f t="shared" si="319"/>
        <v>0</v>
      </c>
      <c r="AD2132" s="13">
        <f t="shared" si="313"/>
        <v>14472</v>
      </c>
      <c r="AE2132" s="2">
        <v>0.17</v>
      </c>
      <c r="AF2132" s="5">
        <f t="shared" si="320"/>
        <v>2460.2400000000002</v>
      </c>
      <c r="AG2132" s="2">
        <v>0</v>
      </c>
      <c r="AH2132" s="5">
        <f t="shared" si="314"/>
        <v>14472</v>
      </c>
      <c r="AJ2132" s="126" t="e">
        <v>#N/A</v>
      </c>
      <c r="AK2132" s="80">
        <f t="shared" si="321"/>
        <v>0</v>
      </c>
      <c r="AM2132" s="85"/>
    </row>
    <row r="2133" spans="1:39" hidden="1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16"/>
        <v>0</v>
      </c>
      <c r="X2133" s="13">
        <f t="shared" si="315"/>
        <v>0</v>
      </c>
      <c r="Y2133" s="13">
        <f t="shared" si="317"/>
        <v>0</v>
      </c>
      <c r="Z2133" s="2">
        <v>0</v>
      </c>
      <c r="AA2133" s="4">
        <v>0</v>
      </c>
      <c r="AB2133" s="4">
        <f t="shared" si="318"/>
        <v>0</v>
      </c>
      <c r="AC2133" s="6">
        <f t="shared" si="319"/>
        <v>0</v>
      </c>
      <c r="AD2133" s="13">
        <f t="shared" si="313"/>
        <v>0</v>
      </c>
      <c r="AE2133" s="2">
        <v>0.17</v>
      </c>
      <c r="AF2133" s="5">
        <f t="shared" si="320"/>
        <v>0</v>
      </c>
      <c r="AG2133" s="2">
        <v>0</v>
      </c>
      <c r="AH2133" s="5">
        <f t="shared" si="314"/>
        <v>0</v>
      </c>
      <c r="AJ2133" s="126" t="e">
        <v>#N/A</v>
      </c>
      <c r="AK2133" s="80">
        <f t="shared" si="321"/>
        <v>0</v>
      </c>
      <c r="AM2133" s="85"/>
    </row>
    <row r="2134" spans="1:39" hidden="1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16"/>
        <v>17989.400000000001</v>
      </c>
      <c r="X2134" s="13">
        <f t="shared" si="315"/>
        <v>2010.6</v>
      </c>
      <c r="Y2134" s="13">
        <f t="shared" si="317"/>
        <v>0</v>
      </c>
      <c r="Z2134" s="2">
        <v>0</v>
      </c>
      <c r="AA2134" s="4">
        <v>0</v>
      </c>
      <c r="AB2134" s="4">
        <f t="shared" si="318"/>
        <v>2010.6</v>
      </c>
      <c r="AC2134" s="6">
        <f t="shared" si="319"/>
        <v>0</v>
      </c>
      <c r="AD2134" s="13">
        <f t="shared" si="313"/>
        <v>2010.6</v>
      </c>
      <c r="AE2134" s="2">
        <v>0.17</v>
      </c>
      <c r="AF2134" s="5">
        <f t="shared" si="320"/>
        <v>341.80200000000002</v>
      </c>
      <c r="AG2134" s="2">
        <v>0</v>
      </c>
      <c r="AH2134" s="5">
        <f t="shared" si="314"/>
        <v>2010.6</v>
      </c>
      <c r="AJ2134" s="126" t="e">
        <v>#N/A</v>
      </c>
      <c r="AK2134" s="80">
        <f t="shared" si="321"/>
        <v>0</v>
      </c>
      <c r="AM2134" s="85"/>
    </row>
    <row r="2135" spans="1:39" hidden="1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16"/>
        <v>0</v>
      </c>
      <c r="X2135" s="13">
        <f t="shared" si="315"/>
        <v>0</v>
      </c>
      <c r="Y2135" s="13">
        <f t="shared" si="317"/>
        <v>0</v>
      </c>
      <c r="Z2135" s="2">
        <v>0</v>
      </c>
      <c r="AA2135" s="4">
        <v>0</v>
      </c>
      <c r="AB2135" s="4">
        <f t="shared" si="318"/>
        <v>0</v>
      </c>
      <c r="AC2135" s="6">
        <f t="shared" si="319"/>
        <v>0</v>
      </c>
      <c r="AD2135" s="13">
        <f t="shared" si="313"/>
        <v>0</v>
      </c>
      <c r="AE2135" s="2">
        <v>0.17</v>
      </c>
      <c r="AF2135" s="5">
        <f t="shared" si="320"/>
        <v>0</v>
      </c>
      <c r="AG2135" s="2">
        <v>0</v>
      </c>
      <c r="AH2135" s="5">
        <f t="shared" si="314"/>
        <v>0</v>
      </c>
      <c r="AJ2135" s="126" t="e">
        <v>#N/A</v>
      </c>
      <c r="AK2135" s="80">
        <f t="shared" si="321"/>
        <v>0</v>
      </c>
      <c r="AM2135" s="85"/>
    </row>
    <row r="2136" spans="1:39" hidden="1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16"/>
        <v>18471.8</v>
      </c>
      <c r="X2136" s="13">
        <f t="shared" si="315"/>
        <v>1528.2</v>
      </c>
      <c r="Y2136" s="13">
        <f t="shared" si="317"/>
        <v>0</v>
      </c>
      <c r="Z2136" s="2">
        <v>0</v>
      </c>
      <c r="AA2136" s="4">
        <v>0</v>
      </c>
      <c r="AB2136" s="4">
        <f t="shared" si="318"/>
        <v>1528.2</v>
      </c>
      <c r="AC2136" s="6">
        <f t="shared" si="319"/>
        <v>0</v>
      </c>
      <c r="AD2136" s="13">
        <f t="shared" si="313"/>
        <v>1528.2</v>
      </c>
      <c r="AE2136" s="2">
        <v>0.17</v>
      </c>
      <c r="AF2136" s="5">
        <f t="shared" si="320"/>
        <v>259.79400000000004</v>
      </c>
      <c r="AG2136" s="2">
        <v>0</v>
      </c>
      <c r="AH2136" s="5">
        <f t="shared" si="314"/>
        <v>1528.2</v>
      </c>
      <c r="AJ2136" s="126" t="e">
        <v>#N/A</v>
      </c>
      <c r="AK2136" s="80">
        <f t="shared" si="321"/>
        <v>0</v>
      </c>
      <c r="AM2136" s="85"/>
    </row>
    <row r="2137" spans="1:39" hidden="1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16"/>
        <v>0</v>
      </c>
      <c r="X2137" s="13">
        <f t="shared" si="315"/>
        <v>0</v>
      </c>
      <c r="Y2137" s="13">
        <f t="shared" si="317"/>
        <v>0</v>
      </c>
      <c r="Z2137" s="2">
        <v>0</v>
      </c>
      <c r="AA2137" s="4">
        <v>0</v>
      </c>
      <c r="AB2137" s="4">
        <f t="shared" si="318"/>
        <v>0</v>
      </c>
      <c r="AC2137" s="6">
        <f t="shared" si="319"/>
        <v>0</v>
      </c>
      <c r="AD2137" s="13">
        <f t="shared" si="313"/>
        <v>0</v>
      </c>
      <c r="AE2137" s="2">
        <v>0.17</v>
      </c>
      <c r="AF2137" s="5">
        <f t="shared" si="320"/>
        <v>0</v>
      </c>
      <c r="AG2137" s="2">
        <v>0</v>
      </c>
      <c r="AH2137" s="5">
        <f t="shared" si="314"/>
        <v>0</v>
      </c>
      <c r="AJ2137" s="126" t="e">
        <v>#N/A</v>
      </c>
      <c r="AK2137" s="80">
        <f t="shared" si="321"/>
        <v>0</v>
      </c>
      <c r="AM2137" s="85"/>
    </row>
    <row r="2138" spans="1:39" hidden="1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16"/>
        <v>7453</v>
      </c>
      <c r="X2138" s="13">
        <f t="shared" si="315"/>
        <v>2547</v>
      </c>
      <c r="Y2138" s="13">
        <f t="shared" si="317"/>
        <v>0</v>
      </c>
      <c r="Z2138" s="2">
        <v>0</v>
      </c>
      <c r="AA2138" s="4">
        <v>0</v>
      </c>
      <c r="AB2138" s="4">
        <f t="shared" si="318"/>
        <v>2547</v>
      </c>
      <c r="AC2138" s="6">
        <f t="shared" si="319"/>
        <v>0</v>
      </c>
      <c r="AD2138" s="13">
        <f t="shared" si="313"/>
        <v>2547</v>
      </c>
      <c r="AE2138" s="2">
        <v>0.17</v>
      </c>
      <c r="AF2138" s="5">
        <f t="shared" si="320"/>
        <v>432.99</v>
      </c>
      <c r="AG2138" s="2">
        <v>0</v>
      </c>
      <c r="AH2138" s="5">
        <f t="shared" si="314"/>
        <v>2547</v>
      </c>
      <c r="AJ2138" s="126" t="e">
        <v>#N/A</v>
      </c>
      <c r="AK2138" s="80">
        <f t="shared" si="321"/>
        <v>0</v>
      </c>
      <c r="AM2138" s="85"/>
    </row>
    <row r="2139" spans="1:39" hidden="1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16"/>
        <v>9925.6</v>
      </c>
      <c r="X2139" s="13">
        <f t="shared" si="315"/>
        <v>10074.4</v>
      </c>
      <c r="Y2139" s="13">
        <f t="shared" si="317"/>
        <v>0</v>
      </c>
      <c r="Z2139" s="2">
        <v>0</v>
      </c>
      <c r="AA2139" s="4">
        <v>0</v>
      </c>
      <c r="AB2139" s="4">
        <f t="shared" si="318"/>
        <v>10074.4</v>
      </c>
      <c r="AC2139" s="6">
        <f t="shared" si="319"/>
        <v>0</v>
      </c>
      <c r="AD2139" s="13">
        <f t="shared" si="313"/>
        <v>10074.4</v>
      </c>
      <c r="AE2139" s="2">
        <v>0.17</v>
      </c>
      <c r="AF2139" s="5">
        <f t="shared" si="320"/>
        <v>1712.6480000000001</v>
      </c>
      <c r="AG2139" s="2">
        <v>0</v>
      </c>
      <c r="AH2139" s="5">
        <f t="shared" si="314"/>
        <v>10074.4</v>
      </c>
      <c r="AJ2139" s="126" t="e">
        <v>#N/A</v>
      </c>
      <c r="AK2139" s="80">
        <f t="shared" si="321"/>
        <v>0</v>
      </c>
      <c r="AM2139" s="85"/>
    </row>
    <row r="2140" spans="1:39" hidden="1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16"/>
        <v>126864.5</v>
      </c>
      <c r="X2140" s="13">
        <f t="shared" si="315"/>
        <v>63135.5</v>
      </c>
      <c r="Y2140" s="13">
        <f t="shared" si="317"/>
        <v>0</v>
      </c>
      <c r="Z2140" s="2">
        <v>0</v>
      </c>
      <c r="AA2140" s="4">
        <v>0</v>
      </c>
      <c r="AB2140" s="4">
        <f t="shared" si="318"/>
        <v>63135.5</v>
      </c>
      <c r="AC2140" s="6">
        <f t="shared" si="319"/>
        <v>0</v>
      </c>
      <c r="AD2140" s="13">
        <f t="shared" si="313"/>
        <v>63135.5</v>
      </c>
      <c r="AE2140" s="2">
        <v>0.17</v>
      </c>
      <c r="AF2140" s="5">
        <f t="shared" si="320"/>
        <v>10733.035000000002</v>
      </c>
      <c r="AG2140" s="2">
        <v>0</v>
      </c>
      <c r="AH2140" s="5">
        <f t="shared" si="314"/>
        <v>63135.5</v>
      </c>
      <c r="AJ2140" s="126" t="e">
        <v>#N/A</v>
      </c>
      <c r="AK2140" s="80">
        <f t="shared" si="321"/>
        <v>0</v>
      </c>
      <c r="AM2140" s="85"/>
    </row>
    <row r="2141" spans="1:39" hidden="1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16"/>
        <v>64205.5</v>
      </c>
      <c r="X2141" s="13">
        <f t="shared" si="315"/>
        <v>25794.5</v>
      </c>
      <c r="Y2141" s="13">
        <f t="shared" si="317"/>
        <v>0</v>
      </c>
      <c r="Z2141" s="2">
        <v>0</v>
      </c>
      <c r="AA2141" s="4">
        <v>0</v>
      </c>
      <c r="AB2141" s="4">
        <f t="shared" si="318"/>
        <v>25794.5</v>
      </c>
      <c r="AC2141" s="6">
        <f t="shared" si="319"/>
        <v>0</v>
      </c>
      <c r="AD2141" s="13">
        <f t="shared" si="313"/>
        <v>25794.5</v>
      </c>
      <c r="AE2141" s="2">
        <v>0.17</v>
      </c>
      <c r="AF2141" s="5">
        <f t="shared" si="320"/>
        <v>4385.0650000000005</v>
      </c>
      <c r="AG2141" s="2">
        <v>0</v>
      </c>
      <c r="AH2141" s="5">
        <f t="shared" si="314"/>
        <v>25794.5</v>
      </c>
      <c r="AJ2141" s="126" t="e">
        <v>#N/A</v>
      </c>
      <c r="AK2141" s="80">
        <f t="shared" si="321"/>
        <v>0</v>
      </c>
      <c r="AM2141" s="85"/>
    </row>
    <row r="2142" spans="1:39" hidden="1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16"/>
        <v>0</v>
      </c>
      <c r="X2142" s="13">
        <f t="shared" si="315"/>
        <v>0</v>
      </c>
      <c r="Y2142" s="13">
        <f t="shared" si="317"/>
        <v>0</v>
      </c>
      <c r="Z2142" s="2">
        <v>0</v>
      </c>
      <c r="AA2142" s="4">
        <v>0</v>
      </c>
      <c r="AB2142" s="4">
        <f t="shared" si="318"/>
        <v>0</v>
      </c>
      <c r="AC2142" s="6">
        <f t="shared" si="319"/>
        <v>0</v>
      </c>
      <c r="AD2142" s="13">
        <f t="shared" ref="AD2142:AD2205" si="322">V2142</f>
        <v>0</v>
      </c>
      <c r="AE2142" s="2">
        <v>0.17</v>
      </c>
      <c r="AF2142" s="5">
        <f t="shared" si="320"/>
        <v>0</v>
      </c>
      <c r="AG2142" s="2">
        <v>0</v>
      </c>
      <c r="AH2142" s="5">
        <f t="shared" ref="AH2142:AH2205" si="323">V2142</f>
        <v>0</v>
      </c>
      <c r="AJ2142" s="126" t="e">
        <v>#N/A</v>
      </c>
      <c r="AK2142" s="80">
        <f t="shared" si="321"/>
        <v>0</v>
      </c>
      <c r="AM2142" s="85"/>
    </row>
    <row r="2143" spans="1:39" hidden="1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16"/>
        <v>-1.8553691916167736E-10</v>
      </c>
      <c r="X2143" s="13">
        <f t="shared" si="315"/>
        <v>0</v>
      </c>
      <c r="Y2143" s="13">
        <f t="shared" si="317"/>
        <v>0</v>
      </c>
      <c r="Z2143" s="2">
        <v>0</v>
      </c>
      <c r="AA2143" s="4">
        <v>0</v>
      </c>
      <c r="AB2143" s="4">
        <f t="shared" si="318"/>
        <v>0</v>
      </c>
      <c r="AC2143" s="6">
        <f t="shared" si="319"/>
        <v>0</v>
      </c>
      <c r="AD2143" s="13">
        <f t="shared" si="322"/>
        <v>0</v>
      </c>
      <c r="AE2143" s="2">
        <v>0.17</v>
      </c>
      <c r="AF2143" s="5">
        <f t="shared" si="320"/>
        <v>0</v>
      </c>
      <c r="AG2143" s="2">
        <v>0</v>
      </c>
      <c r="AH2143" s="5">
        <f t="shared" si="323"/>
        <v>0</v>
      </c>
      <c r="AJ2143" s="126" t="e">
        <v>#N/A</v>
      </c>
      <c r="AK2143" s="80">
        <f t="shared" si="321"/>
        <v>0</v>
      </c>
      <c r="AM2143" s="85"/>
    </row>
    <row r="2144" spans="1:39" hidden="1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16"/>
        <v>432298.55</v>
      </c>
      <c r="X2144" s="13">
        <f t="shared" si="315"/>
        <v>167701.45000000001</v>
      </c>
      <c r="Y2144" s="13">
        <f t="shared" si="317"/>
        <v>0</v>
      </c>
      <c r="Z2144" s="2">
        <v>0</v>
      </c>
      <c r="AA2144" s="4">
        <v>0</v>
      </c>
      <c r="AB2144" s="4">
        <f t="shared" si="318"/>
        <v>167701.45000000001</v>
      </c>
      <c r="AC2144" s="6">
        <f t="shared" si="319"/>
        <v>0</v>
      </c>
      <c r="AD2144" s="13">
        <f t="shared" si="322"/>
        <v>167701.45000000001</v>
      </c>
      <c r="AE2144" s="2">
        <v>0.17</v>
      </c>
      <c r="AF2144" s="5">
        <f t="shared" si="320"/>
        <v>28509.246500000005</v>
      </c>
      <c r="AG2144" s="2">
        <v>0</v>
      </c>
      <c r="AH2144" s="5">
        <f t="shared" si="323"/>
        <v>167701.45000000001</v>
      </c>
      <c r="AJ2144" s="126" t="e">
        <v>#N/A</v>
      </c>
      <c r="AK2144" s="80">
        <f t="shared" si="321"/>
        <v>0</v>
      </c>
      <c r="AM2144" s="85"/>
    </row>
    <row r="2145" spans="1:39" hidden="1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16"/>
        <v>9096</v>
      </c>
      <c r="X2145" s="13">
        <f t="shared" ref="X2145:X2208" si="324">IF(P2145="折扣",V2145*Q2145,IF(P2145="返现",V2145,V2145/(1+Q2145)))</f>
        <v>21499.065420560746</v>
      </c>
      <c r="Y2145" s="13">
        <f t="shared" si="317"/>
        <v>0</v>
      </c>
      <c r="Z2145" s="2">
        <v>0</v>
      </c>
      <c r="AA2145" s="4">
        <v>0</v>
      </c>
      <c r="AB2145" s="4">
        <f t="shared" si="318"/>
        <v>21499.065420560746</v>
      </c>
      <c r="AC2145" s="6">
        <f t="shared" si="319"/>
        <v>1504.9345794392539</v>
      </c>
      <c r="AD2145" s="13">
        <f t="shared" si="322"/>
        <v>23004</v>
      </c>
      <c r="AE2145" s="2">
        <v>0.17</v>
      </c>
      <c r="AF2145" s="5">
        <f t="shared" si="320"/>
        <v>3910.6800000000003</v>
      </c>
      <c r="AG2145" s="2">
        <v>0</v>
      </c>
      <c r="AH2145" s="5">
        <f t="shared" si="323"/>
        <v>23004</v>
      </c>
      <c r="AJ2145" s="126" t="e">
        <v>#N/A</v>
      </c>
      <c r="AK2145" s="80">
        <f t="shared" si="321"/>
        <v>0</v>
      </c>
      <c r="AM2145" s="85"/>
    </row>
    <row r="2146" spans="1:39" hidden="1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16"/>
        <v>47157.57</v>
      </c>
      <c r="X2146" s="13">
        <f t="shared" si="324"/>
        <v>2848.83</v>
      </c>
      <c r="Y2146" s="13">
        <f t="shared" si="317"/>
        <v>0</v>
      </c>
      <c r="Z2146" s="2">
        <v>0</v>
      </c>
      <c r="AA2146" s="4">
        <v>0</v>
      </c>
      <c r="AB2146" s="4">
        <f t="shared" si="318"/>
        <v>2848.83</v>
      </c>
      <c r="AC2146" s="6">
        <f t="shared" si="319"/>
        <v>0</v>
      </c>
      <c r="AD2146" s="13">
        <f t="shared" si="322"/>
        <v>2848.83</v>
      </c>
      <c r="AE2146" s="2">
        <v>0.17</v>
      </c>
      <c r="AF2146" s="5">
        <f t="shared" si="320"/>
        <v>484.30110000000002</v>
      </c>
      <c r="AG2146" s="2">
        <v>0</v>
      </c>
      <c r="AH2146" s="5">
        <f t="shared" si="323"/>
        <v>2848.83</v>
      </c>
      <c r="AJ2146" s="126" t="e">
        <v>#N/A</v>
      </c>
      <c r="AK2146" s="80">
        <f t="shared" si="321"/>
        <v>0</v>
      </c>
      <c r="AM2146" s="85"/>
    </row>
    <row r="2147" spans="1:39" hidden="1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16"/>
        <v>26231.799999999988</v>
      </c>
      <c r="X2147" s="13">
        <f t="shared" si="324"/>
        <v>325484.29906542058</v>
      </c>
      <c r="Y2147" s="13">
        <f t="shared" si="317"/>
        <v>0</v>
      </c>
      <c r="Z2147" s="2">
        <v>0</v>
      </c>
      <c r="AA2147" s="4">
        <v>0</v>
      </c>
      <c r="AB2147" s="4">
        <f t="shared" si="318"/>
        <v>325484.29906542058</v>
      </c>
      <c r="AC2147" s="6">
        <f t="shared" si="319"/>
        <v>22783.900934579433</v>
      </c>
      <c r="AD2147" s="13">
        <f t="shared" si="322"/>
        <v>348268.2</v>
      </c>
      <c r="AE2147" s="2">
        <v>0.17</v>
      </c>
      <c r="AF2147" s="5">
        <f t="shared" si="320"/>
        <v>59205.594000000005</v>
      </c>
      <c r="AG2147" s="2">
        <v>0</v>
      </c>
      <c r="AH2147" s="5">
        <f t="shared" si="323"/>
        <v>348268.2</v>
      </c>
      <c r="AJ2147" s="126" t="e">
        <v>#N/A</v>
      </c>
      <c r="AK2147" s="80">
        <f t="shared" si="321"/>
        <v>0</v>
      </c>
      <c r="AM2147" s="85"/>
    </row>
    <row r="2148" spans="1:39" hidden="1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16"/>
        <v>165683.63</v>
      </c>
      <c r="X2148" s="13">
        <f t="shared" si="324"/>
        <v>745155.48598130839</v>
      </c>
      <c r="Y2148" s="13">
        <f t="shared" si="317"/>
        <v>0</v>
      </c>
      <c r="Z2148" s="2">
        <v>0</v>
      </c>
      <c r="AA2148" s="4">
        <v>0</v>
      </c>
      <c r="AB2148" s="4">
        <f t="shared" si="318"/>
        <v>745155.48598130839</v>
      </c>
      <c r="AC2148" s="6">
        <f t="shared" si="319"/>
        <v>52160.884018691606</v>
      </c>
      <c r="AD2148" s="13">
        <f t="shared" si="322"/>
        <v>797316.37</v>
      </c>
      <c r="AE2148" s="2">
        <v>0.17</v>
      </c>
      <c r="AF2148" s="5">
        <f t="shared" si="320"/>
        <v>135543.78290000002</v>
      </c>
      <c r="AG2148" s="2">
        <v>0</v>
      </c>
      <c r="AH2148" s="5">
        <f t="shared" si="323"/>
        <v>797316.37</v>
      </c>
      <c r="AJ2148" s="126" t="e">
        <v>#N/A</v>
      </c>
      <c r="AK2148" s="80">
        <f t="shared" si="321"/>
        <v>0</v>
      </c>
      <c r="AM2148" s="85"/>
    </row>
    <row r="2149" spans="1:39" hidden="1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16"/>
        <v>64366.430000000022</v>
      </c>
      <c r="X2149" s="13">
        <f t="shared" si="324"/>
        <v>239844.4579439252</v>
      </c>
      <c r="Y2149" s="13">
        <f t="shared" si="317"/>
        <v>0</v>
      </c>
      <c r="Z2149" s="2">
        <v>0</v>
      </c>
      <c r="AA2149" s="4">
        <v>0</v>
      </c>
      <c r="AB2149" s="4">
        <f t="shared" si="318"/>
        <v>239844.4579439252</v>
      </c>
      <c r="AC2149" s="6">
        <f t="shared" si="319"/>
        <v>16789.11205607478</v>
      </c>
      <c r="AD2149" s="13">
        <f t="shared" si="322"/>
        <v>256633.56999999998</v>
      </c>
      <c r="AE2149" s="2">
        <v>0.17</v>
      </c>
      <c r="AF2149" s="5">
        <f t="shared" si="320"/>
        <v>43627.706899999997</v>
      </c>
      <c r="AG2149" s="2">
        <v>0</v>
      </c>
      <c r="AH2149" s="5">
        <f t="shared" si="323"/>
        <v>256633.56999999998</v>
      </c>
      <c r="AJ2149" s="126" t="e">
        <v>#N/A</v>
      </c>
      <c r="AK2149" s="80">
        <f t="shared" si="321"/>
        <v>0</v>
      </c>
      <c r="AM2149" s="85"/>
    </row>
    <row r="2150" spans="1:39" hidden="1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16"/>
        <v>51221.389999999985</v>
      </c>
      <c r="X2150" s="13">
        <f t="shared" si="324"/>
        <v>102129.54205607477</v>
      </c>
      <c r="Y2150" s="13">
        <f t="shared" si="317"/>
        <v>0</v>
      </c>
      <c r="Z2150" s="2">
        <v>0</v>
      </c>
      <c r="AA2150" s="4">
        <v>0</v>
      </c>
      <c r="AB2150" s="4">
        <f t="shared" si="318"/>
        <v>102129.54205607477</v>
      </c>
      <c r="AC2150" s="6">
        <f t="shared" si="319"/>
        <v>7149.0679439252417</v>
      </c>
      <c r="AD2150" s="13">
        <f t="shared" si="322"/>
        <v>109278.61000000002</v>
      </c>
      <c r="AE2150" s="2">
        <v>0.17</v>
      </c>
      <c r="AF2150" s="5">
        <f t="shared" si="320"/>
        <v>18577.363700000005</v>
      </c>
      <c r="AG2150" s="2">
        <v>0</v>
      </c>
      <c r="AH2150" s="5">
        <f t="shared" si="323"/>
        <v>109278.61000000002</v>
      </c>
      <c r="AJ2150" s="126" t="e">
        <v>#N/A</v>
      </c>
      <c r="AK2150" s="80">
        <f t="shared" si="321"/>
        <v>0</v>
      </c>
      <c r="AM2150" s="85"/>
    </row>
    <row r="2151" spans="1:39" hidden="1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16"/>
        <v>164848.75</v>
      </c>
      <c r="X2151" s="13">
        <f t="shared" si="324"/>
        <v>595935.74766355136</v>
      </c>
      <c r="Y2151" s="13">
        <f t="shared" si="317"/>
        <v>0</v>
      </c>
      <c r="Z2151" s="2">
        <v>0</v>
      </c>
      <c r="AA2151" s="4">
        <v>0</v>
      </c>
      <c r="AB2151" s="4">
        <f t="shared" si="318"/>
        <v>595935.74766355136</v>
      </c>
      <c r="AC2151" s="6">
        <f t="shared" si="319"/>
        <v>41715.502336448641</v>
      </c>
      <c r="AD2151" s="13">
        <f t="shared" si="322"/>
        <v>637651.25</v>
      </c>
      <c r="AE2151" s="2">
        <v>0.17</v>
      </c>
      <c r="AF2151" s="5">
        <f t="shared" si="320"/>
        <v>108400.71250000001</v>
      </c>
      <c r="AG2151" s="2">
        <v>0</v>
      </c>
      <c r="AH2151" s="5">
        <f t="shared" si="323"/>
        <v>637651.25</v>
      </c>
      <c r="AJ2151" s="126" t="e">
        <v>#N/A</v>
      </c>
      <c r="AK2151" s="80">
        <f t="shared" si="321"/>
        <v>0</v>
      </c>
      <c r="AM2151" s="85"/>
    </row>
    <row r="2152" spans="1:39" hidden="1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16"/>
        <v>456631.12000000011</v>
      </c>
      <c r="X2152" s="13">
        <f t="shared" si="324"/>
        <v>4673241.9439252336</v>
      </c>
      <c r="Y2152" s="13">
        <f t="shared" si="317"/>
        <v>0</v>
      </c>
      <c r="Z2152" s="2">
        <v>0</v>
      </c>
      <c r="AA2152" s="4">
        <v>0</v>
      </c>
      <c r="AB2152" s="4">
        <f t="shared" si="318"/>
        <v>4673241.9439252336</v>
      </c>
      <c r="AC2152" s="6">
        <f t="shared" si="319"/>
        <v>327126.93607476633</v>
      </c>
      <c r="AD2152" s="13">
        <f t="shared" si="322"/>
        <v>5000368.88</v>
      </c>
      <c r="AE2152" s="2">
        <v>0.17</v>
      </c>
      <c r="AF2152" s="5">
        <f t="shared" si="320"/>
        <v>850062.70960000006</v>
      </c>
      <c r="AG2152" s="2">
        <v>0</v>
      </c>
      <c r="AH2152" s="5">
        <f t="shared" si="323"/>
        <v>5000368.88</v>
      </c>
      <c r="AJ2152" s="126" t="e">
        <v>#N/A</v>
      </c>
      <c r="AK2152" s="80">
        <f t="shared" si="321"/>
        <v>0</v>
      </c>
      <c r="AM2152" s="85"/>
    </row>
    <row r="2153" spans="1:39" hidden="1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16"/>
        <v>65978.459999999963</v>
      </c>
      <c r="X2153" s="13">
        <f t="shared" si="324"/>
        <v>588337.88785046735</v>
      </c>
      <c r="Y2153" s="13">
        <f t="shared" si="317"/>
        <v>0</v>
      </c>
      <c r="Z2153" s="2">
        <v>0</v>
      </c>
      <c r="AA2153" s="4">
        <v>0</v>
      </c>
      <c r="AB2153" s="4">
        <f t="shared" si="318"/>
        <v>588337.88785046735</v>
      </c>
      <c r="AC2153" s="6">
        <f t="shared" si="319"/>
        <v>41183.652149532689</v>
      </c>
      <c r="AD2153" s="13">
        <f t="shared" si="322"/>
        <v>629521.54</v>
      </c>
      <c r="AE2153" s="2">
        <v>0.17</v>
      </c>
      <c r="AF2153" s="5">
        <f t="shared" si="320"/>
        <v>107018.66180000002</v>
      </c>
      <c r="AG2153" s="2">
        <v>0</v>
      </c>
      <c r="AH2153" s="5">
        <f t="shared" si="323"/>
        <v>629521.54</v>
      </c>
      <c r="AJ2153" s="126" t="e">
        <v>#N/A</v>
      </c>
      <c r="AK2153" s="80">
        <f t="shared" si="321"/>
        <v>0</v>
      </c>
      <c r="AM2153" s="85"/>
    </row>
    <row r="2154" spans="1:39" hidden="1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16"/>
        <v>266205.80000000005</v>
      </c>
      <c r="X2154" s="13">
        <f t="shared" si="324"/>
        <v>751209.53271028027</v>
      </c>
      <c r="Y2154" s="13">
        <f t="shared" si="317"/>
        <v>0</v>
      </c>
      <c r="Z2154" s="2">
        <v>0</v>
      </c>
      <c r="AA2154" s="4">
        <v>0</v>
      </c>
      <c r="AB2154" s="4">
        <f t="shared" si="318"/>
        <v>751209.53271028027</v>
      </c>
      <c r="AC2154" s="6">
        <f t="shared" si="319"/>
        <v>52584.667289719684</v>
      </c>
      <c r="AD2154" s="13">
        <f t="shared" si="322"/>
        <v>803794.2</v>
      </c>
      <c r="AE2154" s="2">
        <v>0.17</v>
      </c>
      <c r="AF2154" s="5">
        <f t="shared" si="320"/>
        <v>136645.014</v>
      </c>
      <c r="AG2154" s="2">
        <v>0</v>
      </c>
      <c r="AH2154" s="5">
        <f t="shared" si="323"/>
        <v>803794.2</v>
      </c>
      <c r="AJ2154" s="126" t="e">
        <v>#N/A</v>
      </c>
      <c r="AK2154" s="80">
        <f t="shared" si="321"/>
        <v>0</v>
      </c>
      <c r="AM2154" s="85"/>
    </row>
    <row r="2155" spans="1:39" hidden="1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16"/>
        <v>1065.20999999997</v>
      </c>
      <c r="X2155" s="13">
        <f t="shared" si="324"/>
        <v>35059.455445544554</v>
      </c>
      <c r="Y2155" s="13">
        <f t="shared" si="317"/>
        <v>0</v>
      </c>
      <c r="Z2155" s="2">
        <v>0</v>
      </c>
      <c r="AA2155" s="4">
        <v>0</v>
      </c>
      <c r="AB2155" s="4">
        <f t="shared" si="318"/>
        <v>35059.455445544554</v>
      </c>
      <c r="AC2155" s="6">
        <f t="shared" si="319"/>
        <v>350.59455445544882</v>
      </c>
      <c r="AD2155" s="13">
        <f t="shared" si="322"/>
        <v>35410.050000000003</v>
      </c>
      <c r="AE2155" s="2">
        <v>0.17</v>
      </c>
      <c r="AF2155" s="5">
        <f t="shared" si="320"/>
        <v>6019.7085000000006</v>
      </c>
      <c r="AG2155" s="2">
        <v>0</v>
      </c>
      <c r="AH2155" s="5">
        <f t="shared" si="323"/>
        <v>35410.050000000003</v>
      </c>
      <c r="AJ2155" s="126" t="e">
        <v>#N/A</v>
      </c>
      <c r="AK2155" s="80">
        <f t="shared" si="321"/>
        <v>0</v>
      </c>
      <c r="AM2155" s="85"/>
    </row>
    <row r="2156" spans="1:39" hidden="1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16"/>
        <v>32827.400000000023</v>
      </c>
      <c r="X2156" s="13">
        <f t="shared" si="324"/>
        <v>110628.15</v>
      </c>
      <c r="Y2156" s="13">
        <f t="shared" si="317"/>
        <v>0</v>
      </c>
      <c r="Z2156" s="2">
        <v>0</v>
      </c>
      <c r="AA2156" s="4">
        <v>0</v>
      </c>
      <c r="AB2156" s="4">
        <f t="shared" si="318"/>
        <v>110628.15</v>
      </c>
      <c r="AC2156" s="6">
        <f t="shared" si="319"/>
        <v>0</v>
      </c>
      <c r="AD2156" s="13">
        <f t="shared" si="322"/>
        <v>110628.15</v>
      </c>
      <c r="AE2156" s="2">
        <v>0.17</v>
      </c>
      <c r="AF2156" s="5">
        <f t="shared" si="320"/>
        <v>18806.785500000002</v>
      </c>
      <c r="AG2156" s="2">
        <v>0</v>
      </c>
      <c r="AH2156" s="5">
        <f t="shared" si="323"/>
        <v>110628.15</v>
      </c>
      <c r="AJ2156" s="126" t="e">
        <v>#N/A</v>
      </c>
      <c r="AK2156" s="80">
        <f t="shared" si="321"/>
        <v>0</v>
      </c>
      <c r="AM2156" s="85"/>
    </row>
    <row r="2157" spans="1:39" hidden="1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16"/>
        <v>21331.58</v>
      </c>
      <c r="X2157" s="13">
        <f t="shared" si="324"/>
        <v>17579.32</v>
      </c>
      <c r="Y2157" s="13">
        <f t="shared" si="317"/>
        <v>0</v>
      </c>
      <c r="Z2157" s="2">
        <v>0</v>
      </c>
      <c r="AA2157" s="4">
        <v>0</v>
      </c>
      <c r="AB2157" s="4">
        <f t="shared" si="318"/>
        <v>17579.32</v>
      </c>
      <c r="AC2157" s="6">
        <f t="shared" si="319"/>
        <v>0</v>
      </c>
      <c r="AD2157" s="13">
        <f t="shared" si="322"/>
        <v>17579.32</v>
      </c>
      <c r="AE2157" s="2">
        <v>0.17</v>
      </c>
      <c r="AF2157" s="5">
        <f t="shared" si="320"/>
        <v>2988.4844000000003</v>
      </c>
      <c r="AG2157" s="2">
        <v>0</v>
      </c>
      <c r="AH2157" s="5">
        <f t="shared" si="323"/>
        <v>17579.32</v>
      </c>
      <c r="AJ2157" s="126" t="e">
        <v>#N/A</v>
      </c>
      <c r="AK2157" s="80">
        <f t="shared" si="321"/>
        <v>0</v>
      </c>
      <c r="AM2157" s="85"/>
    </row>
    <row r="2158" spans="1:39" hidden="1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16"/>
        <v>50000</v>
      </c>
      <c r="X2158" s="13">
        <f t="shared" si="324"/>
        <v>0</v>
      </c>
      <c r="Y2158" s="13">
        <f t="shared" si="317"/>
        <v>0</v>
      </c>
      <c r="Z2158" s="2">
        <v>0</v>
      </c>
      <c r="AA2158" s="4">
        <v>0</v>
      </c>
      <c r="AB2158" s="4">
        <f t="shared" si="318"/>
        <v>0</v>
      </c>
      <c r="AC2158" s="6">
        <f t="shared" si="319"/>
        <v>0</v>
      </c>
      <c r="AD2158" s="13">
        <f t="shared" si="322"/>
        <v>0</v>
      </c>
      <c r="AE2158" s="2">
        <v>0.17</v>
      </c>
      <c r="AF2158" s="5">
        <f t="shared" si="320"/>
        <v>0</v>
      </c>
      <c r="AG2158" s="2">
        <v>0</v>
      </c>
      <c r="AH2158" s="5">
        <f t="shared" si="323"/>
        <v>0</v>
      </c>
      <c r="AJ2158" s="126" t="e">
        <v>#N/A</v>
      </c>
      <c r="AK2158" s="80">
        <f t="shared" si="321"/>
        <v>0</v>
      </c>
      <c r="AM2158" s="85"/>
    </row>
    <row r="2159" spans="1:39" hidden="1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16"/>
        <v>0</v>
      </c>
      <c r="X2159" s="13">
        <f t="shared" si="324"/>
        <v>1923</v>
      </c>
      <c r="Y2159" s="13">
        <f t="shared" si="317"/>
        <v>0</v>
      </c>
      <c r="Z2159" s="2">
        <v>0</v>
      </c>
      <c r="AA2159" s="4">
        <v>0</v>
      </c>
      <c r="AB2159" s="4">
        <f t="shared" si="318"/>
        <v>1923</v>
      </c>
      <c r="AC2159" s="6">
        <f t="shared" si="319"/>
        <v>0</v>
      </c>
      <c r="AD2159" s="13">
        <f t="shared" si="322"/>
        <v>1923</v>
      </c>
      <c r="AE2159" s="2">
        <v>0.17</v>
      </c>
      <c r="AF2159" s="5">
        <f t="shared" si="320"/>
        <v>326.91000000000003</v>
      </c>
      <c r="AG2159" s="2">
        <v>0</v>
      </c>
      <c r="AH2159" s="5">
        <f t="shared" si="323"/>
        <v>1923</v>
      </c>
      <c r="AJ2159" s="126" t="e">
        <v>#N/A</v>
      </c>
      <c r="AK2159" s="80">
        <f t="shared" si="321"/>
        <v>0</v>
      </c>
      <c r="AM2159" s="85"/>
    </row>
    <row r="2160" spans="1:39" hidden="1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16"/>
        <v>48824</v>
      </c>
      <c r="X2160" s="13">
        <f t="shared" si="324"/>
        <v>1176</v>
      </c>
      <c r="Y2160" s="13">
        <f t="shared" si="317"/>
        <v>0</v>
      </c>
      <c r="Z2160" s="2">
        <v>0</v>
      </c>
      <c r="AA2160" s="4">
        <v>0</v>
      </c>
      <c r="AB2160" s="4">
        <f t="shared" si="318"/>
        <v>1176</v>
      </c>
      <c r="AC2160" s="6">
        <f t="shared" si="319"/>
        <v>0</v>
      </c>
      <c r="AD2160" s="13">
        <f t="shared" si="322"/>
        <v>1176</v>
      </c>
      <c r="AE2160" s="2">
        <v>0.17</v>
      </c>
      <c r="AF2160" s="5">
        <f t="shared" si="320"/>
        <v>199.92000000000002</v>
      </c>
      <c r="AG2160" s="2">
        <v>0</v>
      </c>
      <c r="AH2160" s="5">
        <f t="shared" si="323"/>
        <v>1176</v>
      </c>
      <c r="AJ2160" s="126" t="e">
        <v>#N/A</v>
      </c>
      <c r="AK2160" s="80">
        <f t="shared" si="321"/>
        <v>0</v>
      </c>
      <c r="AM2160" s="85"/>
    </row>
    <row r="2161" spans="1:39" hidden="1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16"/>
        <v>150771.60010000004</v>
      </c>
      <c r="X2161" s="13">
        <f t="shared" si="324"/>
        <v>131418.64067961165</v>
      </c>
      <c r="Y2161" s="13">
        <f t="shared" si="317"/>
        <v>0</v>
      </c>
      <c r="Z2161" s="2">
        <v>0</v>
      </c>
      <c r="AA2161" s="4">
        <v>0</v>
      </c>
      <c r="AB2161" s="4">
        <f t="shared" si="318"/>
        <v>131418.64067961165</v>
      </c>
      <c r="AC2161" s="6">
        <f t="shared" si="319"/>
        <v>3942.5592203883571</v>
      </c>
      <c r="AD2161" s="13">
        <f t="shared" si="322"/>
        <v>135361.19990000001</v>
      </c>
      <c r="AE2161" s="2">
        <v>0.17</v>
      </c>
      <c r="AF2161" s="5">
        <f t="shared" si="320"/>
        <v>23011.403983000004</v>
      </c>
      <c r="AG2161" s="2">
        <v>0</v>
      </c>
      <c r="AH2161" s="5">
        <f t="shared" si="323"/>
        <v>135361.19990000001</v>
      </c>
      <c r="AJ2161" s="126" t="e">
        <v>#N/A</v>
      </c>
      <c r="AK2161" s="80">
        <f t="shared" si="321"/>
        <v>0</v>
      </c>
      <c r="AM2161" s="85"/>
    </row>
    <row r="2162" spans="1:39" hidden="1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16"/>
        <v>7557.8000000000029</v>
      </c>
      <c r="X2162" s="13">
        <f t="shared" si="324"/>
        <v>23786.886792452828</v>
      </c>
      <c r="Y2162" s="13">
        <f t="shared" si="317"/>
        <v>0</v>
      </c>
      <c r="Z2162" s="2">
        <v>0</v>
      </c>
      <c r="AA2162" s="4">
        <v>0</v>
      </c>
      <c r="AB2162" s="4">
        <f t="shared" si="318"/>
        <v>23786.886792452828</v>
      </c>
      <c r="AC2162" s="6">
        <f t="shared" si="319"/>
        <v>1427.2132075471709</v>
      </c>
      <c r="AD2162" s="13">
        <f t="shared" si="322"/>
        <v>25214.1</v>
      </c>
      <c r="AE2162" s="2">
        <v>0.17</v>
      </c>
      <c r="AF2162" s="5">
        <f t="shared" si="320"/>
        <v>4286.3969999999999</v>
      </c>
      <c r="AG2162" s="2">
        <v>0</v>
      </c>
      <c r="AH2162" s="5">
        <f t="shared" si="323"/>
        <v>25214.1</v>
      </c>
      <c r="AJ2162" s="126" t="e">
        <v>#N/A</v>
      </c>
      <c r="AK2162" s="80">
        <f t="shared" si="321"/>
        <v>0</v>
      </c>
      <c r="AM2162" s="85"/>
    </row>
    <row r="2163" spans="1:39" hidden="1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16"/>
        <v>509268.02000000008</v>
      </c>
      <c r="X2163" s="13">
        <f t="shared" si="324"/>
        <v>295050.02999999997</v>
      </c>
      <c r="Y2163" s="13">
        <f t="shared" si="317"/>
        <v>0</v>
      </c>
      <c r="Z2163" s="2">
        <v>0</v>
      </c>
      <c r="AA2163" s="4">
        <v>0</v>
      </c>
      <c r="AB2163" s="4">
        <f t="shared" si="318"/>
        <v>295050.02999999997</v>
      </c>
      <c r="AC2163" s="6">
        <f t="shared" si="319"/>
        <v>0</v>
      </c>
      <c r="AD2163" s="13">
        <f t="shared" si="322"/>
        <v>295050.02999999997</v>
      </c>
      <c r="AE2163" s="2">
        <v>0.17</v>
      </c>
      <c r="AF2163" s="5">
        <f t="shared" si="320"/>
        <v>50158.505099999995</v>
      </c>
      <c r="AG2163" s="2">
        <v>0</v>
      </c>
      <c r="AH2163" s="5">
        <f t="shared" si="323"/>
        <v>295050.02999999997</v>
      </c>
      <c r="AJ2163" s="126" t="e">
        <v>#N/A</v>
      </c>
      <c r="AK2163" s="80">
        <f t="shared" si="321"/>
        <v>0</v>
      </c>
      <c r="AM2163" s="85"/>
    </row>
    <row r="2164" spans="1:39" hidden="1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16"/>
        <v>1.1368683772161603E-13</v>
      </c>
      <c r="X2164" s="13">
        <f t="shared" si="324"/>
        <v>0</v>
      </c>
      <c r="Y2164" s="13">
        <f t="shared" si="317"/>
        <v>0</v>
      </c>
      <c r="Z2164" s="2">
        <v>0</v>
      </c>
      <c r="AA2164" s="4">
        <v>0</v>
      </c>
      <c r="AB2164" s="4"/>
      <c r="AC2164" s="6">
        <f t="shared" si="319"/>
        <v>0</v>
      </c>
      <c r="AD2164" s="13">
        <f t="shared" si="322"/>
        <v>0</v>
      </c>
      <c r="AE2164" s="2">
        <v>0.17</v>
      </c>
      <c r="AF2164" s="5">
        <f t="shared" si="320"/>
        <v>0</v>
      </c>
      <c r="AG2164" s="2">
        <v>0</v>
      </c>
      <c r="AH2164" s="5">
        <f t="shared" si="323"/>
        <v>0</v>
      </c>
      <c r="AJ2164" s="126">
        <v>93</v>
      </c>
      <c r="AK2164" s="80">
        <f t="shared" si="321"/>
        <v>0</v>
      </c>
      <c r="AM2164" s="85"/>
    </row>
    <row r="2165" spans="1:39" hidden="1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16"/>
        <v>2543.2999999999997</v>
      </c>
      <c r="X2165" s="13">
        <f t="shared" si="324"/>
        <v>490.3</v>
      </c>
      <c r="Y2165" s="13">
        <f t="shared" si="317"/>
        <v>0</v>
      </c>
      <c r="Z2165" s="2">
        <v>0</v>
      </c>
      <c r="AA2165" s="4">
        <v>0</v>
      </c>
      <c r="AB2165" s="4"/>
      <c r="AC2165" s="6">
        <f t="shared" si="319"/>
        <v>0</v>
      </c>
      <c r="AD2165" s="13">
        <f t="shared" si="322"/>
        <v>490.3</v>
      </c>
      <c r="AE2165" s="2">
        <v>0.17</v>
      </c>
      <c r="AF2165" s="5">
        <f t="shared" si="320"/>
        <v>83.351000000000013</v>
      </c>
      <c r="AG2165" s="2">
        <v>0</v>
      </c>
      <c r="AH2165" s="5">
        <f t="shared" si="323"/>
        <v>490.3</v>
      </c>
      <c r="AJ2165" s="126">
        <v>93</v>
      </c>
      <c r="AK2165" s="80">
        <f t="shared" si="321"/>
        <v>490.3</v>
      </c>
      <c r="AM2165" s="85"/>
    </row>
    <row r="2166" spans="1:39" hidden="1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16"/>
        <v>0</v>
      </c>
      <c r="X2166" s="13">
        <f t="shared" si="324"/>
        <v>0</v>
      </c>
      <c r="Y2166" s="13">
        <f t="shared" si="317"/>
        <v>0</v>
      </c>
      <c r="Z2166" s="2">
        <v>0</v>
      </c>
      <c r="AA2166" s="4">
        <v>0</v>
      </c>
      <c r="AB2166" s="4"/>
      <c r="AC2166" s="6">
        <f t="shared" si="319"/>
        <v>0</v>
      </c>
      <c r="AD2166" s="13">
        <f t="shared" si="322"/>
        <v>0</v>
      </c>
      <c r="AE2166" s="2">
        <v>0.17</v>
      </c>
      <c r="AF2166" s="5">
        <f t="shared" si="320"/>
        <v>0</v>
      </c>
      <c r="AG2166" s="2">
        <v>0</v>
      </c>
      <c r="AH2166" s="5">
        <f t="shared" si="323"/>
        <v>0</v>
      </c>
      <c r="AJ2166" s="126">
        <v>93</v>
      </c>
      <c r="AK2166" s="80">
        <f t="shared" si="321"/>
        <v>0</v>
      </c>
      <c r="AM2166" s="85"/>
    </row>
    <row r="2167" spans="1:39" hidden="1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16"/>
        <v>1145.8999999999996</v>
      </c>
      <c r="X2167" s="13">
        <f t="shared" si="324"/>
        <v>8732</v>
      </c>
      <c r="Y2167" s="13">
        <f t="shared" si="317"/>
        <v>0</v>
      </c>
      <c r="Z2167" s="2">
        <v>0</v>
      </c>
      <c r="AA2167" s="4">
        <v>0</v>
      </c>
      <c r="AB2167" s="4"/>
      <c r="AC2167" s="6">
        <f t="shared" si="319"/>
        <v>0</v>
      </c>
      <c r="AD2167" s="13">
        <f t="shared" si="322"/>
        <v>8732</v>
      </c>
      <c r="AE2167" s="2">
        <v>0.17</v>
      </c>
      <c r="AF2167" s="5">
        <f t="shared" si="320"/>
        <v>1484.44</v>
      </c>
      <c r="AG2167" s="2">
        <v>0</v>
      </c>
      <c r="AH2167" s="5">
        <f t="shared" si="323"/>
        <v>8732</v>
      </c>
      <c r="AJ2167" s="126">
        <v>93</v>
      </c>
      <c r="AK2167" s="80">
        <f t="shared" si="321"/>
        <v>8732</v>
      </c>
      <c r="AM2167" s="85"/>
    </row>
    <row r="2168" spans="1:39" hidden="1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16"/>
        <v>-4.5474735088646412E-13</v>
      </c>
      <c r="X2168" s="13">
        <f t="shared" si="324"/>
        <v>0</v>
      </c>
      <c r="Y2168" s="13">
        <f t="shared" si="317"/>
        <v>0</v>
      </c>
      <c r="Z2168" s="2">
        <v>0</v>
      </c>
      <c r="AA2168" s="4">
        <v>0</v>
      </c>
      <c r="AB2168" s="4"/>
      <c r="AC2168" s="6">
        <f t="shared" si="319"/>
        <v>0</v>
      </c>
      <c r="AD2168" s="13">
        <f t="shared" si="322"/>
        <v>0</v>
      </c>
      <c r="AE2168" s="2">
        <v>0.17</v>
      </c>
      <c r="AF2168" s="5">
        <f t="shared" si="320"/>
        <v>0</v>
      </c>
      <c r="AG2168" s="2">
        <v>0</v>
      </c>
      <c r="AH2168" s="5">
        <f t="shared" si="323"/>
        <v>0</v>
      </c>
      <c r="AJ2168" s="126">
        <v>93</v>
      </c>
      <c r="AK2168" s="80">
        <f t="shared" si="321"/>
        <v>0</v>
      </c>
      <c r="AM2168" s="85"/>
    </row>
    <row r="2169" spans="1:39" hidden="1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16"/>
        <v>1755.4000000000008</v>
      </c>
      <c r="X2169" s="13">
        <f t="shared" si="324"/>
        <v>1678.8</v>
      </c>
      <c r="Y2169" s="13">
        <f t="shared" si="317"/>
        <v>0</v>
      </c>
      <c r="Z2169" s="2">
        <v>0</v>
      </c>
      <c r="AA2169" s="4">
        <v>0</v>
      </c>
      <c r="AB2169" s="4"/>
      <c r="AC2169" s="6">
        <f t="shared" si="319"/>
        <v>0</v>
      </c>
      <c r="AD2169" s="13">
        <f t="shared" si="322"/>
        <v>1678.8</v>
      </c>
      <c r="AE2169" s="2">
        <v>0.17</v>
      </c>
      <c r="AF2169" s="5">
        <f t="shared" si="320"/>
        <v>285.39600000000002</v>
      </c>
      <c r="AG2169" s="2">
        <v>0</v>
      </c>
      <c r="AH2169" s="5">
        <f t="shared" si="323"/>
        <v>1678.8</v>
      </c>
      <c r="AJ2169" s="126">
        <v>93</v>
      </c>
      <c r="AK2169" s="80">
        <f t="shared" si="321"/>
        <v>1678.8</v>
      </c>
      <c r="AM2169" s="85"/>
    </row>
    <row r="2170" spans="1:39" hidden="1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16"/>
        <v>17540.040000000005</v>
      </c>
      <c r="X2170" s="13">
        <f t="shared" si="324"/>
        <v>15869.41</v>
      </c>
      <c r="Y2170" s="13">
        <f t="shared" si="317"/>
        <v>0</v>
      </c>
      <c r="Z2170" s="2">
        <v>0</v>
      </c>
      <c r="AA2170" s="4">
        <v>0</v>
      </c>
      <c r="AB2170" s="4">
        <f t="shared" si="318"/>
        <v>15869.41</v>
      </c>
      <c r="AC2170" s="6">
        <f t="shared" si="319"/>
        <v>0</v>
      </c>
      <c r="AD2170" s="13">
        <f t="shared" si="322"/>
        <v>15869.41</v>
      </c>
      <c r="AE2170" s="2">
        <v>0.17</v>
      </c>
      <c r="AF2170" s="5">
        <f t="shared" si="320"/>
        <v>2697.7997</v>
      </c>
      <c r="AG2170" s="2">
        <v>0</v>
      </c>
      <c r="AH2170" s="5">
        <f t="shared" si="323"/>
        <v>15869.41</v>
      </c>
      <c r="AJ2170" s="126" t="e">
        <v>#N/A</v>
      </c>
      <c r="AK2170" s="80">
        <f t="shared" si="321"/>
        <v>0</v>
      </c>
      <c r="AM2170" s="85"/>
    </row>
    <row r="2171" spans="1:39" hidden="1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16"/>
        <v>6950.75</v>
      </c>
      <c r="X2171" s="13">
        <f t="shared" si="324"/>
        <v>9720.52</v>
      </c>
      <c r="Y2171" s="13">
        <f t="shared" si="317"/>
        <v>0</v>
      </c>
      <c r="Z2171" s="2">
        <v>0</v>
      </c>
      <c r="AA2171" s="4">
        <v>0</v>
      </c>
      <c r="AB2171" s="4">
        <f t="shared" si="318"/>
        <v>9720.52</v>
      </c>
      <c r="AC2171" s="6">
        <f t="shared" si="319"/>
        <v>0</v>
      </c>
      <c r="AD2171" s="13">
        <f t="shared" si="322"/>
        <v>9720.52</v>
      </c>
      <c r="AE2171" s="2">
        <v>0.17</v>
      </c>
      <c r="AF2171" s="5">
        <f t="shared" si="320"/>
        <v>1652.4884000000002</v>
      </c>
      <c r="AG2171" s="2">
        <v>0</v>
      </c>
      <c r="AH2171" s="5">
        <f t="shared" si="323"/>
        <v>9720.52</v>
      </c>
      <c r="AJ2171" s="126" t="e">
        <v>#N/A</v>
      </c>
      <c r="AK2171" s="80">
        <f t="shared" si="321"/>
        <v>0</v>
      </c>
      <c r="AM2171" s="85"/>
    </row>
    <row r="2172" spans="1:39" hidden="1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16"/>
        <v>4162.8</v>
      </c>
      <c r="X2172" s="13">
        <f t="shared" si="324"/>
        <v>837.19999999999982</v>
      </c>
      <c r="Y2172" s="13">
        <f t="shared" si="317"/>
        <v>0</v>
      </c>
      <c r="Z2172" s="2">
        <v>0</v>
      </c>
      <c r="AA2172" s="4">
        <v>0</v>
      </c>
      <c r="AB2172" s="4">
        <f t="shared" si="318"/>
        <v>837.19999999999982</v>
      </c>
      <c r="AC2172" s="6">
        <f t="shared" si="319"/>
        <v>0</v>
      </c>
      <c r="AD2172" s="13">
        <f t="shared" si="322"/>
        <v>837.19999999999982</v>
      </c>
      <c r="AE2172" s="2">
        <v>0.17</v>
      </c>
      <c r="AF2172" s="5">
        <f t="shared" si="320"/>
        <v>142.32399999999998</v>
      </c>
      <c r="AG2172" s="2">
        <v>0</v>
      </c>
      <c r="AH2172" s="5">
        <f t="shared" si="323"/>
        <v>837.19999999999982</v>
      </c>
      <c r="AJ2172" s="126" t="e">
        <v>#N/A</v>
      </c>
      <c r="AK2172" s="80">
        <f t="shared" si="321"/>
        <v>0</v>
      </c>
      <c r="AM2172" s="85"/>
    </row>
    <row r="2173" spans="1:39" hidden="1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16"/>
        <v>9215.2000000000007</v>
      </c>
      <c r="X2173" s="13">
        <f t="shared" si="324"/>
        <v>30784.799999999999</v>
      </c>
      <c r="Y2173" s="13">
        <f t="shared" si="317"/>
        <v>0</v>
      </c>
      <c r="Z2173" s="2">
        <v>0</v>
      </c>
      <c r="AA2173" s="4">
        <v>0</v>
      </c>
      <c r="AB2173" s="4">
        <f t="shared" si="318"/>
        <v>30784.799999999999</v>
      </c>
      <c r="AC2173" s="6">
        <f t="shared" si="319"/>
        <v>0</v>
      </c>
      <c r="AD2173" s="13">
        <f>V2173</f>
        <v>30784.799999999999</v>
      </c>
      <c r="AE2173" s="2">
        <v>0.17</v>
      </c>
      <c r="AF2173" s="5">
        <f t="shared" si="320"/>
        <v>5233.4160000000002</v>
      </c>
      <c r="AG2173" s="2">
        <v>0</v>
      </c>
      <c r="AH2173" s="5">
        <f t="shared" si="323"/>
        <v>30784.799999999999</v>
      </c>
      <c r="AJ2173" s="126" t="e">
        <v>#N/A</v>
      </c>
      <c r="AK2173" s="80">
        <f t="shared" si="321"/>
        <v>0</v>
      </c>
      <c r="AM2173" s="85"/>
    </row>
    <row r="2174" spans="1:39" hidden="1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16"/>
        <v>8750.2000000000007</v>
      </c>
      <c r="X2174" s="13">
        <f t="shared" si="324"/>
        <v>22397.4</v>
      </c>
      <c r="Y2174" s="13">
        <f t="shared" si="317"/>
        <v>0</v>
      </c>
      <c r="Z2174" s="2">
        <v>0</v>
      </c>
      <c r="AA2174" s="4">
        <v>0</v>
      </c>
      <c r="AB2174" s="4">
        <f t="shared" si="318"/>
        <v>22397.4</v>
      </c>
      <c r="AC2174" s="6">
        <f t="shared" si="319"/>
        <v>0</v>
      </c>
      <c r="AD2174" s="13">
        <f t="shared" si="322"/>
        <v>22397.4</v>
      </c>
      <c r="AE2174" s="2">
        <v>0.17</v>
      </c>
      <c r="AF2174" s="5">
        <f t="shared" si="320"/>
        <v>3807.5580000000004</v>
      </c>
      <c r="AG2174" s="2">
        <v>0</v>
      </c>
      <c r="AH2174" s="5">
        <f t="shared" si="323"/>
        <v>22397.4</v>
      </c>
      <c r="AJ2174" s="126" t="e">
        <v>#N/A</v>
      </c>
      <c r="AK2174" s="80">
        <f t="shared" si="321"/>
        <v>0</v>
      </c>
      <c r="AM2174" s="85"/>
    </row>
    <row r="2175" spans="1:39" hidden="1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16"/>
        <v>40340.960000000006</v>
      </c>
      <c r="X2175" s="13">
        <f t="shared" si="324"/>
        <v>59563.40594059405</v>
      </c>
      <c r="Y2175" s="13">
        <f t="shared" si="317"/>
        <v>0</v>
      </c>
      <c r="Z2175" s="2">
        <v>0</v>
      </c>
      <c r="AA2175" s="4">
        <v>0</v>
      </c>
      <c r="AB2175" s="4">
        <f t="shared" si="318"/>
        <v>59563.40594059405</v>
      </c>
      <c r="AC2175" s="6">
        <f t="shared" si="319"/>
        <v>595.63405940594384</v>
      </c>
      <c r="AD2175" s="13">
        <f t="shared" si="322"/>
        <v>60159.039999999994</v>
      </c>
      <c r="AE2175" s="2">
        <v>0.17</v>
      </c>
      <c r="AF2175" s="5">
        <f t="shared" si="320"/>
        <v>10227.0368</v>
      </c>
      <c r="AG2175" s="2">
        <v>0</v>
      </c>
      <c r="AH2175" s="5">
        <f t="shared" si="323"/>
        <v>60159.039999999994</v>
      </c>
      <c r="AJ2175" s="126" t="e">
        <v>#N/A</v>
      </c>
      <c r="AK2175" s="80">
        <f t="shared" si="321"/>
        <v>0</v>
      </c>
      <c r="AM2175" s="85"/>
    </row>
    <row r="2176" spans="1:39" hidden="1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25">T2176+U2176-V2176</f>
        <v>4111.1000000000004</v>
      </c>
      <c r="X2176" s="13">
        <f t="shared" si="324"/>
        <v>2888.8999999999996</v>
      </c>
      <c r="Y2176" s="13">
        <f t="shared" si="317"/>
        <v>0</v>
      </c>
      <c r="Z2176" s="2">
        <v>0</v>
      </c>
      <c r="AA2176" s="4">
        <v>0</v>
      </c>
      <c r="AB2176" s="4">
        <f t="shared" si="318"/>
        <v>2888.8999999999996</v>
      </c>
      <c r="AC2176" s="6">
        <f t="shared" si="319"/>
        <v>0</v>
      </c>
      <c r="AD2176" s="13">
        <f t="shared" si="322"/>
        <v>2888.8999999999996</v>
      </c>
      <c r="AE2176" s="2">
        <v>0.17</v>
      </c>
      <c r="AF2176" s="5">
        <f t="shared" si="320"/>
        <v>491.113</v>
      </c>
      <c r="AG2176" s="2">
        <v>0</v>
      </c>
      <c r="AH2176" s="5">
        <f t="shared" si="323"/>
        <v>2888.8999999999996</v>
      </c>
      <c r="AJ2176" s="126" t="e">
        <v>#N/A</v>
      </c>
      <c r="AK2176" s="80">
        <f t="shared" si="321"/>
        <v>0</v>
      </c>
      <c r="AM2176" s="85"/>
    </row>
    <row r="2177" spans="1:39" hidden="1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25"/>
        <v>5395.9</v>
      </c>
      <c r="X2177" s="13">
        <f t="shared" si="324"/>
        <v>1604.1000000000001</v>
      </c>
      <c r="Y2177" s="13">
        <f t="shared" si="317"/>
        <v>0</v>
      </c>
      <c r="Z2177" s="2">
        <v>0</v>
      </c>
      <c r="AA2177" s="4">
        <v>0</v>
      </c>
      <c r="AB2177" s="4">
        <f t="shared" si="318"/>
        <v>1604.1000000000001</v>
      </c>
      <c r="AC2177" s="6">
        <f t="shared" si="319"/>
        <v>0</v>
      </c>
      <c r="AD2177" s="13">
        <f t="shared" si="322"/>
        <v>1604.1000000000001</v>
      </c>
      <c r="AE2177" s="2">
        <v>0.17</v>
      </c>
      <c r="AF2177" s="5">
        <f t="shared" si="320"/>
        <v>272.69700000000006</v>
      </c>
      <c r="AG2177" s="2">
        <v>0</v>
      </c>
      <c r="AH2177" s="5">
        <f t="shared" si="323"/>
        <v>1604.1000000000001</v>
      </c>
      <c r="AJ2177" s="126" t="e">
        <v>#N/A</v>
      </c>
      <c r="AK2177" s="80">
        <f t="shared" si="321"/>
        <v>0</v>
      </c>
      <c r="AM2177" s="85"/>
    </row>
    <row r="2178" spans="1:39" hidden="1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25"/>
        <v>8769.3000000000029</v>
      </c>
      <c r="X2178" s="13">
        <f t="shared" si="324"/>
        <v>50226.176470588231</v>
      </c>
      <c r="Y2178" s="13">
        <f t="shared" si="317"/>
        <v>0</v>
      </c>
      <c r="Z2178" s="2">
        <v>0</v>
      </c>
      <c r="AA2178" s="4">
        <v>0</v>
      </c>
      <c r="AB2178" s="4">
        <f t="shared" si="318"/>
        <v>50226.176470588231</v>
      </c>
      <c r="AC2178" s="6">
        <f t="shared" si="319"/>
        <v>1004.5235294117665</v>
      </c>
      <c r="AD2178" s="13">
        <f t="shared" si="322"/>
        <v>51230.7</v>
      </c>
      <c r="AE2178" s="2">
        <v>0.17</v>
      </c>
      <c r="AF2178" s="5">
        <f t="shared" si="320"/>
        <v>8709.219000000001</v>
      </c>
      <c r="AG2178" s="2">
        <v>0</v>
      </c>
      <c r="AH2178" s="5">
        <f t="shared" si="323"/>
        <v>51230.7</v>
      </c>
      <c r="AJ2178" s="126" t="e">
        <v>#N/A</v>
      </c>
      <c r="AK2178" s="80">
        <f t="shared" si="321"/>
        <v>0</v>
      </c>
      <c r="AM2178" s="85"/>
    </row>
    <row r="2179" spans="1:39" hidden="1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25"/>
        <v>6864.9999999999945</v>
      </c>
      <c r="X2179" s="13">
        <f t="shared" si="324"/>
        <v>16191.9</v>
      </c>
      <c r="Y2179" s="13">
        <f t="shared" ref="Y2179:Y2242" si="32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27">X2179+AA2179</f>
        <v>16191.9</v>
      </c>
      <c r="AC2179" s="6">
        <f t="shared" ref="AC2179:AC2242" si="328">IF(P2179="返现",X2179*Q2179,V2179-X2179)</f>
        <v>0</v>
      </c>
      <c r="AD2179" s="13">
        <f t="shared" si="322"/>
        <v>16191.9</v>
      </c>
      <c r="AE2179" s="2">
        <v>0.17</v>
      </c>
      <c r="AF2179" s="5">
        <f t="shared" ref="AF2179:AF2242" si="329">AD2179*AE2179</f>
        <v>2752.623</v>
      </c>
      <c r="AG2179" s="2">
        <v>0</v>
      </c>
      <c r="AH2179" s="5">
        <f t="shared" si="323"/>
        <v>16191.9</v>
      </c>
      <c r="AJ2179" s="126" t="e">
        <v>#N/A</v>
      </c>
      <c r="AK2179" s="80">
        <f t="shared" ref="AK2179:AK2242" si="330">X2179+AA2179-AB2179</f>
        <v>0</v>
      </c>
      <c r="AM2179" s="85"/>
    </row>
    <row r="2180" spans="1:39" hidden="1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25"/>
        <v>8829.1899999999987</v>
      </c>
      <c r="X2180" s="13">
        <f t="shared" si="324"/>
        <v>11170.810000000001</v>
      </c>
      <c r="Y2180" s="13">
        <f t="shared" si="326"/>
        <v>0</v>
      </c>
      <c r="Z2180" s="2">
        <v>0</v>
      </c>
      <c r="AA2180" s="4">
        <v>0</v>
      </c>
      <c r="AB2180" s="4">
        <f t="shared" si="327"/>
        <v>11170.810000000001</v>
      </c>
      <c r="AC2180" s="6">
        <f t="shared" si="328"/>
        <v>0</v>
      </c>
      <c r="AD2180" s="13">
        <f t="shared" si="322"/>
        <v>11170.810000000001</v>
      </c>
      <c r="AE2180" s="2">
        <v>0.17</v>
      </c>
      <c r="AF2180" s="5">
        <f t="shared" si="329"/>
        <v>1899.0377000000003</v>
      </c>
      <c r="AG2180" s="2">
        <v>0</v>
      </c>
      <c r="AH2180" s="5">
        <f t="shared" si="323"/>
        <v>11170.810000000001</v>
      </c>
      <c r="AJ2180" s="126" t="e">
        <v>#N/A</v>
      </c>
      <c r="AK2180" s="80">
        <f t="shared" si="330"/>
        <v>0</v>
      </c>
      <c r="AM2180" s="85"/>
    </row>
    <row r="2181" spans="1:39" hidden="1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25"/>
        <v>34277.660000000003</v>
      </c>
      <c r="X2181" s="13">
        <f t="shared" si="324"/>
        <v>15722.339999999993</v>
      </c>
      <c r="Y2181" s="13">
        <f t="shared" si="326"/>
        <v>0</v>
      </c>
      <c r="Z2181" s="2">
        <v>0</v>
      </c>
      <c r="AA2181" s="4">
        <v>0</v>
      </c>
      <c r="AB2181" s="4">
        <f t="shared" si="327"/>
        <v>15722.339999999993</v>
      </c>
      <c r="AC2181" s="6">
        <f t="shared" si="328"/>
        <v>0</v>
      </c>
      <c r="AD2181" s="13">
        <f t="shared" si="322"/>
        <v>15722.339999999993</v>
      </c>
      <c r="AE2181" s="2">
        <v>0.17</v>
      </c>
      <c r="AF2181" s="5">
        <f t="shared" si="329"/>
        <v>2672.7977999999989</v>
      </c>
      <c r="AG2181" s="2">
        <v>0</v>
      </c>
      <c r="AH2181" s="5">
        <f t="shared" si="323"/>
        <v>15722.339999999993</v>
      </c>
      <c r="AJ2181" s="126" t="e">
        <v>#N/A</v>
      </c>
      <c r="AK2181" s="80">
        <f t="shared" si="330"/>
        <v>0</v>
      </c>
      <c r="AM2181" s="85"/>
    </row>
    <row r="2182" spans="1:39" hidden="1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25"/>
        <v>47950.650000000009</v>
      </c>
      <c r="X2182" s="13">
        <f t="shared" si="324"/>
        <v>90278.55</v>
      </c>
      <c r="Y2182" s="13">
        <f t="shared" si="326"/>
        <v>0</v>
      </c>
      <c r="Z2182" s="2">
        <v>0</v>
      </c>
      <c r="AA2182" s="4">
        <v>0</v>
      </c>
      <c r="AB2182" s="4">
        <f t="shared" si="327"/>
        <v>90278.55</v>
      </c>
      <c r="AC2182" s="6">
        <f t="shared" si="328"/>
        <v>0</v>
      </c>
      <c r="AD2182" s="13">
        <f t="shared" si="322"/>
        <v>90278.55</v>
      </c>
      <c r="AE2182" s="2">
        <v>0.17</v>
      </c>
      <c r="AF2182" s="5">
        <f t="shared" si="329"/>
        <v>15347.353500000001</v>
      </c>
      <c r="AG2182" s="2">
        <v>0</v>
      </c>
      <c r="AH2182" s="5">
        <f t="shared" si="323"/>
        <v>90278.55</v>
      </c>
      <c r="AJ2182" s="126" t="e">
        <v>#N/A</v>
      </c>
      <c r="AK2182" s="80">
        <f t="shared" si="330"/>
        <v>0</v>
      </c>
      <c r="AM2182" s="85"/>
    </row>
    <row r="2183" spans="1:39" hidden="1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25"/>
        <v>5573.2999999999993</v>
      </c>
      <c r="X2183" s="13">
        <f t="shared" si="324"/>
        <v>4426.7000000000007</v>
      </c>
      <c r="Y2183" s="13">
        <f t="shared" si="326"/>
        <v>0</v>
      </c>
      <c r="Z2183" s="2">
        <v>0</v>
      </c>
      <c r="AA2183" s="4">
        <v>0</v>
      </c>
      <c r="AB2183" s="4">
        <f t="shared" si="327"/>
        <v>4426.7000000000007</v>
      </c>
      <c r="AC2183" s="6">
        <f t="shared" si="328"/>
        <v>0</v>
      </c>
      <c r="AD2183" s="13">
        <f t="shared" si="322"/>
        <v>4426.7000000000007</v>
      </c>
      <c r="AE2183" s="2">
        <v>0.17</v>
      </c>
      <c r="AF2183" s="5">
        <f t="shared" si="329"/>
        <v>752.53900000000021</v>
      </c>
      <c r="AG2183" s="2">
        <v>0</v>
      </c>
      <c r="AH2183" s="5">
        <f t="shared" si="323"/>
        <v>4426.7000000000007</v>
      </c>
      <c r="AJ2183" s="126" t="e">
        <v>#N/A</v>
      </c>
      <c r="AK2183" s="80">
        <f t="shared" si="330"/>
        <v>0</v>
      </c>
      <c r="AM2183" s="85"/>
    </row>
    <row r="2184" spans="1:39" hidden="1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25"/>
        <v>4857.5</v>
      </c>
      <c r="X2184" s="13">
        <f t="shared" si="324"/>
        <v>25142.5</v>
      </c>
      <c r="Y2184" s="13">
        <f t="shared" si="326"/>
        <v>0</v>
      </c>
      <c r="Z2184" s="2">
        <v>0</v>
      </c>
      <c r="AA2184" s="4">
        <v>0</v>
      </c>
      <c r="AB2184" s="4">
        <f t="shared" si="327"/>
        <v>25142.5</v>
      </c>
      <c r="AC2184" s="6">
        <f t="shared" si="328"/>
        <v>0</v>
      </c>
      <c r="AD2184" s="13">
        <f t="shared" si="322"/>
        <v>25142.5</v>
      </c>
      <c r="AE2184" s="2">
        <v>0.17</v>
      </c>
      <c r="AF2184" s="5">
        <f t="shared" si="329"/>
        <v>4274.2250000000004</v>
      </c>
      <c r="AG2184" s="2">
        <v>0</v>
      </c>
      <c r="AH2184" s="5">
        <f t="shared" si="323"/>
        <v>25142.5</v>
      </c>
      <c r="AJ2184" s="126" t="e">
        <v>#N/A</v>
      </c>
      <c r="AK2184" s="80">
        <f t="shared" si="330"/>
        <v>0</v>
      </c>
      <c r="AM2184" s="85"/>
    </row>
    <row r="2185" spans="1:39" hidden="1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25"/>
        <v>10315.369999999999</v>
      </c>
      <c r="X2185" s="13">
        <f t="shared" si="324"/>
        <v>10378.59</v>
      </c>
      <c r="Y2185" s="13">
        <f t="shared" si="326"/>
        <v>0</v>
      </c>
      <c r="Z2185" s="2">
        <v>0</v>
      </c>
      <c r="AA2185" s="4">
        <v>0</v>
      </c>
      <c r="AB2185" s="4">
        <f t="shared" si="327"/>
        <v>10378.59</v>
      </c>
      <c r="AC2185" s="6">
        <f t="shared" si="328"/>
        <v>0</v>
      </c>
      <c r="AD2185" s="13">
        <f t="shared" si="322"/>
        <v>10378.59</v>
      </c>
      <c r="AE2185" s="2">
        <v>0.17</v>
      </c>
      <c r="AF2185" s="5">
        <f t="shared" si="329"/>
        <v>1764.3603000000001</v>
      </c>
      <c r="AG2185" s="2">
        <v>0</v>
      </c>
      <c r="AH2185" s="5">
        <f t="shared" si="323"/>
        <v>10378.59</v>
      </c>
      <c r="AJ2185" s="126" t="e">
        <v>#N/A</v>
      </c>
      <c r="AK2185" s="80">
        <f t="shared" si="330"/>
        <v>0</v>
      </c>
      <c r="AM2185" s="85"/>
    </row>
    <row r="2186" spans="1:39" hidden="1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25"/>
        <v>1806.3899999999994</v>
      </c>
      <c r="X2186" s="13">
        <f t="shared" si="324"/>
        <v>8193.61</v>
      </c>
      <c r="Y2186" s="13">
        <f t="shared" si="326"/>
        <v>0</v>
      </c>
      <c r="Z2186" s="2">
        <v>0</v>
      </c>
      <c r="AA2186" s="4">
        <v>0</v>
      </c>
      <c r="AB2186" s="4">
        <f t="shared" si="327"/>
        <v>8193.61</v>
      </c>
      <c r="AC2186" s="6">
        <f t="shared" si="328"/>
        <v>0</v>
      </c>
      <c r="AD2186" s="13">
        <f t="shared" si="322"/>
        <v>8193.61</v>
      </c>
      <c r="AE2186" s="2">
        <v>0.17</v>
      </c>
      <c r="AF2186" s="5">
        <f t="shared" si="329"/>
        <v>1392.9137000000003</v>
      </c>
      <c r="AG2186" s="2">
        <v>0</v>
      </c>
      <c r="AH2186" s="5">
        <f t="shared" si="323"/>
        <v>8193.61</v>
      </c>
      <c r="AJ2186" s="126" t="e">
        <v>#N/A</v>
      </c>
      <c r="AK2186" s="80">
        <f t="shared" si="330"/>
        <v>0</v>
      </c>
      <c r="AM2186" s="85"/>
    </row>
    <row r="2187" spans="1:39" hidden="1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25"/>
        <v>7158.9500000000007</v>
      </c>
      <c r="X2187" s="13">
        <f t="shared" si="324"/>
        <v>12841.05</v>
      </c>
      <c r="Y2187" s="13">
        <f t="shared" si="326"/>
        <v>0</v>
      </c>
      <c r="Z2187" s="2">
        <v>0</v>
      </c>
      <c r="AA2187" s="4">
        <v>0</v>
      </c>
      <c r="AB2187" s="4">
        <f t="shared" si="327"/>
        <v>12841.05</v>
      </c>
      <c r="AC2187" s="6">
        <f t="shared" si="328"/>
        <v>0</v>
      </c>
      <c r="AD2187" s="13">
        <f t="shared" si="322"/>
        <v>12841.05</v>
      </c>
      <c r="AE2187" s="2">
        <v>0.17</v>
      </c>
      <c r="AF2187" s="5">
        <f t="shared" si="329"/>
        <v>2182.9785000000002</v>
      </c>
      <c r="AG2187" s="2">
        <v>0</v>
      </c>
      <c r="AH2187" s="5">
        <f t="shared" si="323"/>
        <v>12841.05</v>
      </c>
      <c r="AJ2187" s="126" t="e">
        <v>#N/A</v>
      </c>
      <c r="AK2187" s="80">
        <f t="shared" si="330"/>
        <v>0</v>
      </c>
      <c r="AM2187" s="85"/>
    </row>
    <row r="2188" spans="1:39" hidden="1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25"/>
        <v>0</v>
      </c>
      <c r="X2188" s="13">
        <f t="shared" si="324"/>
        <v>2990.95</v>
      </c>
      <c r="Y2188" s="13">
        <f t="shared" si="326"/>
        <v>0</v>
      </c>
      <c r="Z2188" s="2">
        <v>0</v>
      </c>
      <c r="AA2188" s="4">
        <v>0</v>
      </c>
      <c r="AB2188" s="4">
        <f t="shared" si="327"/>
        <v>2990.95</v>
      </c>
      <c r="AC2188" s="6">
        <f t="shared" si="328"/>
        <v>0</v>
      </c>
      <c r="AD2188" s="13">
        <f t="shared" si="322"/>
        <v>2990.95</v>
      </c>
      <c r="AE2188" s="2">
        <v>0.17</v>
      </c>
      <c r="AF2188" s="5">
        <f t="shared" si="329"/>
        <v>508.4615</v>
      </c>
      <c r="AG2188" s="2">
        <v>0</v>
      </c>
      <c r="AH2188" s="5">
        <f t="shared" si="323"/>
        <v>2990.95</v>
      </c>
      <c r="AJ2188" s="126" t="e">
        <v>#N/A</v>
      </c>
      <c r="AK2188" s="80">
        <f t="shared" si="330"/>
        <v>0</v>
      </c>
      <c r="AM2188" s="85"/>
    </row>
    <row r="2189" spans="1:39" hidden="1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25"/>
        <v>944.98000000000138</v>
      </c>
      <c r="X2189" s="13">
        <f t="shared" si="324"/>
        <v>12163.27</v>
      </c>
      <c r="Y2189" s="13">
        <f t="shared" si="326"/>
        <v>0</v>
      </c>
      <c r="Z2189" s="2">
        <v>0</v>
      </c>
      <c r="AA2189" s="4">
        <v>0</v>
      </c>
      <c r="AB2189" s="4">
        <f t="shared" si="327"/>
        <v>12163.27</v>
      </c>
      <c r="AC2189" s="6">
        <f t="shared" si="328"/>
        <v>0</v>
      </c>
      <c r="AD2189" s="13">
        <f t="shared" si="322"/>
        <v>12163.27</v>
      </c>
      <c r="AE2189" s="2">
        <v>0.17</v>
      </c>
      <c r="AF2189" s="5">
        <f t="shared" si="329"/>
        <v>2067.7559000000001</v>
      </c>
      <c r="AG2189" s="2">
        <v>0</v>
      </c>
      <c r="AH2189" s="5">
        <f t="shared" si="323"/>
        <v>12163.27</v>
      </c>
      <c r="AJ2189" s="126" t="e">
        <v>#N/A</v>
      </c>
      <c r="AK2189" s="80">
        <f t="shared" si="330"/>
        <v>0</v>
      </c>
      <c r="AM2189" s="85"/>
    </row>
    <row r="2190" spans="1:39" hidden="1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25"/>
        <v>811.09999999999809</v>
      </c>
      <c r="X2190" s="13">
        <f t="shared" si="324"/>
        <v>2184.4</v>
      </c>
      <c r="Y2190" s="13">
        <f t="shared" si="326"/>
        <v>0</v>
      </c>
      <c r="Z2190" s="2">
        <v>0</v>
      </c>
      <c r="AA2190" s="4">
        <v>0</v>
      </c>
      <c r="AB2190" s="4">
        <f t="shared" si="327"/>
        <v>2184.4</v>
      </c>
      <c r="AC2190" s="6">
        <f t="shared" si="328"/>
        <v>0</v>
      </c>
      <c r="AD2190" s="13">
        <f t="shared" si="322"/>
        <v>2184.4</v>
      </c>
      <c r="AE2190" s="2">
        <v>0.17</v>
      </c>
      <c r="AF2190" s="5">
        <f t="shared" si="329"/>
        <v>371.34800000000007</v>
      </c>
      <c r="AG2190" s="2">
        <v>0</v>
      </c>
      <c r="AH2190" s="5">
        <f t="shared" si="323"/>
        <v>2184.4</v>
      </c>
      <c r="AJ2190" s="126" t="e">
        <v>#N/A</v>
      </c>
      <c r="AK2190" s="80">
        <f t="shared" si="330"/>
        <v>0</v>
      </c>
      <c r="AM2190" s="85"/>
    </row>
    <row r="2191" spans="1:39" hidden="1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25"/>
        <v>3535.7700000000013</v>
      </c>
      <c r="X2191" s="13">
        <f t="shared" si="324"/>
        <v>2893.7254901960787</v>
      </c>
      <c r="Y2191" s="13">
        <f t="shared" si="326"/>
        <v>0</v>
      </c>
      <c r="Z2191" s="2">
        <v>0</v>
      </c>
      <c r="AA2191" s="4">
        <v>0</v>
      </c>
      <c r="AB2191" s="4">
        <f t="shared" si="327"/>
        <v>2893.7254901960787</v>
      </c>
      <c r="AC2191" s="6">
        <f t="shared" si="328"/>
        <v>57.874509803921683</v>
      </c>
      <c r="AD2191" s="13">
        <f t="shared" si="322"/>
        <v>2951.6000000000004</v>
      </c>
      <c r="AE2191" s="2">
        <v>0.17</v>
      </c>
      <c r="AF2191" s="5">
        <f t="shared" si="329"/>
        <v>501.77200000000011</v>
      </c>
      <c r="AG2191" s="2">
        <v>0</v>
      </c>
      <c r="AH2191" s="5">
        <f t="shared" si="323"/>
        <v>2951.6000000000004</v>
      </c>
      <c r="AJ2191" s="126" t="e">
        <v>#N/A</v>
      </c>
      <c r="AK2191" s="80">
        <f t="shared" si="330"/>
        <v>0</v>
      </c>
      <c r="AM2191" s="85"/>
    </row>
    <row r="2192" spans="1:39" hidden="1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25"/>
        <v>0</v>
      </c>
      <c r="X2192" s="13">
        <f t="shared" si="324"/>
        <v>0</v>
      </c>
      <c r="Y2192" s="13">
        <f t="shared" si="326"/>
        <v>0</v>
      </c>
      <c r="Z2192" s="2">
        <v>0</v>
      </c>
      <c r="AA2192" s="4">
        <v>0</v>
      </c>
      <c r="AB2192" s="4">
        <f t="shared" si="327"/>
        <v>0</v>
      </c>
      <c r="AC2192" s="6">
        <f t="shared" si="328"/>
        <v>0</v>
      </c>
      <c r="AD2192" s="13">
        <f t="shared" si="322"/>
        <v>0</v>
      </c>
      <c r="AE2192" s="2">
        <v>0.17</v>
      </c>
      <c r="AF2192" s="5">
        <f t="shared" si="329"/>
        <v>0</v>
      </c>
      <c r="AG2192" s="2">
        <v>0</v>
      </c>
      <c r="AH2192" s="5">
        <f t="shared" si="323"/>
        <v>0</v>
      </c>
      <c r="AJ2192" s="126" t="e">
        <v>#N/A</v>
      </c>
      <c r="AK2192" s="80">
        <f t="shared" si="330"/>
        <v>0</v>
      </c>
      <c r="AM2192" s="85"/>
    </row>
    <row r="2193" spans="1:39" hidden="1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25"/>
        <v>4104.2000000000007</v>
      </c>
      <c r="X2193" s="13">
        <f t="shared" si="324"/>
        <v>15895.8</v>
      </c>
      <c r="Y2193" s="13">
        <f t="shared" si="326"/>
        <v>0</v>
      </c>
      <c r="Z2193" s="2">
        <v>0</v>
      </c>
      <c r="AA2193" s="4">
        <v>0</v>
      </c>
      <c r="AB2193" s="4">
        <v>15895.8</v>
      </c>
      <c r="AC2193" s="6">
        <f t="shared" si="328"/>
        <v>0</v>
      </c>
      <c r="AD2193" s="13">
        <f t="shared" si="322"/>
        <v>15895.8</v>
      </c>
      <c r="AE2193" s="2">
        <v>0.17</v>
      </c>
      <c r="AF2193" s="5">
        <f t="shared" si="329"/>
        <v>2702.2860000000001</v>
      </c>
      <c r="AG2193" s="2">
        <v>0</v>
      </c>
      <c r="AH2193" s="5">
        <f t="shared" si="323"/>
        <v>15895.8</v>
      </c>
      <c r="AJ2193" s="126" t="s">
        <v>4217</v>
      </c>
      <c r="AK2193" s="80">
        <f t="shared" si="330"/>
        <v>0</v>
      </c>
      <c r="AM2193" s="85"/>
    </row>
    <row r="2194" spans="1:39" hidden="1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25"/>
        <v>2950.5999999999995</v>
      </c>
      <c r="X2194" s="13">
        <f t="shared" si="324"/>
        <v>2049.4000000000005</v>
      </c>
      <c r="Y2194" s="13">
        <f t="shared" si="326"/>
        <v>0</v>
      </c>
      <c r="Z2194" s="2">
        <v>0</v>
      </c>
      <c r="AA2194" s="4">
        <v>0</v>
      </c>
      <c r="AB2194" s="4">
        <v>2049.4000000000005</v>
      </c>
      <c r="AC2194" s="6">
        <f t="shared" si="328"/>
        <v>0</v>
      </c>
      <c r="AD2194" s="13">
        <f t="shared" si="322"/>
        <v>2049.4000000000005</v>
      </c>
      <c r="AE2194" s="2">
        <v>0.17</v>
      </c>
      <c r="AF2194" s="5">
        <f t="shared" si="329"/>
        <v>348.39800000000014</v>
      </c>
      <c r="AG2194" s="2">
        <v>0</v>
      </c>
      <c r="AH2194" s="5">
        <f t="shared" si="323"/>
        <v>2049.4000000000005</v>
      </c>
      <c r="AJ2194" s="126" t="s">
        <v>4217</v>
      </c>
      <c r="AK2194" s="80">
        <f t="shared" si="330"/>
        <v>0</v>
      </c>
      <c r="AM2194" s="85"/>
    </row>
    <row r="2195" spans="1:39" hidden="1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25"/>
        <v>47123.1</v>
      </c>
      <c r="X2195" s="13">
        <f t="shared" si="324"/>
        <v>0</v>
      </c>
      <c r="Y2195" s="13">
        <f t="shared" si="326"/>
        <v>0</v>
      </c>
      <c r="Z2195" s="2">
        <v>0</v>
      </c>
      <c r="AA2195" s="4">
        <v>0</v>
      </c>
      <c r="AB2195" s="4">
        <f t="shared" si="327"/>
        <v>0</v>
      </c>
      <c r="AC2195" s="6">
        <f t="shared" si="328"/>
        <v>0</v>
      </c>
      <c r="AD2195" s="13">
        <f t="shared" si="322"/>
        <v>0</v>
      </c>
      <c r="AE2195" s="2">
        <v>0.17</v>
      </c>
      <c r="AF2195" s="5">
        <f t="shared" si="329"/>
        <v>0</v>
      </c>
      <c r="AG2195" s="2">
        <v>0</v>
      </c>
      <c r="AH2195" s="5">
        <f t="shared" si="323"/>
        <v>0</v>
      </c>
      <c r="AJ2195" s="126" t="e">
        <v>#N/A</v>
      </c>
      <c r="AK2195" s="80">
        <f t="shared" si="330"/>
        <v>0</v>
      </c>
      <c r="AM2195" s="85"/>
    </row>
    <row r="2196" spans="1:39" hidden="1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25"/>
        <v>-33701.75</v>
      </c>
      <c r="X2196" s="13">
        <f t="shared" si="324"/>
        <v>63701.75</v>
      </c>
      <c r="Y2196" s="13">
        <f t="shared" si="326"/>
        <v>0</v>
      </c>
      <c r="Z2196" s="2">
        <v>0</v>
      </c>
      <c r="AA2196" s="4">
        <v>0</v>
      </c>
      <c r="AB2196" s="4">
        <f t="shared" si="327"/>
        <v>63701.75</v>
      </c>
      <c r="AC2196" s="6">
        <f t="shared" si="328"/>
        <v>0</v>
      </c>
      <c r="AD2196" s="13">
        <f t="shared" si="322"/>
        <v>63701.75</v>
      </c>
      <c r="AE2196" s="2">
        <v>0.17</v>
      </c>
      <c r="AF2196" s="5">
        <f t="shared" si="329"/>
        <v>10829.297500000001</v>
      </c>
      <c r="AG2196" s="2">
        <v>0</v>
      </c>
      <c r="AH2196" s="5">
        <f t="shared" si="323"/>
        <v>63701.75</v>
      </c>
      <c r="AJ2196" s="126" t="e">
        <v>#N/A</v>
      </c>
      <c r="AK2196" s="80">
        <f t="shared" si="330"/>
        <v>0</v>
      </c>
      <c r="AM2196" s="85"/>
    </row>
    <row r="2197" spans="1:39" hidden="1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25"/>
        <v>32619.810000000027</v>
      </c>
      <c r="X2197" s="13">
        <f t="shared" si="324"/>
        <v>50468.106796116495</v>
      </c>
      <c r="Y2197" s="13">
        <f t="shared" si="326"/>
        <v>0</v>
      </c>
      <c r="Z2197" s="2">
        <v>0</v>
      </c>
      <c r="AA2197" s="4">
        <v>0</v>
      </c>
      <c r="AB2197" s="4">
        <f t="shared" si="327"/>
        <v>50468.106796116495</v>
      </c>
      <c r="AC2197" s="6">
        <f t="shared" si="328"/>
        <v>1514.0432038834988</v>
      </c>
      <c r="AD2197" s="13">
        <f t="shared" si="322"/>
        <v>51982.149999999994</v>
      </c>
      <c r="AE2197" s="2">
        <v>0.17</v>
      </c>
      <c r="AF2197" s="5">
        <f t="shared" si="329"/>
        <v>8836.9655000000002</v>
      </c>
      <c r="AG2197" s="2">
        <v>0</v>
      </c>
      <c r="AH2197" s="5">
        <f t="shared" si="323"/>
        <v>51982.149999999994</v>
      </c>
      <c r="AJ2197" s="126" t="e">
        <v>#N/A</v>
      </c>
      <c r="AK2197" s="80">
        <f t="shared" si="330"/>
        <v>0</v>
      </c>
      <c r="AM2197" s="85"/>
    </row>
    <row r="2198" spans="1:39" hidden="1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25"/>
        <v>20000</v>
      </c>
      <c r="X2198" s="13">
        <f t="shared" si="324"/>
        <v>0</v>
      </c>
      <c r="Y2198" s="13">
        <f t="shared" si="326"/>
        <v>0</v>
      </c>
      <c r="Z2198" s="2">
        <v>0</v>
      </c>
      <c r="AA2198" s="4">
        <v>0</v>
      </c>
      <c r="AB2198" s="4">
        <f t="shared" si="327"/>
        <v>0</v>
      </c>
      <c r="AC2198" s="6">
        <f t="shared" si="328"/>
        <v>0</v>
      </c>
      <c r="AD2198" s="13">
        <f t="shared" si="322"/>
        <v>0</v>
      </c>
      <c r="AE2198" s="2">
        <v>0.17</v>
      </c>
      <c r="AF2198" s="5">
        <f t="shared" si="329"/>
        <v>0</v>
      </c>
      <c r="AG2198" s="2">
        <v>0</v>
      </c>
      <c r="AH2198" s="5">
        <f t="shared" si="323"/>
        <v>0</v>
      </c>
      <c r="AJ2198" s="126" t="e">
        <v>#N/A</v>
      </c>
      <c r="AK2198" s="80">
        <f t="shared" si="330"/>
        <v>0</v>
      </c>
      <c r="AM2198" s="85"/>
    </row>
    <row r="2199" spans="1:39" hidden="1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25"/>
        <v>8453.11</v>
      </c>
      <c r="X2199" s="13">
        <f t="shared" si="324"/>
        <v>1546.89</v>
      </c>
      <c r="Y2199" s="13">
        <f t="shared" si="326"/>
        <v>0</v>
      </c>
      <c r="Z2199" s="2">
        <v>0</v>
      </c>
      <c r="AA2199" s="4">
        <v>0</v>
      </c>
      <c r="AB2199" s="4">
        <f t="shared" si="327"/>
        <v>1546.89</v>
      </c>
      <c r="AC2199" s="6">
        <f t="shared" si="328"/>
        <v>0</v>
      </c>
      <c r="AD2199" s="13">
        <f t="shared" si="322"/>
        <v>1546.89</v>
      </c>
      <c r="AE2199" s="2">
        <v>0.17</v>
      </c>
      <c r="AF2199" s="5">
        <f t="shared" si="329"/>
        <v>262.97130000000004</v>
      </c>
      <c r="AG2199" s="2">
        <v>0</v>
      </c>
      <c r="AH2199" s="5">
        <f t="shared" si="323"/>
        <v>1546.89</v>
      </c>
      <c r="AJ2199" s="126" t="e">
        <v>#N/A</v>
      </c>
      <c r="AK2199" s="80">
        <f t="shared" si="330"/>
        <v>0</v>
      </c>
      <c r="AM2199" s="85"/>
    </row>
    <row r="2200" spans="1:39" hidden="1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25"/>
        <v>40635.070000000036</v>
      </c>
      <c r="X2200" s="13">
        <f t="shared" si="324"/>
        <v>0</v>
      </c>
      <c r="Y2200" s="13">
        <f t="shared" si="326"/>
        <v>0</v>
      </c>
      <c r="Z2200" s="2">
        <v>0</v>
      </c>
      <c r="AA2200" s="4">
        <v>0</v>
      </c>
      <c r="AB2200" s="4">
        <f t="shared" si="327"/>
        <v>0</v>
      </c>
      <c r="AC2200" s="6">
        <f t="shared" si="328"/>
        <v>0</v>
      </c>
      <c r="AD2200" s="13">
        <f>V2200</f>
        <v>0</v>
      </c>
      <c r="AE2200" s="2">
        <v>0.17</v>
      </c>
      <c r="AF2200" s="5">
        <f t="shared" si="329"/>
        <v>0</v>
      </c>
      <c r="AG2200" s="2">
        <v>0</v>
      </c>
      <c r="AH2200" s="5">
        <f t="shared" si="323"/>
        <v>0</v>
      </c>
      <c r="AJ2200" s="126" t="e">
        <v>#N/A</v>
      </c>
      <c r="AK2200" s="80">
        <f t="shared" si="330"/>
        <v>0</v>
      </c>
      <c r="AM2200" s="85"/>
    </row>
    <row r="2201" spans="1:39" hidden="1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25"/>
        <v>27604.760000000017</v>
      </c>
      <c r="X2201" s="13">
        <f t="shared" si="324"/>
        <v>0</v>
      </c>
      <c r="Y2201" s="13">
        <f t="shared" si="326"/>
        <v>0</v>
      </c>
      <c r="Z2201" s="2">
        <v>0</v>
      </c>
      <c r="AA2201" s="4">
        <v>0</v>
      </c>
      <c r="AB2201" s="4">
        <f t="shared" si="327"/>
        <v>0</v>
      </c>
      <c r="AC2201" s="6">
        <f t="shared" si="328"/>
        <v>0</v>
      </c>
      <c r="AD2201" s="13">
        <f t="shared" si="322"/>
        <v>0</v>
      </c>
      <c r="AE2201" s="2">
        <v>0.17</v>
      </c>
      <c r="AF2201" s="5">
        <f t="shared" si="329"/>
        <v>0</v>
      </c>
      <c r="AG2201" s="2">
        <v>0</v>
      </c>
      <c r="AH2201" s="5">
        <f t="shared" si="323"/>
        <v>0</v>
      </c>
      <c r="AJ2201" s="126" t="e">
        <v>#N/A</v>
      </c>
      <c r="AK2201" s="80">
        <f t="shared" si="330"/>
        <v>0</v>
      </c>
      <c r="AM2201" s="85"/>
    </row>
    <row r="2202" spans="1:39" hidden="1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25"/>
        <v>31823.899999999994</v>
      </c>
      <c r="X2202" s="13">
        <f t="shared" si="324"/>
        <v>13642.480000000001</v>
      </c>
      <c r="Y2202" s="13">
        <f t="shared" si="326"/>
        <v>0</v>
      </c>
      <c r="Z2202" s="2">
        <v>0</v>
      </c>
      <c r="AA2202" s="4">
        <v>0</v>
      </c>
      <c r="AB2202" s="4">
        <f t="shared" si="327"/>
        <v>13642.480000000001</v>
      </c>
      <c r="AC2202" s="6">
        <f t="shared" si="328"/>
        <v>0</v>
      </c>
      <c r="AD2202" s="13">
        <f t="shared" si="322"/>
        <v>13642.480000000001</v>
      </c>
      <c r="AE2202" s="2">
        <v>0.17</v>
      </c>
      <c r="AF2202" s="5">
        <f t="shared" si="329"/>
        <v>2319.2216000000003</v>
      </c>
      <c r="AG2202" s="2">
        <v>0</v>
      </c>
      <c r="AH2202" s="5">
        <f t="shared" si="323"/>
        <v>13642.480000000001</v>
      </c>
      <c r="AJ2202" s="126" t="e">
        <v>#N/A</v>
      </c>
      <c r="AK2202" s="80">
        <f t="shared" si="330"/>
        <v>0</v>
      </c>
      <c r="AM2202" s="85"/>
    </row>
    <row r="2203" spans="1:39" hidden="1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25"/>
        <v>0</v>
      </c>
      <c r="X2203" s="13">
        <f t="shared" si="324"/>
        <v>10685.284313725509</v>
      </c>
      <c r="Y2203" s="13">
        <f t="shared" si="326"/>
        <v>0</v>
      </c>
      <c r="Z2203" s="2">
        <v>0</v>
      </c>
      <c r="AA2203" s="4">
        <v>0</v>
      </c>
      <c r="AB2203" s="4">
        <f t="shared" si="327"/>
        <v>10685.284313725509</v>
      </c>
      <c r="AC2203" s="6">
        <f t="shared" si="328"/>
        <v>213.7056862745103</v>
      </c>
      <c r="AD2203" s="13">
        <f t="shared" si="322"/>
        <v>10898.99000000002</v>
      </c>
      <c r="AE2203" s="2">
        <v>0.17</v>
      </c>
      <c r="AF2203" s="5">
        <f t="shared" si="329"/>
        <v>1852.8283000000035</v>
      </c>
      <c r="AG2203" s="2">
        <v>0</v>
      </c>
      <c r="AH2203" s="5">
        <f t="shared" si="323"/>
        <v>10898.99000000002</v>
      </c>
      <c r="AJ2203" s="126" t="e">
        <v>#N/A</v>
      </c>
      <c r="AK2203" s="80">
        <f t="shared" si="330"/>
        <v>0</v>
      </c>
      <c r="AM2203" s="85"/>
    </row>
    <row r="2204" spans="1:39" hidden="1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25"/>
        <v>0</v>
      </c>
      <c r="X2204" s="13">
        <f t="shared" si="324"/>
        <v>100691.06796116508</v>
      </c>
      <c r="Y2204" s="13">
        <f t="shared" si="326"/>
        <v>0</v>
      </c>
      <c r="Z2204" s="2">
        <v>0</v>
      </c>
      <c r="AA2204" s="4">
        <v>0</v>
      </c>
      <c r="AB2204" s="4">
        <f t="shared" si="327"/>
        <v>100691.06796116508</v>
      </c>
      <c r="AC2204" s="6">
        <f t="shared" si="328"/>
        <v>3020.7320388349617</v>
      </c>
      <c r="AD2204" s="13">
        <f t="shared" si="322"/>
        <v>103711.80000000005</v>
      </c>
      <c r="AE2204" s="2">
        <v>0.17</v>
      </c>
      <c r="AF2204" s="5">
        <f t="shared" si="329"/>
        <v>17631.006000000008</v>
      </c>
      <c r="AG2204" s="2">
        <v>0</v>
      </c>
      <c r="AH2204" s="5">
        <f t="shared" si="323"/>
        <v>103711.80000000005</v>
      </c>
      <c r="AJ2204" s="126" t="e">
        <v>#N/A</v>
      </c>
      <c r="AK2204" s="80">
        <f t="shared" si="330"/>
        <v>0</v>
      </c>
      <c r="AM2204" s="85"/>
    </row>
    <row r="2205" spans="1:39" hidden="1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25"/>
        <v>0</v>
      </c>
      <c r="X2205" s="13">
        <f t="shared" si="324"/>
        <v>232565.82524271848</v>
      </c>
      <c r="Y2205" s="13">
        <f t="shared" si="326"/>
        <v>0</v>
      </c>
      <c r="Z2205" s="2">
        <v>0</v>
      </c>
      <c r="AA2205" s="4">
        <v>0</v>
      </c>
      <c r="AB2205" s="4">
        <f t="shared" si="327"/>
        <v>232565.82524271848</v>
      </c>
      <c r="AC2205" s="6">
        <f t="shared" si="328"/>
        <v>6976.9747572815686</v>
      </c>
      <c r="AD2205" s="13">
        <f t="shared" si="322"/>
        <v>239542.80000000005</v>
      </c>
      <c r="AE2205" s="2">
        <v>0.17</v>
      </c>
      <c r="AF2205" s="5">
        <f t="shared" si="329"/>
        <v>40722.276000000013</v>
      </c>
      <c r="AG2205" s="2">
        <v>0</v>
      </c>
      <c r="AH2205" s="5">
        <f t="shared" si="323"/>
        <v>239542.80000000005</v>
      </c>
      <c r="AJ2205" s="126" t="e">
        <v>#N/A</v>
      </c>
      <c r="AK2205" s="80">
        <f t="shared" si="330"/>
        <v>0</v>
      </c>
      <c r="AM2205" s="85"/>
    </row>
    <row r="2206" spans="1:39" hidden="1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25"/>
        <v>35663.439999999995</v>
      </c>
      <c r="X2206" s="13">
        <f t="shared" si="324"/>
        <v>0</v>
      </c>
      <c r="Y2206" s="13">
        <f t="shared" si="326"/>
        <v>0</v>
      </c>
      <c r="Z2206" s="2">
        <v>0</v>
      </c>
      <c r="AA2206" s="4">
        <v>0</v>
      </c>
      <c r="AB2206" s="4">
        <f t="shared" si="327"/>
        <v>0</v>
      </c>
      <c r="AC2206" s="6">
        <f t="shared" si="328"/>
        <v>0</v>
      </c>
      <c r="AD2206" s="13">
        <f t="shared" ref="AD2206:AD2269" si="331">V2206</f>
        <v>0</v>
      </c>
      <c r="AE2206" s="2">
        <v>0.17</v>
      </c>
      <c r="AF2206" s="5">
        <f t="shared" si="329"/>
        <v>0</v>
      </c>
      <c r="AG2206" s="2">
        <v>0</v>
      </c>
      <c r="AH2206" s="5">
        <f t="shared" ref="AH2206:AH2269" si="332">V2206</f>
        <v>0</v>
      </c>
      <c r="AJ2206" s="126" t="e">
        <v>#N/A</v>
      </c>
      <c r="AK2206" s="80">
        <f t="shared" si="330"/>
        <v>0</v>
      </c>
      <c r="AM2206" s="85"/>
    </row>
    <row r="2207" spans="1:39" hidden="1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25"/>
        <v>59317.499999999884</v>
      </c>
      <c r="X2207" s="13">
        <f t="shared" si="324"/>
        <v>687902.24299065419</v>
      </c>
      <c r="Y2207" s="13">
        <f t="shared" si="326"/>
        <v>0</v>
      </c>
      <c r="Z2207" s="2">
        <v>0</v>
      </c>
      <c r="AA2207" s="4">
        <v>0</v>
      </c>
      <c r="AB2207" s="4">
        <f t="shared" si="327"/>
        <v>687902.24299065419</v>
      </c>
      <c r="AC2207" s="6">
        <f t="shared" si="328"/>
        <v>48153.157009345829</v>
      </c>
      <c r="AD2207" s="13">
        <f t="shared" si="331"/>
        <v>736055.4</v>
      </c>
      <c r="AE2207" s="2">
        <v>0.17</v>
      </c>
      <c r="AF2207" s="5">
        <f t="shared" si="329"/>
        <v>125129.41800000002</v>
      </c>
      <c r="AG2207" s="2">
        <v>0</v>
      </c>
      <c r="AH2207" s="5">
        <f t="shared" si="332"/>
        <v>736055.4</v>
      </c>
      <c r="AJ2207" s="126" t="e">
        <v>#N/A</v>
      </c>
      <c r="AK2207" s="80">
        <f t="shared" si="330"/>
        <v>0</v>
      </c>
      <c r="AM2207" s="85"/>
    </row>
    <row r="2208" spans="1:39" hidden="1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25"/>
        <v>2954.7799999999961</v>
      </c>
      <c r="X2208" s="13">
        <f t="shared" si="324"/>
        <v>2018.2860000000001</v>
      </c>
      <c r="Y2208" s="13">
        <f t="shared" si="326"/>
        <v>0</v>
      </c>
      <c r="Z2208" s="2">
        <v>0</v>
      </c>
      <c r="AA2208" s="4">
        <v>0</v>
      </c>
      <c r="AB2208" s="4">
        <f t="shared" si="327"/>
        <v>2018.2860000000001</v>
      </c>
      <c r="AC2208" s="6">
        <f t="shared" si="328"/>
        <v>224.25399999999991</v>
      </c>
      <c r="AD2208" s="13">
        <f t="shared" si="331"/>
        <v>2242.54</v>
      </c>
      <c r="AE2208" s="2">
        <v>0.17</v>
      </c>
      <c r="AF2208" s="5">
        <f t="shared" si="329"/>
        <v>381.23180000000002</v>
      </c>
      <c r="AG2208" s="2">
        <v>0</v>
      </c>
      <c r="AH2208" s="5">
        <f t="shared" si="332"/>
        <v>2242.54</v>
      </c>
      <c r="AJ2208" s="126" t="e">
        <v>#N/A</v>
      </c>
      <c r="AK2208" s="80">
        <f t="shared" si="330"/>
        <v>0</v>
      </c>
      <c r="AM2208" s="85"/>
    </row>
    <row r="2209" spans="1:39" hidden="1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25"/>
        <v>5542.8499999999995</v>
      </c>
      <c r="X2209" s="13">
        <f t="shared" ref="X2209:X2272" si="333">IF(P2209="折扣",V2209*Q2209,IF(P2209="返现",V2209,V2209/(1+Q2209)))</f>
        <v>673.7</v>
      </c>
      <c r="Y2209" s="13">
        <f t="shared" si="326"/>
        <v>0</v>
      </c>
      <c r="Z2209" s="2">
        <v>0</v>
      </c>
      <c r="AA2209" s="4">
        <v>0</v>
      </c>
      <c r="AB2209" s="4">
        <f t="shared" si="327"/>
        <v>673.7</v>
      </c>
      <c r="AC2209" s="6">
        <f t="shared" si="328"/>
        <v>0</v>
      </c>
      <c r="AD2209" s="13">
        <f t="shared" si="331"/>
        <v>673.7</v>
      </c>
      <c r="AE2209" s="2">
        <v>0.17</v>
      </c>
      <c r="AF2209" s="5">
        <f t="shared" si="329"/>
        <v>114.52900000000001</v>
      </c>
      <c r="AG2209" s="2">
        <v>0</v>
      </c>
      <c r="AH2209" s="5">
        <f t="shared" si="332"/>
        <v>673.7</v>
      </c>
      <c r="AJ2209" s="126" t="e">
        <v>#N/A</v>
      </c>
      <c r="AK2209" s="80">
        <f t="shared" si="330"/>
        <v>0</v>
      </c>
      <c r="AM2209" s="85"/>
    </row>
    <row r="2210" spans="1:39" hidden="1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25"/>
        <v>5564.35</v>
      </c>
      <c r="X2210" s="13">
        <f t="shared" si="333"/>
        <v>3231.41</v>
      </c>
      <c r="Y2210" s="13">
        <f t="shared" si="326"/>
        <v>0</v>
      </c>
      <c r="Z2210" s="2">
        <v>0</v>
      </c>
      <c r="AA2210" s="4">
        <v>0</v>
      </c>
      <c r="AB2210" s="4">
        <f t="shared" si="327"/>
        <v>3231.41</v>
      </c>
      <c r="AC2210" s="6">
        <f t="shared" si="328"/>
        <v>0</v>
      </c>
      <c r="AD2210" s="13">
        <f t="shared" si="331"/>
        <v>3231.41</v>
      </c>
      <c r="AE2210" s="2">
        <v>0.17</v>
      </c>
      <c r="AF2210" s="5">
        <f t="shared" si="329"/>
        <v>549.33969999999999</v>
      </c>
      <c r="AG2210" s="2">
        <v>0</v>
      </c>
      <c r="AH2210" s="5">
        <f t="shared" si="332"/>
        <v>3231.41</v>
      </c>
      <c r="AJ2210" s="126" t="e">
        <v>#N/A</v>
      </c>
      <c r="AK2210" s="80">
        <f t="shared" si="330"/>
        <v>0</v>
      </c>
      <c r="AM2210" s="85"/>
    </row>
    <row r="2211" spans="1:39" hidden="1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25"/>
        <v>45130.60000000002</v>
      </c>
      <c r="X2211" s="13">
        <f t="shared" si="333"/>
        <v>30383.137254901958</v>
      </c>
      <c r="Y2211" s="13">
        <f t="shared" si="326"/>
        <v>0</v>
      </c>
      <c r="Z2211" s="2">
        <v>0</v>
      </c>
      <c r="AA2211" s="4">
        <v>0</v>
      </c>
      <c r="AB2211" s="4">
        <f t="shared" si="327"/>
        <v>30383.137254901958</v>
      </c>
      <c r="AC2211" s="6">
        <f t="shared" si="328"/>
        <v>607.66274509804134</v>
      </c>
      <c r="AD2211" s="13">
        <f t="shared" si="331"/>
        <v>30990.799999999999</v>
      </c>
      <c r="AE2211" s="2">
        <v>0.17</v>
      </c>
      <c r="AF2211" s="5">
        <f t="shared" si="329"/>
        <v>5268.4360000000006</v>
      </c>
      <c r="AG2211" s="2">
        <v>0</v>
      </c>
      <c r="AH2211" s="5">
        <f t="shared" si="332"/>
        <v>30990.799999999999</v>
      </c>
      <c r="AJ2211" s="126" t="e">
        <v>#N/A</v>
      </c>
      <c r="AK2211" s="80">
        <f t="shared" si="330"/>
        <v>0</v>
      </c>
      <c r="AM2211" s="85"/>
    </row>
    <row r="2212" spans="1:39" hidden="1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25"/>
        <v>9.9999986559851095E-5</v>
      </c>
      <c r="X2212" s="13">
        <f t="shared" si="333"/>
        <v>19993.3799</v>
      </c>
      <c r="Y2212" s="13">
        <f t="shared" si="326"/>
        <v>0</v>
      </c>
      <c r="Z2212" s="2">
        <v>0</v>
      </c>
      <c r="AA2212" s="4">
        <v>0</v>
      </c>
      <c r="AB2212" s="4">
        <f t="shared" si="327"/>
        <v>19993.3799</v>
      </c>
      <c r="AC2212" s="6">
        <f t="shared" si="328"/>
        <v>0</v>
      </c>
      <c r="AD2212" s="13">
        <f t="shared" si="331"/>
        <v>19993.3799</v>
      </c>
      <c r="AE2212" s="2">
        <v>0.17</v>
      </c>
      <c r="AF2212" s="5">
        <f t="shared" si="329"/>
        <v>3398.8745830000003</v>
      </c>
      <c r="AG2212" s="2">
        <v>0</v>
      </c>
      <c r="AH2212" s="5">
        <f t="shared" si="332"/>
        <v>19993.3799</v>
      </c>
      <c r="AJ2212" s="126" t="e">
        <v>#N/A</v>
      </c>
      <c r="AK2212" s="80">
        <f t="shared" si="330"/>
        <v>0</v>
      </c>
      <c r="AM2212" s="85"/>
    </row>
    <row r="2213" spans="1:39" hidden="1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25"/>
        <v>1800.0001000000011</v>
      </c>
      <c r="X2213" s="13">
        <f t="shared" si="333"/>
        <v>20840.9899</v>
      </c>
      <c r="Y2213" s="13">
        <f t="shared" si="326"/>
        <v>0</v>
      </c>
      <c r="Z2213" s="2">
        <v>0</v>
      </c>
      <c r="AA2213" s="4">
        <v>0</v>
      </c>
      <c r="AB2213" s="4">
        <f t="shared" si="327"/>
        <v>20840.9899</v>
      </c>
      <c r="AC2213" s="6">
        <f t="shared" si="328"/>
        <v>0</v>
      </c>
      <c r="AD2213" s="13">
        <f t="shared" si="331"/>
        <v>20840.9899</v>
      </c>
      <c r="AE2213" s="2">
        <v>0.17</v>
      </c>
      <c r="AF2213" s="5">
        <f t="shared" si="329"/>
        <v>3542.9682830000002</v>
      </c>
      <c r="AG2213" s="2">
        <v>0</v>
      </c>
      <c r="AH2213" s="5">
        <f t="shared" si="332"/>
        <v>20840.9899</v>
      </c>
      <c r="AJ2213" s="126" t="e">
        <v>#N/A</v>
      </c>
      <c r="AK2213" s="80">
        <f t="shared" si="330"/>
        <v>0</v>
      </c>
      <c r="AM2213" s="85"/>
    </row>
    <row r="2214" spans="1:39" hidden="1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25"/>
        <v>13896.600000000002</v>
      </c>
      <c r="X2214" s="13">
        <f t="shared" si="333"/>
        <v>29414.600000000002</v>
      </c>
      <c r="Y2214" s="13">
        <f t="shared" si="326"/>
        <v>0</v>
      </c>
      <c r="Z2214" s="2">
        <v>0</v>
      </c>
      <c r="AA2214" s="4">
        <v>0</v>
      </c>
      <c r="AB2214" s="4">
        <f t="shared" si="327"/>
        <v>29414.600000000002</v>
      </c>
      <c r="AC2214" s="6">
        <f t="shared" si="328"/>
        <v>0</v>
      </c>
      <c r="AD2214" s="13">
        <f t="shared" si="331"/>
        <v>29414.600000000002</v>
      </c>
      <c r="AE2214" s="2">
        <v>0.17</v>
      </c>
      <c r="AF2214" s="5">
        <f t="shared" si="329"/>
        <v>5000.4820000000009</v>
      </c>
      <c r="AG2214" s="2">
        <v>0</v>
      </c>
      <c r="AH2214" s="5">
        <f t="shared" si="332"/>
        <v>29414.600000000002</v>
      </c>
      <c r="AJ2214" s="126" t="e">
        <v>#N/A</v>
      </c>
      <c r="AK2214" s="80">
        <f t="shared" si="330"/>
        <v>0</v>
      </c>
      <c r="AM2214" s="85"/>
    </row>
    <row r="2215" spans="1:39" hidden="1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25"/>
        <v>15774.400000000001</v>
      </c>
      <c r="X2215" s="13">
        <f t="shared" si="333"/>
        <v>26308.6</v>
      </c>
      <c r="Y2215" s="13">
        <f t="shared" si="326"/>
        <v>0</v>
      </c>
      <c r="Z2215" s="2">
        <v>0</v>
      </c>
      <c r="AA2215" s="4">
        <v>0</v>
      </c>
      <c r="AB2215" s="4">
        <f t="shared" si="327"/>
        <v>26308.6</v>
      </c>
      <c r="AC2215" s="6">
        <f t="shared" si="328"/>
        <v>0</v>
      </c>
      <c r="AD2215" s="13">
        <f t="shared" si="331"/>
        <v>26308.6</v>
      </c>
      <c r="AE2215" s="2">
        <v>0.17</v>
      </c>
      <c r="AF2215" s="5">
        <f t="shared" si="329"/>
        <v>4472.4620000000004</v>
      </c>
      <c r="AG2215" s="2">
        <v>0</v>
      </c>
      <c r="AH2215" s="5">
        <f t="shared" si="332"/>
        <v>26308.6</v>
      </c>
      <c r="AJ2215" s="126" t="e">
        <v>#N/A</v>
      </c>
      <c r="AK2215" s="80">
        <f t="shared" si="330"/>
        <v>0</v>
      </c>
      <c r="AM2215" s="85"/>
    </row>
    <row r="2216" spans="1:39" hidden="1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25"/>
        <v>80083.72</v>
      </c>
      <c r="X2216" s="13">
        <f t="shared" si="333"/>
        <v>20921.77</v>
      </c>
      <c r="Y2216" s="13">
        <f t="shared" si="326"/>
        <v>0</v>
      </c>
      <c r="Z2216" s="2">
        <v>0</v>
      </c>
      <c r="AA2216" s="4">
        <v>0</v>
      </c>
      <c r="AB2216" s="4">
        <f t="shared" si="327"/>
        <v>20921.77</v>
      </c>
      <c r="AC2216" s="6">
        <f t="shared" si="328"/>
        <v>0</v>
      </c>
      <c r="AD2216" s="13">
        <f t="shared" si="331"/>
        <v>20921.77</v>
      </c>
      <c r="AE2216" s="2">
        <v>0.17</v>
      </c>
      <c r="AF2216" s="5">
        <f t="shared" si="329"/>
        <v>3556.7009000000003</v>
      </c>
      <c r="AG2216" s="2">
        <v>0</v>
      </c>
      <c r="AH2216" s="5">
        <f t="shared" si="332"/>
        <v>20921.77</v>
      </c>
      <c r="AJ2216" s="126" t="e">
        <v>#N/A</v>
      </c>
      <c r="AK2216" s="80">
        <f t="shared" si="330"/>
        <v>0</v>
      </c>
      <c r="AM2216" s="85"/>
    </row>
    <row r="2217" spans="1:39" hidden="1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25"/>
        <v>25105.22</v>
      </c>
      <c r="X2217" s="13">
        <f t="shared" si="333"/>
        <v>0</v>
      </c>
      <c r="Y2217" s="13">
        <f t="shared" si="326"/>
        <v>0</v>
      </c>
      <c r="Z2217" s="2">
        <v>0</v>
      </c>
      <c r="AA2217" s="4">
        <v>0</v>
      </c>
      <c r="AB2217" s="4">
        <f t="shared" si="327"/>
        <v>0</v>
      </c>
      <c r="AC2217" s="6">
        <f t="shared" si="328"/>
        <v>0</v>
      </c>
      <c r="AD2217" s="13">
        <f t="shared" si="331"/>
        <v>0</v>
      </c>
      <c r="AE2217" s="2">
        <v>0.17</v>
      </c>
      <c r="AF2217" s="5">
        <f t="shared" si="329"/>
        <v>0</v>
      </c>
      <c r="AG2217" s="2">
        <v>0</v>
      </c>
      <c r="AH2217" s="5">
        <f t="shared" si="332"/>
        <v>0</v>
      </c>
      <c r="AJ2217" s="126" t="e">
        <v>#N/A</v>
      </c>
      <c r="AK2217" s="80">
        <f t="shared" si="330"/>
        <v>0</v>
      </c>
      <c r="AM2217" s="85"/>
    </row>
    <row r="2218" spans="1:39" hidden="1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25"/>
        <v>83941.119999999995</v>
      </c>
      <c r="X2218" s="13">
        <f t="shared" si="333"/>
        <v>14711.300000000001</v>
      </c>
      <c r="Y2218" s="13">
        <f t="shared" si="326"/>
        <v>0</v>
      </c>
      <c r="Z2218" s="2">
        <v>0</v>
      </c>
      <c r="AA2218" s="4">
        <v>0</v>
      </c>
      <c r="AB2218" s="4">
        <f t="shared" si="327"/>
        <v>14711.300000000001</v>
      </c>
      <c r="AC2218" s="6">
        <f t="shared" si="328"/>
        <v>0</v>
      </c>
      <c r="AD2218" s="13">
        <f t="shared" si="331"/>
        <v>14711.300000000001</v>
      </c>
      <c r="AE2218" s="2">
        <v>0.17</v>
      </c>
      <c r="AF2218" s="5">
        <f t="shared" si="329"/>
        <v>2500.9210000000003</v>
      </c>
      <c r="AG2218" s="2">
        <v>0</v>
      </c>
      <c r="AH2218" s="5">
        <f t="shared" si="332"/>
        <v>14711.300000000001</v>
      </c>
      <c r="AJ2218" s="126" t="e">
        <v>#N/A</v>
      </c>
      <c r="AK2218" s="80">
        <f t="shared" si="330"/>
        <v>0</v>
      </c>
      <c r="AM2218" s="85"/>
    </row>
    <row r="2219" spans="1:39" hidden="1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25"/>
        <v>167160.6</v>
      </c>
      <c r="X2219" s="13">
        <f t="shared" si="333"/>
        <v>132839.4</v>
      </c>
      <c r="Y2219" s="13">
        <f t="shared" si="326"/>
        <v>0</v>
      </c>
      <c r="Z2219" s="2">
        <v>0</v>
      </c>
      <c r="AA2219" s="4">
        <v>0</v>
      </c>
      <c r="AB2219" s="4">
        <f t="shared" si="327"/>
        <v>132839.4</v>
      </c>
      <c r="AC2219" s="6">
        <f t="shared" si="328"/>
        <v>0</v>
      </c>
      <c r="AD2219" s="13">
        <f t="shared" si="331"/>
        <v>132839.4</v>
      </c>
      <c r="AE2219" s="2">
        <v>0.17</v>
      </c>
      <c r="AF2219" s="5">
        <f t="shared" si="329"/>
        <v>22582.698</v>
      </c>
      <c r="AG2219" s="2">
        <v>0</v>
      </c>
      <c r="AH2219" s="5">
        <f t="shared" si="332"/>
        <v>132839.4</v>
      </c>
      <c r="AJ2219" s="126" t="e">
        <v>#N/A</v>
      </c>
      <c r="AK2219" s="80">
        <f t="shared" si="330"/>
        <v>0</v>
      </c>
      <c r="AM2219" s="85"/>
    </row>
    <row r="2220" spans="1:39" hidden="1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25"/>
        <v>7100.9000000000106</v>
      </c>
      <c r="X2220" s="13">
        <f t="shared" si="333"/>
        <v>0</v>
      </c>
      <c r="Y2220" s="13">
        <f t="shared" si="326"/>
        <v>0</v>
      </c>
      <c r="Z2220" s="2">
        <v>0</v>
      </c>
      <c r="AA2220" s="4">
        <v>0</v>
      </c>
      <c r="AB2220" s="4">
        <f t="shared" si="327"/>
        <v>0</v>
      </c>
      <c r="AC2220" s="6">
        <f t="shared" si="328"/>
        <v>0</v>
      </c>
      <c r="AD2220" s="13">
        <f t="shared" si="331"/>
        <v>0</v>
      </c>
      <c r="AE2220" s="2">
        <v>0.17</v>
      </c>
      <c r="AF2220" s="5">
        <f t="shared" si="329"/>
        <v>0</v>
      </c>
      <c r="AG2220" s="2">
        <v>0</v>
      </c>
      <c r="AH2220" s="5">
        <f t="shared" si="332"/>
        <v>0</v>
      </c>
      <c r="AJ2220" s="126" t="e">
        <v>#N/A</v>
      </c>
      <c r="AK2220" s="80">
        <f t="shared" si="330"/>
        <v>0</v>
      </c>
      <c r="AM2220" s="85"/>
    </row>
    <row r="2221" spans="1:39" hidden="1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25"/>
        <v>28853.400000000009</v>
      </c>
      <c r="X2221" s="13">
        <f t="shared" si="333"/>
        <v>0</v>
      </c>
      <c r="Y2221" s="13">
        <f t="shared" si="326"/>
        <v>0</v>
      </c>
      <c r="Z2221" s="2">
        <v>0</v>
      </c>
      <c r="AA2221" s="4">
        <v>0</v>
      </c>
      <c r="AB2221" s="4">
        <f t="shared" si="327"/>
        <v>0</v>
      </c>
      <c r="AC2221" s="6">
        <f t="shared" si="328"/>
        <v>0</v>
      </c>
      <c r="AD2221" s="13">
        <f t="shared" si="331"/>
        <v>0</v>
      </c>
      <c r="AE2221" s="2">
        <v>0.17</v>
      </c>
      <c r="AF2221" s="5">
        <f t="shared" si="329"/>
        <v>0</v>
      </c>
      <c r="AG2221" s="2">
        <v>0</v>
      </c>
      <c r="AH2221" s="5">
        <f t="shared" si="332"/>
        <v>0</v>
      </c>
      <c r="AJ2221" s="126" t="e">
        <v>#N/A</v>
      </c>
      <c r="AK2221" s="80">
        <f t="shared" si="330"/>
        <v>0</v>
      </c>
      <c r="AM2221" s="85"/>
    </row>
    <row r="2222" spans="1:39" hidden="1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25"/>
        <v>4159.7000000000044</v>
      </c>
      <c r="X2222" s="13">
        <f t="shared" si="333"/>
        <v>0</v>
      </c>
      <c r="Y2222" s="13">
        <f t="shared" si="326"/>
        <v>0</v>
      </c>
      <c r="Z2222" s="2">
        <v>0</v>
      </c>
      <c r="AA2222" s="4">
        <v>0</v>
      </c>
      <c r="AB2222" s="4">
        <f t="shared" si="327"/>
        <v>0</v>
      </c>
      <c r="AC2222" s="6">
        <f t="shared" si="328"/>
        <v>0</v>
      </c>
      <c r="AD2222" s="13">
        <f t="shared" si="331"/>
        <v>0</v>
      </c>
      <c r="AE2222" s="2">
        <v>0.17</v>
      </c>
      <c r="AF2222" s="5">
        <f t="shared" si="329"/>
        <v>0</v>
      </c>
      <c r="AG2222" s="2">
        <v>0</v>
      </c>
      <c r="AH2222" s="5">
        <f t="shared" si="332"/>
        <v>0</v>
      </c>
      <c r="AJ2222" s="126" t="e">
        <v>#N/A</v>
      </c>
      <c r="AK2222" s="80">
        <f t="shared" si="330"/>
        <v>0</v>
      </c>
      <c r="AM2222" s="85"/>
    </row>
    <row r="2223" spans="1:39" hidden="1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25"/>
        <v>4268.6000000000004</v>
      </c>
      <c r="X2223" s="13">
        <f t="shared" si="333"/>
        <v>5731.4</v>
      </c>
      <c r="Y2223" s="13">
        <f t="shared" si="326"/>
        <v>0</v>
      </c>
      <c r="Z2223" s="2">
        <v>0</v>
      </c>
      <c r="AA2223" s="4">
        <v>0</v>
      </c>
      <c r="AB2223" s="4">
        <f t="shared" si="327"/>
        <v>5731.4</v>
      </c>
      <c r="AC2223" s="6">
        <f t="shared" si="328"/>
        <v>0</v>
      </c>
      <c r="AD2223" s="13">
        <f t="shared" si="331"/>
        <v>5731.4</v>
      </c>
      <c r="AE2223" s="2">
        <v>0.17</v>
      </c>
      <c r="AF2223" s="5">
        <f t="shared" si="329"/>
        <v>974.33799999999997</v>
      </c>
      <c r="AG2223" s="2">
        <v>0</v>
      </c>
      <c r="AH2223" s="5">
        <f t="shared" si="332"/>
        <v>5731.4</v>
      </c>
      <c r="AJ2223" s="126" t="e">
        <v>#N/A</v>
      </c>
      <c r="AK2223" s="80">
        <f t="shared" si="330"/>
        <v>0</v>
      </c>
      <c r="AM2223" s="85"/>
    </row>
    <row r="2224" spans="1:39" hidden="1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25"/>
        <v>9412.8000000000029</v>
      </c>
      <c r="X2224" s="13">
        <f t="shared" si="333"/>
        <v>0</v>
      </c>
      <c r="Y2224" s="13">
        <f t="shared" si="326"/>
        <v>0</v>
      </c>
      <c r="Z2224" s="2">
        <v>0</v>
      </c>
      <c r="AA2224" s="4">
        <v>0</v>
      </c>
      <c r="AB2224" s="4">
        <f t="shared" si="327"/>
        <v>0</v>
      </c>
      <c r="AC2224" s="6">
        <f t="shared" si="328"/>
        <v>0</v>
      </c>
      <c r="AD2224" s="13">
        <f t="shared" si="331"/>
        <v>0</v>
      </c>
      <c r="AE2224" s="2">
        <v>0.17</v>
      </c>
      <c r="AF2224" s="5">
        <f t="shared" si="329"/>
        <v>0</v>
      </c>
      <c r="AG2224" s="2">
        <v>0</v>
      </c>
      <c r="AH2224" s="5">
        <f t="shared" si="332"/>
        <v>0</v>
      </c>
      <c r="AJ2224" s="126" t="e">
        <v>#N/A</v>
      </c>
      <c r="AK2224" s="80">
        <f t="shared" si="330"/>
        <v>0</v>
      </c>
      <c r="AM2224" s="85"/>
    </row>
    <row r="2225" spans="1:39" hidden="1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25"/>
        <v>22568.5</v>
      </c>
      <c r="X2225" s="13">
        <f t="shared" si="333"/>
        <v>0</v>
      </c>
      <c r="Y2225" s="13">
        <f t="shared" si="326"/>
        <v>0</v>
      </c>
      <c r="Z2225" s="2">
        <v>0</v>
      </c>
      <c r="AA2225" s="4">
        <v>0</v>
      </c>
      <c r="AB2225" s="4">
        <f t="shared" si="327"/>
        <v>0</v>
      </c>
      <c r="AC2225" s="6">
        <f t="shared" si="328"/>
        <v>0</v>
      </c>
      <c r="AD2225" s="13">
        <f t="shared" si="331"/>
        <v>0</v>
      </c>
      <c r="AE2225" s="2">
        <v>0.17</v>
      </c>
      <c r="AF2225" s="5">
        <f t="shared" si="329"/>
        <v>0</v>
      </c>
      <c r="AG2225" s="2">
        <v>0</v>
      </c>
      <c r="AH2225" s="5">
        <f t="shared" si="332"/>
        <v>0</v>
      </c>
      <c r="AJ2225" s="126" t="e">
        <v>#N/A</v>
      </c>
      <c r="AK2225" s="80">
        <f t="shared" si="330"/>
        <v>0</v>
      </c>
      <c r="AM2225" s="85"/>
    </row>
    <row r="2226" spans="1:39" hidden="1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25"/>
        <v>3501.9000000000015</v>
      </c>
      <c r="X2226" s="13">
        <f t="shared" si="333"/>
        <v>0</v>
      </c>
      <c r="Y2226" s="13">
        <f t="shared" si="326"/>
        <v>0</v>
      </c>
      <c r="Z2226" s="2">
        <v>0</v>
      </c>
      <c r="AA2226" s="4">
        <v>0</v>
      </c>
      <c r="AB2226" s="4">
        <f t="shared" si="327"/>
        <v>0</v>
      </c>
      <c r="AC2226" s="6">
        <f t="shared" si="328"/>
        <v>0</v>
      </c>
      <c r="AD2226" s="13">
        <f t="shared" si="331"/>
        <v>0</v>
      </c>
      <c r="AE2226" s="2">
        <v>0.17</v>
      </c>
      <c r="AF2226" s="5">
        <f t="shared" si="329"/>
        <v>0</v>
      </c>
      <c r="AG2226" s="2">
        <v>0</v>
      </c>
      <c r="AH2226" s="5">
        <f t="shared" si="332"/>
        <v>0</v>
      </c>
      <c r="AJ2226" s="126" t="e">
        <v>#N/A</v>
      </c>
      <c r="AK2226" s="80">
        <f t="shared" si="330"/>
        <v>0</v>
      </c>
      <c r="AM2226" s="85"/>
    </row>
    <row r="2227" spans="1:39" hidden="1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25"/>
        <v>20447.499999999978</v>
      </c>
      <c r="X2227" s="13">
        <f t="shared" si="333"/>
        <v>4602.9411764705883</v>
      </c>
      <c r="Y2227" s="13">
        <f t="shared" si="326"/>
        <v>0</v>
      </c>
      <c r="Z2227" s="2">
        <v>0</v>
      </c>
      <c r="AA2227" s="4">
        <v>0</v>
      </c>
      <c r="AB2227" s="4">
        <f t="shared" si="327"/>
        <v>4602.9411764705883</v>
      </c>
      <c r="AC2227" s="6">
        <f t="shared" si="328"/>
        <v>92.058823529411711</v>
      </c>
      <c r="AD2227" s="13">
        <f t="shared" si="331"/>
        <v>4695</v>
      </c>
      <c r="AE2227" s="2">
        <v>0.17</v>
      </c>
      <c r="AF2227" s="5">
        <f t="shared" si="329"/>
        <v>798.15000000000009</v>
      </c>
      <c r="AG2227" s="2">
        <v>0</v>
      </c>
      <c r="AH2227" s="5">
        <f t="shared" si="332"/>
        <v>4695</v>
      </c>
      <c r="AJ2227" s="126" t="e">
        <v>#N/A</v>
      </c>
      <c r="AK2227" s="80">
        <f t="shared" si="330"/>
        <v>0</v>
      </c>
      <c r="AM2227" s="85"/>
    </row>
    <row r="2228" spans="1:39" hidden="1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25"/>
        <v>17765.259999999998</v>
      </c>
      <c r="X2228" s="13">
        <f t="shared" si="333"/>
        <v>1592.71</v>
      </c>
      <c r="Y2228" s="13">
        <f t="shared" si="326"/>
        <v>0</v>
      </c>
      <c r="Z2228" s="2">
        <v>0</v>
      </c>
      <c r="AA2228" s="4">
        <v>0</v>
      </c>
      <c r="AB2228" s="4">
        <f t="shared" si="327"/>
        <v>1592.71</v>
      </c>
      <c r="AC2228" s="6">
        <f t="shared" si="328"/>
        <v>0</v>
      </c>
      <c r="AD2228" s="13">
        <f t="shared" si="331"/>
        <v>1592.71</v>
      </c>
      <c r="AE2228" s="2">
        <v>0.17</v>
      </c>
      <c r="AF2228" s="5">
        <f t="shared" si="329"/>
        <v>270.76070000000004</v>
      </c>
      <c r="AG2228" s="2">
        <v>0</v>
      </c>
      <c r="AH2228" s="5">
        <f t="shared" si="332"/>
        <v>1592.71</v>
      </c>
      <c r="AJ2228" s="126" t="e">
        <v>#N/A</v>
      </c>
      <c r="AK2228" s="80">
        <f t="shared" si="330"/>
        <v>0</v>
      </c>
      <c r="AM2228" s="85"/>
    </row>
    <row r="2229" spans="1:39" hidden="1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25"/>
        <v>9.9999998383282218E-5</v>
      </c>
      <c r="X2229" s="13">
        <f t="shared" si="333"/>
        <v>6807.6989320388348</v>
      </c>
      <c r="Y2229" s="13">
        <f t="shared" si="326"/>
        <v>0</v>
      </c>
      <c r="Z2229" s="2">
        <v>0</v>
      </c>
      <c r="AA2229" s="4">
        <v>0</v>
      </c>
      <c r="AB2229" s="4">
        <f t="shared" si="327"/>
        <v>6807.6989320388348</v>
      </c>
      <c r="AC2229" s="6">
        <f t="shared" si="328"/>
        <v>204.23096796116533</v>
      </c>
      <c r="AD2229" s="13">
        <f t="shared" si="331"/>
        <v>7011.9299000000001</v>
      </c>
      <c r="AE2229" s="2">
        <v>0.17</v>
      </c>
      <c r="AF2229" s="5">
        <f t="shared" si="329"/>
        <v>1192.0280830000002</v>
      </c>
      <c r="AG2229" s="2">
        <v>0</v>
      </c>
      <c r="AH2229" s="5">
        <f t="shared" si="332"/>
        <v>7011.9299000000001</v>
      </c>
      <c r="AJ2229" s="126" t="e">
        <v>#N/A</v>
      </c>
      <c r="AK2229" s="80">
        <f t="shared" si="330"/>
        <v>0</v>
      </c>
      <c r="AM2229" s="85"/>
    </row>
    <row r="2230" spans="1:39" hidden="1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25"/>
        <v>2634.6</v>
      </c>
      <c r="X2230" s="13">
        <f t="shared" si="333"/>
        <v>291.84466019417476</v>
      </c>
      <c r="Y2230" s="13">
        <f t="shared" si="326"/>
        <v>0</v>
      </c>
      <c r="Z2230" s="2">
        <v>0</v>
      </c>
      <c r="AA2230" s="4">
        <v>0</v>
      </c>
      <c r="AB2230" s="4">
        <f t="shared" si="327"/>
        <v>291.84466019417476</v>
      </c>
      <c r="AC2230" s="6">
        <f t="shared" si="328"/>
        <v>8.7553398058252583</v>
      </c>
      <c r="AD2230" s="13">
        <f t="shared" si="331"/>
        <v>300.60000000000002</v>
      </c>
      <c r="AE2230" s="2">
        <v>0.17</v>
      </c>
      <c r="AF2230" s="5">
        <f t="shared" si="329"/>
        <v>51.102000000000011</v>
      </c>
      <c r="AG2230" s="2">
        <v>0</v>
      </c>
      <c r="AH2230" s="5">
        <f t="shared" si="332"/>
        <v>300.60000000000002</v>
      </c>
      <c r="AJ2230" s="126" t="e">
        <v>#N/A</v>
      </c>
      <c r="AK2230" s="80">
        <f t="shared" si="330"/>
        <v>0</v>
      </c>
      <c r="AM2230" s="85"/>
    </row>
    <row r="2231" spans="1:39" hidden="1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25"/>
        <v>0</v>
      </c>
      <c r="X2231" s="13">
        <f t="shared" si="333"/>
        <v>13511.666666666668</v>
      </c>
      <c r="Y2231" s="13">
        <f t="shared" si="326"/>
        <v>0</v>
      </c>
      <c r="Z2231" s="2">
        <v>0</v>
      </c>
      <c r="AA2231" s="4">
        <v>0</v>
      </c>
      <c r="AB2231" s="4">
        <f t="shared" si="327"/>
        <v>13511.666666666668</v>
      </c>
      <c r="AC2231" s="6">
        <f t="shared" si="328"/>
        <v>270.23333333333358</v>
      </c>
      <c r="AD2231" s="13">
        <f t="shared" si="331"/>
        <v>13781.900000000001</v>
      </c>
      <c r="AE2231" s="2">
        <v>0.17</v>
      </c>
      <c r="AF2231" s="5">
        <f t="shared" si="329"/>
        <v>2342.9230000000002</v>
      </c>
      <c r="AG2231" s="2">
        <v>0</v>
      </c>
      <c r="AH2231" s="5">
        <f t="shared" si="332"/>
        <v>13781.900000000001</v>
      </c>
      <c r="AJ2231" s="126" t="e">
        <v>#N/A</v>
      </c>
      <c r="AK2231" s="80">
        <f t="shared" si="330"/>
        <v>0</v>
      </c>
      <c r="AM2231" s="85"/>
    </row>
    <row r="2232" spans="1:39" hidden="1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25"/>
        <v>7072.130000000001</v>
      </c>
      <c r="X2232" s="13">
        <f t="shared" si="333"/>
        <v>12600</v>
      </c>
      <c r="Y2232" s="13">
        <f t="shared" si="326"/>
        <v>0</v>
      </c>
      <c r="Z2232" s="2">
        <v>0</v>
      </c>
      <c r="AA2232" s="4">
        <v>0</v>
      </c>
      <c r="AB2232" s="4">
        <f t="shared" si="327"/>
        <v>12600</v>
      </c>
      <c r="AC2232" s="6">
        <f t="shared" si="328"/>
        <v>252</v>
      </c>
      <c r="AD2232" s="13">
        <f t="shared" si="331"/>
        <v>12852</v>
      </c>
      <c r="AE2232" s="2">
        <v>0.17</v>
      </c>
      <c r="AF2232" s="5">
        <f t="shared" si="329"/>
        <v>2184.84</v>
      </c>
      <c r="AG2232" s="2">
        <v>0</v>
      </c>
      <c r="AH2232" s="5">
        <f t="shared" si="332"/>
        <v>12852</v>
      </c>
      <c r="AJ2232" s="126" t="e">
        <v>#N/A</v>
      </c>
      <c r="AK2232" s="80">
        <f t="shared" si="330"/>
        <v>0</v>
      </c>
      <c r="AM2232" s="85"/>
    </row>
    <row r="2233" spans="1:39" hidden="1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25"/>
        <v>0</v>
      </c>
      <c r="X2233" s="13">
        <f t="shared" si="333"/>
        <v>5827.1862745098033</v>
      </c>
      <c r="Y2233" s="13">
        <f t="shared" si="326"/>
        <v>0</v>
      </c>
      <c r="Z2233" s="2">
        <v>0</v>
      </c>
      <c r="AA2233" s="4">
        <v>0</v>
      </c>
      <c r="AB2233" s="4">
        <f t="shared" si="327"/>
        <v>5827.1862745098033</v>
      </c>
      <c r="AC2233" s="6">
        <f t="shared" si="328"/>
        <v>116.54372549019627</v>
      </c>
      <c r="AD2233" s="13">
        <f t="shared" si="331"/>
        <v>5943.73</v>
      </c>
      <c r="AE2233" s="2">
        <v>0.17</v>
      </c>
      <c r="AF2233" s="5">
        <f t="shared" si="329"/>
        <v>1010.4340999999999</v>
      </c>
      <c r="AG2233" s="2">
        <v>0</v>
      </c>
      <c r="AH2233" s="5">
        <f t="shared" si="332"/>
        <v>5943.73</v>
      </c>
      <c r="AJ2233" s="126" t="e">
        <v>#N/A</v>
      </c>
      <c r="AK2233" s="80">
        <f t="shared" si="330"/>
        <v>0</v>
      </c>
      <c r="AM2233" s="85"/>
    </row>
    <row r="2234" spans="1:39" hidden="1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25"/>
        <v>3787.7999999999993</v>
      </c>
      <c r="X2234" s="13">
        <f t="shared" si="333"/>
        <v>6212.2000000000007</v>
      </c>
      <c r="Y2234" s="13">
        <f t="shared" si="326"/>
        <v>0</v>
      </c>
      <c r="Z2234" s="2">
        <v>0</v>
      </c>
      <c r="AA2234" s="4">
        <v>0</v>
      </c>
      <c r="AB2234" s="4">
        <f t="shared" si="327"/>
        <v>6212.2000000000007</v>
      </c>
      <c r="AC2234" s="6">
        <f t="shared" si="328"/>
        <v>0</v>
      </c>
      <c r="AD2234" s="13">
        <f t="shared" si="331"/>
        <v>6212.2000000000007</v>
      </c>
      <c r="AE2234" s="2">
        <v>0.17</v>
      </c>
      <c r="AF2234" s="5">
        <f t="shared" si="329"/>
        <v>1056.0740000000003</v>
      </c>
      <c r="AG2234" s="2">
        <v>0</v>
      </c>
      <c r="AH2234" s="5">
        <f t="shared" si="332"/>
        <v>6212.2000000000007</v>
      </c>
      <c r="AJ2234" s="126" t="e">
        <v>#N/A</v>
      </c>
      <c r="AK2234" s="80">
        <f t="shared" si="330"/>
        <v>0</v>
      </c>
      <c r="AM2234" s="85"/>
    </row>
    <row r="2235" spans="1:39" hidden="1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25"/>
        <v>0</v>
      </c>
      <c r="X2235" s="13">
        <f t="shared" si="333"/>
        <v>2549.5098039215686</v>
      </c>
      <c r="Y2235" s="13">
        <f t="shared" si="326"/>
        <v>0</v>
      </c>
      <c r="Z2235" s="2">
        <v>0</v>
      </c>
      <c r="AA2235" s="4">
        <v>0</v>
      </c>
      <c r="AB2235" s="4">
        <v>2549.5098039215686</v>
      </c>
      <c r="AC2235" s="6">
        <f t="shared" si="328"/>
        <v>50.990196078431381</v>
      </c>
      <c r="AD2235" s="13">
        <f t="shared" si="331"/>
        <v>2600.5</v>
      </c>
      <c r="AE2235" s="2">
        <v>0.17</v>
      </c>
      <c r="AF2235" s="5">
        <f t="shared" si="329"/>
        <v>442.08500000000004</v>
      </c>
      <c r="AG2235" s="2">
        <v>0</v>
      </c>
      <c r="AH2235" s="5">
        <f t="shared" si="332"/>
        <v>2600.5</v>
      </c>
      <c r="AJ2235" s="126" t="s">
        <v>4217</v>
      </c>
      <c r="AK2235" s="80">
        <f t="shared" si="330"/>
        <v>0</v>
      </c>
      <c r="AM2235" s="85"/>
    </row>
    <row r="2236" spans="1:39" hidden="1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25"/>
        <v>0</v>
      </c>
      <c r="X2236" s="13">
        <f t="shared" si="333"/>
        <v>5713.9215686274511</v>
      </c>
      <c r="Y2236" s="13">
        <f t="shared" si="326"/>
        <v>0</v>
      </c>
      <c r="Z2236" s="2">
        <v>0</v>
      </c>
      <c r="AA2236" s="4">
        <v>0</v>
      </c>
      <c r="AB2236" s="4">
        <v>5713.9215686274511</v>
      </c>
      <c r="AC2236" s="6">
        <f t="shared" si="328"/>
        <v>114.27843137254877</v>
      </c>
      <c r="AD2236" s="13">
        <f t="shared" si="331"/>
        <v>5828.2</v>
      </c>
      <c r="AE2236" s="2">
        <v>0.17</v>
      </c>
      <c r="AF2236" s="5">
        <f t="shared" si="329"/>
        <v>990.7940000000001</v>
      </c>
      <c r="AG2236" s="2">
        <v>0</v>
      </c>
      <c r="AH2236" s="5">
        <f t="shared" si="332"/>
        <v>5828.2</v>
      </c>
      <c r="AJ2236" s="126" t="s">
        <v>4217</v>
      </c>
      <c r="AK2236" s="80">
        <f t="shared" si="330"/>
        <v>0</v>
      </c>
      <c r="AM2236" s="85"/>
    </row>
    <row r="2237" spans="1:39" hidden="1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25"/>
        <v>4927.25</v>
      </c>
      <c r="X2237" s="13">
        <f t="shared" si="333"/>
        <v>0</v>
      </c>
      <c r="Y2237" s="13">
        <f t="shared" si="326"/>
        <v>0</v>
      </c>
      <c r="Z2237" s="2">
        <v>0</v>
      </c>
      <c r="AA2237" s="4">
        <v>0</v>
      </c>
      <c r="AB2237" s="4">
        <f t="shared" si="327"/>
        <v>0</v>
      </c>
      <c r="AC2237" s="6">
        <f t="shared" si="328"/>
        <v>0</v>
      </c>
      <c r="AD2237" s="13">
        <f t="shared" si="331"/>
        <v>0</v>
      </c>
      <c r="AE2237" s="2">
        <v>0.17</v>
      </c>
      <c r="AF2237" s="5">
        <f t="shared" si="329"/>
        <v>0</v>
      </c>
      <c r="AG2237" s="2">
        <v>0</v>
      </c>
      <c r="AH2237" s="5">
        <f t="shared" si="332"/>
        <v>0</v>
      </c>
      <c r="AJ2237" s="126" t="e">
        <v>#N/A</v>
      </c>
      <c r="AK2237" s="80">
        <f t="shared" si="330"/>
        <v>0</v>
      </c>
      <c r="AM2237" s="85"/>
    </row>
    <row r="2238" spans="1:39" hidden="1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25"/>
        <v>2719.4399999999951</v>
      </c>
      <c r="X2238" s="13">
        <f t="shared" si="333"/>
        <v>15478.921568627451</v>
      </c>
      <c r="Y2238" s="13">
        <f t="shared" si="326"/>
        <v>0</v>
      </c>
      <c r="Z2238" s="2">
        <v>0</v>
      </c>
      <c r="AA2238" s="4">
        <v>0</v>
      </c>
      <c r="AB2238" s="4">
        <f t="shared" si="327"/>
        <v>15478.921568627451</v>
      </c>
      <c r="AC2238" s="6">
        <f t="shared" si="328"/>
        <v>309.57843137254895</v>
      </c>
      <c r="AD2238" s="13">
        <f t="shared" si="331"/>
        <v>15788.5</v>
      </c>
      <c r="AE2238" s="2">
        <v>0.17</v>
      </c>
      <c r="AF2238" s="5">
        <f t="shared" si="329"/>
        <v>2684.0450000000001</v>
      </c>
      <c r="AG2238" s="2">
        <v>0</v>
      </c>
      <c r="AH2238" s="5">
        <f t="shared" si="332"/>
        <v>15788.5</v>
      </c>
      <c r="AJ2238" s="126" t="e">
        <v>#N/A</v>
      </c>
      <c r="AK2238" s="80">
        <f t="shared" si="330"/>
        <v>0</v>
      </c>
      <c r="AM2238" s="85"/>
    </row>
    <row r="2239" spans="1:39" hidden="1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25"/>
        <v>18708.090000000026</v>
      </c>
      <c r="X2239" s="13">
        <f t="shared" si="333"/>
        <v>0</v>
      </c>
      <c r="Y2239" s="13">
        <f t="shared" si="326"/>
        <v>0</v>
      </c>
      <c r="Z2239" s="2">
        <v>0</v>
      </c>
      <c r="AA2239" s="4">
        <v>0</v>
      </c>
      <c r="AB2239" s="4">
        <f t="shared" si="327"/>
        <v>0</v>
      </c>
      <c r="AC2239" s="6">
        <f t="shared" si="328"/>
        <v>0</v>
      </c>
      <c r="AD2239" s="13">
        <f t="shared" si="331"/>
        <v>0</v>
      </c>
      <c r="AE2239" s="2">
        <v>0.17</v>
      </c>
      <c r="AF2239" s="5">
        <f t="shared" si="329"/>
        <v>0</v>
      </c>
      <c r="AG2239" s="2">
        <v>0</v>
      </c>
      <c r="AH2239" s="5">
        <f t="shared" si="332"/>
        <v>0</v>
      </c>
      <c r="AJ2239" s="126" t="e">
        <v>#N/A</v>
      </c>
      <c r="AK2239" s="80">
        <f t="shared" si="330"/>
        <v>0</v>
      </c>
      <c r="AM2239" s="85"/>
    </row>
    <row r="2240" spans="1:39" hidden="1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34">T2240+U2240-V2240</f>
        <v>273339.73</v>
      </c>
      <c r="X2240" s="13">
        <f t="shared" si="333"/>
        <v>31941.38</v>
      </c>
      <c r="Y2240" s="13">
        <f t="shared" si="326"/>
        <v>0</v>
      </c>
      <c r="Z2240" s="2">
        <v>0</v>
      </c>
      <c r="AA2240" s="4">
        <v>0</v>
      </c>
      <c r="AB2240" s="4">
        <f t="shared" si="327"/>
        <v>31941.38</v>
      </c>
      <c r="AC2240" s="6">
        <f t="shared" si="328"/>
        <v>0</v>
      </c>
      <c r="AD2240" s="13">
        <f t="shared" si="331"/>
        <v>31941.38</v>
      </c>
      <c r="AE2240" s="2">
        <v>0.17</v>
      </c>
      <c r="AF2240" s="5">
        <f t="shared" si="329"/>
        <v>5430.0346000000009</v>
      </c>
      <c r="AG2240" s="2">
        <v>0</v>
      </c>
      <c r="AH2240" s="5">
        <f t="shared" si="332"/>
        <v>31941.38</v>
      </c>
      <c r="AJ2240" s="126" t="e">
        <v>#N/A</v>
      </c>
      <c r="AK2240" s="80">
        <f t="shared" si="330"/>
        <v>0</v>
      </c>
      <c r="AM2240" s="85"/>
    </row>
    <row r="2241" spans="1:39" hidden="1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34"/>
        <v>4435.0200000000041</v>
      </c>
      <c r="X2241" s="13">
        <f t="shared" si="333"/>
        <v>6855.8600000000006</v>
      </c>
      <c r="Y2241" s="13">
        <f t="shared" si="326"/>
        <v>0</v>
      </c>
      <c r="Z2241" s="2">
        <v>0</v>
      </c>
      <c r="AA2241" s="4">
        <v>0</v>
      </c>
      <c r="AB2241" s="4">
        <f t="shared" si="327"/>
        <v>6855.8600000000006</v>
      </c>
      <c r="AC2241" s="6">
        <f t="shared" si="328"/>
        <v>0</v>
      </c>
      <c r="AD2241" s="13">
        <f t="shared" si="331"/>
        <v>6855.8600000000006</v>
      </c>
      <c r="AE2241" s="2">
        <v>0.17</v>
      </c>
      <c r="AF2241" s="5">
        <f t="shared" si="329"/>
        <v>1165.4962000000003</v>
      </c>
      <c r="AG2241" s="2">
        <v>0</v>
      </c>
      <c r="AH2241" s="5">
        <f t="shared" si="332"/>
        <v>6855.8600000000006</v>
      </c>
      <c r="AJ2241" s="126" t="e">
        <v>#N/A</v>
      </c>
      <c r="AK2241" s="80">
        <f t="shared" si="330"/>
        <v>0</v>
      </c>
      <c r="AM2241" s="85"/>
    </row>
    <row r="2242" spans="1:39" hidden="1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34"/>
        <v>31640.199999999997</v>
      </c>
      <c r="X2242" s="13">
        <f t="shared" si="333"/>
        <v>0</v>
      </c>
      <c r="Y2242" s="13">
        <f t="shared" si="326"/>
        <v>0</v>
      </c>
      <c r="Z2242" s="2">
        <v>0</v>
      </c>
      <c r="AA2242" s="4">
        <v>0</v>
      </c>
      <c r="AB2242" s="4">
        <f t="shared" si="327"/>
        <v>0</v>
      </c>
      <c r="AC2242" s="6">
        <f t="shared" si="328"/>
        <v>0</v>
      </c>
      <c r="AD2242" s="13">
        <f t="shared" si="331"/>
        <v>0</v>
      </c>
      <c r="AE2242" s="2">
        <v>0.17</v>
      </c>
      <c r="AF2242" s="5">
        <f t="shared" si="329"/>
        <v>0</v>
      </c>
      <c r="AG2242" s="2">
        <v>0</v>
      </c>
      <c r="AH2242" s="5">
        <f t="shared" si="332"/>
        <v>0</v>
      </c>
      <c r="AJ2242" s="126" t="e">
        <v>#N/A</v>
      </c>
      <c r="AK2242" s="80">
        <f t="shared" si="330"/>
        <v>0</v>
      </c>
      <c r="AM2242" s="85"/>
    </row>
    <row r="2243" spans="1:39" hidden="1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34"/>
        <v>9.999999929277692E-5</v>
      </c>
      <c r="X2243" s="13">
        <f t="shared" si="333"/>
        <v>5192.4751485148518</v>
      </c>
      <c r="Y2243" s="13">
        <f t="shared" ref="Y2243:Y2306" si="33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36">X2243+AA2243</f>
        <v>5192.4751485148518</v>
      </c>
      <c r="AC2243" s="6">
        <f t="shared" ref="AC2243:AC2306" si="337">IF(P2243="返现",X2243*Q2243,V2243-X2243)</f>
        <v>51.92475148514859</v>
      </c>
      <c r="AD2243" s="13">
        <f t="shared" si="331"/>
        <v>5244.3999000000003</v>
      </c>
      <c r="AE2243" s="2">
        <v>0.17</v>
      </c>
      <c r="AF2243" s="5">
        <f t="shared" ref="AF2243:AF2306" si="338">AD2243*AE2243</f>
        <v>891.54798300000016</v>
      </c>
      <c r="AG2243" s="2">
        <v>0</v>
      </c>
      <c r="AH2243" s="5">
        <f t="shared" si="332"/>
        <v>5244.3999000000003</v>
      </c>
      <c r="AJ2243" s="126" t="e">
        <v>#N/A</v>
      </c>
      <c r="AK2243" s="80">
        <f t="shared" ref="AK2243:AK2306" si="339">X2243+AA2243-AB2243</f>
        <v>0</v>
      </c>
      <c r="AM2243" s="85"/>
    </row>
    <row r="2244" spans="1:39" hidden="1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34"/>
        <v>7764.1100000000024</v>
      </c>
      <c r="X2244" s="13">
        <f t="shared" si="333"/>
        <v>0</v>
      </c>
      <c r="Y2244" s="13">
        <f t="shared" si="335"/>
        <v>0</v>
      </c>
      <c r="Z2244" s="2">
        <v>0</v>
      </c>
      <c r="AA2244" s="4">
        <v>0</v>
      </c>
      <c r="AB2244" s="4">
        <f t="shared" si="336"/>
        <v>0</v>
      </c>
      <c r="AC2244" s="6">
        <f t="shared" si="337"/>
        <v>0</v>
      </c>
      <c r="AD2244" s="13">
        <f t="shared" si="331"/>
        <v>0</v>
      </c>
      <c r="AE2244" s="2">
        <v>0.17</v>
      </c>
      <c r="AF2244" s="5">
        <f t="shared" si="338"/>
        <v>0</v>
      </c>
      <c r="AG2244" s="2">
        <v>0</v>
      </c>
      <c r="AH2244" s="5">
        <f t="shared" si="332"/>
        <v>0</v>
      </c>
      <c r="AJ2244" s="126" t="e">
        <v>#N/A</v>
      </c>
      <c r="AK2244" s="80">
        <f t="shared" si="339"/>
        <v>0</v>
      </c>
      <c r="AM2244" s="85"/>
    </row>
    <row r="2245" spans="1:39" hidden="1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34"/>
        <v>14048</v>
      </c>
      <c r="X2245" s="13">
        <f t="shared" si="333"/>
        <v>2702.9126213592231</v>
      </c>
      <c r="Y2245" s="13">
        <f t="shared" si="335"/>
        <v>0</v>
      </c>
      <c r="Z2245" s="2">
        <v>0</v>
      </c>
      <c r="AA2245" s="4">
        <v>0</v>
      </c>
      <c r="AB2245" s="4">
        <f t="shared" si="336"/>
        <v>2702.9126213592231</v>
      </c>
      <c r="AC2245" s="6">
        <f t="shared" si="337"/>
        <v>81.087378640776933</v>
      </c>
      <c r="AD2245" s="13">
        <f t="shared" si="331"/>
        <v>2784</v>
      </c>
      <c r="AE2245" s="2">
        <v>0.17</v>
      </c>
      <c r="AF2245" s="5">
        <f t="shared" si="338"/>
        <v>473.28000000000003</v>
      </c>
      <c r="AG2245" s="2">
        <v>0</v>
      </c>
      <c r="AH2245" s="5">
        <f t="shared" si="332"/>
        <v>2784</v>
      </c>
      <c r="AJ2245" s="126" t="e">
        <v>#N/A</v>
      </c>
      <c r="AK2245" s="80">
        <f t="shared" si="339"/>
        <v>0</v>
      </c>
      <c r="AM2245" s="85"/>
    </row>
    <row r="2246" spans="1:39" hidden="1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34"/>
        <v>17846.800000000003</v>
      </c>
      <c r="X2246" s="13">
        <f t="shared" si="333"/>
        <v>1933.9019607843136</v>
      </c>
      <c r="Y2246" s="13">
        <f t="shared" si="335"/>
        <v>0</v>
      </c>
      <c r="Z2246" s="2">
        <v>0</v>
      </c>
      <c r="AA2246" s="4">
        <v>0</v>
      </c>
      <c r="AB2246" s="4">
        <f t="shared" si="336"/>
        <v>1933.9019607843136</v>
      </c>
      <c r="AC2246" s="6">
        <f t="shared" si="337"/>
        <v>38.67803921568634</v>
      </c>
      <c r="AD2246" s="13">
        <f t="shared" si="331"/>
        <v>1972.58</v>
      </c>
      <c r="AE2246" s="2">
        <v>0.17</v>
      </c>
      <c r="AF2246" s="5">
        <f t="shared" si="338"/>
        <v>335.33859999999999</v>
      </c>
      <c r="AG2246" s="2">
        <v>0</v>
      </c>
      <c r="AH2246" s="5">
        <f t="shared" si="332"/>
        <v>1972.58</v>
      </c>
      <c r="AJ2246" s="126" t="e">
        <v>#N/A</v>
      </c>
      <c r="AK2246" s="80">
        <f t="shared" si="339"/>
        <v>0</v>
      </c>
      <c r="AM2246" s="85"/>
    </row>
    <row r="2247" spans="1:39" hidden="1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34"/>
        <v>12440.610000000006</v>
      </c>
      <c r="X2247" s="13">
        <f t="shared" si="333"/>
        <v>10924.431372549019</v>
      </c>
      <c r="Y2247" s="13">
        <f t="shared" si="335"/>
        <v>0</v>
      </c>
      <c r="Z2247" s="2">
        <v>0</v>
      </c>
      <c r="AA2247" s="4">
        <v>0</v>
      </c>
      <c r="AB2247" s="4">
        <f t="shared" si="336"/>
        <v>10924.431372549019</v>
      </c>
      <c r="AC2247" s="6">
        <f t="shared" si="337"/>
        <v>218.48862745098086</v>
      </c>
      <c r="AD2247" s="13">
        <f t="shared" si="331"/>
        <v>11142.92</v>
      </c>
      <c r="AE2247" s="2">
        <v>0.17</v>
      </c>
      <c r="AF2247" s="5">
        <f t="shared" si="338"/>
        <v>1894.2964000000002</v>
      </c>
      <c r="AG2247" s="2">
        <v>0</v>
      </c>
      <c r="AH2247" s="5">
        <f t="shared" si="332"/>
        <v>11142.92</v>
      </c>
      <c r="AJ2247" s="126" t="e">
        <v>#N/A</v>
      </c>
      <c r="AK2247" s="80">
        <f t="shared" si="339"/>
        <v>0</v>
      </c>
      <c r="AM2247" s="85"/>
    </row>
    <row r="2248" spans="1:39" hidden="1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34"/>
        <v>6436.0500000000011</v>
      </c>
      <c r="X2248" s="13">
        <f t="shared" si="333"/>
        <v>7992.9</v>
      </c>
      <c r="Y2248" s="13">
        <f t="shared" si="335"/>
        <v>0</v>
      </c>
      <c r="Z2248" s="2">
        <v>0</v>
      </c>
      <c r="AA2248" s="4">
        <v>0</v>
      </c>
      <c r="AB2248" s="4"/>
      <c r="AC2248" s="6">
        <f t="shared" si="337"/>
        <v>0</v>
      </c>
      <c r="AD2248" s="13">
        <f t="shared" si="331"/>
        <v>7992.9</v>
      </c>
      <c r="AE2248" s="2">
        <v>0.17</v>
      </c>
      <c r="AF2248" s="5">
        <f t="shared" si="338"/>
        <v>1358.7930000000001</v>
      </c>
      <c r="AG2248" s="2">
        <v>0</v>
      </c>
      <c r="AH2248" s="5">
        <f t="shared" si="332"/>
        <v>7992.9</v>
      </c>
      <c r="AJ2248" s="126">
        <v>107</v>
      </c>
      <c r="AK2248" s="80">
        <f t="shared" si="339"/>
        <v>7992.9</v>
      </c>
      <c r="AM2248" s="85"/>
    </row>
    <row r="2249" spans="1:39" hidden="1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34"/>
        <v>2755.4399999999996</v>
      </c>
      <c r="X2249" s="13">
        <f t="shared" si="333"/>
        <v>0</v>
      </c>
      <c r="Y2249" s="13">
        <f t="shared" si="335"/>
        <v>0</v>
      </c>
      <c r="Z2249" s="2">
        <v>0</v>
      </c>
      <c r="AA2249" s="4">
        <v>0</v>
      </c>
      <c r="AB2249" s="4">
        <f t="shared" si="336"/>
        <v>0</v>
      </c>
      <c r="AC2249" s="6">
        <f t="shared" si="337"/>
        <v>0</v>
      </c>
      <c r="AD2249" s="13">
        <f t="shared" si="331"/>
        <v>0</v>
      </c>
      <c r="AE2249" s="2">
        <v>0.17</v>
      </c>
      <c r="AF2249" s="5">
        <f t="shared" si="338"/>
        <v>0</v>
      </c>
      <c r="AG2249" s="2">
        <v>0</v>
      </c>
      <c r="AH2249" s="5">
        <f t="shared" si="332"/>
        <v>0</v>
      </c>
      <c r="AJ2249" s="126" t="e">
        <v>#N/A</v>
      </c>
      <c r="AK2249" s="80">
        <f t="shared" si="339"/>
        <v>0</v>
      </c>
      <c r="AM2249" s="85"/>
    </row>
    <row r="2250" spans="1:39" hidden="1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34"/>
        <v>20400.000000000004</v>
      </c>
      <c r="X2250" s="13">
        <f t="shared" si="333"/>
        <v>0</v>
      </c>
      <c r="Y2250" s="13">
        <f t="shared" si="335"/>
        <v>0</v>
      </c>
      <c r="Z2250" s="2">
        <v>0</v>
      </c>
      <c r="AA2250" s="4">
        <v>0</v>
      </c>
      <c r="AB2250" s="4">
        <f t="shared" si="336"/>
        <v>0</v>
      </c>
      <c r="AC2250" s="6">
        <f t="shared" si="337"/>
        <v>0</v>
      </c>
      <c r="AD2250" s="13">
        <f t="shared" si="331"/>
        <v>0</v>
      </c>
      <c r="AE2250" s="2">
        <v>0.17</v>
      </c>
      <c r="AF2250" s="5">
        <f t="shared" si="338"/>
        <v>0</v>
      </c>
      <c r="AG2250" s="2">
        <v>0</v>
      </c>
      <c r="AH2250" s="5">
        <f t="shared" si="332"/>
        <v>0</v>
      </c>
      <c r="AJ2250" s="126" t="e">
        <v>#N/A</v>
      </c>
      <c r="AK2250" s="80">
        <f t="shared" si="339"/>
        <v>0</v>
      </c>
      <c r="AM2250" s="85"/>
    </row>
    <row r="2251" spans="1:39" hidden="1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34"/>
        <v>0</v>
      </c>
      <c r="X2251" s="13">
        <f t="shared" si="333"/>
        <v>2862.8431372549021</v>
      </c>
      <c r="Y2251" s="13">
        <f t="shared" si="335"/>
        <v>0</v>
      </c>
      <c r="Z2251" s="2">
        <v>0</v>
      </c>
      <c r="AA2251" s="4">
        <v>0</v>
      </c>
      <c r="AB2251" s="4">
        <f t="shared" si="336"/>
        <v>2862.8431372549021</v>
      </c>
      <c r="AC2251" s="6">
        <f t="shared" si="337"/>
        <v>57.25686274509826</v>
      </c>
      <c r="AD2251" s="13">
        <f t="shared" si="331"/>
        <v>2920.1000000000004</v>
      </c>
      <c r="AE2251" s="2">
        <v>0.17</v>
      </c>
      <c r="AF2251" s="5">
        <f t="shared" si="338"/>
        <v>496.41700000000009</v>
      </c>
      <c r="AG2251" s="2">
        <v>0</v>
      </c>
      <c r="AH2251" s="5">
        <f t="shared" si="332"/>
        <v>2920.1000000000004</v>
      </c>
      <c r="AJ2251" s="126" t="e">
        <v>#N/A</v>
      </c>
      <c r="AK2251" s="80">
        <f t="shared" si="339"/>
        <v>0</v>
      </c>
      <c r="AM2251" s="85"/>
    </row>
    <row r="2252" spans="1:39" hidden="1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34"/>
        <v>817</v>
      </c>
      <c r="X2252" s="13">
        <f t="shared" si="333"/>
        <v>0</v>
      </c>
      <c r="Y2252" s="13">
        <f t="shared" si="335"/>
        <v>0</v>
      </c>
      <c r="Z2252" s="2">
        <v>0</v>
      </c>
      <c r="AA2252" s="4">
        <v>0</v>
      </c>
      <c r="AB2252" s="4"/>
      <c r="AC2252" s="6">
        <f t="shared" si="337"/>
        <v>0</v>
      </c>
      <c r="AD2252" s="13">
        <f t="shared" si="331"/>
        <v>0</v>
      </c>
      <c r="AE2252" s="2">
        <v>0.17</v>
      </c>
      <c r="AF2252" s="5">
        <f t="shared" si="338"/>
        <v>0</v>
      </c>
      <c r="AG2252" s="2">
        <v>0</v>
      </c>
      <c r="AH2252" s="5">
        <f t="shared" si="332"/>
        <v>0</v>
      </c>
      <c r="AJ2252" s="126">
        <v>40</v>
      </c>
      <c r="AK2252" s="80">
        <f t="shared" si="339"/>
        <v>0</v>
      </c>
      <c r="AM2252" s="85"/>
    </row>
    <row r="2253" spans="1:39" hidden="1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34"/>
        <v>0</v>
      </c>
      <c r="X2253" s="13">
        <f t="shared" si="333"/>
        <v>1587.9411764705883</v>
      </c>
      <c r="Y2253" s="13">
        <f t="shared" si="335"/>
        <v>0</v>
      </c>
      <c r="Z2253" s="2">
        <v>0</v>
      </c>
      <c r="AA2253" s="4">
        <v>0</v>
      </c>
      <c r="AB2253" s="4">
        <f t="shared" si="336"/>
        <v>1587.9411764705883</v>
      </c>
      <c r="AC2253" s="6">
        <f t="shared" si="337"/>
        <v>31.758823529411757</v>
      </c>
      <c r="AD2253" s="13">
        <f t="shared" si="331"/>
        <v>1619.7</v>
      </c>
      <c r="AE2253" s="2">
        <v>0.17</v>
      </c>
      <c r="AF2253" s="5">
        <f t="shared" si="338"/>
        <v>275.34900000000005</v>
      </c>
      <c r="AG2253" s="2">
        <v>0</v>
      </c>
      <c r="AH2253" s="5">
        <f t="shared" si="332"/>
        <v>1619.7</v>
      </c>
      <c r="AJ2253" s="126" t="e">
        <v>#N/A</v>
      </c>
      <c r="AK2253" s="80">
        <f t="shared" si="339"/>
        <v>0</v>
      </c>
      <c r="AM2253" s="85"/>
    </row>
    <row r="2254" spans="1:39" hidden="1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34"/>
        <v>2493.2999999999997</v>
      </c>
      <c r="X2254" s="13">
        <f t="shared" si="333"/>
        <v>2324.4</v>
      </c>
      <c r="Y2254" s="13">
        <f t="shared" si="335"/>
        <v>0</v>
      </c>
      <c r="Z2254" s="2">
        <v>0</v>
      </c>
      <c r="AA2254" s="4">
        <v>0</v>
      </c>
      <c r="AB2254" s="4">
        <f t="shared" si="336"/>
        <v>2324.4</v>
      </c>
      <c r="AC2254" s="6">
        <f t="shared" si="337"/>
        <v>0</v>
      </c>
      <c r="AD2254" s="13">
        <f t="shared" si="331"/>
        <v>2324.4</v>
      </c>
      <c r="AE2254" s="2">
        <v>0.17</v>
      </c>
      <c r="AF2254" s="5">
        <f t="shared" si="338"/>
        <v>395.14800000000002</v>
      </c>
      <c r="AG2254" s="2">
        <v>0</v>
      </c>
      <c r="AH2254" s="5">
        <f t="shared" si="332"/>
        <v>2324.4</v>
      </c>
      <c r="AJ2254" s="126" t="e">
        <v>#N/A</v>
      </c>
      <c r="AK2254" s="80">
        <f t="shared" si="339"/>
        <v>0</v>
      </c>
      <c r="AM2254" s="85"/>
    </row>
    <row r="2255" spans="1:39" hidden="1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34"/>
        <v>-5.4569682106375694E-12</v>
      </c>
      <c r="X2255" s="13">
        <f t="shared" si="333"/>
        <v>3440.66</v>
      </c>
      <c r="Y2255" s="13">
        <f t="shared" si="335"/>
        <v>0</v>
      </c>
      <c r="Z2255" s="2">
        <v>0</v>
      </c>
      <c r="AA2255" s="4">
        <v>0</v>
      </c>
      <c r="AB2255" s="4">
        <f t="shared" si="336"/>
        <v>3440.66</v>
      </c>
      <c r="AC2255" s="6">
        <f t="shared" si="337"/>
        <v>0</v>
      </c>
      <c r="AD2255" s="13">
        <f t="shared" si="331"/>
        <v>3440.66</v>
      </c>
      <c r="AE2255" s="2">
        <v>0.17</v>
      </c>
      <c r="AF2255" s="5">
        <f t="shared" si="338"/>
        <v>584.91219999999998</v>
      </c>
      <c r="AG2255" s="2">
        <v>0</v>
      </c>
      <c r="AH2255" s="5">
        <f t="shared" si="332"/>
        <v>3440.66</v>
      </c>
      <c r="AJ2255" s="126" t="e">
        <v>#N/A</v>
      </c>
      <c r="AK2255" s="80">
        <f t="shared" si="339"/>
        <v>0</v>
      </c>
      <c r="AM2255" s="85"/>
    </row>
    <row r="2256" spans="1:39" hidden="1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34"/>
        <v>-7.1054273576010019E-13</v>
      </c>
      <c r="X2256" s="13">
        <f t="shared" si="333"/>
        <v>179.21568627450978</v>
      </c>
      <c r="Y2256" s="13">
        <f t="shared" si="335"/>
        <v>0</v>
      </c>
      <c r="Z2256" s="2">
        <v>0</v>
      </c>
      <c r="AA2256" s="4">
        <v>0</v>
      </c>
      <c r="AB2256" s="4">
        <f t="shared" si="336"/>
        <v>179.21568627450978</v>
      </c>
      <c r="AC2256" s="6">
        <f t="shared" si="337"/>
        <v>3.5843137254902047</v>
      </c>
      <c r="AD2256" s="13">
        <f t="shared" si="331"/>
        <v>182.79999999999998</v>
      </c>
      <c r="AE2256" s="2">
        <v>0.17</v>
      </c>
      <c r="AF2256" s="5">
        <f t="shared" si="338"/>
        <v>31.076000000000001</v>
      </c>
      <c r="AG2256" s="2">
        <v>0</v>
      </c>
      <c r="AH2256" s="5">
        <f t="shared" si="332"/>
        <v>182.79999999999998</v>
      </c>
      <c r="AJ2256" s="126" t="e">
        <v>#N/A</v>
      </c>
      <c r="AK2256" s="80">
        <f t="shared" si="339"/>
        <v>0</v>
      </c>
      <c r="AM2256" s="85"/>
    </row>
    <row r="2257" spans="1:39" hidden="1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34"/>
        <v>-1.0004441719502211E-11</v>
      </c>
      <c r="X2257" s="13">
        <f t="shared" si="333"/>
        <v>4007.2427184466019</v>
      </c>
      <c r="Y2257" s="13">
        <f t="shared" si="335"/>
        <v>0</v>
      </c>
      <c r="Z2257" s="2">
        <v>0</v>
      </c>
      <c r="AA2257" s="4">
        <v>0</v>
      </c>
      <c r="AB2257" s="4">
        <f t="shared" si="336"/>
        <v>4007.2427184466019</v>
      </c>
      <c r="AC2257" s="6">
        <f t="shared" si="337"/>
        <v>120.21728155339815</v>
      </c>
      <c r="AD2257" s="13">
        <f t="shared" si="331"/>
        <v>4127.46</v>
      </c>
      <c r="AE2257" s="2">
        <v>0.17</v>
      </c>
      <c r="AF2257" s="5">
        <f t="shared" si="338"/>
        <v>701.66820000000007</v>
      </c>
      <c r="AG2257" s="2">
        <v>0</v>
      </c>
      <c r="AH2257" s="5">
        <f t="shared" si="332"/>
        <v>4127.46</v>
      </c>
      <c r="AJ2257" s="126" t="e">
        <v>#N/A</v>
      </c>
      <c r="AK2257" s="80">
        <f t="shared" si="339"/>
        <v>0</v>
      </c>
      <c r="AM2257" s="85"/>
    </row>
    <row r="2258" spans="1:39" hidden="1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34"/>
        <v>6854</v>
      </c>
      <c r="X2258" s="13">
        <f t="shared" si="333"/>
        <v>11938.029411764706</v>
      </c>
      <c r="Y2258" s="13">
        <f t="shared" si="335"/>
        <v>0</v>
      </c>
      <c r="Z2258" s="2">
        <v>0</v>
      </c>
      <c r="AA2258" s="4">
        <v>0</v>
      </c>
      <c r="AB2258" s="4"/>
      <c r="AC2258" s="6">
        <f t="shared" si="337"/>
        <v>238.76058823529456</v>
      </c>
      <c r="AD2258" s="13">
        <f t="shared" si="331"/>
        <v>12176.79</v>
      </c>
      <c r="AE2258" s="2">
        <v>0.17</v>
      </c>
      <c r="AF2258" s="5">
        <f t="shared" si="338"/>
        <v>2070.0543000000002</v>
      </c>
      <c r="AG2258" s="2">
        <v>0</v>
      </c>
      <c r="AH2258" s="5">
        <f t="shared" si="332"/>
        <v>12176.79</v>
      </c>
      <c r="AJ2258" s="126">
        <v>104</v>
      </c>
      <c r="AK2258" s="80">
        <f t="shared" si="339"/>
        <v>11938.029411764706</v>
      </c>
      <c r="AM2258" s="85"/>
    </row>
    <row r="2259" spans="1:39" hidden="1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34"/>
        <v>4446.7000000000007</v>
      </c>
      <c r="X2259" s="13">
        <f t="shared" si="333"/>
        <v>0</v>
      </c>
      <c r="Y2259" s="13">
        <f t="shared" si="335"/>
        <v>0</v>
      </c>
      <c r="Z2259" s="2">
        <v>0</v>
      </c>
      <c r="AA2259" s="4">
        <v>0</v>
      </c>
      <c r="AB2259" s="4">
        <f t="shared" si="336"/>
        <v>0</v>
      </c>
      <c r="AC2259" s="6">
        <f t="shared" si="337"/>
        <v>0</v>
      </c>
      <c r="AD2259" s="13">
        <f t="shared" si="331"/>
        <v>0</v>
      </c>
      <c r="AE2259" s="2">
        <v>0.17</v>
      </c>
      <c r="AF2259" s="5">
        <f t="shared" si="338"/>
        <v>0</v>
      </c>
      <c r="AG2259" s="2">
        <v>0</v>
      </c>
      <c r="AH2259" s="5">
        <f t="shared" si="332"/>
        <v>0</v>
      </c>
      <c r="AJ2259" s="126" t="e">
        <v>#N/A</v>
      </c>
      <c r="AK2259" s="80">
        <f t="shared" si="339"/>
        <v>0</v>
      </c>
      <c r="AM2259" s="85"/>
    </row>
    <row r="2260" spans="1:39" hidden="1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34"/>
        <v>0</v>
      </c>
      <c r="X2260" s="13">
        <f t="shared" si="333"/>
        <v>11123.19607843138</v>
      </c>
      <c r="Y2260" s="13">
        <f t="shared" si="335"/>
        <v>0</v>
      </c>
      <c r="Z2260" s="2">
        <v>0</v>
      </c>
      <c r="AA2260" s="4">
        <v>0</v>
      </c>
      <c r="AB2260" s="4">
        <f t="shared" si="336"/>
        <v>11123.19607843138</v>
      </c>
      <c r="AC2260" s="6">
        <f t="shared" si="337"/>
        <v>222.46392156862748</v>
      </c>
      <c r="AD2260" s="13">
        <f t="shared" si="331"/>
        <v>11345.660000000007</v>
      </c>
      <c r="AE2260" s="2">
        <v>0.17</v>
      </c>
      <c r="AF2260" s="5">
        <f t="shared" si="338"/>
        <v>1928.7622000000013</v>
      </c>
      <c r="AG2260" s="2">
        <v>0</v>
      </c>
      <c r="AH2260" s="5">
        <f t="shared" si="332"/>
        <v>11345.660000000007</v>
      </c>
      <c r="AJ2260" s="126" t="e">
        <v>#N/A</v>
      </c>
      <c r="AK2260" s="80">
        <f t="shared" si="339"/>
        <v>0</v>
      </c>
      <c r="AM2260" s="85"/>
    </row>
    <row r="2261" spans="1:39" hidden="1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34"/>
        <v>321.42000000000417</v>
      </c>
      <c r="X2261" s="13">
        <f t="shared" si="333"/>
        <v>792.0792079207921</v>
      </c>
      <c r="Y2261" s="13">
        <f t="shared" si="335"/>
        <v>0</v>
      </c>
      <c r="Z2261" s="2">
        <v>0</v>
      </c>
      <c r="AA2261" s="4">
        <v>0</v>
      </c>
      <c r="AB2261" s="4">
        <f t="shared" si="336"/>
        <v>792.0792079207921</v>
      </c>
      <c r="AC2261" s="6">
        <f t="shared" si="337"/>
        <v>7.9207920792078994</v>
      </c>
      <c r="AD2261" s="13">
        <f t="shared" si="331"/>
        <v>800</v>
      </c>
      <c r="AE2261" s="2">
        <v>0.17</v>
      </c>
      <c r="AF2261" s="5">
        <f t="shared" si="338"/>
        <v>136</v>
      </c>
      <c r="AG2261" s="2">
        <v>0</v>
      </c>
      <c r="AH2261" s="5">
        <f t="shared" si="332"/>
        <v>800</v>
      </c>
      <c r="AJ2261" s="126" t="e">
        <v>#N/A</v>
      </c>
      <c r="AK2261" s="80">
        <f t="shared" si="339"/>
        <v>0</v>
      </c>
      <c r="AM2261" s="85"/>
    </row>
    <row r="2262" spans="1:39" hidden="1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34"/>
        <v>5680.2000000000007</v>
      </c>
      <c r="X2262" s="13">
        <f t="shared" si="333"/>
        <v>8994.5</v>
      </c>
      <c r="Y2262" s="13">
        <f t="shared" si="335"/>
        <v>0</v>
      </c>
      <c r="Z2262" s="2">
        <v>0</v>
      </c>
      <c r="AA2262" s="4">
        <v>0</v>
      </c>
      <c r="AB2262" s="4">
        <f t="shared" si="336"/>
        <v>8994.5</v>
      </c>
      <c r="AC2262" s="6">
        <f t="shared" si="337"/>
        <v>0</v>
      </c>
      <c r="AD2262" s="13">
        <f t="shared" si="331"/>
        <v>8994.5</v>
      </c>
      <c r="AE2262" s="2">
        <v>0.17</v>
      </c>
      <c r="AF2262" s="5">
        <f t="shared" si="338"/>
        <v>1529.0650000000001</v>
      </c>
      <c r="AG2262" s="2">
        <v>0</v>
      </c>
      <c r="AH2262" s="5">
        <f t="shared" si="332"/>
        <v>8994.5</v>
      </c>
      <c r="AJ2262" s="126" t="e">
        <v>#N/A</v>
      </c>
      <c r="AK2262" s="80">
        <f t="shared" si="339"/>
        <v>0</v>
      </c>
      <c r="AM2262" s="85"/>
    </row>
    <row r="2263" spans="1:39" hidden="1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34"/>
        <v>1223.2999999999811</v>
      </c>
      <c r="X2263" s="13">
        <f t="shared" si="333"/>
        <v>0</v>
      </c>
      <c r="Y2263" s="13">
        <f t="shared" si="335"/>
        <v>0</v>
      </c>
      <c r="Z2263" s="2">
        <v>0</v>
      </c>
      <c r="AA2263" s="4">
        <v>0</v>
      </c>
      <c r="AB2263" s="4">
        <f t="shared" si="336"/>
        <v>0</v>
      </c>
      <c r="AC2263" s="6">
        <f t="shared" si="337"/>
        <v>0</v>
      </c>
      <c r="AD2263" s="13">
        <f t="shared" si="331"/>
        <v>0</v>
      </c>
      <c r="AE2263" s="2">
        <v>0.17</v>
      </c>
      <c r="AF2263" s="5">
        <f t="shared" si="338"/>
        <v>0</v>
      </c>
      <c r="AG2263" s="2">
        <v>0</v>
      </c>
      <c r="AH2263" s="5">
        <f t="shared" si="332"/>
        <v>0</v>
      </c>
      <c r="AJ2263" s="126" t="e">
        <v>#N/A</v>
      </c>
      <c r="AK2263" s="80">
        <f t="shared" si="339"/>
        <v>0</v>
      </c>
      <c r="AM2263" s="85"/>
    </row>
    <row r="2264" spans="1:39" hidden="1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34"/>
        <v>13322.84</v>
      </c>
      <c r="X2264" s="13">
        <f t="shared" si="333"/>
        <v>0</v>
      </c>
      <c r="Y2264" s="13">
        <f t="shared" si="335"/>
        <v>0</v>
      </c>
      <c r="Z2264" s="2">
        <v>0</v>
      </c>
      <c r="AA2264" s="4">
        <v>0</v>
      </c>
      <c r="AB2264" s="4">
        <f t="shared" si="336"/>
        <v>0</v>
      </c>
      <c r="AC2264" s="6">
        <f t="shared" si="337"/>
        <v>0</v>
      </c>
      <c r="AD2264" s="13">
        <f t="shared" si="331"/>
        <v>0</v>
      </c>
      <c r="AE2264" s="2">
        <v>0.17</v>
      </c>
      <c r="AF2264" s="5">
        <f t="shared" si="338"/>
        <v>0</v>
      </c>
      <c r="AG2264" s="2">
        <v>0</v>
      </c>
      <c r="AH2264" s="5">
        <f t="shared" si="332"/>
        <v>0</v>
      </c>
      <c r="AJ2264" s="126" t="e">
        <v>#N/A</v>
      </c>
      <c r="AK2264" s="80">
        <f t="shared" si="339"/>
        <v>0</v>
      </c>
      <c r="AM2264" s="85"/>
    </row>
    <row r="2265" spans="1:39" hidden="1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34"/>
        <v>710.66000000000258</v>
      </c>
      <c r="X2265" s="13">
        <f t="shared" si="333"/>
        <v>5220</v>
      </c>
      <c r="Y2265" s="13">
        <f t="shared" si="335"/>
        <v>0</v>
      </c>
      <c r="Z2265" s="2">
        <v>0</v>
      </c>
      <c r="AA2265" s="4">
        <v>0</v>
      </c>
      <c r="AB2265" s="4">
        <f t="shared" si="336"/>
        <v>5220</v>
      </c>
      <c r="AC2265" s="6">
        <f t="shared" si="337"/>
        <v>580</v>
      </c>
      <c r="AD2265" s="13">
        <f t="shared" si="331"/>
        <v>5800</v>
      </c>
      <c r="AE2265" s="2">
        <v>0.17</v>
      </c>
      <c r="AF2265" s="5">
        <f t="shared" si="338"/>
        <v>986.00000000000011</v>
      </c>
      <c r="AG2265" s="2">
        <v>0</v>
      </c>
      <c r="AH2265" s="5">
        <f t="shared" si="332"/>
        <v>5800</v>
      </c>
      <c r="AJ2265" s="126" t="e">
        <v>#N/A</v>
      </c>
      <c r="AK2265" s="80">
        <f t="shared" si="339"/>
        <v>0</v>
      </c>
      <c r="AM2265" s="85"/>
    </row>
    <row r="2266" spans="1:39" hidden="1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34"/>
        <v>7310.2999999999993</v>
      </c>
      <c r="X2266" s="13">
        <f t="shared" si="333"/>
        <v>0</v>
      </c>
      <c r="Y2266" s="13">
        <f t="shared" si="335"/>
        <v>0</v>
      </c>
      <c r="Z2266" s="2">
        <v>0</v>
      </c>
      <c r="AA2266" s="4">
        <v>0</v>
      </c>
      <c r="AB2266" s="4">
        <f t="shared" si="336"/>
        <v>0</v>
      </c>
      <c r="AC2266" s="6">
        <f t="shared" si="337"/>
        <v>0</v>
      </c>
      <c r="AD2266" s="13">
        <f t="shared" si="331"/>
        <v>0</v>
      </c>
      <c r="AE2266" s="2">
        <v>0.17</v>
      </c>
      <c r="AF2266" s="5">
        <f t="shared" si="338"/>
        <v>0</v>
      </c>
      <c r="AG2266" s="2">
        <v>0</v>
      </c>
      <c r="AH2266" s="5">
        <f t="shared" si="332"/>
        <v>0</v>
      </c>
      <c r="AJ2266" s="126" t="e">
        <v>#N/A</v>
      </c>
      <c r="AK2266" s="80">
        <f t="shared" si="339"/>
        <v>0</v>
      </c>
      <c r="AM2266" s="85"/>
    </row>
    <row r="2267" spans="1:39" hidden="1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34"/>
        <v>15.720000000000027</v>
      </c>
      <c r="X2267" s="13">
        <f t="shared" si="333"/>
        <v>0</v>
      </c>
      <c r="Y2267" s="13">
        <f t="shared" si="335"/>
        <v>0</v>
      </c>
      <c r="Z2267" s="2">
        <v>0</v>
      </c>
      <c r="AA2267" s="4">
        <v>0</v>
      </c>
      <c r="AB2267" s="4">
        <f t="shared" si="336"/>
        <v>0</v>
      </c>
      <c r="AC2267" s="6">
        <f t="shared" si="337"/>
        <v>0</v>
      </c>
      <c r="AD2267" s="13">
        <f t="shared" si="331"/>
        <v>0</v>
      </c>
      <c r="AE2267" s="2">
        <v>0.17</v>
      </c>
      <c r="AF2267" s="5">
        <f t="shared" si="338"/>
        <v>0</v>
      </c>
      <c r="AG2267" s="2">
        <v>0</v>
      </c>
      <c r="AH2267" s="5">
        <f t="shared" si="332"/>
        <v>0</v>
      </c>
      <c r="AJ2267" s="126" t="e">
        <v>#N/A</v>
      </c>
      <c r="AK2267" s="80">
        <f t="shared" si="339"/>
        <v>0</v>
      </c>
      <c r="AM2267" s="85"/>
    </row>
    <row r="2268" spans="1:39" hidden="1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34"/>
        <v>7145.2</v>
      </c>
      <c r="X2268" s="13">
        <f t="shared" si="333"/>
        <v>725.4</v>
      </c>
      <c r="Y2268" s="13">
        <f t="shared" si="335"/>
        <v>0</v>
      </c>
      <c r="Z2268" s="2">
        <v>0</v>
      </c>
      <c r="AA2268" s="4">
        <v>0</v>
      </c>
      <c r="AB2268" s="4">
        <f t="shared" si="336"/>
        <v>725.4</v>
      </c>
      <c r="AC2268" s="6">
        <f t="shared" si="337"/>
        <v>0</v>
      </c>
      <c r="AD2268" s="13">
        <f t="shared" si="331"/>
        <v>725.4</v>
      </c>
      <c r="AE2268" s="2">
        <v>0.17</v>
      </c>
      <c r="AF2268" s="5">
        <f t="shared" si="338"/>
        <v>123.31800000000001</v>
      </c>
      <c r="AG2268" s="2">
        <v>0</v>
      </c>
      <c r="AH2268" s="5">
        <f t="shared" si="332"/>
        <v>725.4</v>
      </c>
      <c r="AJ2268" s="126" t="e">
        <v>#N/A</v>
      </c>
      <c r="AK2268" s="80">
        <f t="shared" si="339"/>
        <v>0</v>
      </c>
      <c r="AM2268" s="85"/>
    </row>
    <row r="2269" spans="1:39" hidden="1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34"/>
        <v>2.2999999999935881</v>
      </c>
      <c r="X2269" s="13">
        <f t="shared" si="333"/>
        <v>0</v>
      </c>
      <c r="Y2269" s="13">
        <f t="shared" si="335"/>
        <v>0</v>
      </c>
      <c r="Z2269" s="2">
        <v>0</v>
      </c>
      <c r="AA2269" s="4">
        <v>0</v>
      </c>
      <c r="AB2269" s="4">
        <f t="shared" si="336"/>
        <v>0</v>
      </c>
      <c r="AC2269" s="6">
        <f t="shared" si="337"/>
        <v>0</v>
      </c>
      <c r="AD2269" s="13">
        <f t="shared" si="331"/>
        <v>0</v>
      </c>
      <c r="AE2269" s="2">
        <v>0.17</v>
      </c>
      <c r="AF2269" s="5">
        <f t="shared" si="338"/>
        <v>0</v>
      </c>
      <c r="AG2269" s="2">
        <v>0</v>
      </c>
      <c r="AH2269" s="5">
        <f t="shared" si="332"/>
        <v>0</v>
      </c>
      <c r="AJ2269" s="126" t="e">
        <v>#N/A</v>
      </c>
      <c r="AK2269" s="80">
        <f t="shared" si="339"/>
        <v>0</v>
      </c>
      <c r="AM2269" s="85"/>
    </row>
    <row r="2270" spans="1:39" hidden="1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34"/>
        <v>5033.8</v>
      </c>
      <c r="X2270" s="13">
        <f t="shared" si="333"/>
        <v>0</v>
      </c>
      <c r="Y2270" s="13">
        <f t="shared" si="335"/>
        <v>0</v>
      </c>
      <c r="Z2270" s="2">
        <v>0</v>
      </c>
      <c r="AA2270" s="4">
        <v>0</v>
      </c>
      <c r="AB2270" s="4">
        <f t="shared" si="336"/>
        <v>0</v>
      </c>
      <c r="AC2270" s="6">
        <f t="shared" si="337"/>
        <v>0</v>
      </c>
      <c r="AD2270" s="13">
        <f t="shared" ref="AD2270:AD2322" si="340">V2270</f>
        <v>0</v>
      </c>
      <c r="AE2270" s="2">
        <v>0.17</v>
      </c>
      <c r="AF2270" s="5">
        <f t="shared" si="338"/>
        <v>0</v>
      </c>
      <c r="AG2270" s="2">
        <v>0</v>
      </c>
      <c r="AH2270" s="5">
        <f t="shared" ref="AH2270:AH2322" si="341">V2270</f>
        <v>0</v>
      </c>
      <c r="AJ2270" s="126" t="e">
        <v>#N/A</v>
      </c>
      <c r="AK2270" s="80">
        <f t="shared" si="339"/>
        <v>0</v>
      </c>
      <c r="AM2270" s="85"/>
    </row>
    <row r="2271" spans="1:39" hidden="1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34"/>
        <v>5582.6</v>
      </c>
      <c r="X2271" s="13">
        <f t="shared" si="333"/>
        <v>0</v>
      </c>
      <c r="Y2271" s="13">
        <f t="shared" si="335"/>
        <v>0</v>
      </c>
      <c r="Z2271" s="2">
        <v>0</v>
      </c>
      <c r="AA2271" s="4">
        <v>0</v>
      </c>
      <c r="AB2271" s="4">
        <f t="shared" si="336"/>
        <v>0</v>
      </c>
      <c r="AC2271" s="6">
        <f t="shared" si="337"/>
        <v>0</v>
      </c>
      <c r="AD2271" s="13">
        <f t="shared" si="340"/>
        <v>0</v>
      </c>
      <c r="AE2271" s="2">
        <v>0.17</v>
      </c>
      <c r="AF2271" s="5">
        <f t="shared" si="338"/>
        <v>0</v>
      </c>
      <c r="AG2271" s="2">
        <v>0</v>
      </c>
      <c r="AH2271" s="5">
        <f t="shared" si="341"/>
        <v>0</v>
      </c>
      <c r="AJ2271" s="126" t="e">
        <v>#N/A</v>
      </c>
      <c r="AK2271" s="80">
        <f t="shared" si="339"/>
        <v>0</v>
      </c>
      <c r="AM2271" s="85"/>
    </row>
    <row r="2272" spans="1:39" hidden="1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34"/>
        <v>18957.150000000001</v>
      </c>
      <c r="X2272" s="13">
        <f t="shared" si="333"/>
        <v>0</v>
      </c>
      <c r="Y2272" s="13">
        <f t="shared" si="335"/>
        <v>0</v>
      </c>
      <c r="Z2272" s="2">
        <v>0</v>
      </c>
      <c r="AA2272" s="4">
        <v>0</v>
      </c>
      <c r="AB2272" s="4">
        <f t="shared" si="336"/>
        <v>0</v>
      </c>
      <c r="AC2272" s="6">
        <f t="shared" si="337"/>
        <v>0</v>
      </c>
      <c r="AD2272" s="13">
        <f t="shared" si="340"/>
        <v>0</v>
      </c>
      <c r="AE2272" s="2">
        <v>0.17</v>
      </c>
      <c r="AF2272" s="5">
        <f t="shared" si="338"/>
        <v>0</v>
      </c>
      <c r="AG2272" s="2">
        <v>0</v>
      </c>
      <c r="AH2272" s="5">
        <f t="shared" si="341"/>
        <v>0</v>
      </c>
      <c r="AJ2272" s="126" t="e">
        <v>#N/A</v>
      </c>
      <c r="AK2272" s="80">
        <f t="shared" si="339"/>
        <v>0</v>
      </c>
      <c r="AM2272" s="85"/>
    </row>
    <row r="2273" spans="1:39" hidden="1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34"/>
        <v>1577.010000000002</v>
      </c>
      <c r="X2273" s="13">
        <f t="shared" ref="X2273:X2336" si="342">IF(P2273="折扣",V2273*Q2273,IF(P2273="返现",V2273,V2273/(1+Q2273)))</f>
        <v>9432.1960784313724</v>
      </c>
      <c r="Y2273" s="13">
        <f t="shared" si="335"/>
        <v>0</v>
      </c>
      <c r="Z2273" s="2">
        <v>0</v>
      </c>
      <c r="AA2273" s="4">
        <v>0</v>
      </c>
      <c r="AB2273" s="4">
        <f t="shared" si="336"/>
        <v>9432.1960784313724</v>
      </c>
      <c r="AC2273" s="6">
        <f t="shared" si="337"/>
        <v>188.64392156862777</v>
      </c>
      <c r="AD2273" s="13">
        <f t="shared" si="340"/>
        <v>9620.84</v>
      </c>
      <c r="AE2273" s="2">
        <v>0.17</v>
      </c>
      <c r="AF2273" s="5">
        <f t="shared" si="338"/>
        <v>1635.5428000000002</v>
      </c>
      <c r="AG2273" s="2">
        <v>0</v>
      </c>
      <c r="AH2273" s="5">
        <f t="shared" si="341"/>
        <v>9620.84</v>
      </c>
      <c r="AJ2273" s="126" t="e">
        <v>#N/A</v>
      </c>
      <c r="AK2273" s="80">
        <f t="shared" si="339"/>
        <v>0</v>
      </c>
      <c r="AM2273" s="85"/>
    </row>
    <row r="2274" spans="1:39" hidden="1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34"/>
        <v>384.57999999999811</v>
      </c>
      <c r="X2274" s="13">
        <f t="shared" si="342"/>
        <v>0</v>
      </c>
      <c r="Y2274" s="13">
        <f t="shared" si="335"/>
        <v>0</v>
      </c>
      <c r="Z2274" s="2">
        <v>0</v>
      </c>
      <c r="AA2274" s="4">
        <v>0</v>
      </c>
      <c r="AB2274" s="4">
        <f t="shared" si="336"/>
        <v>0</v>
      </c>
      <c r="AC2274" s="6">
        <f t="shared" si="337"/>
        <v>0</v>
      </c>
      <c r="AD2274" s="13">
        <f t="shared" si="340"/>
        <v>0</v>
      </c>
      <c r="AE2274" s="2">
        <v>0.17</v>
      </c>
      <c r="AF2274" s="5">
        <f t="shared" si="338"/>
        <v>0</v>
      </c>
      <c r="AG2274" s="2">
        <v>0</v>
      </c>
      <c r="AH2274" s="5">
        <f t="shared" si="341"/>
        <v>0</v>
      </c>
      <c r="AJ2274" s="126" t="e">
        <v>#N/A</v>
      </c>
      <c r="AK2274" s="80">
        <f t="shared" si="339"/>
        <v>0</v>
      </c>
      <c r="AM2274" s="85"/>
    </row>
    <row r="2275" spans="1:39" hidden="1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34"/>
        <v>13704.699999999986</v>
      </c>
      <c r="X2275" s="13">
        <f t="shared" si="342"/>
        <v>0</v>
      </c>
      <c r="Y2275" s="13">
        <f t="shared" si="335"/>
        <v>0</v>
      </c>
      <c r="Z2275" s="2">
        <v>0</v>
      </c>
      <c r="AA2275" s="4">
        <v>0</v>
      </c>
      <c r="AB2275" s="4">
        <f t="shared" si="336"/>
        <v>0</v>
      </c>
      <c r="AC2275" s="6">
        <f t="shared" si="337"/>
        <v>0</v>
      </c>
      <c r="AD2275" s="13">
        <f t="shared" si="340"/>
        <v>0</v>
      </c>
      <c r="AE2275" s="2">
        <v>0.17</v>
      </c>
      <c r="AF2275" s="5">
        <f t="shared" si="338"/>
        <v>0</v>
      </c>
      <c r="AG2275" s="2">
        <v>0</v>
      </c>
      <c r="AH2275" s="5">
        <f t="shared" si="341"/>
        <v>0</v>
      </c>
      <c r="AJ2275" s="126" t="e">
        <v>#N/A</v>
      </c>
      <c r="AK2275" s="80">
        <f t="shared" si="339"/>
        <v>0</v>
      </c>
      <c r="AM2275" s="85"/>
    </row>
    <row r="2276" spans="1:39" hidden="1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34"/>
        <v>738.29999999999973</v>
      </c>
      <c r="X2276" s="13">
        <f t="shared" si="342"/>
        <v>0</v>
      </c>
      <c r="Y2276" s="13">
        <f t="shared" si="335"/>
        <v>0</v>
      </c>
      <c r="Z2276" s="2">
        <v>0</v>
      </c>
      <c r="AA2276" s="4">
        <v>0</v>
      </c>
      <c r="AB2276" s="4">
        <f t="shared" si="336"/>
        <v>0</v>
      </c>
      <c r="AC2276" s="6">
        <f t="shared" si="337"/>
        <v>0</v>
      </c>
      <c r="AD2276" s="13">
        <f t="shared" si="340"/>
        <v>0</v>
      </c>
      <c r="AE2276" s="2">
        <v>0.17</v>
      </c>
      <c r="AF2276" s="5">
        <f t="shared" si="338"/>
        <v>0</v>
      </c>
      <c r="AG2276" s="2">
        <v>0</v>
      </c>
      <c r="AH2276" s="5">
        <f t="shared" si="341"/>
        <v>0</v>
      </c>
      <c r="AJ2276" s="126" t="e">
        <v>#N/A</v>
      </c>
      <c r="AK2276" s="80">
        <f t="shared" si="339"/>
        <v>0</v>
      </c>
      <c r="AM2276" s="85"/>
    </row>
    <row r="2277" spans="1:39" hidden="1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34"/>
        <v>18701.7</v>
      </c>
      <c r="X2277" s="13">
        <f t="shared" si="342"/>
        <v>0</v>
      </c>
      <c r="Y2277" s="13">
        <f t="shared" si="335"/>
        <v>0</v>
      </c>
      <c r="Z2277" s="2">
        <v>0</v>
      </c>
      <c r="AA2277" s="4">
        <v>0</v>
      </c>
      <c r="AB2277" s="4">
        <f t="shared" si="336"/>
        <v>0</v>
      </c>
      <c r="AC2277" s="6">
        <f t="shared" si="337"/>
        <v>0</v>
      </c>
      <c r="AD2277" s="13">
        <f t="shared" si="340"/>
        <v>0</v>
      </c>
      <c r="AE2277" s="2">
        <v>0.17</v>
      </c>
      <c r="AF2277" s="5">
        <f t="shared" si="338"/>
        <v>0</v>
      </c>
      <c r="AG2277" s="2">
        <v>0</v>
      </c>
      <c r="AH2277" s="5">
        <f t="shared" si="341"/>
        <v>0</v>
      </c>
      <c r="AJ2277" s="126" t="e">
        <v>#N/A</v>
      </c>
      <c r="AK2277" s="80">
        <f t="shared" si="339"/>
        <v>0</v>
      </c>
      <c r="AM2277" s="85"/>
    </row>
    <row r="2278" spans="1:39" hidden="1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34"/>
        <v>8416.59</v>
      </c>
      <c r="X2278" s="13">
        <f t="shared" si="342"/>
        <v>1033.5999999999999</v>
      </c>
      <c r="Y2278" s="13">
        <f t="shared" si="335"/>
        <v>0</v>
      </c>
      <c r="Z2278" s="2">
        <v>0</v>
      </c>
      <c r="AA2278" s="4">
        <v>0</v>
      </c>
      <c r="AB2278" s="4">
        <f t="shared" si="336"/>
        <v>1033.5999999999999</v>
      </c>
      <c r="AC2278" s="6">
        <f t="shared" si="337"/>
        <v>0</v>
      </c>
      <c r="AD2278" s="13">
        <f t="shared" si="340"/>
        <v>1033.5999999999999</v>
      </c>
      <c r="AE2278" s="2">
        <v>0.17</v>
      </c>
      <c r="AF2278" s="5">
        <f t="shared" si="338"/>
        <v>175.71199999999999</v>
      </c>
      <c r="AG2278" s="2">
        <v>0</v>
      </c>
      <c r="AH2278" s="5">
        <f t="shared" si="341"/>
        <v>1033.5999999999999</v>
      </c>
      <c r="AJ2278" s="126" t="e">
        <v>#N/A</v>
      </c>
      <c r="AK2278" s="80">
        <f t="shared" si="339"/>
        <v>0</v>
      </c>
      <c r="AM2278" s="85"/>
    </row>
    <row r="2279" spans="1:39" hidden="1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34"/>
        <v>12629.5</v>
      </c>
      <c r="X2279" s="13">
        <f t="shared" si="342"/>
        <v>0</v>
      </c>
      <c r="Y2279" s="13">
        <f t="shared" si="335"/>
        <v>0</v>
      </c>
      <c r="Z2279" s="2">
        <v>0</v>
      </c>
      <c r="AA2279" s="4">
        <v>0</v>
      </c>
      <c r="AB2279" s="4"/>
      <c r="AC2279" s="6">
        <f t="shared" si="337"/>
        <v>0</v>
      </c>
      <c r="AD2279" s="13">
        <f t="shared" si="340"/>
        <v>0</v>
      </c>
      <c r="AE2279" s="2">
        <v>0.17</v>
      </c>
      <c r="AF2279" s="5">
        <f t="shared" si="338"/>
        <v>0</v>
      </c>
      <c r="AG2279" s="2">
        <v>0</v>
      </c>
      <c r="AH2279" s="5">
        <f t="shared" si="341"/>
        <v>0</v>
      </c>
      <c r="AJ2279" s="126" t="s">
        <v>4226</v>
      </c>
      <c r="AK2279" s="80">
        <f t="shared" si="339"/>
        <v>0</v>
      </c>
      <c r="AM2279" s="85"/>
    </row>
    <row r="2280" spans="1:39" hidden="1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34"/>
        <v>3619.8499999999995</v>
      </c>
      <c r="X2280" s="13">
        <f t="shared" si="342"/>
        <v>0</v>
      </c>
      <c r="Y2280" s="13">
        <f t="shared" si="335"/>
        <v>0</v>
      </c>
      <c r="Z2280" s="2">
        <v>0</v>
      </c>
      <c r="AA2280" s="4">
        <v>0</v>
      </c>
      <c r="AB2280" s="4">
        <f t="shared" si="336"/>
        <v>0</v>
      </c>
      <c r="AC2280" s="6">
        <f t="shared" si="337"/>
        <v>0</v>
      </c>
      <c r="AD2280" s="13">
        <f t="shared" si="340"/>
        <v>0</v>
      </c>
      <c r="AE2280" s="2">
        <v>0.17</v>
      </c>
      <c r="AF2280" s="5">
        <f t="shared" si="338"/>
        <v>0</v>
      </c>
      <c r="AG2280" s="2">
        <v>0</v>
      </c>
      <c r="AH2280" s="5">
        <f t="shared" si="341"/>
        <v>0</v>
      </c>
      <c r="AJ2280" s="126" t="e">
        <v>#N/A</v>
      </c>
      <c r="AK2280" s="80">
        <f t="shared" si="339"/>
        <v>0</v>
      </c>
      <c r="AM2280" s="85"/>
    </row>
    <row r="2281" spans="1:39" hidden="1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34"/>
        <v>42157.11</v>
      </c>
      <c r="X2281" s="13">
        <f t="shared" si="342"/>
        <v>0</v>
      </c>
      <c r="Y2281" s="13">
        <f t="shared" si="335"/>
        <v>0</v>
      </c>
      <c r="Z2281" s="2">
        <v>0</v>
      </c>
      <c r="AA2281" s="4">
        <v>0</v>
      </c>
      <c r="AB2281" s="4">
        <f t="shared" si="336"/>
        <v>0</v>
      </c>
      <c r="AC2281" s="6">
        <f t="shared" si="337"/>
        <v>0</v>
      </c>
      <c r="AD2281" s="13">
        <f t="shared" si="340"/>
        <v>0</v>
      </c>
      <c r="AE2281" s="2">
        <v>0.17</v>
      </c>
      <c r="AF2281" s="5">
        <f t="shared" si="338"/>
        <v>0</v>
      </c>
      <c r="AG2281" s="2">
        <v>0</v>
      </c>
      <c r="AH2281" s="5">
        <f t="shared" si="341"/>
        <v>0</v>
      </c>
      <c r="AJ2281" s="126" t="e">
        <v>#N/A</v>
      </c>
      <c r="AK2281" s="80">
        <f t="shared" si="339"/>
        <v>0</v>
      </c>
      <c r="AM2281" s="85"/>
    </row>
    <row r="2282" spans="1:39" hidden="1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34"/>
        <v>6563.5</v>
      </c>
      <c r="X2282" s="13">
        <f t="shared" si="342"/>
        <v>0</v>
      </c>
      <c r="Y2282" s="13">
        <f t="shared" si="335"/>
        <v>0</v>
      </c>
      <c r="Z2282" s="2">
        <v>0</v>
      </c>
      <c r="AA2282" s="4">
        <v>0</v>
      </c>
      <c r="AB2282" s="4">
        <f t="shared" si="336"/>
        <v>0</v>
      </c>
      <c r="AC2282" s="6">
        <f t="shared" si="337"/>
        <v>0</v>
      </c>
      <c r="AD2282" s="13">
        <f t="shared" si="340"/>
        <v>0</v>
      </c>
      <c r="AE2282" s="2">
        <v>0.17</v>
      </c>
      <c r="AF2282" s="5">
        <f t="shared" si="338"/>
        <v>0</v>
      </c>
      <c r="AG2282" s="2">
        <v>0</v>
      </c>
      <c r="AH2282" s="5">
        <f t="shared" si="341"/>
        <v>0</v>
      </c>
      <c r="AJ2282" s="126" t="e">
        <v>#N/A</v>
      </c>
      <c r="AK2282" s="80">
        <f t="shared" si="339"/>
        <v>0</v>
      </c>
      <c r="AM2282" s="85"/>
    </row>
    <row r="2283" spans="1:39" hidden="1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34"/>
        <v>1808.5</v>
      </c>
      <c r="X2283" s="13">
        <f t="shared" si="342"/>
        <v>0</v>
      </c>
      <c r="Y2283" s="13">
        <f t="shared" si="335"/>
        <v>0</v>
      </c>
      <c r="Z2283" s="2">
        <v>0</v>
      </c>
      <c r="AA2283" s="4">
        <v>0</v>
      </c>
      <c r="AB2283" s="4">
        <f t="shared" si="336"/>
        <v>0</v>
      </c>
      <c r="AC2283" s="6">
        <f t="shared" si="337"/>
        <v>0</v>
      </c>
      <c r="AD2283" s="13">
        <f t="shared" si="340"/>
        <v>0</v>
      </c>
      <c r="AE2283" s="2">
        <v>0.17</v>
      </c>
      <c r="AF2283" s="5">
        <f t="shared" si="338"/>
        <v>0</v>
      </c>
      <c r="AG2283" s="2">
        <v>0</v>
      </c>
      <c r="AH2283" s="5">
        <f t="shared" si="341"/>
        <v>0</v>
      </c>
      <c r="AJ2283" s="126" t="e">
        <v>#N/A</v>
      </c>
      <c r="AK2283" s="80">
        <f t="shared" si="339"/>
        <v>0</v>
      </c>
      <c r="AM2283" s="85"/>
    </row>
    <row r="2284" spans="1:39" hidden="1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34"/>
        <v>6915.4</v>
      </c>
      <c r="X2284" s="13">
        <f t="shared" si="342"/>
        <v>0</v>
      </c>
      <c r="Y2284" s="13">
        <f t="shared" si="335"/>
        <v>0</v>
      </c>
      <c r="Z2284" s="2">
        <v>0</v>
      </c>
      <c r="AA2284" s="4">
        <v>0</v>
      </c>
      <c r="AB2284" s="4"/>
      <c r="AC2284" s="6">
        <f t="shared" si="337"/>
        <v>0</v>
      </c>
      <c r="AD2284" s="13">
        <f t="shared" si="340"/>
        <v>0</v>
      </c>
      <c r="AE2284" s="2">
        <v>0.17</v>
      </c>
      <c r="AF2284" s="5">
        <f t="shared" si="338"/>
        <v>0</v>
      </c>
      <c r="AG2284" s="2">
        <v>0</v>
      </c>
      <c r="AH2284" s="5">
        <f t="shared" si="341"/>
        <v>0</v>
      </c>
      <c r="AJ2284" s="126">
        <v>93</v>
      </c>
      <c r="AK2284" s="80">
        <f t="shared" si="339"/>
        <v>0</v>
      </c>
      <c r="AM2284" s="85"/>
    </row>
    <row r="2285" spans="1:39" hidden="1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34"/>
        <v>4443.1799999999994</v>
      </c>
      <c r="X2285" s="13">
        <f t="shared" si="342"/>
        <v>0</v>
      </c>
      <c r="Y2285" s="13">
        <f t="shared" si="335"/>
        <v>0</v>
      </c>
      <c r="Z2285" s="2">
        <v>0</v>
      </c>
      <c r="AA2285" s="4">
        <v>0</v>
      </c>
      <c r="AB2285" s="4">
        <f t="shared" si="336"/>
        <v>0</v>
      </c>
      <c r="AC2285" s="6">
        <f t="shared" si="337"/>
        <v>0</v>
      </c>
      <c r="AD2285" s="13">
        <f t="shared" si="340"/>
        <v>0</v>
      </c>
      <c r="AE2285" s="2">
        <v>0.17</v>
      </c>
      <c r="AF2285" s="5">
        <f t="shared" si="338"/>
        <v>0</v>
      </c>
      <c r="AG2285" s="2">
        <v>0</v>
      </c>
      <c r="AH2285" s="5">
        <f t="shared" si="341"/>
        <v>0</v>
      </c>
      <c r="AJ2285" s="126" t="e">
        <v>#N/A</v>
      </c>
      <c r="AK2285" s="80">
        <f t="shared" si="339"/>
        <v>0</v>
      </c>
      <c r="AM2285" s="85"/>
    </row>
    <row r="2286" spans="1:39" hidden="1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34"/>
        <v>29390.959999999999</v>
      </c>
      <c r="X2286" s="13">
        <f t="shared" si="342"/>
        <v>0</v>
      </c>
      <c r="Y2286" s="13">
        <f t="shared" si="335"/>
        <v>0</v>
      </c>
      <c r="Z2286" s="2">
        <v>0</v>
      </c>
      <c r="AA2286" s="4">
        <v>0</v>
      </c>
      <c r="AB2286" s="4">
        <f t="shared" si="336"/>
        <v>0</v>
      </c>
      <c r="AC2286" s="6">
        <f t="shared" si="337"/>
        <v>0</v>
      </c>
      <c r="AD2286" s="13">
        <f t="shared" si="340"/>
        <v>0</v>
      </c>
      <c r="AE2286" s="2">
        <v>0.17</v>
      </c>
      <c r="AF2286" s="5">
        <f t="shared" si="338"/>
        <v>0</v>
      </c>
      <c r="AG2286" s="2">
        <v>0</v>
      </c>
      <c r="AH2286" s="5">
        <f t="shared" si="341"/>
        <v>0</v>
      </c>
      <c r="AJ2286" s="126" t="e">
        <v>#N/A</v>
      </c>
      <c r="AK2286" s="80">
        <f t="shared" si="339"/>
        <v>0</v>
      </c>
      <c r="AM2286" s="85"/>
    </row>
    <row r="2287" spans="1:39" hidden="1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34"/>
        <v>2349.0300000000002</v>
      </c>
      <c r="X2287" s="13">
        <f t="shared" si="342"/>
        <v>0</v>
      </c>
      <c r="Y2287" s="13">
        <f t="shared" si="335"/>
        <v>0</v>
      </c>
      <c r="Z2287" s="2">
        <v>0</v>
      </c>
      <c r="AA2287" s="4">
        <v>0</v>
      </c>
      <c r="AB2287" s="4">
        <f t="shared" si="336"/>
        <v>0</v>
      </c>
      <c r="AC2287" s="6">
        <f t="shared" si="337"/>
        <v>0</v>
      </c>
      <c r="AD2287" s="13">
        <f t="shared" si="340"/>
        <v>0</v>
      </c>
      <c r="AE2287" s="2">
        <v>0.17</v>
      </c>
      <c r="AF2287" s="5">
        <f t="shared" si="338"/>
        <v>0</v>
      </c>
      <c r="AG2287" s="2">
        <v>0</v>
      </c>
      <c r="AH2287" s="5">
        <f t="shared" si="341"/>
        <v>0</v>
      </c>
      <c r="AJ2287" s="126" t="e">
        <v>#N/A</v>
      </c>
      <c r="AK2287" s="80">
        <f t="shared" si="339"/>
        <v>0</v>
      </c>
      <c r="AM2287" s="85"/>
    </row>
    <row r="2288" spans="1:39" hidden="1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34"/>
        <v>5882.26</v>
      </c>
      <c r="X2288" s="13">
        <f t="shared" si="342"/>
        <v>0</v>
      </c>
      <c r="Y2288" s="13">
        <f t="shared" si="335"/>
        <v>0</v>
      </c>
      <c r="Z2288" s="2">
        <v>0</v>
      </c>
      <c r="AA2288" s="4">
        <v>0</v>
      </c>
      <c r="AB2288" s="4">
        <f t="shared" si="336"/>
        <v>0</v>
      </c>
      <c r="AC2288" s="6">
        <f t="shared" si="337"/>
        <v>0</v>
      </c>
      <c r="AD2288" s="13">
        <f t="shared" si="340"/>
        <v>0</v>
      </c>
      <c r="AE2288" s="2">
        <v>0.17</v>
      </c>
      <c r="AF2288" s="5">
        <f t="shared" si="338"/>
        <v>0</v>
      </c>
      <c r="AG2288" s="2">
        <v>0</v>
      </c>
      <c r="AH2288" s="5">
        <f t="shared" si="341"/>
        <v>0</v>
      </c>
      <c r="AJ2288" s="126" t="e">
        <v>#N/A</v>
      </c>
      <c r="AK2288" s="80">
        <f t="shared" si="339"/>
        <v>0</v>
      </c>
      <c r="AM2288" s="85"/>
    </row>
    <row r="2289" spans="1:39" hidden="1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34"/>
        <v>2878.16</v>
      </c>
      <c r="X2289" s="13">
        <f t="shared" si="342"/>
        <v>0</v>
      </c>
      <c r="Y2289" s="13">
        <f t="shared" si="335"/>
        <v>0</v>
      </c>
      <c r="Z2289" s="2">
        <v>0</v>
      </c>
      <c r="AA2289" s="4">
        <v>0</v>
      </c>
      <c r="AB2289" s="4">
        <f t="shared" si="336"/>
        <v>0</v>
      </c>
      <c r="AC2289" s="6">
        <f t="shared" si="337"/>
        <v>0</v>
      </c>
      <c r="AD2289" s="13">
        <f t="shared" si="340"/>
        <v>0</v>
      </c>
      <c r="AE2289" s="2">
        <v>0.17</v>
      </c>
      <c r="AF2289" s="5">
        <f t="shared" si="338"/>
        <v>0</v>
      </c>
      <c r="AG2289" s="2">
        <v>0</v>
      </c>
      <c r="AH2289" s="5">
        <f t="shared" si="341"/>
        <v>0</v>
      </c>
      <c r="AJ2289" s="126" t="s">
        <v>4221</v>
      </c>
      <c r="AK2289" s="80">
        <f t="shared" si="339"/>
        <v>0</v>
      </c>
      <c r="AL2289" s="150"/>
      <c r="AM2289" s="85"/>
    </row>
    <row r="2290" spans="1:39" hidden="1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34"/>
        <v>1148.67</v>
      </c>
      <c r="X2290" s="13">
        <f t="shared" si="342"/>
        <v>0</v>
      </c>
      <c r="Y2290" s="13">
        <f t="shared" si="335"/>
        <v>0</v>
      </c>
      <c r="Z2290" s="2">
        <v>0</v>
      </c>
      <c r="AA2290" s="4">
        <v>0</v>
      </c>
      <c r="AB2290" s="4">
        <f t="shared" si="336"/>
        <v>0</v>
      </c>
      <c r="AC2290" s="6">
        <f t="shared" si="337"/>
        <v>0</v>
      </c>
      <c r="AD2290" s="13">
        <f t="shared" si="340"/>
        <v>0</v>
      </c>
      <c r="AE2290" s="2">
        <v>0.17</v>
      </c>
      <c r="AF2290" s="5">
        <f t="shared" si="338"/>
        <v>0</v>
      </c>
      <c r="AG2290" s="2">
        <v>0</v>
      </c>
      <c r="AH2290" s="5">
        <f t="shared" si="341"/>
        <v>0</v>
      </c>
      <c r="AJ2290" s="126" t="e">
        <v>#N/A</v>
      </c>
      <c r="AK2290" s="80">
        <f t="shared" si="339"/>
        <v>0</v>
      </c>
      <c r="AM2290" s="85"/>
    </row>
    <row r="2291" spans="1:39" hidden="1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34"/>
        <v>84538.4</v>
      </c>
      <c r="X2291" s="13">
        <f t="shared" si="342"/>
        <v>0</v>
      </c>
      <c r="Y2291" s="13">
        <f t="shared" si="335"/>
        <v>0</v>
      </c>
      <c r="Z2291" s="2">
        <v>0</v>
      </c>
      <c r="AA2291" s="4">
        <v>0</v>
      </c>
      <c r="AB2291" s="4">
        <f t="shared" si="336"/>
        <v>0</v>
      </c>
      <c r="AC2291" s="6">
        <f t="shared" si="337"/>
        <v>0</v>
      </c>
      <c r="AD2291" s="13">
        <f t="shared" si="340"/>
        <v>0</v>
      </c>
      <c r="AE2291" s="2">
        <v>0.17</v>
      </c>
      <c r="AF2291" s="5">
        <f t="shared" si="338"/>
        <v>0</v>
      </c>
      <c r="AG2291" s="2">
        <v>0</v>
      </c>
      <c r="AH2291" s="5">
        <f t="shared" si="341"/>
        <v>0</v>
      </c>
      <c r="AJ2291" s="126" t="e">
        <v>#N/A</v>
      </c>
      <c r="AK2291" s="80">
        <f t="shared" si="339"/>
        <v>0</v>
      </c>
      <c r="AM2291" s="85"/>
    </row>
    <row r="2292" spans="1:39" hidden="1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34"/>
        <v>1661.5</v>
      </c>
      <c r="X2292" s="13">
        <f t="shared" si="342"/>
        <v>0</v>
      </c>
      <c r="Y2292" s="13">
        <f t="shared" si="335"/>
        <v>0</v>
      </c>
      <c r="Z2292" s="2">
        <v>0</v>
      </c>
      <c r="AA2292" s="4">
        <v>0</v>
      </c>
      <c r="AB2292" s="4">
        <f t="shared" si="336"/>
        <v>0</v>
      </c>
      <c r="AC2292" s="6">
        <f t="shared" si="337"/>
        <v>0</v>
      </c>
      <c r="AD2292" s="13">
        <f t="shared" si="340"/>
        <v>0</v>
      </c>
      <c r="AE2292" s="2">
        <v>0.17</v>
      </c>
      <c r="AF2292" s="5">
        <f t="shared" si="338"/>
        <v>0</v>
      </c>
      <c r="AG2292" s="2">
        <v>0</v>
      </c>
      <c r="AH2292" s="5">
        <f t="shared" si="341"/>
        <v>0</v>
      </c>
      <c r="AJ2292" s="126" t="e">
        <v>#N/A</v>
      </c>
      <c r="AK2292" s="80">
        <f t="shared" si="339"/>
        <v>0</v>
      </c>
      <c r="AM2292" s="85"/>
    </row>
    <row r="2293" spans="1:39" hidden="1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34"/>
        <v>9588.6499999999978</v>
      </c>
      <c r="X2293" s="13">
        <f t="shared" si="342"/>
        <v>0</v>
      </c>
      <c r="Y2293" s="13">
        <f t="shared" si="335"/>
        <v>0</v>
      </c>
      <c r="Z2293" s="2">
        <v>0</v>
      </c>
      <c r="AA2293" s="4">
        <v>0</v>
      </c>
      <c r="AB2293" s="4">
        <f t="shared" si="336"/>
        <v>0</v>
      </c>
      <c r="AC2293" s="6">
        <f t="shared" si="337"/>
        <v>0</v>
      </c>
      <c r="AD2293" s="13">
        <f t="shared" si="340"/>
        <v>0</v>
      </c>
      <c r="AE2293" s="2">
        <v>0.17</v>
      </c>
      <c r="AF2293" s="5">
        <f t="shared" si="338"/>
        <v>0</v>
      </c>
      <c r="AG2293" s="2">
        <v>0</v>
      </c>
      <c r="AH2293" s="5">
        <f t="shared" si="341"/>
        <v>0</v>
      </c>
      <c r="AJ2293" s="126" t="e">
        <v>#N/A</v>
      </c>
      <c r="AK2293" s="80">
        <f t="shared" si="339"/>
        <v>0</v>
      </c>
      <c r="AM2293" s="85"/>
    </row>
    <row r="2294" spans="1:39" hidden="1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34"/>
        <v>13407.61</v>
      </c>
      <c r="X2294" s="13">
        <f t="shared" si="342"/>
        <v>0</v>
      </c>
      <c r="Y2294" s="13">
        <f t="shared" si="335"/>
        <v>0</v>
      </c>
      <c r="Z2294" s="2">
        <v>0</v>
      </c>
      <c r="AA2294" s="4">
        <v>0</v>
      </c>
      <c r="AB2294" s="4">
        <f t="shared" si="336"/>
        <v>0</v>
      </c>
      <c r="AC2294" s="6">
        <f t="shared" si="337"/>
        <v>0</v>
      </c>
      <c r="AD2294" s="13">
        <f t="shared" si="340"/>
        <v>0</v>
      </c>
      <c r="AE2294" s="2">
        <v>0.17</v>
      </c>
      <c r="AF2294" s="5">
        <f t="shared" si="338"/>
        <v>0</v>
      </c>
      <c r="AG2294" s="2">
        <v>0</v>
      </c>
      <c r="AH2294" s="5">
        <f t="shared" si="341"/>
        <v>0</v>
      </c>
      <c r="AJ2294" s="126" t="e">
        <v>#N/A</v>
      </c>
      <c r="AK2294" s="80">
        <f t="shared" si="339"/>
        <v>0</v>
      </c>
      <c r="AM2294" s="85"/>
    </row>
    <row r="2295" spans="1:39" hidden="1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34"/>
        <v>-1200</v>
      </c>
      <c r="X2295" s="13">
        <f t="shared" si="342"/>
        <v>1200</v>
      </c>
      <c r="Y2295" s="13">
        <f t="shared" si="335"/>
        <v>0</v>
      </c>
      <c r="Z2295" s="2">
        <v>0</v>
      </c>
      <c r="AA2295" s="4">
        <v>0</v>
      </c>
      <c r="AB2295" s="4">
        <f t="shared" si="336"/>
        <v>1200</v>
      </c>
      <c r="AC2295" s="6">
        <f t="shared" si="337"/>
        <v>0</v>
      </c>
      <c r="AD2295" s="13">
        <f t="shared" si="340"/>
        <v>1200</v>
      </c>
      <c r="AE2295" s="2">
        <v>0</v>
      </c>
      <c r="AF2295" s="5">
        <f t="shared" si="338"/>
        <v>0</v>
      </c>
      <c r="AG2295" s="2">
        <v>0</v>
      </c>
      <c r="AH2295" s="5">
        <f t="shared" si="341"/>
        <v>1200</v>
      </c>
      <c r="AJ2295" s="126" t="e">
        <v>#N/A</v>
      </c>
      <c r="AK2295" s="80">
        <f t="shared" si="339"/>
        <v>0</v>
      </c>
      <c r="AM2295" s="85"/>
    </row>
    <row r="2296" spans="1:39" hidden="1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34"/>
        <v>-1309</v>
      </c>
      <c r="X2296" s="13">
        <f t="shared" si="342"/>
        <v>1283.3333333333333</v>
      </c>
      <c r="Y2296" s="13">
        <f t="shared" si="335"/>
        <v>0</v>
      </c>
      <c r="Z2296" s="2">
        <v>0</v>
      </c>
      <c r="AA2296" s="4">
        <v>0</v>
      </c>
      <c r="AB2296" s="4">
        <f t="shared" si="336"/>
        <v>1283.3333333333333</v>
      </c>
      <c r="AC2296" s="6">
        <f t="shared" si="337"/>
        <v>25.666666666666742</v>
      </c>
      <c r="AD2296" s="13">
        <f t="shared" si="340"/>
        <v>1309</v>
      </c>
      <c r="AE2296" s="2">
        <v>0</v>
      </c>
      <c r="AF2296" s="5">
        <f t="shared" si="338"/>
        <v>0</v>
      </c>
      <c r="AG2296" s="2">
        <v>0</v>
      </c>
      <c r="AH2296" s="5">
        <f t="shared" si="341"/>
        <v>1309</v>
      </c>
      <c r="AJ2296" s="126" t="e">
        <v>#N/A</v>
      </c>
      <c r="AK2296" s="80">
        <f t="shared" si="339"/>
        <v>0</v>
      </c>
      <c r="AM2296" s="85"/>
    </row>
    <row r="2297" spans="1:39" hidden="1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34"/>
        <v>-2000</v>
      </c>
      <c r="X2297" s="13">
        <f t="shared" si="342"/>
        <v>2000</v>
      </c>
      <c r="Y2297" s="13">
        <f t="shared" si="335"/>
        <v>0</v>
      </c>
      <c r="Z2297" s="2">
        <v>0</v>
      </c>
      <c r="AA2297" s="4">
        <v>0</v>
      </c>
      <c r="AB2297" s="4">
        <f t="shared" si="336"/>
        <v>2000</v>
      </c>
      <c r="AC2297" s="6">
        <f t="shared" si="337"/>
        <v>0</v>
      </c>
      <c r="AD2297" s="13">
        <f t="shared" si="340"/>
        <v>2000</v>
      </c>
      <c r="AE2297" s="2">
        <v>0</v>
      </c>
      <c r="AF2297" s="5">
        <f t="shared" si="338"/>
        <v>0</v>
      </c>
      <c r="AG2297" s="2">
        <v>0</v>
      </c>
      <c r="AH2297" s="5">
        <f t="shared" si="341"/>
        <v>2000</v>
      </c>
      <c r="AJ2297" s="126" t="e">
        <v>#N/A</v>
      </c>
      <c r="AK2297" s="80">
        <f t="shared" si="339"/>
        <v>0</v>
      </c>
      <c r="AM2297" s="85"/>
    </row>
    <row r="2298" spans="1:39" hidden="1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34"/>
        <v>-3182.28</v>
      </c>
      <c r="X2298" s="13">
        <f t="shared" si="342"/>
        <v>3182.28</v>
      </c>
      <c r="Y2298" s="13">
        <f t="shared" si="335"/>
        <v>0</v>
      </c>
      <c r="Z2298" s="2">
        <v>0</v>
      </c>
      <c r="AA2298" s="4">
        <v>0</v>
      </c>
      <c r="AB2298" s="4">
        <f t="shared" si="336"/>
        <v>3182.28</v>
      </c>
      <c r="AC2298" s="6">
        <f t="shared" si="337"/>
        <v>0</v>
      </c>
      <c r="AD2298" s="13">
        <f t="shared" si="340"/>
        <v>3182.28</v>
      </c>
      <c r="AE2298" s="2">
        <v>0</v>
      </c>
      <c r="AF2298" s="5">
        <f t="shared" si="338"/>
        <v>0</v>
      </c>
      <c r="AG2298" s="2">
        <v>0</v>
      </c>
      <c r="AH2298" s="5">
        <f t="shared" si="341"/>
        <v>3182.28</v>
      </c>
      <c r="AJ2298" s="126" t="e">
        <v>#N/A</v>
      </c>
      <c r="AK2298" s="80">
        <f t="shared" si="339"/>
        <v>0</v>
      </c>
      <c r="AM2298" s="85"/>
    </row>
    <row r="2299" spans="1:39" hidden="1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34"/>
        <v>-25648.5</v>
      </c>
      <c r="X2299" s="13">
        <f t="shared" si="342"/>
        <v>25648.5</v>
      </c>
      <c r="Y2299" s="13">
        <f t="shared" si="335"/>
        <v>0</v>
      </c>
      <c r="Z2299" s="2">
        <v>0</v>
      </c>
      <c r="AA2299" s="4">
        <v>0</v>
      </c>
      <c r="AB2299" s="4">
        <f t="shared" si="336"/>
        <v>25648.5</v>
      </c>
      <c r="AC2299" s="6">
        <f t="shared" si="337"/>
        <v>0</v>
      </c>
      <c r="AD2299" s="13">
        <f t="shared" si="340"/>
        <v>25648.5</v>
      </c>
      <c r="AE2299" s="2">
        <v>0</v>
      </c>
      <c r="AF2299" s="5">
        <f t="shared" si="338"/>
        <v>0</v>
      </c>
      <c r="AG2299" s="2">
        <v>0</v>
      </c>
      <c r="AH2299" s="5">
        <f t="shared" si="341"/>
        <v>25648.5</v>
      </c>
      <c r="AJ2299" s="126" t="e">
        <v>#N/A</v>
      </c>
      <c r="AK2299" s="80">
        <f t="shared" si="339"/>
        <v>0</v>
      </c>
      <c r="AM2299" s="85"/>
    </row>
    <row r="2300" spans="1:39" hidden="1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34"/>
        <v>-694</v>
      </c>
      <c r="X2300" s="13">
        <f t="shared" si="342"/>
        <v>694</v>
      </c>
      <c r="Y2300" s="13">
        <f t="shared" si="335"/>
        <v>0</v>
      </c>
      <c r="Z2300" s="2">
        <v>0</v>
      </c>
      <c r="AA2300" s="4">
        <v>0</v>
      </c>
      <c r="AB2300" s="4">
        <f t="shared" si="336"/>
        <v>694</v>
      </c>
      <c r="AC2300" s="6">
        <f t="shared" si="337"/>
        <v>0</v>
      </c>
      <c r="AD2300" s="13">
        <f t="shared" si="340"/>
        <v>694</v>
      </c>
      <c r="AE2300" s="2">
        <v>0</v>
      </c>
      <c r="AF2300" s="5">
        <f t="shared" si="338"/>
        <v>0</v>
      </c>
      <c r="AG2300" s="2">
        <v>0</v>
      </c>
      <c r="AH2300" s="5">
        <f t="shared" si="341"/>
        <v>694</v>
      </c>
      <c r="AJ2300" s="126" t="e">
        <v>#N/A</v>
      </c>
      <c r="AK2300" s="80">
        <f t="shared" si="339"/>
        <v>0</v>
      </c>
      <c r="AM2300" s="85"/>
    </row>
    <row r="2301" spans="1:39" hidden="1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34"/>
        <v>-1505</v>
      </c>
      <c r="X2301" s="13">
        <f t="shared" si="342"/>
        <v>1505</v>
      </c>
      <c r="Y2301" s="13">
        <f t="shared" si="335"/>
        <v>0</v>
      </c>
      <c r="Z2301" s="2">
        <v>0</v>
      </c>
      <c r="AA2301" s="4">
        <v>0</v>
      </c>
      <c r="AB2301" s="4">
        <f t="shared" si="336"/>
        <v>1505</v>
      </c>
      <c r="AC2301" s="6">
        <f t="shared" si="337"/>
        <v>0</v>
      </c>
      <c r="AD2301" s="13">
        <f t="shared" si="340"/>
        <v>1505</v>
      </c>
      <c r="AE2301" s="2">
        <v>0</v>
      </c>
      <c r="AF2301" s="5">
        <f t="shared" si="338"/>
        <v>0</v>
      </c>
      <c r="AG2301" s="2">
        <v>0</v>
      </c>
      <c r="AH2301" s="5">
        <f t="shared" si="341"/>
        <v>1505</v>
      </c>
      <c r="AJ2301" s="126" t="e">
        <v>#N/A</v>
      </c>
      <c r="AK2301" s="80">
        <f t="shared" si="339"/>
        <v>0</v>
      </c>
      <c r="AM2301" s="85"/>
    </row>
    <row r="2302" spans="1:39" hidden="1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34"/>
        <v>-2600</v>
      </c>
      <c r="X2302" s="13">
        <f t="shared" si="342"/>
        <v>2600</v>
      </c>
      <c r="Y2302" s="13">
        <f t="shared" si="335"/>
        <v>0</v>
      </c>
      <c r="Z2302" s="2">
        <v>0</v>
      </c>
      <c r="AA2302" s="4">
        <v>0</v>
      </c>
      <c r="AB2302" s="4">
        <f t="shared" si="336"/>
        <v>2600</v>
      </c>
      <c r="AC2302" s="6">
        <f t="shared" si="337"/>
        <v>0</v>
      </c>
      <c r="AD2302" s="13">
        <f t="shared" si="340"/>
        <v>2600</v>
      </c>
      <c r="AE2302" s="2">
        <v>0</v>
      </c>
      <c r="AF2302" s="5">
        <f t="shared" si="338"/>
        <v>0</v>
      </c>
      <c r="AG2302" s="2">
        <v>0</v>
      </c>
      <c r="AH2302" s="5">
        <f t="shared" si="341"/>
        <v>2600</v>
      </c>
      <c r="AJ2302" s="126" t="e">
        <v>#N/A</v>
      </c>
      <c r="AK2302" s="80">
        <f t="shared" si="339"/>
        <v>0</v>
      </c>
      <c r="AM2302" s="85"/>
    </row>
    <row r="2303" spans="1:39" hidden="1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34"/>
        <v>-9948.5</v>
      </c>
      <c r="X2303" s="13">
        <f t="shared" si="342"/>
        <v>9948.5</v>
      </c>
      <c r="Y2303" s="13">
        <f t="shared" si="335"/>
        <v>0</v>
      </c>
      <c r="Z2303" s="2">
        <v>0</v>
      </c>
      <c r="AA2303" s="4">
        <v>0</v>
      </c>
      <c r="AB2303" s="4">
        <f t="shared" si="336"/>
        <v>9948.5</v>
      </c>
      <c r="AC2303" s="6">
        <f t="shared" si="337"/>
        <v>0</v>
      </c>
      <c r="AD2303" s="13">
        <f t="shared" si="340"/>
        <v>9948.5</v>
      </c>
      <c r="AE2303" s="2">
        <v>0</v>
      </c>
      <c r="AF2303" s="5">
        <f t="shared" si="338"/>
        <v>0</v>
      </c>
      <c r="AG2303" s="2">
        <v>0</v>
      </c>
      <c r="AH2303" s="5">
        <f t="shared" si="341"/>
        <v>9948.5</v>
      </c>
      <c r="AJ2303" s="126" t="e">
        <v>#N/A</v>
      </c>
      <c r="AK2303" s="80">
        <f t="shared" si="339"/>
        <v>0</v>
      </c>
      <c r="AM2303" s="85"/>
    </row>
    <row r="2304" spans="1:39" hidden="1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43">T2304+U2304-V2304</f>
        <v>-11408</v>
      </c>
      <c r="X2304" s="13">
        <f t="shared" si="342"/>
        <v>11408</v>
      </c>
      <c r="Y2304" s="13">
        <f t="shared" si="335"/>
        <v>0</v>
      </c>
      <c r="Z2304" s="2">
        <v>0</v>
      </c>
      <c r="AA2304" s="4">
        <v>0</v>
      </c>
      <c r="AB2304" s="4">
        <f t="shared" si="336"/>
        <v>11408</v>
      </c>
      <c r="AC2304" s="6">
        <f t="shared" si="337"/>
        <v>0</v>
      </c>
      <c r="AD2304" s="13">
        <f t="shared" si="340"/>
        <v>11408</v>
      </c>
      <c r="AE2304" s="2">
        <v>0</v>
      </c>
      <c r="AF2304" s="5">
        <f t="shared" si="338"/>
        <v>0</v>
      </c>
      <c r="AG2304" s="2">
        <v>0</v>
      </c>
      <c r="AH2304" s="5">
        <f t="shared" si="341"/>
        <v>11408</v>
      </c>
      <c r="AJ2304" s="126" t="e">
        <v>#N/A</v>
      </c>
      <c r="AK2304" s="80">
        <f t="shared" si="339"/>
        <v>0</v>
      </c>
      <c r="AM2304" s="85"/>
    </row>
    <row r="2305" spans="1:39" hidden="1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43"/>
        <v>-507</v>
      </c>
      <c r="X2305" s="13">
        <f t="shared" si="342"/>
        <v>507</v>
      </c>
      <c r="Y2305" s="13">
        <f t="shared" si="335"/>
        <v>0</v>
      </c>
      <c r="Z2305" s="2">
        <v>0</v>
      </c>
      <c r="AA2305" s="4">
        <v>0</v>
      </c>
      <c r="AB2305" s="4">
        <f t="shared" si="336"/>
        <v>507</v>
      </c>
      <c r="AC2305" s="6">
        <f t="shared" si="337"/>
        <v>0</v>
      </c>
      <c r="AD2305" s="13">
        <f t="shared" si="340"/>
        <v>507</v>
      </c>
      <c r="AE2305" s="2">
        <v>0</v>
      </c>
      <c r="AF2305" s="5">
        <f t="shared" si="338"/>
        <v>0</v>
      </c>
      <c r="AG2305" s="2">
        <v>0</v>
      </c>
      <c r="AH2305" s="5">
        <f t="shared" si="341"/>
        <v>507</v>
      </c>
      <c r="AJ2305" s="126" t="e">
        <v>#N/A</v>
      </c>
      <c r="AK2305" s="80">
        <f t="shared" si="339"/>
        <v>0</v>
      </c>
      <c r="AM2305" s="85"/>
    </row>
    <row r="2306" spans="1:39" hidden="1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43"/>
        <v>-11047</v>
      </c>
      <c r="X2306" s="13">
        <f t="shared" si="342"/>
        <v>11047</v>
      </c>
      <c r="Y2306" s="13">
        <f t="shared" si="335"/>
        <v>0</v>
      </c>
      <c r="Z2306" s="2">
        <v>0</v>
      </c>
      <c r="AA2306" s="4">
        <v>0</v>
      </c>
      <c r="AB2306" s="4">
        <f t="shared" si="336"/>
        <v>11047</v>
      </c>
      <c r="AC2306" s="6">
        <f t="shared" si="337"/>
        <v>0</v>
      </c>
      <c r="AD2306" s="13">
        <f t="shared" si="340"/>
        <v>11047</v>
      </c>
      <c r="AE2306" s="2">
        <v>0</v>
      </c>
      <c r="AF2306" s="5">
        <f t="shared" si="338"/>
        <v>0</v>
      </c>
      <c r="AG2306" s="2">
        <v>0</v>
      </c>
      <c r="AH2306" s="5">
        <f t="shared" si="341"/>
        <v>11047</v>
      </c>
      <c r="AJ2306" s="126" t="e">
        <v>#N/A</v>
      </c>
      <c r="AK2306" s="80">
        <f t="shared" si="339"/>
        <v>0</v>
      </c>
      <c r="AM2306" s="85"/>
    </row>
    <row r="2307" spans="1:39" hidden="1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43"/>
        <v>-989</v>
      </c>
      <c r="X2307" s="13">
        <f t="shared" si="342"/>
        <v>989</v>
      </c>
      <c r="Y2307" s="13">
        <f t="shared" ref="Y2307:Y2370" si="34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45">X2307+AA2307</f>
        <v>989</v>
      </c>
      <c r="AC2307" s="6">
        <f t="shared" ref="AC2307:AC2370" si="346">IF(P2307="返现",X2307*Q2307,V2307-X2307)</f>
        <v>0</v>
      </c>
      <c r="AD2307" s="13">
        <f t="shared" si="340"/>
        <v>989</v>
      </c>
      <c r="AE2307" s="2">
        <v>0</v>
      </c>
      <c r="AF2307" s="5">
        <f t="shared" ref="AF2307:AF2370" si="347">AD2307*AE2307</f>
        <v>0</v>
      </c>
      <c r="AG2307" s="2">
        <v>0</v>
      </c>
      <c r="AH2307" s="5">
        <f t="shared" si="341"/>
        <v>989</v>
      </c>
      <c r="AJ2307" s="126" t="e">
        <v>#N/A</v>
      </c>
      <c r="AK2307" s="80">
        <f t="shared" ref="AK2307:AK2370" si="348">X2307+AA2307-AB2307</f>
        <v>0</v>
      </c>
      <c r="AM2307" s="85"/>
    </row>
    <row r="2308" spans="1:39" hidden="1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43"/>
        <v>-400</v>
      </c>
      <c r="X2308" s="13">
        <f t="shared" si="342"/>
        <v>400</v>
      </c>
      <c r="Y2308" s="13">
        <f t="shared" si="344"/>
        <v>0</v>
      </c>
      <c r="Z2308" s="2">
        <v>0</v>
      </c>
      <c r="AA2308" s="4">
        <v>0</v>
      </c>
      <c r="AB2308" s="4">
        <f t="shared" si="345"/>
        <v>400</v>
      </c>
      <c r="AC2308" s="6">
        <f t="shared" si="346"/>
        <v>0</v>
      </c>
      <c r="AD2308" s="13">
        <f t="shared" si="340"/>
        <v>400</v>
      </c>
      <c r="AE2308" s="2">
        <v>0</v>
      </c>
      <c r="AF2308" s="5">
        <f t="shared" si="347"/>
        <v>0</v>
      </c>
      <c r="AG2308" s="2">
        <v>0</v>
      </c>
      <c r="AH2308" s="5">
        <f t="shared" si="341"/>
        <v>400</v>
      </c>
      <c r="AJ2308" s="126" t="e">
        <v>#N/A</v>
      </c>
      <c r="AK2308" s="80">
        <f t="shared" si="348"/>
        <v>0</v>
      </c>
      <c r="AM2308" s="85"/>
    </row>
    <row r="2309" spans="1:39" hidden="1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43"/>
        <v>-1182</v>
      </c>
      <c r="X2309" s="13">
        <f t="shared" si="342"/>
        <v>1182</v>
      </c>
      <c r="Y2309" s="13">
        <f t="shared" si="344"/>
        <v>0</v>
      </c>
      <c r="Z2309" s="2">
        <v>0</v>
      </c>
      <c r="AA2309" s="4">
        <v>0</v>
      </c>
      <c r="AB2309" s="4">
        <f t="shared" si="345"/>
        <v>1182</v>
      </c>
      <c r="AC2309" s="6">
        <f t="shared" si="346"/>
        <v>0</v>
      </c>
      <c r="AD2309" s="13">
        <f t="shared" si="340"/>
        <v>1182</v>
      </c>
      <c r="AE2309" s="2">
        <v>0</v>
      </c>
      <c r="AF2309" s="5">
        <f t="shared" si="347"/>
        <v>0</v>
      </c>
      <c r="AG2309" s="2">
        <v>0</v>
      </c>
      <c r="AH2309" s="5">
        <f t="shared" si="341"/>
        <v>1182</v>
      </c>
      <c r="AJ2309" s="126" t="e">
        <v>#N/A</v>
      </c>
      <c r="AK2309" s="80">
        <f t="shared" si="348"/>
        <v>0</v>
      </c>
      <c r="AM2309" s="85"/>
    </row>
    <row r="2310" spans="1:39" hidden="1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43"/>
        <v>-2600</v>
      </c>
      <c r="X2310" s="13">
        <f t="shared" si="342"/>
        <v>2600</v>
      </c>
      <c r="Y2310" s="13">
        <f t="shared" si="344"/>
        <v>0</v>
      </c>
      <c r="Z2310" s="2">
        <v>0</v>
      </c>
      <c r="AA2310" s="4">
        <v>0</v>
      </c>
      <c r="AB2310" s="4">
        <f t="shared" si="345"/>
        <v>2600</v>
      </c>
      <c r="AC2310" s="6">
        <f t="shared" si="346"/>
        <v>0</v>
      </c>
      <c r="AD2310" s="13">
        <f t="shared" si="340"/>
        <v>2600</v>
      </c>
      <c r="AE2310" s="2">
        <v>0</v>
      </c>
      <c r="AF2310" s="5">
        <f t="shared" si="347"/>
        <v>0</v>
      </c>
      <c r="AG2310" s="2">
        <v>0</v>
      </c>
      <c r="AH2310" s="5">
        <f t="shared" si="341"/>
        <v>2600</v>
      </c>
      <c r="AJ2310" s="126" t="e">
        <v>#N/A</v>
      </c>
      <c r="AK2310" s="80">
        <f t="shared" si="348"/>
        <v>0</v>
      </c>
      <c r="AM2310" s="85"/>
    </row>
    <row r="2311" spans="1:39" hidden="1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43"/>
        <v>-1800</v>
      </c>
      <c r="X2311" s="13">
        <f t="shared" si="342"/>
        <v>1800</v>
      </c>
      <c r="Y2311" s="13">
        <f t="shared" si="344"/>
        <v>0</v>
      </c>
      <c r="Z2311" s="2">
        <v>0</v>
      </c>
      <c r="AA2311" s="4">
        <v>0</v>
      </c>
      <c r="AB2311" s="4">
        <f t="shared" si="345"/>
        <v>1800</v>
      </c>
      <c r="AC2311" s="6">
        <f t="shared" si="346"/>
        <v>0</v>
      </c>
      <c r="AD2311" s="13">
        <f t="shared" si="340"/>
        <v>1800</v>
      </c>
      <c r="AE2311" s="2">
        <v>0</v>
      </c>
      <c r="AF2311" s="5">
        <f t="shared" si="347"/>
        <v>0</v>
      </c>
      <c r="AG2311" s="2">
        <v>0</v>
      </c>
      <c r="AH2311" s="5">
        <f t="shared" si="341"/>
        <v>1800</v>
      </c>
      <c r="AJ2311" s="126" t="e">
        <v>#N/A</v>
      </c>
      <c r="AK2311" s="80">
        <f t="shared" si="348"/>
        <v>0</v>
      </c>
      <c r="AM2311" s="85"/>
    </row>
    <row r="2312" spans="1:39" hidden="1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43"/>
        <v>-195169</v>
      </c>
      <c r="X2312" s="13">
        <f t="shared" si="342"/>
        <v>195169</v>
      </c>
      <c r="Y2312" s="13">
        <f t="shared" si="344"/>
        <v>0</v>
      </c>
      <c r="Z2312" s="2">
        <v>0</v>
      </c>
      <c r="AA2312" s="4">
        <v>0</v>
      </c>
      <c r="AB2312" s="4">
        <f t="shared" si="345"/>
        <v>195169</v>
      </c>
      <c r="AC2312" s="6">
        <f t="shared" si="346"/>
        <v>19516.900000000001</v>
      </c>
      <c r="AD2312" s="13">
        <f t="shared" si="340"/>
        <v>195169</v>
      </c>
      <c r="AE2312" s="2">
        <v>0</v>
      </c>
      <c r="AF2312" s="5">
        <f t="shared" si="347"/>
        <v>0</v>
      </c>
      <c r="AG2312" s="2">
        <v>0</v>
      </c>
      <c r="AH2312" s="5">
        <f t="shared" si="341"/>
        <v>195169</v>
      </c>
      <c r="AJ2312" s="126" t="e">
        <v>#N/A</v>
      </c>
      <c r="AK2312" s="80">
        <f t="shared" si="348"/>
        <v>0</v>
      </c>
      <c r="AM2312" s="85"/>
    </row>
    <row r="2313" spans="1:39" hidden="1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43"/>
        <v>-400</v>
      </c>
      <c r="X2313" s="13">
        <f t="shared" si="342"/>
        <v>400</v>
      </c>
      <c r="Y2313" s="13">
        <f t="shared" si="344"/>
        <v>0</v>
      </c>
      <c r="Z2313" s="2">
        <v>0</v>
      </c>
      <c r="AA2313" s="4">
        <v>0</v>
      </c>
      <c r="AB2313" s="4">
        <v>400</v>
      </c>
      <c r="AC2313" s="6">
        <f t="shared" si="346"/>
        <v>0</v>
      </c>
      <c r="AD2313" s="13">
        <f t="shared" si="340"/>
        <v>400</v>
      </c>
      <c r="AE2313" s="2">
        <v>0</v>
      </c>
      <c r="AF2313" s="5">
        <f t="shared" si="347"/>
        <v>0</v>
      </c>
      <c r="AG2313" s="2">
        <v>0</v>
      </c>
      <c r="AH2313" s="5">
        <f t="shared" si="341"/>
        <v>400</v>
      </c>
      <c r="AJ2313" s="126" t="s">
        <v>4217</v>
      </c>
      <c r="AK2313" s="80">
        <f t="shared" si="348"/>
        <v>0</v>
      </c>
      <c r="AM2313" s="85"/>
    </row>
    <row r="2314" spans="1:39" hidden="1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43"/>
        <v>-1586</v>
      </c>
      <c r="X2314" s="13">
        <f t="shared" si="342"/>
        <v>1586</v>
      </c>
      <c r="Y2314" s="13">
        <f t="shared" si="344"/>
        <v>0</v>
      </c>
      <c r="Z2314" s="2">
        <v>0</v>
      </c>
      <c r="AA2314" s="4">
        <v>0</v>
      </c>
      <c r="AB2314" s="4">
        <f t="shared" si="345"/>
        <v>1586</v>
      </c>
      <c r="AC2314" s="6">
        <f t="shared" si="346"/>
        <v>0</v>
      </c>
      <c r="AD2314" s="13">
        <f t="shared" si="340"/>
        <v>1586</v>
      </c>
      <c r="AE2314" s="2">
        <v>0</v>
      </c>
      <c r="AF2314" s="5">
        <f t="shared" si="347"/>
        <v>0</v>
      </c>
      <c r="AG2314" s="2">
        <v>0</v>
      </c>
      <c r="AH2314" s="5">
        <f t="shared" si="341"/>
        <v>1586</v>
      </c>
      <c r="AJ2314" s="126" t="e">
        <v>#N/A</v>
      </c>
      <c r="AK2314" s="80">
        <f t="shared" si="348"/>
        <v>0</v>
      </c>
      <c r="AM2314" s="85"/>
    </row>
    <row r="2315" spans="1:39" hidden="1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43"/>
        <v>-1000</v>
      </c>
      <c r="X2315" s="13">
        <f t="shared" si="342"/>
        <v>1000</v>
      </c>
      <c r="Y2315" s="13">
        <f t="shared" si="344"/>
        <v>0</v>
      </c>
      <c r="Z2315" s="2">
        <v>0</v>
      </c>
      <c r="AA2315" s="4">
        <v>0</v>
      </c>
      <c r="AB2315" s="4">
        <f t="shared" si="345"/>
        <v>1000</v>
      </c>
      <c r="AC2315" s="6">
        <f t="shared" si="346"/>
        <v>0</v>
      </c>
      <c r="AD2315" s="13">
        <f t="shared" si="340"/>
        <v>1000</v>
      </c>
      <c r="AE2315" s="2">
        <v>0</v>
      </c>
      <c r="AF2315" s="5">
        <f t="shared" si="347"/>
        <v>0</v>
      </c>
      <c r="AG2315" s="2">
        <v>0</v>
      </c>
      <c r="AH2315" s="5">
        <f t="shared" si="341"/>
        <v>1000</v>
      </c>
      <c r="AJ2315" s="126" t="e">
        <v>#N/A</v>
      </c>
      <c r="AK2315" s="80">
        <f t="shared" si="348"/>
        <v>0</v>
      </c>
      <c r="AM2315" s="85"/>
    </row>
    <row r="2316" spans="1:39" hidden="1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43"/>
        <v>-1287</v>
      </c>
      <c r="X2316" s="13">
        <f t="shared" si="342"/>
        <v>1287</v>
      </c>
      <c r="Y2316" s="13">
        <f t="shared" si="344"/>
        <v>0</v>
      </c>
      <c r="Z2316" s="2">
        <v>0</v>
      </c>
      <c r="AA2316" s="4">
        <v>0</v>
      </c>
      <c r="AB2316" s="4">
        <f t="shared" si="345"/>
        <v>1287</v>
      </c>
      <c r="AC2316" s="6">
        <f t="shared" si="346"/>
        <v>0</v>
      </c>
      <c r="AD2316" s="13">
        <f t="shared" si="340"/>
        <v>1287</v>
      </c>
      <c r="AE2316" s="2">
        <v>0</v>
      </c>
      <c r="AF2316" s="5">
        <f t="shared" si="347"/>
        <v>0</v>
      </c>
      <c r="AG2316" s="2">
        <v>0</v>
      </c>
      <c r="AH2316" s="5">
        <f t="shared" si="341"/>
        <v>1287</v>
      </c>
      <c r="AJ2316" s="126" t="e">
        <v>#N/A</v>
      </c>
      <c r="AK2316" s="80">
        <f t="shared" si="348"/>
        <v>0</v>
      </c>
      <c r="AM2316" s="85"/>
    </row>
    <row r="2317" spans="1:39" hidden="1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43"/>
        <v>-3500</v>
      </c>
      <c r="X2317" s="13">
        <f t="shared" si="342"/>
        <v>3500</v>
      </c>
      <c r="Y2317" s="13">
        <f t="shared" si="344"/>
        <v>0</v>
      </c>
      <c r="Z2317" s="2">
        <v>0</v>
      </c>
      <c r="AA2317" s="4">
        <v>0</v>
      </c>
      <c r="AB2317" s="4">
        <f t="shared" si="345"/>
        <v>3500</v>
      </c>
      <c r="AC2317" s="6">
        <f t="shared" si="346"/>
        <v>0</v>
      </c>
      <c r="AD2317" s="13">
        <f t="shared" si="340"/>
        <v>3500</v>
      </c>
      <c r="AE2317" s="2">
        <v>0</v>
      </c>
      <c r="AF2317" s="5">
        <f t="shared" si="347"/>
        <v>0</v>
      </c>
      <c r="AG2317" s="2">
        <v>0</v>
      </c>
      <c r="AH2317" s="5">
        <f t="shared" si="341"/>
        <v>3500</v>
      </c>
      <c r="AJ2317" s="126" t="e">
        <v>#N/A</v>
      </c>
      <c r="AK2317" s="80">
        <f t="shared" si="348"/>
        <v>0</v>
      </c>
      <c r="AM2317" s="85"/>
    </row>
    <row r="2318" spans="1:39" hidden="1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43"/>
        <v>-1010.5</v>
      </c>
      <c r="X2318" s="13">
        <f t="shared" si="342"/>
        <v>1010.5</v>
      </c>
      <c r="Y2318" s="13">
        <f t="shared" si="344"/>
        <v>0</v>
      </c>
      <c r="Z2318" s="2">
        <v>0</v>
      </c>
      <c r="AA2318" s="4">
        <v>0</v>
      </c>
      <c r="AB2318" s="4">
        <f t="shared" si="345"/>
        <v>1010.5</v>
      </c>
      <c r="AC2318" s="6">
        <f t="shared" si="346"/>
        <v>0</v>
      </c>
      <c r="AD2318" s="13">
        <f t="shared" si="340"/>
        <v>1010.5</v>
      </c>
      <c r="AE2318" s="2">
        <v>0</v>
      </c>
      <c r="AF2318" s="5">
        <f t="shared" si="347"/>
        <v>0</v>
      </c>
      <c r="AG2318" s="2">
        <v>0</v>
      </c>
      <c r="AH2318" s="5">
        <f t="shared" si="341"/>
        <v>1010.5</v>
      </c>
      <c r="AJ2318" s="126" t="e">
        <v>#N/A</v>
      </c>
      <c r="AK2318" s="80">
        <f t="shared" si="348"/>
        <v>0</v>
      </c>
      <c r="AM2318" s="85"/>
    </row>
    <row r="2319" spans="1:39" hidden="1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43"/>
        <v>-12669</v>
      </c>
      <c r="X2319" s="13">
        <f t="shared" si="342"/>
        <v>11840.186915887849</v>
      </c>
      <c r="Y2319" s="13">
        <f t="shared" si="344"/>
        <v>0</v>
      </c>
      <c r="Z2319" s="2">
        <v>0</v>
      </c>
      <c r="AA2319" s="4">
        <v>0</v>
      </c>
      <c r="AB2319" s="4">
        <f t="shared" si="345"/>
        <v>11840.186915887849</v>
      </c>
      <c r="AC2319" s="6">
        <f t="shared" si="346"/>
        <v>828.81308411215105</v>
      </c>
      <c r="AD2319" s="13">
        <f t="shared" si="340"/>
        <v>12669</v>
      </c>
      <c r="AE2319" s="2">
        <v>0</v>
      </c>
      <c r="AF2319" s="5">
        <f t="shared" si="347"/>
        <v>0</v>
      </c>
      <c r="AG2319" s="2">
        <v>0</v>
      </c>
      <c r="AH2319" s="5">
        <f t="shared" si="341"/>
        <v>12669</v>
      </c>
      <c r="AJ2319" s="126" t="e">
        <v>#N/A</v>
      </c>
      <c r="AK2319" s="80">
        <f t="shared" si="348"/>
        <v>0</v>
      </c>
      <c r="AM2319" s="85"/>
    </row>
    <row r="2320" spans="1:39" hidden="1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43"/>
        <v>-93721.91</v>
      </c>
      <c r="X2320" s="13">
        <f t="shared" si="342"/>
        <v>93721.91</v>
      </c>
      <c r="Y2320" s="13">
        <f t="shared" si="344"/>
        <v>0</v>
      </c>
      <c r="Z2320" s="2">
        <v>0</v>
      </c>
      <c r="AA2320" s="4">
        <v>0</v>
      </c>
      <c r="AB2320" s="4">
        <f t="shared" si="345"/>
        <v>93721.91</v>
      </c>
      <c r="AC2320" s="6">
        <f t="shared" si="346"/>
        <v>0</v>
      </c>
      <c r="AD2320" s="13">
        <f t="shared" si="340"/>
        <v>93721.91</v>
      </c>
      <c r="AE2320" s="2">
        <v>0</v>
      </c>
      <c r="AF2320" s="5">
        <f t="shared" si="347"/>
        <v>0</v>
      </c>
      <c r="AG2320" s="2">
        <v>0</v>
      </c>
      <c r="AH2320" s="5">
        <f t="shared" si="341"/>
        <v>93721.91</v>
      </c>
      <c r="AJ2320" s="126" t="e">
        <v>#N/A</v>
      </c>
      <c r="AK2320" s="80">
        <f t="shared" si="348"/>
        <v>0</v>
      </c>
      <c r="AM2320" s="85"/>
    </row>
    <row r="2321" spans="1:39" hidden="1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43"/>
        <v>-1910</v>
      </c>
      <c r="X2321" s="13">
        <f t="shared" si="342"/>
        <v>1891.0891089108911</v>
      </c>
      <c r="Y2321" s="13">
        <f t="shared" si="344"/>
        <v>0</v>
      </c>
      <c r="Z2321" s="2">
        <v>0</v>
      </c>
      <c r="AA2321" s="4">
        <v>0</v>
      </c>
      <c r="AB2321" s="4">
        <f t="shared" si="345"/>
        <v>1891.0891089108911</v>
      </c>
      <c r="AC2321" s="6">
        <f t="shared" si="346"/>
        <v>18.910891089108873</v>
      </c>
      <c r="AD2321" s="13">
        <f t="shared" si="340"/>
        <v>1910</v>
      </c>
      <c r="AE2321" s="2">
        <v>0</v>
      </c>
      <c r="AF2321" s="5">
        <f t="shared" si="347"/>
        <v>0</v>
      </c>
      <c r="AG2321" s="2">
        <v>0</v>
      </c>
      <c r="AH2321" s="5">
        <f t="shared" si="341"/>
        <v>1910</v>
      </c>
      <c r="AJ2321" s="126" t="e">
        <v>#N/A</v>
      </c>
      <c r="AK2321" s="80">
        <f t="shared" si="348"/>
        <v>0</v>
      </c>
      <c r="AM2321" s="85"/>
    </row>
    <row r="2322" spans="1:39" hidden="1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43"/>
        <v>-200</v>
      </c>
      <c r="X2322" s="13">
        <f t="shared" si="342"/>
        <v>196.07843137254901</v>
      </c>
      <c r="Y2322" s="13">
        <f t="shared" si="344"/>
        <v>0</v>
      </c>
      <c r="Z2322" s="2">
        <v>0</v>
      </c>
      <c r="AA2322" s="4">
        <v>0</v>
      </c>
      <c r="AB2322" s="4">
        <f t="shared" si="345"/>
        <v>196.07843137254901</v>
      </c>
      <c r="AC2322" s="6">
        <f t="shared" si="346"/>
        <v>3.9215686274509949</v>
      </c>
      <c r="AD2322" s="13">
        <f t="shared" si="340"/>
        <v>200</v>
      </c>
      <c r="AE2322" s="2">
        <v>0</v>
      </c>
      <c r="AF2322" s="5">
        <f t="shared" si="347"/>
        <v>0</v>
      </c>
      <c r="AG2322" s="2">
        <v>0</v>
      </c>
      <c r="AH2322" s="5">
        <f t="shared" si="341"/>
        <v>200</v>
      </c>
      <c r="AJ2322" s="126" t="e">
        <v>#N/A</v>
      </c>
      <c r="AK2322" s="80">
        <f t="shared" si="348"/>
        <v>0</v>
      </c>
      <c r="AM2322" s="85"/>
    </row>
    <row r="2323" spans="1:39" hidden="1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42"/>
        <v>0</v>
      </c>
      <c r="Y2323" s="13">
        <f t="shared" si="344"/>
        <v>0</v>
      </c>
      <c r="Z2323" s="2">
        <v>0</v>
      </c>
      <c r="AA2323" s="4">
        <v>0</v>
      </c>
      <c r="AB2323" s="4">
        <f t="shared" si="345"/>
        <v>0</v>
      </c>
      <c r="AC2323" s="6">
        <f t="shared" si="346"/>
        <v>0</v>
      </c>
      <c r="AD2323" s="13">
        <f>V2323</f>
        <v>0</v>
      </c>
      <c r="AE2323" s="2">
        <v>0.09</v>
      </c>
      <c r="AF2323" s="5">
        <f t="shared" si="34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48"/>
        <v>0</v>
      </c>
      <c r="AM2323" s="85"/>
    </row>
    <row r="2324" spans="1:39" hidden="1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49">T2324+U2324-V2324</f>
        <v>12536.68</v>
      </c>
      <c r="X2324" s="13">
        <f t="shared" si="342"/>
        <v>23463.32</v>
      </c>
      <c r="Y2324" s="13">
        <f t="shared" si="344"/>
        <v>0</v>
      </c>
      <c r="Z2324" s="2">
        <v>0</v>
      </c>
      <c r="AA2324" s="4">
        <v>0</v>
      </c>
      <c r="AB2324" s="4">
        <f t="shared" si="345"/>
        <v>23463.32</v>
      </c>
      <c r="AC2324" s="6">
        <f t="shared" si="346"/>
        <v>0</v>
      </c>
      <c r="AD2324" s="13">
        <f t="shared" ref="AD2324:AD2387" si="350">V2324</f>
        <v>23463.32</v>
      </c>
      <c r="AE2324" s="2">
        <v>0.09</v>
      </c>
      <c r="AF2324" s="5">
        <f t="shared" si="347"/>
        <v>2111.6988000000001</v>
      </c>
      <c r="AG2324" s="2">
        <v>0</v>
      </c>
      <c r="AH2324" s="5">
        <f t="shared" ref="AH2324:AH2387" si="351">V2324</f>
        <v>23463.32</v>
      </c>
      <c r="AJ2324" s="126" t="e">
        <v>#N/A</v>
      </c>
      <c r="AK2324" s="80">
        <f t="shared" si="348"/>
        <v>0</v>
      </c>
      <c r="AM2324" s="85"/>
    </row>
    <row r="2325" spans="1:39" hidden="1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49"/>
        <v>2422.38</v>
      </c>
      <c r="X2325" s="13">
        <f t="shared" si="342"/>
        <v>2577.62</v>
      </c>
      <c r="Y2325" s="13">
        <f t="shared" si="344"/>
        <v>0</v>
      </c>
      <c r="Z2325" s="2">
        <v>0</v>
      </c>
      <c r="AA2325" s="4">
        <v>0</v>
      </c>
      <c r="AB2325" s="4">
        <f t="shared" si="345"/>
        <v>2577.62</v>
      </c>
      <c r="AC2325" s="6">
        <f t="shared" si="346"/>
        <v>0</v>
      </c>
      <c r="AD2325" s="13">
        <f t="shared" si="350"/>
        <v>2577.62</v>
      </c>
      <c r="AE2325" s="2">
        <v>0.09</v>
      </c>
      <c r="AF2325" s="5">
        <f t="shared" si="347"/>
        <v>231.98579999999998</v>
      </c>
      <c r="AG2325" s="2">
        <v>0</v>
      </c>
      <c r="AH2325" s="5">
        <f t="shared" si="351"/>
        <v>2577.62</v>
      </c>
      <c r="AJ2325" s="126" t="e">
        <v>#N/A</v>
      </c>
      <c r="AK2325" s="80">
        <f t="shared" si="348"/>
        <v>0</v>
      </c>
      <c r="AM2325" s="85"/>
    </row>
    <row r="2326" spans="1:39" hidden="1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49"/>
        <v>3017.9999999999982</v>
      </c>
      <c r="X2326" s="13">
        <f t="shared" si="342"/>
        <v>10857.36274509804</v>
      </c>
      <c r="Y2326" s="13">
        <f t="shared" si="344"/>
        <v>0</v>
      </c>
      <c r="Z2326" s="2">
        <v>0</v>
      </c>
      <c r="AA2326" s="4">
        <v>0</v>
      </c>
      <c r="AB2326" s="4">
        <f t="shared" si="345"/>
        <v>10857.36274509804</v>
      </c>
      <c r="AC2326" s="6">
        <f t="shared" si="346"/>
        <v>217.14725490196179</v>
      </c>
      <c r="AD2326" s="13">
        <f t="shared" si="350"/>
        <v>11074.510000000002</v>
      </c>
      <c r="AE2326" s="2">
        <v>0.09</v>
      </c>
      <c r="AF2326" s="5">
        <f t="shared" si="347"/>
        <v>996.70590000000016</v>
      </c>
      <c r="AG2326" s="2">
        <v>0</v>
      </c>
      <c r="AH2326" s="5">
        <f t="shared" si="351"/>
        <v>11074.510000000002</v>
      </c>
      <c r="AJ2326" s="126" t="e">
        <v>#N/A</v>
      </c>
      <c r="AK2326" s="80">
        <f t="shared" si="348"/>
        <v>0</v>
      </c>
      <c r="AM2326" s="85"/>
    </row>
    <row r="2327" spans="1:39" hidden="1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49"/>
        <v>20000</v>
      </c>
      <c r="X2327" s="13">
        <f t="shared" si="342"/>
        <v>0</v>
      </c>
      <c r="Y2327" s="13">
        <f t="shared" si="344"/>
        <v>0</v>
      </c>
      <c r="Z2327" s="2">
        <v>0</v>
      </c>
      <c r="AA2327" s="4">
        <v>0</v>
      </c>
      <c r="AB2327" s="4">
        <f t="shared" si="345"/>
        <v>0</v>
      </c>
      <c r="AC2327" s="6">
        <f t="shared" si="346"/>
        <v>0</v>
      </c>
      <c r="AD2327" s="13">
        <f t="shared" si="350"/>
        <v>0</v>
      </c>
      <c r="AE2327" s="2">
        <v>0.09</v>
      </c>
      <c r="AF2327" s="5">
        <f t="shared" si="347"/>
        <v>0</v>
      </c>
      <c r="AG2327" s="2">
        <v>0</v>
      </c>
      <c r="AH2327" s="5">
        <f t="shared" si="351"/>
        <v>0</v>
      </c>
      <c r="AJ2327" s="126" t="e">
        <v>#N/A</v>
      </c>
      <c r="AK2327" s="80">
        <f t="shared" si="348"/>
        <v>0</v>
      </c>
      <c r="AM2327" s="85"/>
    </row>
    <row r="2328" spans="1:39" hidden="1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49"/>
        <v>-7.2759576141834259E-12</v>
      </c>
      <c r="X2328" s="13">
        <f t="shared" si="342"/>
        <v>0</v>
      </c>
      <c r="Y2328" s="13">
        <f t="shared" si="344"/>
        <v>0</v>
      </c>
      <c r="Z2328" s="2">
        <v>0</v>
      </c>
      <c r="AA2328" s="4">
        <v>0</v>
      </c>
      <c r="AB2328" s="4">
        <f t="shared" si="345"/>
        <v>0</v>
      </c>
      <c r="AC2328" s="6">
        <f t="shared" si="346"/>
        <v>0</v>
      </c>
      <c r="AD2328" s="13">
        <f t="shared" si="350"/>
        <v>0</v>
      </c>
      <c r="AE2328" s="2">
        <v>0.09</v>
      </c>
      <c r="AF2328" s="5">
        <f t="shared" si="347"/>
        <v>0</v>
      </c>
      <c r="AG2328" s="2">
        <v>0</v>
      </c>
      <c r="AH2328" s="5">
        <f t="shared" si="351"/>
        <v>0</v>
      </c>
      <c r="AJ2328" s="126" t="e">
        <v>#N/A</v>
      </c>
      <c r="AK2328" s="80">
        <f t="shared" si="348"/>
        <v>0</v>
      </c>
      <c r="AM2328" s="85"/>
    </row>
    <row r="2329" spans="1:39" hidden="1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42"/>
        <v>0</v>
      </c>
      <c r="Y2329" s="13">
        <f t="shared" si="344"/>
        <v>0</v>
      </c>
      <c r="Z2329" s="2">
        <v>0</v>
      </c>
      <c r="AA2329" s="4">
        <v>0</v>
      </c>
      <c r="AB2329" s="4">
        <f t="shared" si="345"/>
        <v>0</v>
      </c>
      <c r="AC2329" s="6">
        <f t="shared" si="346"/>
        <v>0</v>
      </c>
      <c r="AD2329" s="13">
        <f t="shared" si="350"/>
        <v>0</v>
      </c>
      <c r="AE2329" s="2">
        <v>0.09</v>
      </c>
      <c r="AF2329" s="5">
        <f t="shared" si="347"/>
        <v>0</v>
      </c>
      <c r="AG2329" s="2">
        <v>0</v>
      </c>
      <c r="AH2329" s="5">
        <f t="shared" si="351"/>
        <v>0</v>
      </c>
      <c r="AJ2329" s="126" t="e">
        <v>#N/A</v>
      </c>
      <c r="AK2329" s="80">
        <f t="shared" si="348"/>
        <v>0</v>
      </c>
      <c r="AM2329" s="85"/>
    </row>
    <row r="2330" spans="1:39" hidden="1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49"/>
        <v>6976.55</v>
      </c>
      <c r="X2330" s="13">
        <f t="shared" si="342"/>
        <v>8023.45</v>
      </c>
      <c r="Y2330" s="13">
        <f t="shared" si="344"/>
        <v>0</v>
      </c>
      <c r="Z2330" s="2">
        <v>0</v>
      </c>
      <c r="AA2330" s="4">
        <v>0</v>
      </c>
      <c r="AB2330" s="4">
        <f t="shared" si="345"/>
        <v>8023.45</v>
      </c>
      <c r="AC2330" s="6">
        <f t="shared" si="346"/>
        <v>0</v>
      </c>
      <c r="AD2330" s="13">
        <f t="shared" si="350"/>
        <v>8023.45</v>
      </c>
      <c r="AE2330" s="2">
        <v>0.09</v>
      </c>
      <c r="AF2330" s="5">
        <f t="shared" si="347"/>
        <v>722.1105</v>
      </c>
      <c r="AG2330" s="2">
        <v>0</v>
      </c>
      <c r="AH2330" s="5">
        <f t="shared" si="351"/>
        <v>8023.45</v>
      </c>
      <c r="AJ2330" s="126" t="e">
        <v>#N/A</v>
      </c>
      <c r="AK2330" s="80">
        <f t="shared" si="348"/>
        <v>0</v>
      </c>
      <c r="AM2330" s="85"/>
    </row>
    <row r="2331" spans="1:39" hidden="1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49"/>
        <v>-62269.54000000027</v>
      </c>
      <c r="X2331" s="13">
        <f t="shared" si="342"/>
        <v>1730659.8</v>
      </c>
      <c r="Y2331" s="13">
        <f t="shared" si="344"/>
        <v>0</v>
      </c>
      <c r="Z2331" s="2">
        <v>0</v>
      </c>
      <c r="AA2331" s="4">
        <v>0</v>
      </c>
      <c r="AB2331" s="4">
        <f t="shared" si="345"/>
        <v>1730659.8</v>
      </c>
      <c r="AC2331" s="6">
        <f t="shared" si="346"/>
        <v>0</v>
      </c>
      <c r="AD2331" s="13">
        <f t="shared" si="350"/>
        <v>1730659.8</v>
      </c>
      <c r="AE2331" s="2">
        <v>0.09</v>
      </c>
      <c r="AF2331" s="5">
        <f t="shared" si="347"/>
        <v>155759.38200000001</v>
      </c>
      <c r="AG2331" s="2">
        <v>0</v>
      </c>
      <c r="AH2331" s="5">
        <f t="shared" si="351"/>
        <v>1730659.8</v>
      </c>
      <c r="AJ2331" s="126" t="e">
        <v>#N/A</v>
      </c>
      <c r="AK2331" s="80">
        <f t="shared" si="348"/>
        <v>0</v>
      </c>
      <c r="AM2331" s="85"/>
    </row>
    <row r="2332" spans="1:39" hidden="1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49"/>
        <v>18077.670000000071</v>
      </c>
      <c r="X2332" s="13">
        <f t="shared" si="342"/>
        <v>122340</v>
      </c>
      <c r="Y2332" s="13">
        <f t="shared" si="344"/>
        <v>0</v>
      </c>
      <c r="Z2332" s="2">
        <v>0</v>
      </c>
      <c r="AA2332" s="4">
        <v>0</v>
      </c>
      <c r="AB2332" s="4">
        <f t="shared" si="345"/>
        <v>122340</v>
      </c>
      <c r="AC2332" s="6">
        <f t="shared" si="346"/>
        <v>0</v>
      </c>
      <c r="AD2332" s="13">
        <f t="shared" si="350"/>
        <v>122340</v>
      </c>
      <c r="AE2332" s="2">
        <v>0.09</v>
      </c>
      <c r="AF2332" s="5">
        <f t="shared" si="347"/>
        <v>11010.6</v>
      </c>
      <c r="AG2332" s="2">
        <v>0</v>
      </c>
      <c r="AH2332" s="5">
        <f t="shared" si="351"/>
        <v>122340</v>
      </c>
      <c r="AJ2332" s="126" t="e">
        <v>#N/A</v>
      </c>
      <c r="AK2332" s="80">
        <f t="shared" si="348"/>
        <v>0</v>
      </c>
      <c r="AM2332" s="85"/>
    </row>
    <row r="2333" spans="1:39" hidden="1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49"/>
        <v>10049.080000000002</v>
      </c>
      <c r="X2333" s="13">
        <f t="shared" si="342"/>
        <v>72314</v>
      </c>
      <c r="Y2333" s="13">
        <f t="shared" si="344"/>
        <v>0</v>
      </c>
      <c r="Z2333" s="2">
        <v>0</v>
      </c>
      <c r="AA2333" s="4">
        <v>0</v>
      </c>
      <c r="AB2333" s="4">
        <f t="shared" si="345"/>
        <v>72314</v>
      </c>
      <c r="AC2333" s="6">
        <f t="shared" si="346"/>
        <v>0</v>
      </c>
      <c r="AD2333" s="13">
        <f t="shared" si="350"/>
        <v>72314</v>
      </c>
      <c r="AE2333" s="2">
        <v>0.09</v>
      </c>
      <c r="AF2333" s="5">
        <f t="shared" si="347"/>
        <v>6508.2599999999993</v>
      </c>
      <c r="AG2333" s="2">
        <v>0</v>
      </c>
      <c r="AH2333" s="5">
        <f t="shared" si="351"/>
        <v>72314</v>
      </c>
      <c r="AJ2333" s="126" t="e">
        <v>#N/A</v>
      </c>
      <c r="AK2333" s="80">
        <f t="shared" si="348"/>
        <v>0</v>
      </c>
      <c r="AM2333" s="85"/>
    </row>
    <row r="2334" spans="1:39" hidden="1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49"/>
        <v>1320</v>
      </c>
      <c r="X2334" s="13">
        <f t="shared" si="342"/>
        <v>8680</v>
      </c>
      <c r="Y2334" s="13">
        <f t="shared" si="344"/>
        <v>0</v>
      </c>
      <c r="Z2334" s="2">
        <v>0</v>
      </c>
      <c r="AA2334" s="4">
        <v>0</v>
      </c>
      <c r="AB2334" s="4">
        <f t="shared" si="345"/>
        <v>8680</v>
      </c>
      <c r="AC2334" s="6">
        <f t="shared" si="346"/>
        <v>0</v>
      </c>
      <c r="AD2334" s="13">
        <f t="shared" si="350"/>
        <v>8680</v>
      </c>
      <c r="AE2334" s="2">
        <v>0.09</v>
      </c>
      <c r="AF2334" s="5">
        <f t="shared" si="347"/>
        <v>781.19999999999993</v>
      </c>
      <c r="AG2334" s="2">
        <v>0</v>
      </c>
      <c r="AH2334" s="5">
        <f t="shared" si="351"/>
        <v>8680</v>
      </c>
      <c r="AJ2334" s="126" t="e">
        <v>#N/A</v>
      </c>
      <c r="AK2334" s="80">
        <f t="shared" si="348"/>
        <v>0</v>
      </c>
      <c r="AM2334" s="85"/>
    </row>
    <row r="2335" spans="1:39" hidden="1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49"/>
        <v>85531.34</v>
      </c>
      <c r="X2335" s="13">
        <f t="shared" si="342"/>
        <v>214468.66</v>
      </c>
      <c r="Y2335" s="13">
        <f t="shared" si="344"/>
        <v>0</v>
      </c>
      <c r="Z2335" s="2">
        <v>0</v>
      </c>
      <c r="AA2335" s="4">
        <v>0</v>
      </c>
      <c r="AB2335" s="4">
        <f t="shared" si="345"/>
        <v>214468.66</v>
      </c>
      <c r="AC2335" s="6">
        <f t="shared" si="346"/>
        <v>0</v>
      </c>
      <c r="AD2335" s="13">
        <f t="shared" si="350"/>
        <v>214468.66</v>
      </c>
      <c r="AE2335" s="2">
        <v>0.09</v>
      </c>
      <c r="AF2335" s="5">
        <f t="shared" si="347"/>
        <v>19302.179400000001</v>
      </c>
      <c r="AG2335" s="2">
        <v>0</v>
      </c>
      <c r="AH2335" s="5">
        <f t="shared" si="351"/>
        <v>214468.66</v>
      </c>
      <c r="AJ2335" s="126" t="e">
        <v>#N/A</v>
      </c>
      <c r="AK2335" s="80">
        <f t="shared" si="348"/>
        <v>0</v>
      </c>
      <c r="AM2335" s="85"/>
    </row>
    <row r="2336" spans="1:39" hidden="1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49"/>
        <v>6516.8200000000015</v>
      </c>
      <c r="X2336" s="13">
        <f t="shared" si="342"/>
        <v>6483.1799999999985</v>
      </c>
      <c r="Y2336" s="13">
        <f t="shared" si="344"/>
        <v>0</v>
      </c>
      <c r="Z2336" s="2">
        <v>0</v>
      </c>
      <c r="AA2336" s="4">
        <v>0</v>
      </c>
      <c r="AB2336" s="4">
        <f t="shared" si="345"/>
        <v>6483.1799999999985</v>
      </c>
      <c r="AC2336" s="6">
        <f t="shared" si="346"/>
        <v>0</v>
      </c>
      <c r="AD2336" s="13">
        <f t="shared" si="350"/>
        <v>6483.1799999999985</v>
      </c>
      <c r="AE2336" s="2">
        <v>0.09</v>
      </c>
      <c r="AF2336" s="5">
        <f t="shared" si="347"/>
        <v>583.48619999999983</v>
      </c>
      <c r="AG2336" s="2">
        <v>0</v>
      </c>
      <c r="AH2336" s="5">
        <f t="shared" si="351"/>
        <v>6483.1799999999985</v>
      </c>
      <c r="AJ2336" s="126" t="e">
        <v>#N/A</v>
      </c>
      <c r="AK2336" s="80">
        <f t="shared" si="348"/>
        <v>0</v>
      </c>
      <c r="AM2336" s="85"/>
    </row>
    <row r="2337" spans="1:39" hidden="1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49"/>
        <v>8005.99</v>
      </c>
      <c r="X2337" s="13">
        <f t="shared" ref="X2337:X2400" si="352">IF(P2337="折扣",V2337*Q2337,IF(P2337="返现",V2337,V2337/(1+Q2337)))</f>
        <v>4994.01</v>
      </c>
      <c r="Y2337" s="13">
        <f t="shared" si="344"/>
        <v>0</v>
      </c>
      <c r="Z2337" s="2">
        <v>0</v>
      </c>
      <c r="AA2337" s="4">
        <v>0</v>
      </c>
      <c r="AB2337" s="4">
        <f t="shared" si="345"/>
        <v>4994.01</v>
      </c>
      <c r="AC2337" s="6">
        <f t="shared" si="346"/>
        <v>0</v>
      </c>
      <c r="AD2337" s="13">
        <f t="shared" si="350"/>
        <v>4994.01</v>
      </c>
      <c r="AE2337" s="2">
        <v>0.09</v>
      </c>
      <c r="AF2337" s="5">
        <f t="shared" si="347"/>
        <v>449.46089999999998</v>
      </c>
      <c r="AG2337" s="2">
        <v>0</v>
      </c>
      <c r="AH2337" s="5">
        <f t="shared" si="351"/>
        <v>4994.01</v>
      </c>
      <c r="AJ2337" s="126" t="e">
        <v>#N/A</v>
      </c>
      <c r="AK2337" s="80">
        <f t="shared" si="348"/>
        <v>0</v>
      </c>
      <c r="AM2337" s="85"/>
    </row>
    <row r="2338" spans="1:39" hidden="1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49"/>
        <v>88389.069999999992</v>
      </c>
      <c r="X2338" s="13">
        <f t="shared" si="352"/>
        <v>45382.479999999996</v>
      </c>
      <c r="Y2338" s="13">
        <f t="shared" si="344"/>
        <v>0</v>
      </c>
      <c r="Z2338" s="2">
        <v>0</v>
      </c>
      <c r="AA2338" s="4">
        <v>0</v>
      </c>
      <c r="AB2338" s="4">
        <f t="shared" si="345"/>
        <v>45382.479999999996</v>
      </c>
      <c r="AC2338" s="6">
        <f t="shared" si="346"/>
        <v>0</v>
      </c>
      <c r="AD2338" s="13">
        <f t="shared" si="350"/>
        <v>45382.479999999996</v>
      </c>
      <c r="AE2338" s="2">
        <v>0.09</v>
      </c>
      <c r="AF2338" s="5">
        <f t="shared" si="347"/>
        <v>4084.4231999999993</v>
      </c>
      <c r="AG2338" s="2">
        <v>0</v>
      </c>
      <c r="AH2338" s="5">
        <f t="shared" si="351"/>
        <v>45382.479999999996</v>
      </c>
      <c r="AJ2338" s="126" t="e">
        <v>#N/A</v>
      </c>
      <c r="AK2338" s="80">
        <f t="shared" si="348"/>
        <v>0</v>
      </c>
      <c r="AM2338" s="85"/>
    </row>
    <row r="2339" spans="1:39" hidden="1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49"/>
        <v>18300</v>
      </c>
      <c r="X2339" s="13">
        <f t="shared" si="352"/>
        <v>1700</v>
      </c>
      <c r="Y2339" s="13">
        <f t="shared" si="344"/>
        <v>0</v>
      </c>
      <c r="Z2339" s="2">
        <v>0</v>
      </c>
      <c r="AA2339" s="4">
        <v>0</v>
      </c>
      <c r="AB2339" s="4">
        <f t="shared" si="345"/>
        <v>1700</v>
      </c>
      <c r="AC2339" s="6">
        <f t="shared" si="346"/>
        <v>0</v>
      </c>
      <c r="AD2339" s="13">
        <f t="shared" si="350"/>
        <v>1700</v>
      </c>
      <c r="AE2339" s="2">
        <v>0.09</v>
      </c>
      <c r="AF2339" s="5">
        <f t="shared" si="347"/>
        <v>153</v>
      </c>
      <c r="AG2339" s="2">
        <v>0</v>
      </c>
      <c r="AH2339" s="5">
        <f t="shared" si="351"/>
        <v>1700</v>
      </c>
      <c r="AJ2339" s="126" t="e">
        <v>#N/A</v>
      </c>
      <c r="AK2339" s="80">
        <f t="shared" si="348"/>
        <v>0</v>
      </c>
      <c r="AM2339" s="85"/>
    </row>
    <row r="2340" spans="1:39" hidden="1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49"/>
        <v>16752.979999999981</v>
      </c>
      <c r="X2340" s="13">
        <f t="shared" si="352"/>
        <v>621610.22</v>
      </c>
      <c r="Y2340" s="13">
        <f t="shared" si="344"/>
        <v>0</v>
      </c>
      <c r="Z2340" s="2">
        <v>0</v>
      </c>
      <c r="AA2340" s="4">
        <v>0</v>
      </c>
      <c r="AB2340" s="4">
        <f t="shared" si="345"/>
        <v>621610.22</v>
      </c>
      <c r="AC2340" s="6">
        <f t="shared" si="346"/>
        <v>0</v>
      </c>
      <c r="AD2340" s="13">
        <f t="shared" si="350"/>
        <v>621610.22</v>
      </c>
      <c r="AE2340" s="2">
        <v>0.09</v>
      </c>
      <c r="AF2340" s="5">
        <f t="shared" si="347"/>
        <v>55944.919799999996</v>
      </c>
      <c r="AG2340" s="2">
        <v>0</v>
      </c>
      <c r="AH2340" s="5">
        <f t="shared" si="351"/>
        <v>621610.22</v>
      </c>
      <c r="AJ2340" s="126" t="e">
        <v>#N/A</v>
      </c>
      <c r="AK2340" s="80">
        <f t="shared" si="348"/>
        <v>0</v>
      </c>
      <c r="AM2340" s="85"/>
    </row>
    <row r="2341" spans="1:39" hidden="1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49"/>
        <v>47416.4</v>
      </c>
      <c r="X2341" s="13">
        <f t="shared" si="352"/>
        <v>2583.5999999999985</v>
      </c>
      <c r="Y2341" s="13">
        <f t="shared" si="344"/>
        <v>0</v>
      </c>
      <c r="Z2341" s="2">
        <v>0</v>
      </c>
      <c r="AA2341" s="4">
        <v>0</v>
      </c>
      <c r="AB2341" s="4">
        <f t="shared" si="345"/>
        <v>2583.5999999999985</v>
      </c>
      <c r="AC2341" s="6">
        <f t="shared" si="346"/>
        <v>0</v>
      </c>
      <c r="AD2341" s="13">
        <f t="shared" si="350"/>
        <v>2583.5999999999985</v>
      </c>
      <c r="AE2341" s="2">
        <v>0.09</v>
      </c>
      <c r="AF2341" s="5">
        <f t="shared" si="347"/>
        <v>232.52399999999986</v>
      </c>
      <c r="AG2341" s="2">
        <v>0</v>
      </c>
      <c r="AH2341" s="5">
        <f t="shared" si="351"/>
        <v>2583.5999999999985</v>
      </c>
      <c r="AJ2341" s="126" t="e">
        <v>#N/A</v>
      </c>
      <c r="AK2341" s="80">
        <f t="shared" si="348"/>
        <v>0</v>
      </c>
      <c r="AM2341" s="85"/>
    </row>
    <row r="2342" spans="1:39" hidden="1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49"/>
        <v>36187.139999999898</v>
      </c>
      <c r="X2342" s="13">
        <f t="shared" si="352"/>
        <v>536889.30000000005</v>
      </c>
      <c r="Y2342" s="13">
        <f t="shared" si="344"/>
        <v>0</v>
      </c>
      <c r="Z2342" s="2">
        <v>0</v>
      </c>
      <c r="AA2342" s="4">
        <v>0</v>
      </c>
      <c r="AB2342" s="4">
        <f t="shared" si="345"/>
        <v>536889.30000000005</v>
      </c>
      <c r="AC2342" s="6">
        <f t="shared" si="346"/>
        <v>0</v>
      </c>
      <c r="AD2342" s="13">
        <f t="shared" si="350"/>
        <v>536889.30000000005</v>
      </c>
      <c r="AE2342" s="2">
        <v>0.09</v>
      </c>
      <c r="AF2342" s="5">
        <f t="shared" si="347"/>
        <v>48320.037000000004</v>
      </c>
      <c r="AG2342" s="2">
        <v>0</v>
      </c>
      <c r="AH2342" s="5">
        <f t="shared" si="351"/>
        <v>536889.30000000005</v>
      </c>
      <c r="AJ2342" s="126" t="e">
        <v>#N/A</v>
      </c>
      <c r="AK2342" s="80">
        <f t="shared" si="348"/>
        <v>0</v>
      </c>
      <c r="AM2342" s="85"/>
    </row>
    <row r="2343" spans="1:39" hidden="1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49"/>
        <v>12975.929999999978</v>
      </c>
      <c r="X2343" s="13">
        <f t="shared" si="352"/>
        <v>119331.74</v>
      </c>
      <c r="Y2343" s="13">
        <f t="shared" si="344"/>
        <v>0</v>
      </c>
      <c r="Z2343" s="2">
        <v>0</v>
      </c>
      <c r="AA2343" s="4">
        <v>0</v>
      </c>
      <c r="AB2343" s="4">
        <f t="shared" si="345"/>
        <v>119331.74</v>
      </c>
      <c r="AC2343" s="6">
        <f t="shared" si="346"/>
        <v>0</v>
      </c>
      <c r="AD2343" s="13">
        <f t="shared" si="350"/>
        <v>119331.74</v>
      </c>
      <c r="AE2343" s="2">
        <v>0.09</v>
      </c>
      <c r="AF2343" s="5">
        <f t="shared" si="347"/>
        <v>10739.856600000001</v>
      </c>
      <c r="AG2343" s="2">
        <v>0</v>
      </c>
      <c r="AH2343" s="5">
        <f t="shared" si="351"/>
        <v>119331.74</v>
      </c>
      <c r="AJ2343" s="126" t="e">
        <v>#N/A</v>
      </c>
      <c r="AK2343" s="80">
        <f t="shared" si="348"/>
        <v>0</v>
      </c>
      <c r="AM2343" s="85"/>
    </row>
    <row r="2344" spans="1:39" hidden="1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49"/>
        <v>830.83000000000175</v>
      </c>
      <c r="X2344" s="13">
        <f t="shared" si="352"/>
        <v>29185.460784313724</v>
      </c>
      <c r="Y2344" s="13">
        <f t="shared" si="344"/>
        <v>0</v>
      </c>
      <c r="Z2344" s="2">
        <v>0</v>
      </c>
      <c r="AA2344" s="4">
        <v>0</v>
      </c>
      <c r="AB2344" s="4">
        <f t="shared" si="345"/>
        <v>29185.460784313724</v>
      </c>
      <c r="AC2344" s="6">
        <f t="shared" si="346"/>
        <v>583.70921568627455</v>
      </c>
      <c r="AD2344" s="13">
        <f t="shared" si="350"/>
        <v>29769.17</v>
      </c>
      <c r="AE2344" s="2">
        <v>0.09</v>
      </c>
      <c r="AF2344" s="5">
        <f t="shared" si="347"/>
        <v>2679.2252999999996</v>
      </c>
      <c r="AG2344" s="2">
        <v>0</v>
      </c>
      <c r="AH2344" s="5">
        <f t="shared" si="351"/>
        <v>29769.17</v>
      </c>
      <c r="AJ2344" s="126" t="e">
        <v>#N/A</v>
      </c>
      <c r="AK2344" s="80">
        <f t="shared" si="348"/>
        <v>0</v>
      </c>
      <c r="AM2344" s="85"/>
    </row>
    <row r="2345" spans="1:39" hidden="1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49"/>
        <v>-6436.4599999999664</v>
      </c>
      <c r="X2345" s="13">
        <f t="shared" si="352"/>
        <v>26436.459999999966</v>
      </c>
      <c r="Y2345" s="13">
        <f t="shared" si="344"/>
        <v>0</v>
      </c>
      <c r="Z2345" s="2">
        <v>0</v>
      </c>
      <c r="AA2345" s="4">
        <v>0</v>
      </c>
      <c r="AB2345" s="4">
        <f t="shared" si="345"/>
        <v>26436.459999999966</v>
      </c>
      <c r="AC2345" s="6">
        <f t="shared" si="346"/>
        <v>0</v>
      </c>
      <c r="AD2345" s="13">
        <f t="shared" si="350"/>
        <v>26436.459999999966</v>
      </c>
      <c r="AE2345" s="2">
        <v>0.09</v>
      </c>
      <c r="AF2345" s="5">
        <f t="shared" si="347"/>
        <v>2379.2813999999967</v>
      </c>
      <c r="AG2345" s="2">
        <v>0</v>
      </c>
      <c r="AH2345" s="5">
        <f t="shared" si="351"/>
        <v>26436.459999999966</v>
      </c>
      <c r="AJ2345" s="126" t="e">
        <v>#N/A</v>
      </c>
      <c r="AK2345" s="80">
        <f t="shared" si="348"/>
        <v>0</v>
      </c>
      <c r="AM2345" s="85"/>
    </row>
    <row r="2346" spans="1:39" hidden="1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49"/>
        <v>669441.05999999959</v>
      </c>
      <c r="X2346" s="13">
        <f t="shared" si="352"/>
        <v>2873097.0000000005</v>
      </c>
      <c r="Y2346" s="13">
        <f t="shared" si="344"/>
        <v>0</v>
      </c>
      <c r="Z2346" s="2">
        <v>0</v>
      </c>
      <c r="AA2346" s="4">
        <v>0</v>
      </c>
      <c r="AB2346" s="4">
        <f t="shared" si="345"/>
        <v>2873097.0000000005</v>
      </c>
      <c r="AC2346" s="6">
        <f t="shared" si="346"/>
        <v>57461.939999999944</v>
      </c>
      <c r="AD2346" s="13">
        <f t="shared" si="350"/>
        <v>2930558.9400000004</v>
      </c>
      <c r="AE2346" s="2">
        <v>0.09</v>
      </c>
      <c r="AF2346" s="5">
        <f t="shared" si="347"/>
        <v>263750.30460000003</v>
      </c>
      <c r="AG2346" s="2">
        <v>0</v>
      </c>
      <c r="AH2346" s="5">
        <f t="shared" si="351"/>
        <v>2930558.9400000004</v>
      </c>
      <c r="AJ2346" s="126" t="e">
        <v>#N/A</v>
      </c>
      <c r="AK2346" s="80">
        <f t="shared" si="348"/>
        <v>0</v>
      </c>
      <c r="AM2346" s="85"/>
    </row>
    <row r="2347" spans="1:39" hidden="1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49"/>
        <v>125801.70000000019</v>
      </c>
      <c r="X2347" s="13">
        <f t="shared" si="352"/>
        <v>906076.76470588217</v>
      </c>
      <c r="Y2347" s="13">
        <f t="shared" si="344"/>
        <v>0</v>
      </c>
      <c r="Z2347" s="2">
        <v>0</v>
      </c>
      <c r="AA2347" s="4">
        <v>0</v>
      </c>
      <c r="AB2347" s="4">
        <f t="shared" si="345"/>
        <v>906076.76470588217</v>
      </c>
      <c r="AC2347" s="6">
        <f t="shared" si="346"/>
        <v>18121.535294117639</v>
      </c>
      <c r="AD2347" s="13">
        <f t="shared" si="350"/>
        <v>924198.29999999981</v>
      </c>
      <c r="AE2347" s="2">
        <v>0.09</v>
      </c>
      <c r="AF2347" s="5">
        <f t="shared" si="347"/>
        <v>83177.84699999998</v>
      </c>
      <c r="AG2347" s="2">
        <v>0</v>
      </c>
      <c r="AH2347" s="5">
        <f t="shared" si="351"/>
        <v>924198.29999999981</v>
      </c>
      <c r="AJ2347" s="126" t="e">
        <v>#N/A</v>
      </c>
      <c r="AK2347" s="80">
        <f t="shared" si="348"/>
        <v>0</v>
      </c>
      <c r="AM2347" s="85"/>
    </row>
    <row r="2348" spans="1:39" hidden="1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49"/>
        <v>19274.260000000006</v>
      </c>
      <c r="X2348" s="13">
        <f t="shared" si="352"/>
        <v>20319.352941176465</v>
      </c>
      <c r="Y2348" s="13">
        <f t="shared" si="344"/>
        <v>0</v>
      </c>
      <c r="Z2348" s="2">
        <v>0</v>
      </c>
      <c r="AA2348" s="4">
        <v>0</v>
      </c>
      <c r="AB2348" s="4">
        <f t="shared" si="345"/>
        <v>20319.352941176465</v>
      </c>
      <c r="AC2348" s="6">
        <f t="shared" si="346"/>
        <v>406.38705882352951</v>
      </c>
      <c r="AD2348" s="13">
        <f t="shared" si="350"/>
        <v>20725.739999999994</v>
      </c>
      <c r="AE2348" s="2">
        <v>0.09</v>
      </c>
      <c r="AF2348" s="5">
        <f t="shared" si="347"/>
        <v>1865.3165999999994</v>
      </c>
      <c r="AG2348" s="2">
        <v>0</v>
      </c>
      <c r="AH2348" s="5">
        <f t="shared" si="351"/>
        <v>20725.739999999994</v>
      </c>
      <c r="AJ2348" s="126" t="e">
        <v>#N/A</v>
      </c>
      <c r="AK2348" s="80">
        <f t="shared" si="348"/>
        <v>0</v>
      </c>
      <c r="AM2348" s="85"/>
    </row>
    <row r="2349" spans="1:39" hidden="1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49"/>
        <v>72509.440000000031</v>
      </c>
      <c r="X2349" s="13">
        <f t="shared" si="352"/>
        <v>26951.529411764674</v>
      </c>
      <c r="Y2349" s="13">
        <f t="shared" si="344"/>
        <v>0</v>
      </c>
      <c r="Z2349" s="2">
        <v>0</v>
      </c>
      <c r="AA2349" s="4">
        <v>0</v>
      </c>
      <c r="AB2349" s="4">
        <f t="shared" si="345"/>
        <v>26951.529411764674</v>
      </c>
      <c r="AC2349" s="6">
        <f t="shared" si="346"/>
        <v>539.030588235295</v>
      </c>
      <c r="AD2349" s="13">
        <f t="shared" si="350"/>
        <v>27490.559999999969</v>
      </c>
      <c r="AE2349" s="2">
        <v>0.09</v>
      </c>
      <c r="AF2349" s="5">
        <f t="shared" si="347"/>
        <v>2474.1503999999973</v>
      </c>
      <c r="AG2349" s="2">
        <v>0</v>
      </c>
      <c r="AH2349" s="5">
        <f t="shared" si="351"/>
        <v>27490.559999999969</v>
      </c>
      <c r="AJ2349" s="126" t="e">
        <v>#N/A</v>
      </c>
      <c r="AK2349" s="80">
        <f t="shared" si="348"/>
        <v>0</v>
      </c>
      <c r="AM2349" s="85"/>
    </row>
    <row r="2350" spans="1:39" hidden="1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49"/>
        <v>3769.33</v>
      </c>
      <c r="X2350" s="13">
        <f t="shared" si="352"/>
        <v>15912.421568627451</v>
      </c>
      <c r="Y2350" s="13">
        <f t="shared" si="344"/>
        <v>0</v>
      </c>
      <c r="Z2350" s="2">
        <v>0</v>
      </c>
      <c r="AA2350" s="4">
        <v>0</v>
      </c>
      <c r="AB2350" s="4">
        <f t="shared" si="345"/>
        <v>15912.421568627451</v>
      </c>
      <c r="AC2350" s="6">
        <f t="shared" si="346"/>
        <v>318.24843137254902</v>
      </c>
      <c r="AD2350" s="13">
        <f t="shared" si="350"/>
        <v>16230.67</v>
      </c>
      <c r="AE2350" s="2">
        <v>0.09</v>
      </c>
      <c r="AF2350" s="5">
        <f t="shared" si="347"/>
        <v>1460.7602999999999</v>
      </c>
      <c r="AG2350" s="2">
        <v>0</v>
      </c>
      <c r="AH2350" s="5">
        <f t="shared" si="351"/>
        <v>16230.67</v>
      </c>
      <c r="AJ2350" s="126" t="e">
        <v>#N/A</v>
      </c>
      <c r="AK2350" s="80">
        <f t="shared" si="348"/>
        <v>0</v>
      </c>
      <c r="AM2350" s="85"/>
    </row>
    <row r="2351" spans="1:39" hidden="1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49"/>
        <v>5236.5300000000007</v>
      </c>
      <c r="X2351" s="13">
        <f t="shared" si="352"/>
        <v>14473.99019607843</v>
      </c>
      <c r="Y2351" s="13">
        <f t="shared" si="344"/>
        <v>0</v>
      </c>
      <c r="Z2351" s="2">
        <v>0</v>
      </c>
      <c r="AA2351" s="4">
        <v>0</v>
      </c>
      <c r="AB2351" s="4">
        <f t="shared" si="345"/>
        <v>14473.99019607843</v>
      </c>
      <c r="AC2351" s="6">
        <f t="shared" si="346"/>
        <v>289.47980392156933</v>
      </c>
      <c r="AD2351" s="13">
        <f t="shared" si="350"/>
        <v>14763.47</v>
      </c>
      <c r="AE2351" s="2">
        <v>0.09</v>
      </c>
      <c r="AF2351" s="5">
        <f t="shared" si="347"/>
        <v>1328.7122999999999</v>
      </c>
      <c r="AG2351" s="2">
        <v>0</v>
      </c>
      <c r="AH2351" s="5">
        <f t="shared" si="351"/>
        <v>14763.47</v>
      </c>
      <c r="AJ2351" s="126" t="e">
        <v>#N/A</v>
      </c>
      <c r="AK2351" s="80">
        <f t="shared" si="348"/>
        <v>0</v>
      </c>
      <c r="AM2351" s="85"/>
    </row>
    <row r="2352" spans="1:39" hidden="1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49"/>
        <v>2600</v>
      </c>
      <c r="X2352" s="13">
        <f t="shared" si="352"/>
        <v>0</v>
      </c>
      <c r="Y2352" s="13">
        <f t="shared" si="344"/>
        <v>0</v>
      </c>
      <c r="Z2352" s="2">
        <v>0</v>
      </c>
      <c r="AA2352" s="4">
        <v>0</v>
      </c>
      <c r="AB2352" s="4"/>
      <c r="AC2352" s="6">
        <f t="shared" si="346"/>
        <v>0</v>
      </c>
      <c r="AD2352" s="13">
        <f t="shared" si="350"/>
        <v>0</v>
      </c>
      <c r="AE2352" s="2">
        <v>0.18</v>
      </c>
      <c r="AF2352" s="5">
        <f t="shared" si="347"/>
        <v>0</v>
      </c>
      <c r="AG2352" s="2">
        <v>0</v>
      </c>
      <c r="AH2352" s="5">
        <f t="shared" si="351"/>
        <v>0</v>
      </c>
      <c r="AJ2352" s="126">
        <v>96</v>
      </c>
      <c r="AK2352" s="80">
        <f t="shared" si="348"/>
        <v>0</v>
      </c>
      <c r="AM2352" s="85"/>
    </row>
    <row r="2353" spans="1:39" hidden="1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49"/>
        <v>-2600</v>
      </c>
      <c r="X2353" s="13">
        <f t="shared" si="352"/>
        <v>0</v>
      </c>
      <c r="Y2353" s="13">
        <f t="shared" si="344"/>
        <v>0</v>
      </c>
      <c r="Z2353" s="2">
        <v>0</v>
      </c>
      <c r="AA2353" s="4">
        <v>0</v>
      </c>
      <c r="AB2353" s="4"/>
      <c r="AC2353" s="6">
        <f t="shared" si="346"/>
        <v>0</v>
      </c>
      <c r="AD2353" s="13">
        <f t="shared" si="350"/>
        <v>0</v>
      </c>
      <c r="AE2353" s="2">
        <v>0.09</v>
      </c>
      <c r="AF2353" s="5">
        <f t="shared" si="347"/>
        <v>0</v>
      </c>
      <c r="AG2353" s="2">
        <v>0</v>
      </c>
      <c r="AH2353" s="5">
        <f t="shared" si="351"/>
        <v>0</v>
      </c>
      <c r="AJ2353" s="126">
        <v>96</v>
      </c>
      <c r="AK2353" s="80">
        <f t="shared" si="348"/>
        <v>0</v>
      </c>
      <c r="AM2353" s="85"/>
    </row>
    <row r="2354" spans="1:39" hidden="1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49"/>
        <v>-2998.0699999999779</v>
      </c>
      <c r="X2354" s="13">
        <f t="shared" si="352"/>
        <v>152998.06999999998</v>
      </c>
      <c r="Y2354" s="13">
        <f t="shared" si="344"/>
        <v>0</v>
      </c>
      <c r="Z2354" s="2">
        <v>0</v>
      </c>
      <c r="AA2354" s="4">
        <v>0</v>
      </c>
      <c r="AB2354" s="4">
        <f t="shared" si="345"/>
        <v>152998.06999999998</v>
      </c>
      <c r="AC2354" s="6">
        <f t="shared" si="346"/>
        <v>0</v>
      </c>
      <c r="AD2354" s="13">
        <f t="shared" si="350"/>
        <v>152998.06999999998</v>
      </c>
      <c r="AE2354" s="2">
        <v>0.09</v>
      </c>
      <c r="AF2354" s="5">
        <f t="shared" si="347"/>
        <v>13769.826299999997</v>
      </c>
      <c r="AG2354" s="2">
        <v>0</v>
      </c>
      <c r="AH2354" s="5">
        <f t="shared" si="351"/>
        <v>152998.06999999998</v>
      </c>
      <c r="AJ2354" s="126" t="e">
        <v>#N/A</v>
      </c>
      <c r="AK2354" s="80">
        <f t="shared" si="348"/>
        <v>0</v>
      </c>
      <c r="AM2354" s="85"/>
    </row>
    <row r="2355" spans="1:39" hidden="1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49"/>
        <v>0</v>
      </c>
      <c r="X2355" s="13">
        <f t="shared" si="352"/>
        <v>0</v>
      </c>
      <c r="Y2355" s="13">
        <f t="shared" si="344"/>
        <v>0</v>
      </c>
      <c r="Z2355" s="2">
        <v>0</v>
      </c>
      <c r="AA2355" s="4">
        <v>0</v>
      </c>
      <c r="AB2355" s="4">
        <f t="shared" si="345"/>
        <v>0</v>
      </c>
      <c r="AC2355" s="6">
        <f t="shared" si="346"/>
        <v>0</v>
      </c>
      <c r="AD2355" s="13">
        <f t="shared" si="350"/>
        <v>0</v>
      </c>
      <c r="AE2355" s="2">
        <v>0.09</v>
      </c>
      <c r="AF2355" s="5">
        <f t="shared" si="347"/>
        <v>0</v>
      </c>
      <c r="AG2355" s="2">
        <v>0</v>
      </c>
      <c r="AH2355" s="5">
        <f t="shared" si="351"/>
        <v>0</v>
      </c>
      <c r="AJ2355" s="126" t="e">
        <v>#N/A</v>
      </c>
      <c r="AK2355" s="80">
        <f t="shared" si="348"/>
        <v>0</v>
      </c>
      <c r="AM2355" s="85"/>
    </row>
    <row r="2356" spans="1:39" hidden="1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49"/>
        <v>254923.53999999995</v>
      </c>
      <c r="X2356" s="13">
        <f t="shared" si="352"/>
        <v>148900.78217821784</v>
      </c>
      <c r="Y2356" s="13">
        <f t="shared" si="344"/>
        <v>0</v>
      </c>
      <c r="Z2356" s="2">
        <v>0</v>
      </c>
      <c r="AA2356" s="4">
        <v>0</v>
      </c>
      <c r="AB2356" s="4">
        <f t="shared" si="345"/>
        <v>148900.78217821784</v>
      </c>
      <c r="AC2356" s="6">
        <f t="shared" si="346"/>
        <v>1489.007821782172</v>
      </c>
      <c r="AD2356" s="13">
        <f t="shared" si="350"/>
        <v>150389.79</v>
      </c>
      <c r="AE2356" s="2">
        <v>0.09</v>
      </c>
      <c r="AF2356" s="5">
        <f t="shared" si="347"/>
        <v>13535.081099999999</v>
      </c>
      <c r="AG2356" s="2">
        <v>0</v>
      </c>
      <c r="AH2356" s="5">
        <f t="shared" si="351"/>
        <v>150389.79</v>
      </c>
      <c r="AJ2356" s="126" t="e">
        <v>#N/A</v>
      </c>
      <c r="AK2356" s="80">
        <f t="shared" si="348"/>
        <v>0</v>
      </c>
      <c r="AM2356" s="85"/>
    </row>
    <row r="2357" spans="1:39" hidden="1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49"/>
        <v>1056212.9899999998</v>
      </c>
      <c r="X2357" s="13">
        <f t="shared" si="352"/>
        <v>1734909.5882352944</v>
      </c>
      <c r="Y2357" s="13">
        <f t="shared" si="344"/>
        <v>0</v>
      </c>
      <c r="Z2357" s="2">
        <v>0</v>
      </c>
      <c r="AA2357" s="4">
        <v>0</v>
      </c>
      <c r="AB2357" s="4">
        <f t="shared" si="345"/>
        <v>1734909.5882352944</v>
      </c>
      <c r="AC2357" s="6">
        <f t="shared" si="346"/>
        <v>34698.191764705814</v>
      </c>
      <c r="AD2357" s="13">
        <f t="shared" si="350"/>
        <v>1769607.7800000003</v>
      </c>
      <c r="AE2357" s="2">
        <v>0.09</v>
      </c>
      <c r="AF2357" s="5">
        <f t="shared" si="347"/>
        <v>159264.70020000002</v>
      </c>
      <c r="AG2357" s="2">
        <v>0</v>
      </c>
      <c r="AH2357" s="5">
        <f t="shared" si="351"/>
        <v>1769607.7800000003</v>
      </c>
      <c r="AJ2357" s="126" t="e">
        <v>#N/A</v>
      </c>
      <c r="AK2357" s="80">
        <f t="shared" si="348"/>
        <v>0</v>
      </c>
      <c r="AM2357" s="85"/>
    </row>
    <row r="2358" spans="1:39" hidden="1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49"/>
        <v>48442.68</v>
      </c>
      <c r="X2358" s="13">
        <f t="shared" si="352"/>
        <v>1557.32</v>
      </c>
      <c r="Y2358" s="13">
        <f t="shared" si="344"/>
        <v>0</v>
      </c>
      <c r="Z2358" s="2">
        <v>0</v>
      </c>
      <c r="AA2358" s="4">
        <v>0</v>
      </c>
      <c r="AB2358" s="4">
        <f t="shared" si="345"/>
        <v>1557.32</v>
      </c>
      <c r="AC2358" s="6">
        <f t="shared" si="346"/>
        <v>0</v>
      </c>
      <c r="AD2358" s="13">
        <f t="shared" si="350"/>
        <v>1557.32</v>
      </c>
      <c r="AE2358" s="2">
        <v>0.09</v>
      </c>
      <c r="AF2358" s="5">
        <f t="shared" si="347"/>
        <v>140.15879999999999</v>
      </c>
      <c r="AG2358" s="2">
        <v>0</v>
      </c>
      <c r="AH2358" s="5">
        <f t="shared" si="351"/>
        <v>1557.32</v>
      </c>
      <c r="AJ2358" s="126" t="e">
        <v>#N/A</v>
      </c>
      <c r="AK2358" s="80">
        <f t="shared" si="348"/>
        <v>0</v>
      </c>
      <c r="AM2358" s="85"/>
    </row>
    <row r="2359" spans="1:39" hidden="1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49"/>
        <v>-4227643.76</v>
      </c>
      <c r="X2359" s="13">
        <f t="shared" si="352"/>
        <v>273687.4411764706</v>
      </c>
      <c r="Y2359" s="13">
        <f t="shared" si="344"/>
        <v>0</v>
      </c>
      <c r="Z2359" s="2">
        <v>0</v>
      </c>
      <c r="AA2359" s="4">
        <v>0</v>
      </c>
      <c r="AB2359" s="4">
        <f t="shared" si="345"/>
        <v>273687.4411764706</v>
      </c>
      <c r="AC2359" s="6">
        <f t="shared" si="346"/>
        <v>5473.7488235294004</v>
      </c>
      <c r="AD2359" s="13">
        <f t="shared" si="350"/>
        <v>279161.19</v>
      </c>
      <c r="AE2359" s="2">
        <v>0.18</v>
      </c>
      <c r="AF2359" s="5">
        <f t="shared" si="347"/>
        <v>50249.014199999998</v>
      </c>
      <c r="AG2359" s="2">
        <v>0</v>
      </c>
      <c r="AH2359" s="5">
        <f t="shared" si="351"/>
        <v>279161.19</v>
      </c>
      <c r="AJ2359" s="126" t="e">
        <v>#N/A</v>
      </c>
      <c r="AK2359" s="80">
        <f t="shared" si="348"/>
        <v>0</v>
      </c>
      <c r="AM2359" s="85"/>
    </row>
    <row r="2360" spans="1:39" hidden="1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49"/>
        <v>4433485.5699999984</v>
      </c>
      <c r="X2360" s="13">
        <f t="shared" si="352"/>
        <v>1111042.53</v>
      </c>
      <c r="Y2360" s="13">
        <f t="shared" si="344"/>
        <v>0</v>
      </c>
      <c r="Z2360" s="2">
        <v>0</v>
      </c>
      <c r="AA2360" s="4">
        <v>0</v>
      </c>
      <c r="AB2360" s="4">
        <f t="shared" si="345"/>
        <v>1111042.53</v>
      </c>
      <c r="AC2360" s="6">
        <f t="shared" si="346"/>
        <v>0</v>
      </c>
      <c r="AD2360" s="13">
        <f t="shared" si="350"/>
        <v>1111042.53</v>
      </c>
      <c r="AE2360" s="2">
        <v>0.09</v>
      </c>
      <c r="AF2360" s="5">
        <f t="shared" si="347"/>
        <v>99993.827699999994</v>
      </c>
      <c r="AG2360" s="2">
        <v>0</v>
      </c>
      <c r="AH2360" s="5">
        <f t="shared" si="351"/>
        <v>1111042.53</v>
      </c>
      <c r="AJ2360" s="126" t="e">
        <v>#N/A</v>
      </c>
      <c r="AK2360" s="80">
        <f t="shared" si="348"/>
        <v>0</v>
      </c>
      <c r="AM2360" s="85"/>
    </row>
    <row r="2361" spans="1:39" hidden="1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49"/>
        <v>-22923.33</v>
      </c>
      <c r="X2361" s="13">
        <f>IF(P2361="折扣",V2361*Q2361,IF(P2361="返现",V2361,(V2361-U2361)/(1+Q2361)))</f>
        <v>22923.33</v>
      </c>
      <c r="Y2361" s="13">
        <f t="shared" si="344"/>
        <v>0</v>
      </c>
      <c r="Z2361" s="2">
        <v>0</v>
      </c>
      <c r="AA2361" s="4">
        <v>0</v>
      </c>
      <c r="AB2361" s="4">
        <f t="shared" si="345"/>
        <v>22923.33</v>
      </c>
      <c r="AC2361" s="6">
        <f t="shared" si="346"/>
        <v>5813.4399999999987</v>
      </c>
      <c r="AD2361" s="13">
        <f t="shared" si="350"/>
        <v>28736.77</v>
      </c>
      <c r="AE2361" s="2">
        <v>0.18</v>
      </c>
      <c r="AF2361" s="5">
        <f t="shared" si="347"/>
        <v>5172.6185999999998</v>
      </c>
      <c r="AG2361" s="2">
        <v>0</v>
      </c>
      <c r="AH2361" s="5">
        <f t="shared" si="351"/>
        <v>28736.77</v>
      </c>
      <c r="AJ2361" s="126" t="e">
        <v>#N/A</v>
      </c>
      <c r="AK2361" s="80">
        <f t="shared" si="348"/>
        <v>0</v>
      </c>
      <c r="AM2361" s="85"/>
    </row>
    <row r="2362" spans="1:39" hidden="1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49"/>
        <v>52843.719999999856</v>
      </c>
      <c r="X2362" s="13">
        <f t="shared" si="352"/>
        <v>347156.28000000014</v>
      </c>
      <c r="Y2362" s="13">
        <f t="shared" si="344"/>
        <v>0</v>
      </c>
      <c r="Z2362" s="2">
        <v>0</v>
      </c>
      <c r="AA2362" s="4">
        <v>0</v>
      </c>
      <c r="AB2362" s="4">
        <f t="shared" si="345"/>
        <v>347156.28000000014</v>
      </c>
      <c r="AC2362" s="6">
        <f t="shared" si="346"/>
        <v>0</v>
      </c>
      <c r="AD2362" s="13">
        <f t="shared" si="350"/>
        <v>347156.28000000014</v>
      </c>
      <c r="AE2362" s="2">
        <v>0.09</v>
      </c>
      <c r="AF2362" s="5">
        <f t="shared" si="347"/>
        <v>31244.065200000012</v>
      </c>
      <c r="AG2362" s="2">
        <v>0</v>
      </c>
      <c r="AH2362" s="5">
        <f t="shared" si="351"/>
        <v>347156.28000000014</v>
      </c>
      <c r="AJ2362" s="126" t="e">
        <v>#N/A</v>
      </c>
      <c r="AK2362" s="80">
        <f t="shared" si="348"/>
        <v>0</v>
      </c>
      <c r="AM2362" s="85"/>
    </row>
    <row r="2363" spans="1:39" hidden="1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49"/>
        <v>139169.70000000001</v>
      </c>
      <c r="X2363" s="13">
        <f t="shared" si="352"/>
        <v>90830.3</v>
      </c>
      <c r="Y2363" s="13">
        <f t="shared" si="344"/>
        <v>0</v>
      </c>
      <c r="Z2363" s="2">
        <v>0</v>
      </c>
      <c r="AA2363" s="4">
        <v>0</v>
      </c>
      <c r="AB2363" s="4">
        <f t="shared" si="345"/>
        <v>90830.3</v>
      </c>
      <c r="AC2363" s="6">
        <f t="shared" si="346"/>
        <v>0</v>
      </c>
      <c r="AD2363" s="13">
        <f t="shared" si="350"/>
        <v>90830.3</v>
      </c>
      <c r="AE2363" s="2">
        <v>0.09</v>
      </c>
      <c r="AF2363" s="5">
        <f t="shared" si="347"/>
        <v>8174.7269999999999</v>
      </c>
      <c r="AG2363" s="2">
        <v>0</v>
      </c>
      <c r="AH2363" s="5">
        <f t="shared" si="351"/>
        <v>90830.3</v>
      </c>
      <c r="AJ2363" s="126" t="e">
        <v>#N/A</v>
      </c>
      <c r="AK2363" s="80">
        <f t="shared" si="348"/>
        <v>0</v>
      </c>
      <c r="AM2363" s="85"/>
    </row>
    <row r="2364" spans="1:39" hidden="1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4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44"/>
        <v>0</v>
      </c>
      <c r="Z2364" s="2">
        <v>0</v>
      </c>
      <c r="AA2364" s="4">
        <v>0</v>
      </c>
      <c r="AB2364" s="4">
        <f t="shared" si="345"/>
        <v>1010485.8518518519</v>
      </c>
      <c r="AC2364" s="6">
        <f t="shared" si="346"/>
        <v>62666.928148148116</v>
      </c>
      <c r="AD2364" s="13">
        <f t="shared" si="350"/>
        <v>1073152.78</v>
      </c>
      <c r="AE2364" s="2">
        <v>0.18</v>
      </c>
      <c r="AF2364" s="5">
        <f t="shared" si="347"/>
        <v>193167.50039999999</v>
      </c>
      <c r="AG2364" s="2">
        <v>0</v>
      </c>
      <c r="AH2364" s="5">
        <f t="shared" si="351"/>
        <v>1073152.78</v>
      </c>
      <c r="AJ2364" s="126" t="e">
        <v>#N/A</v>
      </c>
      <c r="AK2364" s="80">
        <f t="shared" si="348"/>
        <v>0</v>
      </c>
      <c r="AM2364" s="85"/>
    </row>
    <row r="2365" spans="1:39" hidden="1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49"/>
        <v>900000</v>
      </c>
      <c r="X2365" s="13">
        <v>0</v>
      </c>
      <c r="Y2365" s="13">
        <f t="shared" si="344"/>
        <v>0</v>
      </c>
      <c r="Z2365" s="2">
        <v>0</v>
      </c>
      <c r="AA2365" s="4">
        <v>0</v>
      </c>
      <c r="AB2365" s="4">
        <f t="shared" si="345"/>
        <v>0</v>
      </c>
      <c r="AC2365" s="6">
        <f t="shared" si="346"/>
        <v>32000</v>
      </c>
      <c r="AD2365" s="13">
        <f t="shared" si="350"/>
        <v>32000</v>
      </c>
      <c r="AE2365" s="2">
        <v>0.09</v>
      </c>
      <c r="AF2365" s="5">
        <f t="shared" si="347"/>
        <v>2880</v>
      </c>
      <c r="AG2365" s="2">
        <v>0</v>
      </c>
      <c r="AH2365" s="5">
        <f t="shared" si="351"/>
        <v>32000</v>
      </c>
      <c r="AJ2365" s="126" t="e">
        <v>#N/A</v>
      </c>
      <c r="AK2365" s="80">
        <f t="shared" si="348"/>
        <v>0</v>
      </c>
      <c r="AM2365" s="85"/>
    </row>
    <row r="2366" spans="1:39" hidden="1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49"/>
        <v>353089.81000000093</v>
      </c>
      <c r="X2366" s="13">
        <f t="shared" si="352"/>
        <v>393800.18</v>
      </c>
      <c r="Y2366" s="13">
        <f t="shared" si="344"/>
        <v>0</v>
      </c>
      <c r="Z2366" s="2">
        <v>0</v>
      </c>
      <c r="AA2366" s="4">
        <v>0</v>
      </c>
      <c r="AB2366" s="4">
        <f t="shared" si="345"/>
        <v>393800.18</v>
      </c>
      <c r="AC2366" s="6">
        <f t="shared" si="346"/>
        <v>0</v>
      </c>
      <c r="AD2366" s="13">
        <f t="shared" si="350"/>
        <v>393800.18</v>
      </c>
      <c r="AE2366" s="2">
        <v>0.09</v>
      </c>
      <c r="AF2366" s="5">
        <f t="shared" si="347"/>
        <v>35442.016199999998</v>
      </c>
      <c r="AG2366" s="2">
        <v>0</v>
      </c>
      <c r="AH2366" s="5">
        <f t="shared" si="351"/>
        <v>393800.18</v>
      </c>
      <c r="AJ2366" s="126" t="e">
        <v>#N/A</v>
      </c>
      <c r="AK2366" s="80">
        <f t="shared" si="348"/>
        <v>0</v>
      </c>
      <c r="AM2366" s="85"/>
    </row>
    <row r="2367" spans="1:39" hidden="1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49"/>
        <v>29980</v>
      </c>
      <c r="X2367" s="13">
        <f t="shared" si="352"/>
        <v>20</v>
      </c>
      <c r="Y2367" s="13">
        <f t="shared" si="344"/>
        <v>0</v>
      </c>
      <c r="Z2367" s="2">
        <v>0</v>
      </c>
      <c r="AA2367" s="4">
        <v>0</v>
      </c>
      <c r="AB2367" s="4">
        <f t="shared" si="345"/>
        <v>20</v>
      </c>
      <c r="AC2367" s="6">
        <f t="shared" si="346"/>
        <v>0</v>
      </c>
      <c r="AD2367" s="13">
        <f t="shared" si="350"/>
        <v>20</v>
      </c>
      <c r="AE2367" s="2">
        <v>0.09</v>
      </c>
      <c r="AF2367" s="5">
        <f t="shared" si="347"/>
        <v>1.7999999999999998</v>
      </c>
      <c r="AG2367" s="2">
        <v>0</v>
      </c>
      <c r="AH2367" s="5">
        <f t="shared" si="351"/>
        <v>20</v>
      </c>
      <c r="AJ2367" s="126" t="e">
        <v>#N/A</v>
      </c>
      <c r="AK2367" s="80">
        <f t="shared" si="348"/>
        <v>0</v>
      </c>
      <c r="AM2367" s="85"/>
    </row>
    <row r="2368" spans="1:39" hidden="1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49"/>
        <v>0</v>
      </c>
      <c r="X2368" s="13">
        <v>0</v>
      </c>
      <c r="Y2368" s="13">
        <f t="shared" si="344"/>
        <v>0</v>
      </c>
      <c r="Z2368" s="2">
        <v>0</v>
      </c>
      <c r="AA2368" s="4">
        <v>0</v>
      </c>
      <c r="AB2368" s="4">
        <f t="shared" si="345"/>
        <v>0</v>
      </c>
      <c r="AC2368" s="6">
        <f t="shared" si="346"/>
        <v>8000</v>
      </c>
      <c r="AD2368" s="13">
        <f t="shared" si="350"/>
        <v>8000</v>
      </c>
      <c r="AE2368" s="2">
        <v>0.18</v>
      </c>
      <c r="AF2368" s="5">
        <f t="shared" si="347"/>
        <v>1440</v>
      </c>
      <c r="AG2368" s="2">
        <v>0</v>
      </c>
      <c r="AH2368" s="5">
        <f t="shared" si="351"/>
        <v>8000</v>
      </c>
      <c r="AJ2368" s="126" t="e">
        <v>#N/A</v>
      </c>
      <c r="AK2368" s="80">
        <f t="shared" si="348"/>
        <v>0</v>
      </c>
      <c r="AM2368" s="85"/>
    </row>
    <row r="2369" spans="1:39" hidden="1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49"/>
        <v>10388.010000000009</v>
      </c>
      <c r="X2369" s="13">
        <f t="shared" si="352"/>
        <v>69536.63366336633</v>
      </c>
      <c r="Y2369" s="13">
        <f t="shared" si="344"/>
        <v>0</v>
      </c>
      <c r="Z2369" s="2">
        <v>0</v>
      </c>
      <c r="AA2369" s="4">
        <v>0</v>
      </c>
      <c r="AB2369" s="4">
        <f t="shared" si="345"/>
        <v>69536.63366336633</v>
      </c>
      <c r="AC2369" s="6">
        <f t="shared" si="346"/>
        <v>695.36633663366956</v>
      </c>
      <c r="AD2369" s="13">
        <f t="shared" si="350"/>
        <v>70232</v>
      </c>
      <c r="AE2369" s="2">
        <v>0.09</v>
      </c>
      <c r="AF2369" s="5">
        <f t="shared" si="347"/>
        <v>6320.88</v>
      </c>
      <c r="AG2369" s="2">
        <v>0</v>
      </c>
      <c r="AH2369" s="5">
        <f t="shared" si="351"/>
        <v>70232</v>
      </c>
      <c r="AJ2369" s="126" t="e">
        <v>#N/A</v>
      </c>
      <c r="AK2369" s="80">
        <f t="shared" si="348"/>
        <v>0</v>
      </c>
      <c r="AM2369" s="85"/>
    </row>
    <row r="2370" spans="1:39" hidden="1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49"/>
        <v>34181</v>
      </c>
      <c r="X2370" s="13">
        <f t="shared" si="352"/>
        <v>97335.148514851491</v>
      </c>
      <c r="Y2370" s="13">
        <f t="shared" si="344"/>
        <v>0</v>
      </c>
      <c r="Z2370" s="2">
        <v>0</v>
      </c>
      <c r="AA2370" s="4">
        <v>0</v>
      </c>
      <c r="AB2370" s="4">
        <f t="shared" si="345"/>
        <v>97335.148514851491</v>
      </c>
      <c r="AC2370" s="6">
        <f t="shared" si="346"/>
        <v>973.3514851485088</v>
      </c>
      <c r="AD2370" s="13">
        <f t="shared" si="350"/>
        <v>98308.5</v>
      </c>
      <c r="AE2370" s="2">
        <v>0.09</v>
      </c>
      <c r="AF2370" s="5">
        <f t="shared" si="347"/>
        <v>8847.7649999999994</v>
      </c>
      <c r="AG2370" s="2">
        <v>0</v>
      </c>
      <c r="AH2370" s="5">
        <f t="shared" si="351"/>
        <v>98308.5</v>
      </c>
      <c r="AJ2370" s="126" t="e">
        <v>#N/A</v>
      </c>
      <c r="AK2370" s="80">
        <f t="shared" si="348"/>
        <v>0</v>
      </c>
      <c r="AM2370" s="85"/>
    </row>
    <row r="2371" spans="1:39" hidden="1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49"/>
        <v>0</v>
      </c>
      <c r="X2371" s="13">
        <v>0</v>
      </c>
      <c r="Y2371" s="13">
        <f t="shared" ref="Y2371:Y2434" si="35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54">X2371+AA2371</f>
        <v>0</v>
      </c>
      <c r="AC2371" s="6">
        <f t="shared" ref="AC2371:AC2434" si="355">IF(P2371="返现",X2371*Q2371,V2371-X2371)</f>
        <v>809.96</v>
      </c>
      <c r="AD2371" s="13">
        <f t="shared" si="350"/>
        <v>809.96</v>
      </c>
      <c r="AE2371" s="2">
        <v>0.09</v>
      </c>
      <c r="AF2371" s="5">
        <f t="shared" ref="AF2371:AF2434" si="356">AD2371*AE2371</f>
        <v>72.8964</v>
      </c>
      <c r="AG2371" s="2">
        <v>0</v>
      </c>
      <c r="AH2371" s="5">
        <f t="shared" si="351"/>
        <v>809.96</v>
      </c>
      <c r="AJ2371" s="126" t="e">
        <v>#N/A</v>
      </c>
      <c r="AK2371" s="80">
        <f t="shared" ref="AK2371:AK2434" si="357">X2371+AA2371-AB2371</f>
        <v>0</v>
      </c>
      <c r="AM2371" s="85"/>
    </row>
    <row r="2372" spans="1:39" hidden="1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49"/>
        <v>35064.97000000003</v>
      </c>
      <c r="X2372" s="13">
        <f t="shared" si="352"/>
        <v>94437.03</v>
      </c>
      <c r="Y2372" s="13">
        <f t="shared" si="353"/>
        <v>0</v>
      </c>
      <c r="Z2372" s="2">
        <v>0</v>
      </c>
      <c r="AA2372" s="4">
        <v>0</v>
      </c>
      <c r="AB2372" s="4">
        <f t="shared" si="354"/>
        <v>94437.03</v>
      </c>
      <c r="AC2372" s="6">
        <f t="shared" si="355"/>
        <v>0</v>
      </c>
      <c r="AD2372" s="13">
        <f t="shared" si="350"/>
        <v>94437.03</v>
      </c>
      <c r="AE2372" s="2">
        <v>0.09</v>
      </c>
      <c r="AF2372" s="5">
        <f t="shared" si="356"/>
        <v>8499.332699999999</v>
      </c>
      <c r="AG2372" s="2">
        <v>0</v>
      </c>
      <c r="AH2372" s="5">
        <f t="shared" si="351"/>
        <v>94437.03</v>
      </c>
      <c r="AJ2372" s="126" t="e">
        <v>#N/A</v>
      </c>
      <c r="AK2372" s="80">
        <f t="shared" si="357"/>
        <v>0</v>
      </c>
      <c r="AM2372" s="85"/>
    </row>
    <row r="2373" spans="1:39" hidden="1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49"/>
        <v>6498</v>
      </c>
      <c r="X2373" s="13">
        <f t="shared" si="352"/>
        <v>3502</v>
      </c>
      <c r="Y2373" s="13">
        <f t="shared" si="353"/>
        <v>0</v>
      </c>
      <c r="Z2373" s="2">
        <v>0</v>
      </c>
      <c r="AA2373" s="4">
        <v>0</v>
      </c>
      <c r="AB2373" s="4">
        <f t="shared" si="354"/>
        <v>3502</v>
      </c>
      <c r="AC2373" s="6">
        <f t="shared" si="355"/>
        <v>0</v>
      </c>
      <c r="AD2373" s="13">
        <f t="shared" si="350"/>
        <v>3502</v>
      </c>
      <c r="AE2373" s="2">
        <v>0.09</v>
      </c>
      <c r="AF2373" s="5">
        <f t="shared" si="356"/>
        <v>315.18</v>
      </c>
      <c r="AG2373" s="2">
        <v>0</v>
      </c>
      <c r="AH2373" s="5">
        <f t="shared" si="351"/>
        <v>3502</v>
      </c>
      <c r="AJ2373" s="126" t="e">
        <v>#N/A</v>
      </c>
      <c r="AK2373" s="80">
        <f t="shared" si="357"/>
        <v>0</v>
      </c>
      <c r="AM2373" s="85"/>
    </row>
    <row r="2374" spans="1:39" hidden="1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49"/>
        <v>14599.5</v>
      </c>
      <c r="X2374" s="13">
        <f t="shared" si="352"/>
        <v>5400.5</v>
      </c>
      <c r="Y2374" s="13">
        <f t="shared" si="353"/>
        <v>0</v>
      </c>
      <c r="Z2374" s="2">
        <v>0</v>
      </c>
      <c r="AA2374" s="4">
        <v>0</v>
      </c>
      <c r="AB2374" s="4"/>
      <c r="AC2374" s="6">
        <f t="shared" si="355"/>
        <v>0</v>
      </c>
      <c r="AD2374" s="13">
        <f t="shared" si="350"/>
        <v>5400.5</v>
      </c>
      <c r="AE2374" s="2">
        <v>0.09</v>
      </c>
      <c r="AF2374" s="5">
        <f t="shared" si="356"/>
        <v>486.04499999999996</v>
      </c>
      <c r="AG2374" s="2">
        <v>0</v>
      </c>
      <c r="AH2374" s="5">
        <f t="shared" si="351"/>
        <v>5400.5</v>
      </c>
      <c r="AJ2374" s="126">
        <v>119</v>
      </c>
      <c r="AK2374" s="80">
        <f t="shared" si="357"/>
        <v>5400.5</v>
      </c>
      <c r="AM2374" s="85"/>
    </row>
    <row r="2375" spans="1:39" hidden="1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49"/>
        <v>589854.20999999973</v>
      </c>
      <c r="X2375" s="13">
        <f t="shared" si="352"/>
        <v>249830.53</v>
      </c>
      <c r="Y2375" s="13">
        <f t="shared" si="353"/>
        <v>0</v>
      </c>
      <c r="Z2375" s="2">
        <v>0</v>
      </c>
      <c r="AA2375" s="4">
        <v>0</v>
      </c>
      <c r="AB2375" s="4">
        <f t="shared" si="354"/>
        <v>249830.53</v>
      </c>
      <c r="AC2375" s="6">
        <f t="shared" si="355"/>
        <v>0</v>
      </c>
      <c r="AD2375" s="13">
        <f t="shared" si="350"/>
        <v>249830.53</v>
      </c>
      <c r="AE2375" s="2">
        <v>0.09</v>
      </c>
      <c r="AF2375" s="5">
        <f t="shared" si="356"/>
        <v>22484.7477</v>
      </c>
      <c r="AG2375" s="2">
        <v>0</v>
      </c>
      <c r="AH2375" s="5">
        <f t="shared" si="351"/>
        <v>249830.53</v>
      </c>
      <c r="AJ2375" s="126" t="e">
        <v>#N/A</v>
      </c>
      <c r="AK2375" s="80">
        <f t="shared" si="357"/>
        <v>0</v>
      </c>
      <c r="AM2375" s="85"/>
    </row>
    <row r="2376" spans="1:39" hidden="1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49"/>
        <v>191611.50999999983</v>
      </c>
      <c r="X2376" s="13">
        <f t="shared" si="352"/>
        <v>411220.18719211844</v>
      </c>
      <c r="Y2376" s="13">
        <f t="shared" si="353"/>
        <v>0</v>
      </c>
      <c r="Z2376" s="2">
        <v>0</v>
      </c>
      <c r="AA2376" s="4">
        <v>0</v>
      </c>
      <c r="AB2376" s="4">
        <f t="shared" si="354"/>
        <v>411220.18719211844</v>
      </c>
      <c r="AC2376" s="6">
        <f t="shared" si="355"/>
        <v>6168.3028078817297</v>
      </c>
      <c r="AD2376" s="13">
        <f t="shared" si="350"/>
        <v>417388.49000000017</v>
      </c>
      <c r="AE2376" s="2">
        <v>0.09</v>
      </c>
      <c r="AF2376" s="5">
        <f t="shared" si="356"/>
        <v>37564.964100000012</v>
      </c>
      <c r="AG2376" s="2">
        <v>0</v>
      </c>
      <c r="AH2376" s="5">
        <f t="shared" si="351"/>
        <v>417388.49000000017</v>
      </c>
      <c r="AJ2376" s="126" t="e">
        <v>#N/A</v>
      </c>
      <c r="AK2376" s="80">
        <f t="shared" si="357"/>
        <v>0</v>
      </c>
      <c r="AM2376" s="85"/>
    </row>
    <row r="2377" spans="1:39" hidden="1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49"/>
        <v>0</v>
      </c>
      <c r="X2377" s="13">
        <f t="shared" si="352"/>
        <v>58403.656862744909</v>
      </c>
      <c r="Y2377" s="13">
        <f t="shared" si="353"/>
        <v>0</v>
      </c>
      <c r="Z2377" s="2">
        <v>0</v>
      </c>
      <c r="AA2377" s="4">
        <v>0</v>
      </c>
      <c r="AB2377" s="4">
        <f t="shared" si="354"/>
        <v>58403.656862744909</v>
      </c>
      <c r="AC2377" s="6">
        <f t="shared" si="355"/>
        <v>1168.073137254898</v>
      </c>
      <c r="AD2377" s="13">
        <f t="shared" si="350"/>
        <v>59571.729999999807</v>
      </c>
      <c r="AE2377" s="2">
        <v>0.09</v>
      </c>
      <c r="AF2377" s="5">
        <f t="shared" si="356"/>
        <v>5361.4556999999822</v>
      </c>
      <c r="AG2377" s="2">
        <v>0</v>
      </c>
      <c r="AH2377" s="5">
        <f t="shared" si="351"/>
        <v>59571.729999999807</v>
      </c>
      <c r="AJ2377" s="126" t="e">
        <v>#N/A</v>
      </c>
      <c r="AK2377" s="80">
        <f t="shared" si="357"/>
        <v>0</v>
      </c>
      <c r="AM2377" s="85"/>
    </row>
    <row r="2378" spans="1:39" hidden="1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49"/>
        <v>185211.16999999993</v>
      </c>
      <c r="X2378" s="13">
        <f t="shared" si="352"/>
        <v>617525.94088669959</v>
      </c>
      <c r="Y2378" s="13">
        <f t="shared" si="353"/>
        <v>0</v>
      </c>
      <c r="Z2378" s="2">
        <v>0</v>
      </c>
      <c r="AA2378" s="4">
        <v>0</v>
      </c>
      <c r="AB2378" s="4">
        <f t="shared" si="354"/>
        <v>617525.94088669959</v>
      </c>
      <c r="AC2378" s="6">
        <f t="shared" si="355"/>
        <v>9262.8891133004799</v>
      </c>
      <c r="AD2378" s="13">
        <f t="shared" si="350"/>
        <v>626788.83000000007</v>
      </c>
      <c r="AE2378" s="2">
        <v>0.09</v>
      </c>
      <c r="AF2378" s="5">
        <f t="shared" si="356"/>
        <v>56410.994700000003</v>
      </c>
      <c r="AG2378" s="2">
        <v>0</v>
      </c>
      <c r="AH2378" s="5">
        <f t="shared" si="351"/>
        <v>626788.83000000007</v>
      </c>
      <c r="AJ2378" s="126" t="e">
        <v>#N/A</v>
      </c>
      <c r="AK2378" s="80">
        <f t="shared" si="357"/>
        <v>0</v>
      </c>
      <c r="AM2378" s="85"/>
    </row>
    <row r="2379" spans="1:39" hidden="1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49"/>
        <v>0</v>
      </c>
      <c r="X2379" s="13">
        <f t="shared" si="352"/>
        <v>112091.59803921562</v>
      </c>
      <c r="Y2379" s="13">
        <f t="shared" si="353"/>
        <v>0</v>
      </c>
      <c r="Z2379" s="2">
        <v>0</v>
      </c>
      <c r="AA2379" s="4">
        <v>0</v>
      </c>
      <c r="AB2379" s="4">
        <f t="shared" si="354"/>
        <v>112091.59803921562</v>
      </c>
      <c r="AC2379" s="6">
        <f t="shared" si="355"/>
        <v>2241.831960784315</v>
      </c>
      <c r="AD2379" s="13">
        <f t="shared" si="350"/>
        <v>114333.42999999993</v>
      </c>
      <c r="AE2379" s="2">
        <v>0.09</v>
      </c>
      <c r="AF2379" s="5">
        <f t="shared" si="356"/>
        <v>10290.008699999993</v>
      </c>
      <c r="AG2379" s="2">
        <v>0</v>
      </c>
      <c r="AH2379" s="5">
        <f t="shared" si="351"/>
        <v>114333.42999999993</v>
      </c>
      <c r="AJ2379" s="126" t="e">
        <v>#N/A</v>
      </c>
      <c r="AK2379" s="80">
        <f t="shared" si="357"/>
        <v>0</v>
      </c>
      <c r="AM2379" s="85"/>
    </row>
    <row r="2380" spans="1:39" hidden="1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49"/>
        <v>24573.079999999987</v>
      </c>
      <c r="X2380" s="13">
        <f t="shared" si="352"/>
        <v>75790.068965517261</v>
      </c>
      <c r="Y2380" s="13">
        <f t="shared" si="353"/>
        <v>0</v>
      </c>
      <c r="Z2380" s="2">
        <v>0</v>
      </c>
      <c r="AA2380" s="4">
        <v>0</v>
      </c>
      <c r="AB2380" s="4">
        <f t="shared" si="354"/>
        <v>75790.068965517261</v>
      </c>
      <c r="AC2380" s="6">
        <f t="shared" si="355"/>
        <v>1136.8510344827519</v>
      </c>
      <c r="AD2380" s="13">
        <f t="shared" si="350"/>
        <v>76926.920000000013</v>
      </c>
      <c r="AE2380" s="2">
        <v>0.09</v>
      </c>
      <c r="AF2380" s="5">
        <f t="shared" si="356"/>
        <v>6923.4228000000012</v>
      </c>
      <c r="AG2380" s="2">
        <v>0</v>
      </c>
      <c r="AH2380" s="5">
        <f t="shared" si="351"/>
        <v>76926.920000000013</v>
      </c>
      <c r="AJ2380" s="126" t="e">
        <v>#N/A</v>
      </c>
      <c r="AK2380" s="80">
        <f t="shared" si="357"/>
        <v>0</v>
      </c>
      <c r="AM2380" s="85"/>
    </row>
    <row r="2381" spans="1:39" hidden="1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49"/>
        <v>0</v>
      </c>
      <c r="X2381" s="13">
        <f t="shared" si="352"/>
        <v>10915.499999999984</v>
      </c>
      <c r="Y2381" s="13">
        <f t="shared" si="353"/>
        <v>0</v>
      </c>
      <c r="Z2381" s="2">
        <v>0</v>
      </c>
      <c r="AA2381" s="4">
        <v>0</v>
      </c>
      <c r="AB2381" s="4">
        <f t="shared" si="354"/>
        <v>10915.499999999984</v>
      </c>
      <c r="AC2381" s="6">
        <f t="shared" si="355"/>
        <v>218.30999999999949</v>
      </c>
      <c r="AD2381" s="13">
        <f t="shared" si="350"/>
        <v>11133.809999999983</v>
      </c>
      <c r="AE2381" s="2">
        <v>0.09</v>
      </c>
      <c r="AF2381" s="5">
        <f t="shared" si="356"/>
        <v>1002.0428999999984</v>
      </c>
      <c r="AG2381" s="2">
        <v>0</v>
      </c>
      <c r="AH2381" s="5">
        <f t="shared" si="351"/>
        <v>11133.809999999983</v>
      </c>
      <c r="AJ2381" s="126" t="e">
        <v>#N/A</v>
      </c>
      <c r="AK2381" s="80">
        <f t="shared" si="357"/>
        <v>0</v>
      </c>
      <c r="AM2381" s="85"/>
    </row>
    <row r="2382" spans="1:39" hidden="1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49"/>
        <v>-523192.05</v>
      </c>
      <c r="X2382" s="13">
        <f t="shared" si="352"/>
        <v>30485.819047619047</v>
      </c>
      <c r="Y2382" s="13">
        <f t="shared" si="353"/>
        <v>0</v>
      </c>
      <c r="Z2382" s="2">
        <v>0</v>
      </c>
      <c r="AA2382" s="4">
        <v>0</v>
      </c>
      <c r="AB2382" s="4">
        <f t="shared" si="354"/>
        <v>30485.819047619047</v>
      </c>
      <c r="AC2382" s="6">
        <f t="shared" si="355"/>
        <v>1524.290952380954</v>
      </c>
      <c r="AD2382" s="13">
        <f t="shared" si="350"/>
        <v>32010.11</v>
      </c>
      <c r="AE2382" s="2">
        <v>0.18</v>
      </c>
      <c r="AF2382" s="5">
        <f t="shared" si="356"/>
        <v>5761.8198000000002</v>
      </c>
      <c r="AG2382" s="2">
        <v>0</v>
      </c>
      <c r="AH2382" s="5">
        <f t="shared" si="351"/>
        <v>32010.11</v>
      </c>
      <c r="AJ2382" s="126" t="e">
        <v>#N/A</v>
      </c>
      <c r="AK2382" s="80">
        <f t="shared" si="357"/>
        <v>0</v>
      </c>
      <c r="AM2382" s="85"/>
    </row>
    <row r="2383" spans="1:39" hidden="1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49"/>
        <v>574265.08999999985</v>
      </c>
      <c r="X2383" s="13">
        <f t="shared" si="352"/>
        <v>72501.892156862741</v>
      </c>
      <c r="Y2383" s="13">
        <f t="shared" si="353"/>
        <v>0</v>
      </c>
      <c r="Z2383" s="2">
        <v>0</v>
      </c>
      <c r="AA2383" s="4">
        <v>0</v>
      </c>
      <c r="AB2383" s="4">
        <f t="shared" si="354"/>
        <v>72501.892156862741</v>
      </c>
      <c r="AC2383" s="6">
        <f t="shared" si="355"/>
        <v>1450.0378431372519</v>
      </c>
      <c r="AD2383" s="13">
        <f t="shared" si="350"/>
        <v>73951.929999999993</v>
      </c>
      <c r="AE2383" s="2">
        <v>0.09</v>
      </c>
      <c r="AF2383" s="5">
        <f t="shared" si="356"/>
        <v>6655.6736999999994</v>
      </c>
      <c r="AG2383" s="2">
        <v>0</v>
      </c>
      <c r="AH2383" s="5">
        <f t="shared" si="351"/>
        <v>73951.929999999993</v>
      </c>
      <c r="AJ2383" s="126" t="e">
        <v>#N/A</v>
      </c>
      <c r="AK2383" s="80">
        <f t="shared" si="357"/>
        <v>0</v>
      </c>
      <c r="AM2383" s="85"/>
    </row>
    <row r="2384" spans="1:39" hidden="1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49"/>
        <v>49140.679999999891</v>
      </c>
      <c r="X2384" s="13">
        <f t="shared" si="352"/>
        <v>104967.89</v>
      </c>
      <c r="Y2384" s="13">
        <f t="shared" si="353"/>
        <v>0</v>
      </c>
      <c r="Z2384" s="2">
        <v>0</v>
      </c>
      <c r="AA2384" s="4">
        <v>0</v>
      </c>
      <c r="AB2384" s="4">
        <f t="shared" si="354"/>
        <v>104967.89</v>
      </c>
      <c r="AC2384" s="6">
        <f t="shared" si="355"/>
        <v>0</v>
      </c>
      <c r="AD2384" s="13">
        <f t="shared" si="350"/>
        <v>104967.89</v>
      </c>
      <c r="AE2384" s="2">
        <v>0.09</v>
      </c>
      <c r="AF2384" s="5">
        <f t="shared" si="356"/>
        <v>9447.1100999999999</v>
      </c>
      <c r="AG2384" s="2">
        <v>0</v>
      </c>
      <c r="AH2384" s="5">
        <f t="shared" si="351"/>
        <v>104967.89</v>
      </c>
      <c r="AJ2384" s="126" t="e">
        <v>#N/A</v>
      </c>
      <c r="AK2384" s="80">
        <f t="shared" si="357"/>
        <v>0</v>
      </c>
      <c r="AM2384" s="85"/>
    </row>
    <row r="2385" spans="1:39" hidden="1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49"/>
        <v>6000</v>
      </c>
      <c r="X2385" s="13">
        <f t="shared" si="352"/>
        <v>23529.411764705881</v>
      </c>
      <c r="Y2385" s="13">
        <f t="shared" si="353"/>
        <v>0</v>
      </c>
      <c r="Z2385" s="2">
        <v>0</v>
      </c>
      <c r="AA2385" s="4">
        <v>0</v>
      </c>
      <c r="AB2385" s="4">
        <f t="shared" si="354"/>
        <v>23529.411764705881</v>
      </c>
      <c r="AC2385" s="6">
        <f t="shared" si="355"/>
        <v>470.58823529411893</v>
      </c>
      <c r="AD2385" s="13">
        <f t="shared" si="350"/>
        <v>24000</v>
      </c>
      <c r="AE2385" s="2">
        <v>0.09</v>
      </c>
      <c r="AF2385" s="5">
        <f t="shared" si="356"/>
        <v>2160</v>
      </c>
      <c r="AG2385" s="2">
        <v>0</v>
      </c>
      <c r="AH2385" s="5">
        <f t="shared" si="351"/>
        <v>24000</v>
      </c>
      <c r="AJ2385" s="126" t="e">
        <v>#N/A</v>
      </c>
      <c r="AK2385" s="80">
        <f t="shared" si="357"/>
        <v>0</v>
      </c>
      <c r="AM2385" s="85"/>
    </row>
    <row r="2386" spans="1:39" hidden="1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49"/>
        <v>11440.390000000025</v>
      </c>
      <c r="X2386" s="13">
        <f t="shared" si="352"/>
        <v>28559.609999999975</v>
      </c>
      <c r="Y2386" s="13">
        <f t="shared" si="353"/>
        <v>0</v>
      </c>
      <c r="Z2386" s="2">
        <v>0</v>
      </c>
      <c r="AA2386" s="4">
        <v>0</v>
      </c>
      <c r="AB2386" s="4">
        <f t="shared" si="354"/>
        <v>28559.609999999975</v>
      </c>
      <c r="AC2386" s="6">
        <f t="shared" si="355"/>
        <v>0</v>
      </c>
      <c r="AD2386" s="13">
        <f t="shared" si="350"/>
        <v>28559.609999999975</v>
      </c>
      <c r="AE2386" s="2">
        <v>0.09</v>
      </c>
      <c r="AF2386" s="5">
        <f t="shared" si="356"/>
        <v>2570.3648999999978</v>
      </c>
      <c r="AG2386" s="2">
        <v>0</v>
      </c>
      <c r="AH2386" s="5">
        <f t="shared" si="351"/>
        <v>28559.609999999975</v>
      </c>
      <c r="AJ2386" s="126" t="e">
        <v>#N/A</v>
      </c>
      <c r="AK2386" s="80">
        <f t="shared" si="357"/>
        <v>0</v>
      </c>
      <c r="AM2386" s="85"/>
    </row>
    <row r="2387" spans="1:39" hidden="1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49"/>
        <v>304187.91999999993</v>
      </c>
      <c r="X2387" s="13">
        <f t="shared" si="352"/>
        <v>801776.54901960795</v>
      </c>
      <c r="Y2387" s="13">
        <f t="shared" si="353"/>
        <v>0</v>
      </c>
      <c r="Z2387" s="2">
        <v>0</v>
      </c>
      <c r="AA2387" s="4">
        <v>0</v>
      </c>
      <c r="AB2387" s="4">
        <f t="shared" si="354"/>
        <v>801776.54901960795</v>
      </c>
      <c r="AC2387" s="6">
        <f t="shared" si="355"/>
        <v>16035.530980392126</v>
      </c>
      <c r="AD2387" s="13">
        <f t="shared" si="350"/>
        <v>817812.08000000007</v>
      </c>
      <c r="AE2387" s="2">
        <v>0.09</v>
      </c>
      <c r="AF2387" s="5">
        <f t="shared" si="356"/>
        <v>73603.087200000009</v>
      </c>
      <c r="AG2387" s="2">
        <v>0</v>
      </c>
      <c r="AH2387" s="5">
        <f t="shared" si="351"/>
        <v>817812.08000000007</v>
      </c>
      <c r="AJ2387" s="126" t="e">
        <v>#N/A</v>
      </c>
      <c r="AK2387" s="80">
        <f t="shared" si="357"/>
        <v>0</v>
      </c>
      <c r="AM2387" s="85"/>
    </row>
    <row r="2388" spans="1:39" hidden="1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58">T2388+U2388-V2388</f>
        <v>692168.9</v>
      </c>
      <c r="X2388" s="13">
        <f t="shared" si="352"/>
        <v>426315.07843137253</v>
      </c>
      <c r="Y2388" s="13">
        <f t="shared" si="353"/>
        <v>0</v>
      </c>
      <c r="Z2388" s="2">
        <v>0</v>
      </c>
      <c r="AA2388" s="4">
        <v>0</v>
      </c>
      <c r="AB2388" s="4">
        <f t="shared" si="354"/>
        <v>426315.07843137253</v>
      </c>
      <c r="AC2388" s="6">
        <f t="shared" si="355"/>
        <v>8526.3015686274739</v>
      </c>
      <c r="AD2388" s="13">
        <f t="shared" ref="AD2388:AD2451" si="359">V2388</f>
        <v>434841.38</v>
      </c>
      <c r="AE2388" s="2">
        <v>0.09</v>
      </c>
      <c r="AF2388" s="5">
        <f t="shared" si="356"/>
        <v>39135.724199999997</v>
      </c>
      <c r="AG2388" s="2">
        <v>0</v>
      </c>
      <c r="AH2388" s="5">
        <f t="shared" ref="AH2388:AH2451" si="360">V2388</f>
        <v>434841.38</v>
      </c>
      <c r="AJ2388" s="126" t="e">
        <v>#N/A</v>
      </c>
      <c r="AK2388" s="80">
        <f t="shared" si="357"/>
        <v>0</v>
      </c>
      <c r="AM2388" s="85"/>
    </row>
    <row r="2389" spans="1:39" hidden="1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58"/>
        <v>31811.899999999991</v>
      </c>
      <c r="X2389" s="13">
        <f t="shared" si="352"/>
        <v>18221.45</v>
      </c>
      <c r="Y2389" s="13">
        <f t="shared" si="353"/>
        <v>0</v>
      </c>
      <c r="Z2389" s="2">
        <v>0</v>
      </c>
      <c r="AA2389" s="4">
        <v>0</v>
      </c>
      <c r="AB2389" s="4">
        <f t="shared" si="354"/>
        <v>18221.45</v>
      </c>
      <c r="AC2389" s="6">
        <f t="shared" si="355"/>
        <v>0</v>
      </c>
      <c r="AD2389" s="13">
        <f t="shared" si="359"/>
        <v>18221.45</v>
      </c>
      <c r="AE2389" s="2">
        <v>0.09</v>
      </c>
      <c r="AF2389" s="5">
        <f t="shared" si="356"/>
        <v>1639.9304999999999</v>
      </c>
      <c r="AG2389" s="2">
        <v>0</v>
      </c>
      <c r="AH2389" s="5">
        <f t="shared" si="360"/>
        <v>18221.45</v>
      </c>
      <c r="AJ2389" s="126" t="e">
        <v>#N/A</v>
      </c>
      <c r="AK2389" s="80">
        <f t="shared" si="357"/>
        <v>0</v>
      </c>
      <c r="AM2389" s="85"/>
    </row>
    <row r="2390" spans="1:39" hidden="1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58"/>
        <v>213038.63999999996</v>
      </c>
      <c r="X2390" s="13">
        <f t="shared" si="352"/>
        <v>280541.68</v>
      </c>
      <c r="Y2390" s="13">
        <f t="shared" si="353"/>
        <v>0</v>
      </c>
      <c r="Z2390" s="2">
        <v>0</v>
      </c>
      <c r="AA2390" s="4">
        <v>0</v>
      </c>
      <c r="AB2390" s="4">
        <f t="shared" si="354"/>
        <v>280541.68</v>
      </c>
      <c r="AC2390" s="6">
        <f t="shared" si="355"/>
        <v>0</v>
      </c>
      <c r="AD2390" s="13">
        <f t="shared" si="359"/>
        <v>280541.68</v>
      </c>
      <c r="AE2390" s="2">
        <v>0.09</v>
      </c>
      <c r="AF2390" s="5">
        <f t="shared" si="356"/>
        <v>25248.751199999999</v>
      </c>
      <c r="AG2390" s="2">
        <v>0</v>
      </c>
      <c r="AH2390" s="5">
        <f t="shared" si="360"/>
        <v>280541.68</v>
      </c>
      <c r="AJ2390" s="126" t="e">
        <v>#N/A</v>
      </c>
      <c r="AK2390" s="80">
        <f t="shared" si="357"/>
        <v>0</v>
      </c>
      <c r="AM2390" s="85"/>
    </row>
    <row r="2391" spans="1:39" hidden="1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58"/>
        <v>170953.35</v>
      </c>
      <c r="X2391" s="13">
        <f t="shared" si="352"/>
        <v>212134.02</v>
      </c>
      <c r="Y2391" s="13">
        <f t="shared" si="353"/>
        <v>0</v>
      </c>
      <c r="Z2391" s="2">
        <v>0</v>
      </c>
      <c r="AA2391" s="4">
        <v>0</v>
      </c>
      <c r="AB2391" s="4">
        <f t="shared" si="354"/>
        <v>212134.02</v>
      </c>
      <c r="AC2391" s="6">
        <f t="shared" si="355"/>
        <v>0</v>
      </c>
      <c r="AD2391" s="13">
        <f t="shared" si="359"/>
        <v>212134.02</v>
      </c>
      <c r="AE2391" s="2">
        <v>0.09</v>
      </c>
      <c r="AF2391" s="5">
        <f t="shared" si="356"/>
        <v>19092.061799999999</v>
      </c>
      <c r="AG2391" s="2">
        <v>0</v>
      </c>
      <c r="AH2391" s="5">
        <f t="shared" si="360"/>
        <v>212134.02</v>
      </c>
      <c r="AJ2391" s="126" t="e">
        <v>#N/A</v>
      </c>
      <c r="AK2391" s="80">
        <f t="shared" si="357"/>
        <v>0</v>
      </c>
      <c r="AM2391" s="85"/>
    </row>
    <row r="2392" spans="1:39" hidden="1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58"/>
        <v>72308.950000000026</v>
      </c>
      <c r="X2392" s="13">
        <f t="shared" si="352"/>
        <v>95664.04</v>
      </c>
      <c r="Y2392" s="13">
        <f t="shared" si="353"/>
        <v>0</v>
      </c>
      <c r="Z2392" s="2">
        <v>0</v>
      </c>
      <c r="AA2392" s="4">
        <v>0</v>
      </c>
      <c r="AB2392" s="4">
        <f t="shared" si="354"/>
        <v>95664.04</v>
      </c>
      <c r="AC2392" s="6">
        <f t="shared" si="355"/>
        <v>0</v>
      </c>
      <c r="AD2392" s="13">
        <f t="shared" si="359"/>
        <v>95664.04</v>
      </c>
      <c r="AE2392" s="2">
        <v>0.09</v>
      </c>
      <c r="AF2392" s="5">
        <f t="shared" si="356"/>
        <v>8609.7635999999984</v>
      </c>
      <c r="AG2392" s="2">
        <v>0</v>
      </c>
      <c r="AH2392" s="5">
        <f t="shared" si="360"/>
        <v>95664.04</v>
      </c>
      <c r="AJ2392" s="126" t="e">
        <v>#N/A</v>
      </c>
      <c r="AK2392" s="80">
        <f t="shared" si="357"/>
        <v>0</v>
      </c>
      <c r="AM2392" s="85"/>
    </row>
    <row r="2393" spans="1:39" hidden="1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58"/>
        <v>1584257.0400000005</v>
      </c>
      <c r="X2393" s="13">
        <f t="shared" si="352"/>
        <v>1003424.19</v>
      </c>
      <c r="Y2393" s="13">
        <f t="shared" si="353"/>
        <v>0</v>
      </c>
      <c r="Z2393" s="2">
        <v>0</v>
      </c>
      <c r="AA2393" s="4">
        <v>0</v>
      </c>
      <c r="AB2393" s="4">
        <f t="shared" si="354"/>
        <v>1003424.19</v>
      </c>
      <c r="AC2393" s="6">
        <f t="shared" si="355"/>
        <v>0</v>
      </c>
      <c r="AD2393" s="13">
        <f t="shared" si="359"/>
        <v>1003424.19</v>
      </c>
      <c r="AE2393" s="2">
        <v>0.09</v>
      </c>
      <c r="AF2393" s="5">
        <f t="shared" si="356"/>
        <v>90308.177099999986</v>
      </c>
      <c r="AG2393" s="2">
        <v>0</v>
      </c>
      <c r="AH2393" s="5">
        <f t="shared" si="360"/>
        <v>1003424.19</v>
      </c>
      <c r="AJ2393" s="126" t="e">
        <v>#N/A</v>
      </c>
      <c r="AK2393" s="80">
        <f t="shared" si="357"/>
        <v>0</v>
      </c>
      <c r="AM2393" s="85"/>
    </row>
    <row r="2394" spans="1:39" hidden="1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58"/>
        <v>10943.73000000001</v>
      </c>
      <c r="X2394" s="13">
        <f t="shared" si="352"/>
        <v>52213.08</v>
      </c>
      <c r="Y2394" s="13">
        <f t="shared" si="353"/>
        <v>0</v>
      </c>
      <c r="Z2394" s="2">
        <v>0</v>
      </c>
      <c r="AA2394" s="4">
        <v>0</v>
      </c>
      <c r="AB2394" s="4">
        <f t="shared" si="354"/>
        <v>52213.08</v>
      </c>
      <c r="AC2394" s="6">
        <f t="shared" si="355"/>
        <v>0</v>
      </c>
      <c r="AD2394" s="13">
        <f t="shared" si="359"/>
        <v>52213.08</v>
      </c>
      <c r="AE2394" s="2">
        <v>0.18</v>
      </c>
      <c r="AF2394" s="5">
        <f t="shared" si="356"/>
        <v>9398.3544000000002</v>
      </c>
      <c r="AG2394" s="2">
        <v>0</v>
      </c>
      <c r="AH2394" s="5">
        <f t="shared" si="360"/>
        <v>52213.08</v>
      </c>
      <c r="AJ2394" s="126" t="e">
        <v>#N/A</v>
      </c>
      <c r="AK2394" s="80">
        <f t="shared" si="357"/>
        <v>0</v>
      </c>
      <c r="AM2394" s="85"/>
    </row>
    <row r="2395" spans="1:39" hidden="1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58"/>
        <v>72795.75</v>
      </c>
      <c r="X2395" s="13">
        <f t="shared" si="352"/>
        <v>237051.78217821781</v>
      </c>
      <c r="Y2395" s="13">
        <f t="shared" si="353"/>
        <v>0</v>
      </c>
      <c r="Z2395" s="2">
        <v>0</v>
      </c>
      <c r="AA2395" s="4">
        <v>0</v>
      </c>
      <c r="AB2395" s="4">
        <f t="shared" si="354"/>
        <v>237051.78217821781</v>
      </c>
      <c r="AC2395" s="6">
        <f t="shared" si="355"/>
        <v>2370.5178217821813</v>
      </c>
      <c r="AD2395" s="13">
        <f t="shared" si="359"/>
        <v>239422.3</v>
      </c>
      <c r="AE2395" s="2">
        <v>0.09</v>
      </c>
      <c r="AF2395" s="5">
        <f t="shared" si="356"/>
        <v>21548.006999999998</v>
      </c>
      <c r="AG2395" s="2">
        <v>0</v>
      </c>
      <c r="AH2395" s="5">
        <f t="shared" si="360"/>
        <v>239422.3</v>
      </c>
      <c r="AJ2395" s="126" t="e">
        <v>#N/A</v>
      </c>
      <c r="AK2395" s="80">
        <f t="shared" si="357"/>
        <v>0</v>
      </c>
      <c r="AM2395" s="85"/>
    </row>
    <row r="2396" spans="1:39" hidden="1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58"/>
        <v>9009.1799999999967</v>
      </c>
      <c r="X2396" s="13">
        <f t="shared" si="352"/>
        <v>7847.79</v>
      </c>
      <c r="Y2396" s="13">
        <f t="shared" si="353"/>
        <v>0</v>
      </c>
      <c r="Z2396" s="2">
        <v>0</v>
      </c>
      <c r="AA2396" s="4">
        <v>0</v>
      </c>
      <c r="AB2396" s="4">
        <f t="shared" si="354"/>
        <v>7847.79</v>
      </c>
      <c r="AC2396" s="6">
        <f t="shared" si="355"/>
        <v>0</v>
      </c>
      <c r="AD2396" s="13">
        <f t="shared" si="359"/>
        <v>7847.79</v>
      </c>
      <c r="AE2396" s="2">
        <v>0.09</v>
      </c>
      <c r="AF2396" s="5">
        <f t="shared" si="356"/>
        <v>706.30110000000002</v>
      </c>
      <c r="AG2396" s="2">
        <v>0</v>
      </c>
      <c r="AH2396" s="5">
        <f t="shared" si="360"/>
        <v>7847.79</v>
      </c>
      <c r="AJ2396" s="126" t="e">
        <v>#N/A</v>
      </c>
      <c r="AK2396" s="80">
        <f t="shared" si="357"/>
        <v>0</v>
      </c>
      <c r="AM2396" s="85"/>
    </row>
    <row r="2397" spans="1:39" hidden="1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58"/>
        <v>122108.09999999998</v>
      </c>
      <c r="X2397" s="13">
        <f t="shared" si="352"/>
        <v>977891.9</v>
      </c>
      <c r="Y2397" s="13">
        <f t="shared" si="353"/>
        <v>0</v>
      </c>
      <c r="Z2397" s="2">
        <v>0</v>
      </c>
      <c r="AA2397" s="4">
        <v>0</v>
      </c>
      <c r="AB2397" s="4">
        <f t="shared" si="354"/>
        <v>977891.9</v>
      </c>
      <c r="AC2397" s="6">
        <f t="shared" si="355"/>
        <v>0</v>
      </c>
      <c r="AD2397" s="13">
        <f t="shared" si="359"/>
        <v>977891.9</v>
      </c>
      <c r="AE2397" s="2">
        <v>0.09</v>
      </c>
      <c r="AF2397" s="5">
        <f t="shared" si="356"/>
        <v>88010.270999999993</v>
      </c>
      <c r="AG2397" s="2">
        <v>0</v>
      </c>
      <c r="AH2397" s="5">
        <f t="shared" si="360"/>
        <v>977891.9</v>
      </c>
      <c r="AJ2397" s="126" t="e">
        <v>#N/A</v>
      </c>
      <c r="AK2397" s="80">
        <f t="shared" si="357"/>
        <v>0</v>
      </c>
      <c r="AM2397" s="85"/>
    </row>
    <row r="2398" spans="1:39" hidden="1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58"/>
        <v>171562.6099999999</v>
      </c>
      <c r="X2398" s="13">
        <f t="shared" si="352"/>
        <v>154069.01960784313</v>
      </c>
      <c r="Y2398" s="13">
        <f t="shared" si="353"/>
        <v>0</v>
      </c>
      <c r="Z2398" s="2">
        <v>0</v>
      </c>
      <c r="AA2398" s="4">
        <v>0</v>
      </c>
      <c r="AB2398" s="4">
        <f t="shared" si="354"/>
        <v>154069.01960784313</v>
      </c>
      <c r="AC2398" s="6">
        <f t="shared" si="355"/>
        <v>3081.3803921568615</v>
      </c>
      <c r="AD2398" s="13">
        <f t="shared" si="359"/>
        <v>157150.39999999999</v>
      </c>
      <c r="AE2398" s="2">
        <v>0.09</v>
      </c>
      <c r="AF2398" s="5">
        <f t="shared" si="356"/>
        <v>14143.535999999998</v>
      </c>
      <c r="AG2398" s="2">
        <v>0</v>
      </c>
      <c r="AH2398" s="5">
        <f t="shared" si="360"/>
        <v>157150.39999999999</v>
      </c>
      <c r="AJ2398" s="126" t="e">
        <v>#N/A</v>
      </c>
      <c r="AK2398" s="80">
        <f t="shared" si="357"/>
        <v>0</v>
      </c>
      <c r="AM2398" s="85"/>
    </row>
    <row r="2399" spans="1:39" hidden="1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58"/>
        <v>70435.55</v>
      </c>
      <c r="X2399" s="13">
        <f t="shared" si="352"/>
        <v>82273.50961538461</v>
      </c>
      <c r="Y2399" s="13">
        <f t="shared" si="353"/>
        <v>0</v>
      </c>
      <c r="Z2399" s="2">
        <v>0</v>
      </c>
      <c r="AA2399" s="4">
        <v>0</v>
      </c>
      <c r="AB2399" s="4">
        <f t="shared" si="354"/>
        <v>82273.50961538461</v>
      </c>
      <c r="AC2399" s="6">
        <f t="shared" si="355"/>
        <v>3290.9403846153873</v>
      </c>
      <c r="AD2399" s="13">
        <f t="shared" si="359"/>
        <v>85564.45</v>
      </c>
      <c r="AE2399" s="2">
        <v>0.09</v>
      </c>
      <c r="AF2399" s="5">
        <f t="shared" si="356"/>
        <v>7700.8004999999994</v>
      </c>
      <c r="AG2399" s="2">
        <v>0</v>
      </c>
      <c r="AH2399" s="5">
        <f t="shared" si="360"/>
        <v>85564.45</v>
      </c>
      <c r="AJ2399" s="126" t="e">
        <v>#N/A</v>
      </c>
      <c r="AK2399" s="80">
        <f t="shared" si="357"/>
        <v>0</v>
      </c>
      <c r="AM2399" s="85"/>
    </row>
    <row r="2400" spans="1:39" hidden="1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58"/>
        <v>327205.82000000007</v>
      </c>
      <c r="X2400" s="13">
        <f t="shared" si="352"/>
        <v>685379.01923076913</v>
      </c>
      <c r="Y2400" s="13">
        <f t="shared" si="353"/>
        <v>0</v>
      </c>
      <c r="Z2400" s="2">
        <v>0</v>
      </c>
      <c r="AA2400" s="4">
        <v>0</v>
      </c>
      <c r="AB2400" s="4">
        <f t="shared" si="354"/>
        <v>685379.01923076913</v>
      </c>
      <c r="AC2400" s="6">
        <f t="shared" si="355"/>
        <v>27415.160769230803</v>
      </c>
      <c r="AD2400" s="13">
        <f t="shared" si="359"/>
        <v>712794.17999999993</v>
      </c>
      <c r="AE2400" s="2">
        <v>0.09</v>
      </c>
      <c r="AF2400" s="5">
        <f t="shared" si="356"/>
        <v>64151.47619999999</v>
      </c>
      <c r="AG2400" s="2">
        <v>0</v>
      </c>
      <c r="AH2400" s="5">
        <f t="shared" si="360"/>
        <v>712794.17999999993</v>
      </c>
      <c r="AJ2400" s="126" t="e">
        <v>#N/A</v>
      </c>
      <c r="AK2400" s="80">
        <f t="shared" si="357"/>
        <v>0</v>
      </c>
      <c r="AM2400" s="85"/>
    </row>
    <row r="2401" spans="1:39" hidden="1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58"/>
        <v>4056000</v>
      </c>
      <c r="X2401" s="13">
        <f t="shared" ref="X2401:X2464" si="361">IF(P2401="折扣",V2401*Q2401,IF(P2401="返现",V2401,V2401/(1+Q2401)))</f>
        <v>0</v>
      </c>
      <c r="Y2401" s="13">
        <f t="shared" si="353"/>
        <v>0</v>
      </c>
      <c r="Z2401" s="2">
        <v>0</v>
      </c>
      <c r="AA2401" s="4">
        <v>0</v>
      </c>
      <c r="AB2401" s="4">
        <f t="shared" si="354"/>
        <v>0</v>
      </c>
      <c r="AC2401" s="6">
        <f t="shared" si="355"/>
        <v>0</v>
      </c>
      <c r="AD2401" s="13">
        <f t="shared" si="359"/>
        <v>0</v>
      </c>
      <c r="AE2401" s="2">
        <v>0.09</v>
      </c>
      <c r="AF2401" s="5">
        <f t="shared" si="356"/>
        <v>0</v>
      </c>
      <c r="AG2401" s="2">
        <v>0</v>
      </c>
      <c r="AH2401" s="5">
        <f t="shared" si="360"/>
        <v>0</v>
      </c>
      <c r="AJ2401" s="126" t="e">
        <v>#N/A</v>
      </c>
      <c r="AK2401" s="80">
        <f t="shared" si="357"/>
        <v>0</v>
      </c>
      <c r="AM2401" s="85"/>
    </row>
    <row r="2402" spans="1:39" hidden="1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58"/>
        <v>4056000</v>
      </c>
      <c r="X2402" s="13">
        <f t="shared" si="361"/>
        <v>0</v>
      </c>
      <c r="Y2402" s="13">
        <f t="shared" si="353"/>
        <v>0</v>
      </c>
      <c r="Z2402" s="2">
        <v>0</v>
      </c>
      <c r="AA2402" s="4">
        <v>0</v>
      </c>
      <c r="AB2402" s="4">
        <f t="shared" si="354"/>
        <v>0</v>
      </c>
      <c r="AC2402" s="6">
        <f t="shared" si="355"/>
        <v>0</v>
      </c>
      <c r="AD2402" s="13">
        <f t="shared" si="359"/>
        <v>0</v>
      </c>
      <c r="AE2402" s="2">
        <v>0.09</v>
      </c>
      <c r="AF2402" s="5">
        <f t="shared" si="356"/>
        <v>0</v>
      </c>
      <c r="AG2402" s="2">
        <v>0</v>
      </c>
      <c r="AH2402" s="5">
        <f t="shared" si="360"/>
        <v>0</v>
      </c>
      <c r="AJ2402" s="126" t="e">
        <v>#N/A</v>
      </c>
      <c r="AK2402" s="80">
        <f t="shared" si="357"/>
        <v>0</v>
      </c>
      <c r="AM2402" s="85"/>
    </row>
    <row r="2403" spans="1:39" hidden="1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58"/>
        <v>312000</v>
      </c>
      <c r="X2403" s="13">
        <f t="shared" si="361"/>
        <v>0</v>
      </c>
      <c r="Y2403" s="13">
        <f t="shared" si="353"/>
        <v>0</v>
      </c>
      <c r="Z2403" s="2">
        <v>0</v>
      </c>
      <c r="AA2403" s="4">
        <v>0</v>
      </c>
      <c r="AB2403" s="4">
        <f t="shared" si="354"/>
        <v>0</v>
      </c>
      <c r="AC2403" s="6">
        <f t="shared" si="355"/>
        <v>0</v>
      </c>
      <c r="AD2403" s="13">
        <f t="shared" si="359"/>
        <v>0</v>
      </c>
      <c r="AE2403" s="2">
        <v>0.09</v>
      </c>
      <c r="AF2403" s="5">
        <f t="shared" si="356"/>
        <v>0</v>
      </c>
      <c r="AG2403" s="2">
        <v>0</v>
      </c>
      <c r="AH2403" s="5">
        <f t="shared" si="360"/>
        <v>0</v>
      </c>
      <c r="AJ2403" s="126" t="e">
        <v>#N/A</v>
      </c>
      <c r="AK2403" s="80">
        <f t="shared" si="357"/>
        <v>0</v>
      </c>
      <c r="AM2403" s="85"/>
    </row>
    <row r="2404" spans="1:39" hidden="1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58"/>
        <v>677000</v>
      </c>
      <c r="X2404" s="13">
        <f t="shared" si="361"/>
        <v>149038.46153846153</v>
      </c>
      <c r="Y2404" s="13">
        <f t="shared" si="353"/>
        <v>0</v>
      </c>
      <c r="Z2404" s="2">
        <v>0</v>
      </c>
      <c r="AA2404" s="4">
        <v>0</v>
      </c>
      <c r="AB2404" s="4">
        <f t="shared" si="354"/>
        <v>149038.46153846153</v>
      </c>
      <c r="AC2404" s="6">
        <f t="shared" si="355"/>
        <v>5961.5384615384683</v>
      </c>
      <c r="AD2404" s="13">
        <f t="shared" si="359"/>
        <v>155000</v>
      </c>
      <c r="AE2404" s="2">
        <v>0.09</v>
      </c>
      <c r="AF2404" s="5">
        <f t="shared" si="356"/>
        <v>13950</v>
      </c>
      <c r="AG2404" s="2">
        <v>0</v>
      </c>
      <c r="AH2404" s="5">
        <f t="shared" si="360"/>
        <v>155000</v>
      </c>
      <c r="AJ2404" s="126" t="e">
        <v>#N/A</v>
      </c>
      <c r="AK2404" s="80">
        <f t="shared" si="357"/>
        <v>0</v>
      </c>
      <c r="AM2404" s="85"/>
    </row>
    <row r="2405" spans="1:39" hidden="1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58"/>
        <v>49615.700000000012</v>
      </c>
      <c r="X2405" s="13">
        <f t="shared" si="361"/>
        <v>39607.843137254902</v>
      </c>
      <c r="Y2405" s="13">
        <f t="shared" si="353"/>
        <v>0</v>
      </c>
      <c r="Z2405" s="2">
        <v>0</v>
      </c>
      <c r="AA2405" s="4">
        <v>0</v>
      </c>
      <c r="AB2405" s="4">
        <f t="shared" si="354"/>
        <v>39607.843137254902</v>
      </c>
      <c r="AC2405" s="6">
        <f t="shared" si="355"/>
        <v>792.1568627450979</v>
      </c>
      <c r="AD2405" s="13">
        <f t="shared" si="359"/>
        <v>40400</v>
      </c>
      <c r="AE2405" s="2">
        <v>0.09</v>
      </c>
      <c r="AF2405" s="5">
        <f t="shared" si="356"/>
        <v>3636</v>
      </c>
      <c r="AG2405" s="2">
        <v>0</v>
      </c>
      <c r="AH2405" s="5">
        <f t="shared" si="360"/>
        <v>40400</v>
      </c>
      <c r="AJ2405" s="126" t="e">
        <v>#N/A</v>
      </c>
      <c r="AK2405" s="80">
        <f t="shared" si="357"/>
        <v>0</v>
      </c>
      <c r="AM2405" s="85"/>
    </row>
    <row r="2406" spans="1:39" hidden="1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58"/>
        <v>23140.870000000017</v>
      </c>
      <c r="X2406" s="13">
        <f t="shared" si="361"/>
        <v>26859.129999999983</v>
      </c>
      <c r="Y2406" s="13">
        <f t="shared" si="353"/>
        <v>0</v>
      </c>
      <c r="Z2406" s="2">
        <v>0</v>
      </c>
      <c r="AA2406" s="4">
        <v>0</v>
      </c>
      <c r="AB2406" s="4">
        <f t="shared" si="354"/>
        <v>26859.129999999983</v>
      </c>
      <c r="AC2406" s="6">
        <f t="shared" si="355"/>
        <v>0</v>
      </c>
      <c r="AD2406" s="13">
        <f t="shared" si="359"/>
        <v>26859.129999999983</v>
      </c>
      <c r="AE2406" s="2">
        <v>0.09</v>
      </c>
      <c r="AF2406" s="5">
        <f t="shared" si="356"/>
        <v>2417.3216999999981</v>
      </c>
      <c r="AG2406" s="2">
        <v>0</v>
      </c>
      <c r="AH2406" s="5">
        <f t="shared" si="360"/>
        <v>26859.129999999983</v>
      </c>
      <c r="AJ2406" s="126" t="e">
        <v>#N/A</v>
      </c>
      <c r="AK2406" s="80">
        <f t="shared" si="357"/>
        <v>0</v>
      </c>
      <c r="AM2406" s="85"/>
    </row>
    <row r="2407" spans="1:39" hidden="1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58"/>
        <v>-154099.26</v>
      </c>
      <c r="X2407" s="13">
        <f t="shared" si="361"/>
        <v>24247.980952380953</v>
      </c>
      <c r="Y2407" s="13">
        <f t="shared" si="353"/>
        <v>0</v>
      </c>
      <c r="Z2407" s="2">
        <v>0</v>
      </c>
      <c r="AA2407" s="4">
        <v>0</v>
      </c>
      <c r="AB2407" s="4">
        <f t="shared" si="354"/>
        <v>24247.980952380953</v>
      </c>
      <c r="AC2407" s="6">
        <f t="shared" si="355"/>
        <v>1212.3990476190484</v>
      </c>
      <c r="AD2407" s="13">
        <f t="shared" si="359"/>
        <v>25460.38</v>
      </c>
      <c r="AE2407" s="2">
        <v>0.18</v>
      </c>
      <c r="AF2407" s="5">
        <f t="shared" si="356"/>
        <v>4582.8684000000003</v>
      </c>
      <c r="AG2407" s="2">
        <v>0</v>
      </c>
      <c r="AH2407" s="5">
        <f t="shared" si="360"/>
        <v>25460.38</v>
      </c>
      <c r="AJ2407" s="126" t="e">
        <v>#N/A</v>
      </c>
      <c r="AK2407" s="80">
        <f t="shared" si="357"/>
        <v>0</v>
      </c>
      <c r="AM2407" s="85"/>
    </row>
    <row r="2408" spans="1:39" hidden="1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58"/>
        <v>444871.68000000017</v>
      </c>
      <c r="X2408" s="13">
        <f t="shared" si="361"/>
        <v>1864122.9215686272</v>
      </c>
      <c r="Y2408" s="13">
        <f t="shared" si="353"/>
        <v>0</v>
      </c>
      <c r="Z2408" s="2">
        <v>0</v>
      </c>
      <c r="AA2408" s="4">
        <v>0</v>
      </c>
      <c r="AB2408" s="4">
        <f t="shared" si="354"/>
        <v>1864122.9215686272</v>
      </c>
      <c r="AC2408" s="6">
        <f t="shared" si="355"/>
        <v>37282.458431372652</v>
      </c>
      <c r="AD2408" s="13">
        <f t="shared" si="359"/>
        <v>1901405.38</v>
      </c>
      <c r="AE2408" s="2">
        <v>0.09</v>
      </c>
      <c r="AF2408" s="5">
        <f t="shared" si="356"/>
        <v>171126.48419999998</v>
      </c>
      <c r="AG2408" s="2">
        <v>0</v>
      </c>
      <c r="AH2408" s="5">
        <f t="shared" si="360"/>
        <v>1901405.38</v>
      </c>
      <c r="AJ2408" s="126" t="e">
        <v>#N/A</v>
      </c>
      <c r="AK2408" s="80">
        <f t="shared" si="357"/>
        <v>0</v>
      </c>
      <c r="AM2408" s="85"/>
    </row>
    <row r="2409" spans="1:39" hidden="1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58"/>
        <v>49655.8</v>
      </c>
      <c r="X2409" s="13">
        <f t="shared" si="361"/>
        <v>51317.843137254895</v>
      </c>
      <c r="Y2409" s="13">
        <f t="shared" si="353"/>
        <v>0</v>
      </c>
      <c r="Z2409" s="2">
        <v>0</v>
      </c>
      <c r="AA2409" s="4">
        <v>0</v>
      </c>
      <c r="AB2409" s="4">
        <f t="shared" si="354"/>
        <v>51317.843137254895</v>
      </c>
      <c r="AC2409" s="6">
        <f t="shared" si="355"/>
        <v>1026.3568627451023</v>
      </c>
      <c r="AD2409" s="13">
        <f t="shared" si="359"/>
        <v>52344.2</v>
      </c>
      <c r="AE2409" s="2">
        <v>0.09</v>
      </c>
      <c r="AF2409" s="5">
        <f t="shared" si="356"/>
        <v>4710.9779999999992</v>
      </c>
      <c r="AG2409" s="2">
        <v>0</v>
      </c>
      <c r="AH2409" s="5">
        <f t="shared" si="360"/>
        <v>52344.2</v>
      </c>
      <c r="AJ2409" s="126" t="e">
        <v>#N/A</v>
      </c>
      <c r="AK2409" s="80">
        <f t="shared" si="357"/>
        <v>0</v>
      </c>
      <c r="AM2409" s="85"/>
    </row>
    <row r="2410" spans="1:39" hidden="1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58"/>
        <v>18078.050000000003</v>
      </c>
      <c r="X2410" s="13">
        <f t="shared" si="361"/>
        <v>61921.95</v>
      </c>
      <c r="Y2410" s="13">
        <f t="shared" si="353"/>
        <v>0</v>
      </c>
      <c r="Z2410" s="2">
        <v>0</v>
      </c>
      <c r="AA2410" s="4">
        <v>0</v>
      </c>
      <c r="AB2410" s="4">
        <f t="shared" si="354"/>
        <v>61921.95</v>
      </c>
      <c r="AC2410" s="6">
        <f t="shared" si="355"/>
        <v>0</v>
      </c>
      <c r="AD2410" s="13">
        <f t="shared" si="359"/>
        <v>61921.95</v>
      </c>
      <c r="AE2410" s="2">
        <v>0.09</v>
      </c>
      <c r="AF2410" s="5">
        <f t="shared" si="356"/>
        <v>5572.9754999999996</v>
      </c>
      <c r="AG2410" s="2">
        <v>0</v>
      </c>
      <c r="AH2410" s="5">
        <f t="shared" si="360"/>
        <v>61921.95</v>
      </c>
      <c r="AJ2410" s="126" t="e">
        <v>#N/A</v>
      </c>
      <c r="AK2410" s="80">
        <f t="shared" si="357"/>
        <v>0</v>
      </c>
      <c r="AM2410" s="85"/>
    </row>
    <row r="2411" spans="1:39" hidden="1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58"/>
        <v>10000</v>
      </c>
      <c r="X2411" s="13">
        <f t="shared" si="361"/>
        <v>0</v>
      </c>
      <c r="Y2411" s="13">
        <f t="shared" si="353"/>
        <v>0</v>
      </c>
      <c r="Z2411" s="2">
        <v>0</v>
      </c>
      <c r="AA2411" s="4">
        <v>0</v>
      </c>
      <c r="AB2411" s="4">
        <f t="shared" si="354"/>
        <v>0</v>
      </c>
      <c r="AC2411" s="6">
        <f t="shared" si="355"/>
        <v>0</v>
      </c>
      <c r="AD2411" s="13">
        <f t="shared" si="359"/>
        <v>0</v>
      </c>
      <c r="AE2411" s="2">
        <v>0.18</v>
      </c>
      <c r="AF2411" s="5">
        <f t="shared" si="356"/>
        <v>0</v>
      </c>
      <c r="AG2411" s="2">
        <v>0</v>
      </c>
      <c r="AH2411" s="5">
        <f t="shared" si="360"/>
        <v>0</v>
      </c>
      <c r="AJ2411" s="126" t="e">
        <v>#N/A</v>
      </c>
      <c r="AK2411" s="80">
        <f t="shared" si="357"/>
        <v>0</v>
      </c>
      <c r="AM2411" s="85"/>
    </row>
    <row r="2412" spans="1:39" hidden="1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58"/>
        <v>469.8</v>
      </c>
      <c r="X2412" s="13">
        <f t="shared" si="361"/>
        <v>0</v>
      </c>
      <c r="Y2412" s="13">
        <f t="shared" si="353"/>
        <v>0</v>
      </c>
      <c r="Z2412" s="2">
        <v>0</v>
      </c>
      <c r="AA2412" s="4">
        <v>0</v>
      </c>
      <c r="AB2412" s="4">
        <f t="shared" si="354"/>
        <v>0</v>
      </c>
      <c r="AC2412" s="6">
        <f t="shared" si="355"/>
        <v>0</v>
      </c>
      <c r="AD2412" s="13">
        <f t="shared" si="359"/>
        <v>0</v>
      </c>
      <c r="AE2412" s="2">
        <v>0.18</v>
      </c>
      <c r="AF2412" s="5">
        <f t="shared" si="356"/>
        <v>0</v>
      </c>
      <c r="AG2412" s="2">
        <v>0</v>
      </c>
      <c r="AH2412" s="5">
        <f t="shared" si="360"/>
        <v>0</v>
      </c>
      <c r="AJ2412" s="126" t="e">
        <v>#N/A</v>
      </c>
      <c r="AK2412" s="80">
        <f t="shared" si="357"/>
        <v>0</v>
      </c>
      <c r="AM2412" s="85"/>
    </row>
    <row r="2413" spans="1:39" hidden="1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58"/>
        <v>1.18</v>
      </c>
      <c r="X2413" s="13">
        <f t="shared" si="361"/>
        <v>0</v>
      </c>
      <c r="Y2413" s="13">
        <f t="shared" si="353"/>
        <v>0</v>
      </c>
      <c r="Z2413" s="2">
        <v>0</v>
      </c>
      <c r="AA2413" s="4">
        <v>0</v>
      </c>
      <c r="AB2413" s="4">
        <f t="shared" si="354"/>
        <v>0</v>
      </c>
      <c r="AC2413" s="6">
        <f t="shared" si="355"/>
        <v>0</v>
      </c>
      <c r="AD2413" s="13">
        <f t="shared" si="359"/>
        <v>0</v>
      </c>
      <c r="AE2413" s="2">
        <v>0.09</v>
      </c>
      <c r="AF2413" s="5">
        <f t="shared" si="356"/>
        <v>0</v>
      </c>
      <c r="AG2413" s="2">
        <v>0</v>
      </c>
      <c r="AH2413" s="5">
        <f t="shared" si="360"/>
        <v>0</v>
      </c>
      <c r="AJ2413" s="126" t="e">
        <v>#N/A</v>
      </c>
      <c r="AK2413" s="80">
        <f t="shared" si="357"/>
        <v>0</v>
      </c>
      <c r="AM2413" s="85"/>
    </row>
    <row r="2414" spans="1:39" hidden="1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58"/>
        <v>4286</v>
      </c>
      <c r="X2414" s="13">
        <f t="shared" si="361"/>
        <v>714</v>
      </c>
      <c r="Y2414" s="13">
        <f t="shared" si="353"/>
        <v>0</v>
      </c>
      <c r="Z2414" s="2">
        <v>0</v>
      </c>
      <c r="AA2414" s="4">
        <v>0</v>
      </c>
      <c r="AB2414" s="4">
        <f t="shared" si="354"/>
        <v>714</v>
      </c>
      <c r="AC2414" s="6">
        <f t="shared" si="355"/>
        <v>0</v>
      </c>
      <c r="AD2414" s="13">
        <f t="shared" si="359"/>
        <v>714</v>
      </c>
      <c r="AE2414" s="2">
        <v>0.09</v>
      </c>
      <c r="AF2414" s="5">
        <f t="shared" si="356"/>
        <v>64.259999999999991</v>
      </c>
      <c r="AG2414" s="2">
        <v>0</v>
      </c>
      <c r="AH2414" s="5">
        <f t="shared" si="360"/>
        <v>714</v>
      </c>
      <c r="AJ2414" s="126" t="e">
        <v>#N/A</v>
      </c>
      <c r="AK2414" s="80">
        <f t="shared" si="357"/>
        <v>0</v>
      </c>
      <c r="AM2414" s="85"/>
    </row>
    <row r="2415" spans="1:39" hidden="1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58"/>
        <v>0</v>
      </c>
      <c r="X2415" s="13">
        <f t="shared" si="361"/>
        <v>0</v>
      </c>
      <c r="Y2415" s="13">
        <f t="shared" si="353"/>
        <v>0</v>
      </c>
      <c r="Z2415" s="2">
        <v>0</v>
      </c>
      <c r="AA2415" s="4">
        <v>0</v>
      </c>
      <c r="AB2415" s="4">
        <f t="shared" si="354"/>
        <v>0</v>
      </c>
      <c r="AC2415" s="6">
        <f t="shared" si="355"/>
        <v>0</v>
      </c>
      <c r="AD2415" s="13">
        <f t="shared" si="359"/>
        <v>0</v>
      </c>
      <c r="AE2415" s="2">
        <v>0.09</v>
      </c>
      <c r="AF2415" s="5">
        <f t="shared" si="356"/>
        <v>0</v>
      </c>
      <c r="AG2415" s="2">
        <v>0</v>
      </c>
      <c r="AH2415" s="5">
        <f t="shared" si="360"/>
        <v>0</v>
      </c>
      <c r="AJ2415" s="126" t="e">
        <v>#N/A</v>
      </c>
      <c r="AK2415" s="80">
        <f t="shared" si="357"/>
        <v>0</v>
      </c>
      <c r="AM2415" s="85"/>
    </row>
    <row r="2416" spans="1:39" hidden="1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58"/>
        <v>0</v>
      </c>
      <c r="X2416" s="13">
        <f t="shared" si="361"/>
        <v>15000</v>
      </c>
      <c r="Y2416" s="13">
        <f t="shared" si="353"/>
        <v>0</v>
      </c>
      <c r="Z2416" s="2">
        <v>0</v>
      </c>
      <c r="AA2416" s="4">
        <v>0</v>
      </c>
      <c r="AB2416" s="4">
        <f t="shared" si="354"/>
        <v>15000</v>
      </c>
      <c r="AC2416" s="6">
        <f t="shared" si="355"/>
        <v>0</v>
      </c>
      <c r="AD2416" s="13">
        <f t="shared" si="359"/>
        <v>15000</v>
      </c>
      <c r="AE2416" s="2">
        <v>0.09</v>
      </c>
      <c r="AF2416" s="5">
        <f t="shared" si="356"/>
        <v>1350</v>
      </c>
      <c r="AG2416" s="2">
        <v>0</v>
      </c>
      <c r="AH2416" s="5">
        <f t="shared" si="360"/>
        <v>15000</v>
      </c>
      <c r="AJ2416" s="126" t="e">
        <v>#N/A</v>
      </c>
      <c r="AK2416" s="80">
        <f t="shared" si="357"/>
        <v>0</v>
      </c>
      <c r="AM2416" s="85"/>
    </row>
    <row r="2417" spans="1:39" hidden="1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58"/>
        <v>7312.2</v>
      </c>
      <c r="X2417" s="13">
        <f t="shared" si="361"/>
        <v>2831.1764705882356</v>
      </c>
      <c r="Y2417" s="13">
        <f t="shared" si="353"/>
        <v>0</v>
      </c>
      <c r="Z2417" s="2">
        <v>0</v>
      </c>
      <c r="AA2417" s="4">
        <v>0</v>
      </c>
      <c r="AB2417" s="4">
        <f t="shared" si="354"/>
        <v>2831.1764705882356</v>
      </c>
      <c r="AC2417" s="6">
        <f t="shared" si="355"/>
        <v>56.623529411764594</v>
      </c>
      <c r="AD2417" s="13">
        <f t="shared" si="359"/>
        <v>2887.8</v>
      </c>
      <c r="AE2417" s="2">
        <v>0.09</v>
      </c>
      <c r="AF2417" s="5">
        <f t="shared" si="356"/>
        <v>259.90199999999999</v>
      </c>
      <c r="AG2417" s="2">
        <v>0</v>
      </c>
      <c r="AH2417" s="5">
        <f t="shared" si="360"/>
        <v>2887.8</v>
      </c>
      <c r="AJ2417" s="126" t="e">
        <v>#N/A</v>
      </c>
      <c r="AK2417" s="80">
        <f t="shared" si="357"/>
        <v>0</v>
      </c>
      <c r="AM2417" s="85"/>
    </row>
    <row r="2418" spans="1:39" hidden="1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58"/>
        <v>21299.150000000009</v>
      </c>
      <c r="X2418" s="13">
        <f t="shared" si="361"/>
        <v>111650.89</v>
      </c>
      <c r="Y2418" s="13">
        <f t="shared" si="353"/>
        <v>0</v>
      </c>
      <c r="Z2418" s="2">
        <v>0</v>
      </c>
      <c r="AA2418" s="4">
        <v>0</v>
      </c>
      <c r="AB2418" s="4">
        <f t="shared" si="354"/>
        <v>111650.89</v>
      </c>
      <c r="AC2418" s="6">
        <f t="shared" si="355"/>
        <v>0</v>
      </c>
      <c r="AD2418" s="13">
        <f t="shared" si="359"/>
        <v>111650.89</v>
      </c>
      <c r="AE2418" s="2">
        <v>0.09</v>
      </c>
      <c r="AF2418" s="5">
        <f t="shared" si="356"/>
        <v>10048.580099999999</v>
      </c>
      <c r="AG2418" s="2">
        <v>0</v>
      </c>
      <c r="AH2418" s="5">
        <f t="shared" si="360"/>
        <v>111650.89</v>
      </c>
      <c r="AJ2418" s="126" t="e">
        <v>#N/A</v>
      </c>
      <c r="AK2418" s="80">
        <f t="shared" si="357"/>
        <v>0</v>
      </c>
      <c r="AM2418" s="85"/>
    </row>
    <row r="2419" spans="1:39" hidden="1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58"/>
        <v>207804.55000000016</v>
      </c>
      <c r="X2419" s="13">
        <f t="shared" si="361"/>
        <v>732144.10784313723</v>
      </c>
      <c r="Y2419" s="13">
        <f t="shared" si="353"/>
        <v>0</v>
      </c>
      <c r="Z2419" s="2">
        <v>0</v>
      </c>
      <c r="AA2419" s="4">
        <v>0</v>
      </c>
      <c r="AB2419" s="4">
        <f t="shared" si="354"/>
        <v>732144.10784313723</v>
      </c>
      <c r="AC2419" s="6">
        <f t="shared" si="355"/>
        <v>14642.882156862761</v>
      </c>
      <c r="AD2419" s="13">
        <f t="shared" si="359"/>
        <v>746786.99</v>
      </c>
      <c r="AE2419" s="2">
        <v>0.09</v>
      </c>
      <c r="AF2419" s="5">
        <f t="shared" si="356"/>
        <v>67210.829100000003</v>
      </c>
      <c r="AG2419" s="2">
        <v>0</v>
      </c>
      <c r="AH2419" s="5">
        <f t="shared" si="360"/>
        <v>746786.99</v>
      </c>
      <c r="AJ2419" s="126" t="e">
        <v>#N/A</v>
      </c>
      <c r="AK2419" s="80">
        <f t="shared" si="357"/>
        <v>0</v>
      </c>
      <c r="AM2419" s="85"/>
    </row>
    <row r="2420" spans="1:39" hidden="1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58"/>
        <v>2510421.2799999998</v>
      </c>
      <c r="X2420" s="13">
        <f t="shared" si="361"/>
        <v>836354.15</v>
      </c>
      <c r="Y2420" s="13">
        <f t="shared" si="353"/>
        <v>0</v>
      </c>
      <c r="Z2420" s="2">
        <v>0</v>
      </c>
      <c r="AA2420" s="4">
        <v>0</v>
      </c>
      <c r="AB2420" s="4">
        <f t="shared" si="354"/>
        <v>836354.15</v>
      </c>
      <c r="AC2420" s="6">
        <f t="shared" si="355"/>
        <v>0</v>
      </c>
      <c r="AD2420" s="13">
        <f t="shared" si="359"/>
        <v>836354.15</v>
      </c>
      <c r="AE2420" s="2">
        <v>0.09</v>
      </c>
      <c r="AF2420" s="5">
        <f t="shared" si="356"/>
        <v>75271.873500000002</v>
      </c>
      <c r="AG2420" s="2">
        <v>0</v>
      </c>
      <c r="AH2420" s="5">
        <f t="shared" si="360"/>
        <v>836354.15</v>
      </c>
      <c r="AJ2420" s="126" t="e">
        <v>#N/A</v>
      </c>
      <c r="AK2420" s="80">
        <f t="shared" si="357"/>
        <v>0</v>
      </c>
      <c r="AM2420" s="85"/>
    </row>
    <row r="2421" spans="1:39" hidden="1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58"/>
        <v>935756.03</v>
      </c>
      <c r="X2421" s="13">
        <f t="shared" si="361"/>
        <v>0</v>
      </c>
      <c r="Y2421" s="13">
        <f t="shared" si="353"/>
        <v>0</v>
      </c>
      <c r="Z2421" s="2">
        <v>0</v>
      </c>
      <c r="AA2421" s="4">
        <v>0</v>
      </c>
      <c r="AB2421" s="4">
        <f t="shared" si="354"/>
        <v>0</v>
      </c>
      <c r="AC2421" s="6">
        <f t="shared" si="355"/>
        <v>0</v>
      </c>
      <c r="AD2421" s="13">
        <f t="shared" si="359"/>
        <v>0</v>
      </c>
      <c r="AE2421" s="2">
        <v>0.09</v>
      </c>
      <c r="AF2421" s="5">
        <f t="shared" si="356"/>
        <v>0</v>
      </c>
      <c r="AG2421" s="2">
        <v>0</v>
      </c>
      <c r="AH2421" s="5">
        <f t="shared" si="360"/>
        <v>0</v>
      </c>
      <c r="AJ2421" s="126" t="e">
        <v>#N/A</v>
      </c>
      <c r="AK2421" s="80">
        <f t="shared" si="357"/>
        <v>0</v>
      </c>
      <c r="AM2421" s="85"/>
    </row>
    <row r="2422" spans="1:39" hidden="1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3748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58"/>
        <v>59852.880000000005</v>
      </c>
      <c r="X2422" s="13">
        <f t="shared" si="361"/>
        <v>356581.30693069304</v>
      </c>
      <c r="Y2422" s="13">
        <f t="shared" si="353"/>
        <v>0</v>
      </c>
      <c r="Z2422" s="2">
        <v>0</v>
      </c>
      <c r="AA2422" s="4">
        <v>0</v>
      </c>
      <c r="AB2422" s="4">
        <f t="shared" si="354"/>
        <v>356581.30693069304</v>
      </c>
      <c r="AC2422" s="6">
        <f t="shared" si="355"/>
        <v>3565.8130693069543</v>
      </c>
      <c r="AD2422" s="13">
        <f t="shared" si="359"/>
        <v>360147.12</v>
      </c>
      <c r="AE2422" s="2">
        <v>0.09</v>
      </c>
      <c r="AF2422" s="5">
        <f t="shared" si="356"/>
        <v>32413.2408</v>
      </c>
      <c r="AG2422" s="2">
        <v>0</v>
      </c>
      <c r="AH2422" s="5">
        <f t="shared" si="360"/>
        <v>360147.12</v>
      </c>
      <c r="AJ2422" s="126" t="e">
        <v>#N/A</v>
      </c>
      <c r="AK2422" s="80">
        <f t="shared" si="357"/>
        <v>0</v>
      </c>
      <c r="AM2422" s="85"/>
    </row>
    <row r="2423" spans="1:39" hidden="1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58"/>
        <v>1007.83</v>
      </c>
      <c r="X2423" s="13">
        <f t="shared" si="361"/>
        <v>972.71568627450972</v>
      </c>
      <c r="Y2423" s="13">
        <f t="shared" si="353"/>
        <v>0</v>
      </c>
      <c r="Z2423" s="2">
        <v>0</v>
      </c>
      <c r="AA2423" s="4">
        <v>0</v>
      </c>
      <c r="AB2423" s="4"/>
      <c r="AC2423" s="6">
        <f t="shared" si="355"/>
        <v>19.454313725490238</v>
      </c>
      <c r="AD2423" s="13">
        <f t="shared" si="359"/>
        <v>992.17</v>
      </c>
      <c r="AE2423" s="2">
        <v>0.09</v>
      </c>
      <c r="AF2423" s="5">
        <f t="shared" si="356"/>
        <v>89.295299999999997</v>
      </c>
      <c r="AG2423" s="2">
        <v>0</v>
      </c>
      <c r="AH2423" s="5">
        <f t="shared" si="360"/>
        <v>992.17</v>
      </c>
      <c r="AJ2423" s="126">
        <v>115</v>
      </c>
      <c r="AK2423" s="80">
        <f t="shared" si="357"/>
        <v>972.71568627450972</v>
      </c>
      <c r="AM2423" s="85"/>
    </row>
    <row r="2424" spans="1:39" hidden="1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58"/>
        <v>0</v>
      </c>
      <c r="X2424" s="13">
        <f t="shared" si="361"/>
        <v>10098.039215686274</v>
      </c>
      <c r="Y2424" s="13">
        <f t="shared" si="353"/>
        <v>0</v>
      </c>
      <c r="Z2424" s="2">
        <v>0</v>
      </c>
      <c r="AA2424" s="4">
        <v>0</v>
      </c>
      <c r="AB2424" s="4">
        <f t="shared" si="354"/>
        <v>10098.039215686274</v>
      </c>
      <c r="AC2424" s="6">
        <f t="shared" si="355"/>
        <v>201.96078431372553</v>
      </c>
      <c r="AD2424" s="13">
        <f t="shared" si="359"/>
        <v>10300</v>
      </c>
      <c r="AE2424" s="2">
        <v>0.09</v>
      </c>
      <c r="AF2424" s="5">
        <f t="shared" si="356"/>
        <v>927</v>
      </c>
      <c r="AG2424" s="2">
        <v>0</v>
      </c>
      <c r="AH2424" s="5">
        <f t="shared" si="360"/>
        <v>10300</v>
      </c>
      <c r="AJ2424" s="126" t="e">
        <v>#N/A</v>
      </c>
      <c r="AK2424" s="80">
        <f t="shared" si="357"/>
        <v>0</v>
      </c>
      <c r="AM2424" s="85"/>
    </row>
    <row r="2425" spans="1:39" hidden="1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58"/>
        <v>5366.5999999999985</v>
      </c>
      <c r="X2425" s="13">
        <f t="shared" si="361"/>
        <v>9444.50980392157</v>
      </c>
      <c r="Y2425" s="13">
        <f t="shared" si="353"/>
        <v>0</v>
      </c>
      <c r="Z2425" s="2">
        <v>0</v>
      </c>
      <c r="AA2425" s="4">
        <v>0</v>
      </c>
      <c r="AB2425" s="4">
        <f t="shared" si="354"/>
        <v>9444.50980392157</v>
      </c>
      <c r="AC2425" s="6">
        <f t="shared" si="355"/>
        <v>188.89019607843147</v>
      </c>
      <c r="AD2425" s="13">
        <f t="shared" si="359"/>
        <v>9633.4000000000015</v>
      </c>
      <c r="AE2425" s="2">
        <v>0.09</v>
      </c>
      <c r="AF2425" s="5">
        <f t="shared" si="356"/>
        <v>867.00600000000009</v>
      </c>
      <c r="AG2425" s="2">
        <v>0</v>
      </c>
      <c r="AH2425" s="5">
        <f t="shared" si="360"/>
        <v>9633.4000000000015</v>
      </c>
      <c r="AJ2425" s="126" t="e">
        <v>#N/A</v>
      </c>
      <c r="AK2425" s="80">
        <f t="shared" si="357"/>
        <v>0</v>
      </c>
      <c r="AM2425" s="85"/>
    </row>
    <row r="2426" spans="1:39" hidden="1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58"/>
        <v>16257.830000000002</v>
      </c>
      <c r="X2426" s="13">
        <f t="shared" si="361"/>
        <v>43742.17</v>
      </c>
      <c r="Y2426" s="13">
        <f t="shared" si="353"/>
        <v>0</v>
      </c>
      <c r="Z2426" s="2">
        <v>0</v>
      </c>
      <c r="AA2426" s="4">
        <v>0</v>
      </c>
      <c r="AB2426" s="4">
        <f t="shared" si="354"/>
        <v>43742.17</v>
      </c>
      <c r="AC2426" s="6">
        <f t="shared" si="355"/>
        <v>0</v>
      </c>
      <c r="AD2426" s="13">
        <f t="shared" si="359"/>
        <v>43742.17</v>
      </c>
      <c r="AE2426" s="2">
        <v>0.09</v>
      </c>
      <c r="AF2426" s="5">
        <f t="shared" si="356"/>
        <v>3936.7952999999998</v>
      </c>
      <c r="AG2426" s="2">
        <v>0</v>
      </c>
      <c r="AH2426" s="5">
        <f t="shared" si="360"/>
        <v>43742.17</v>
      </c>
      <c r="AJ2426" s="126" t="e">
        <v>#N/A</v>
      </c>
      <c r="AK2426" s="80">
        <f t="shared" si="357"/>
        <v>0</v>
      </c>
      <c r="AM2426" s="85"/>
    </row>
    <row r="2427" spans="1:39" hidden="1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58"/>
        <v>787601.73</v>
      </c>
      <c r="X2427" s="13">
        <f t="shared" si="361"/>
        <v>500797.31</v>
      </c>
      <c r="Y2427" s="13">
        <f t="shared" si="353"/>
        <v>0</v>
      </c>
      <c r="Z2427" s="2">
        <v>0</v>
      </c>
      <c r="AA2427" s="4">
        <v>0</v>
      </c>
      <c r="AB2427" s="4">
        <f t="shared" si="354"/>
        <v>500797.31</v>
      </c>
      <c r="AC2427" s="6">
        <f t="shared" si="355"/>
        <v>0</v>
      </c>
      <c r="AD2427" s="13">
        <f t="shared" si="359"/>
        <v>500797.31</v>
      </c>
      <c r="AE2427" s="2">
        <v>0.09</v>
      </c>
      <c r="AF2427" s="5">
        <f t="shared" si="356"/>
        <v>45071.757899999997</v>
      </c>
      <c r="AG2427" s="2">
        <v>0</v>
      </c>
      <c r="AH2427" s="5">
        <f t="shared" si="360"/>
        <v>500797.31</v>
      </c>
      <c r="AJ2427" s="126" t="e">
        <v>#N/A</v>
      </c>
      <c r="AK2427" s="80">
        <f t="shared" si="357"/>
        <v>0</v>
      </c>
      <c r="AM2427" s="85"/>
    </row>
    <row r="2428" spans="1:39" hidden="1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58"/>
        <v>272426.40000000002</v>
      </c>
      <c r="X2428" s="13">
        <f t="shared" si="361"/>
        <v>186843.83</v>
      </c>
      <c r="Y2428" s="13">
        <f t="shared" si="353"/>
        <v>0</v>
      </c>
      <c r="Z2428" s="2">
        <v>0</v>
      </c>
      <c r="AA2428" s="4">
        <v>0</v>
      </c>
      <c r="AB2428" s="4">
        <f t="shared" si="354"/>
        <v>186843.83</v>
      </c>
      <c r="AC2428" s="6">
        <f t="shared" si="355"/>
        <v>0</v>
      </c>
      <c r="AD2428" s="13">
        <f t="shared" si="359"/>
        <v>186843.83</v>
      </c>
      <c r="AE2428" s="2">
        <v>0.09</v>
      </c>
      <c r="AF2428" s="5">
        <f t="shared" si="356"/>
        <v>16815.9447</v>
      </c>
      <c r="AG2428" s="2">
        <v>0</v>
      </c>
      <c r="AH2428" s="5">
        <f t="shared" si="360"/>
        <v>186843.83</v>
      </c>
      <c r="AJ2428" s="126" t="e">
        <v>#N/A</v>
      </c>
      <c r="AK2428" s="80">
        <f t="shared" si="357"/>
        <v>0</v>
      </c>
      <c r="AM2428" s="85"/>
    </row>
    <row r="2429" spans="1:39" hidden="1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361"/>
        <v>1466.473933649404</v>
      </c>
      <c r="Y2429" s="13">
        <f t="shared" si="353"/>
        <v>0</v>
      </c>
      <c r="Z2429" s="2">
        <v>0</v>
      </c>
      <c r="AA2429" s="4">
        <v>0</v>
      </c>
      <c r="AB2429" s="4">
        <f t="shared" si="354"/>
        <v>1466.473933649404</v>
      </c>
      <c r="AC2429" s="6">
        <f t="shared" si="355"/>
        <v>80.656066350717083</v>
      </c>
      <c r="AD2429" s="13">
        <f t="shared" si="359"/>
        <v>1547.1300000001211</v>
      </c>
      <c r="AE2429" s="2">
        <v>0.09</v>
      </c>
      <c r="AF2429" s="5">
        <f t="shared" si="356"/>
        <v>139.24170000001089</v>
      </c>
      <c r="AG2429" s="2">
        <v>0</v>
      </c>
      <c r="AH2429" s="5">
        <f t="shared" si="360"/>
        <v>1547.1300000001211</v>
      </c>
      <c r="AJ2429" s="126" t="e">
        <v>#N/A</v>
      </c>
      <c r="AK2429" s="80">
        <f t="shared" si="357"/>
        <v>0</v>
      </c>
      <c r="AM2429" s="85"/>
    </row>
    <row r="2430" spans="1:39" hidden="1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58"/>
        <v>1031131.3099999996</v>
      </c>
      <c r="X2430" s="13">
        <f t="shared" si="361"/>
        <v>4086339.9245283022</v>
      </c>
      <c r="Y2430" s="13">
        <f t="shared" si="353"/>
        <v>0</v>
      </c>
      <c r="Z2430" s="2">
        <v>0</v>
      </c>
      <c r="AA2430" s="4">
        <v>0</v>
      </c>
      <c r="AB2430" s="4">
        <f t="shared" si="354"/>
        <v>4086339.9245283022</v>
      </c>
      <c r="AC2430" s="6">
        <f t="shared" si="355"/>
        <v>245180.39547169814</v>
      </c>
      <c r="AD2430" s="13">
        <f t="shared" si="359"/>
        <v>4331520.32</v>
      </c>
      <c r="AE2430" s="2">
        <v>0.09</v>
      </c>
      <c r="AF2430" s="5">
        <f t="shared" si="356"/>
        <v>389836.82880000002</v>
      </c>
      <c r="AG2430" s="2">
        <v>0</v>
      </c>
      <c r="AH2430" s="5">
        <f t="shared" si="360"/>
        <v>4331520.32</v>
      </c>
      <c r="AJ2430" s="126" t="e">
        <v>#N/A</v>
      </c>
      <c r="AK2430" s="80">
        <f t="shared" si="357"/>
        <v>0</v>
      </c>
      <c r="AM2430" s="85"/>
    </row>
    <row r="2431" spans="1:39" hidden="1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58"/>
        <v>0</v>
      </c>
      <c r="X2431" s="13">
        <f t="shared" si="361"/>
        <v>1415094.3396226414</v>
      </c>
      <c r="Y2431" s="13">
        <f t="shared" si="353"/>
        <v>0</v>
      </c>
      <c r="Z2431" s="2">
        <v>0</v>
      </c>
      <c r="AA2431" s="4">
        <v>0</v>
      </c>
      <c r="AB2431" s="4">
        <f t="shared" si="354"/>
        <v>1415094.3396226414</v>
      </c>
      <c r="AC2431" s="6">
        <f t="shared" si="355"/>
        <v>84905.660377358552</v>
      </c>
      <c r="AD2431" s="13">
        <f t="shared" si="359"/>
        <v>1500000</v>
      </c>
      <c r="AE2431" s="2">
        <v>0.09</v>
      </c>
      <c r="AF2431" s="5">
        <f t="shared" si="356"/>
        <v>135000</v>
      </c>
      <c r="AG2431" s="2">
        <v>0</v>
      </c>
      <c r="AH2431" s="5">
        <f t="shared" si="360"/>
        <v>1500000</v>
      </c>
      <c r="AJ2431" s="126" t="e">
        <v>#N/A</v>
      </c>
      <c r="AK2431" s="80">
        <f t="shared" si="357"/>
        <v>0</v>
      </c>
      <c r="AM2431" s="85"/>
    </row>
    <row r="2432" spans="1:39" hidden="1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58"/>
        <v>75214.189999999886</v>
      </c>
      <c r="X2432" s="13">
        <f t="shared" si="361"/>
        <v>426260.59803921578</v>
      </c>
      <c r="Y2432" s="13">
        <f t="shared" si="353"/>
        <v>0</v>
      </c>
      <c r="Z2432" s="2">
        <v>0</v>
      </c>
      <c r="AA2432" s="4">
        <v>0</v>
      </c>
      <c r="AB2432" s="4">
        <f t="shared" si="354"/>
        <v>426260.59803921578</v>
      </c>
      <c r="AC2432" s="6">
        <f t="shared" si="355"/>
        <v>8525.2119607843342</v>
      </c>
      <c r="AD2432" s="13">
        <f t="shared" si="359"/>
        <v>434785.81000000011</v>
      </c>
      <c r="AE2432" s="2">
        <v>0.09</v>
      </c>
      <c r="AF2432" s="5">
        <f t="shared" si="356"/>
        <v>39130.722900000008</v>
      </c>
      <c r="AG2432" s="2">
        <v>0</v>
      </c>
      <c r="AH2432" s="5">
        <f t="shared" si="360"/>
        <v>434785.81000000011</v>
      </c>
      <c r="AJ2432" s="126" t="e">
        <v>#N/A</v>
      </c>
      <c r="AK2432" s="80">
        <f t="shared" si="357"/>
        <v>0</v>
      </c>
      <c r="AM2432" s="85"/>
    </row>
    <row r="2433" spans="1:39" hidden="1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58"/>
        <v>49067.429999999993</v>
      </c>
      <c r="X2433" s="13">
        <f t="shared" si="361"/>
        <v>150932.57</v>
      </c>
      <c r="Y2433" s="13">
        <f t="shared" si="353"/>
        <v>0</v>
      </c>
      <c r="Z2433" s="2">
        <v>0</v>
      </c>
      <c r="AA2433" s="4">
        <v>0</v>
      </c>
      <c r="AB2433" s="4">
        <f t="shared" si="354"/>
        <v>150932.57</v>
      </c>
      <c r="AC2433" s="6">
        <f t="shared" si="355"/>
        <v>0</v>
      </c>
      <c r="AD2433" s="13">
        <f t="shared" si="359"/>
        <v>150932.57</v>
      </c>
      <c r="AE2433" s="2">
        <v>0.09</v>
      </c>
      <c r="AF2433" s="5">
        <f t="shared" si="356"/>
        <v>13583.9313</v>
      </c>
      <c r="AG2433" s="2">
        <v>0</v>
      </c>
      <c r="AH2433" s="5">
        <f t="shared" si="360"/>
        <v>150932.57</v>
      </c>
      <c r="AJ2433" s="126" t="e">
        <v>#N/A</v>
      </c>
      <c r="AK2433" s="80">
        <f t="shared" si="357"/>
        <v>0</v>
      </c>
      <c r="AM2433" s="85"/>
    </row>
    <row r="2434" spans="1:39" hidden="1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58"/>
        <v>73641.02999999997</v>
      </c>
      <c r="X2434" s="13">
        <f t="shared" si="361"/>
        <v>294274.46999999997</v>
      </c>
      <c r="Y2434" s="13">
        <f t="shared" si="353"/>
        <v>0</v>
      </c>
      <c r="Z2434" s="2">
        <v>0</v>
      </c>
      <c r="AA2434" s="4">
        <v>0</v>
      </c>
      <c r="AB2434" s="4">
        <f t="shared" si="354"/>
        <v>294274.46999999997</v>
      </c>
      <c r="AC2434" s="6">
        <f t="shared" si="355"/>
        <v>0</v>
      </c>
      <c r="AD2434" s="13">
        <f t="shared" si="359"/>
        <v>294274.46999999997</v>
      </c>
      <c r="AE2434" s="2">
        <v>0.09</v>
      </c>
      <c r="AF2434" s="5">
        <f t="shared" si="356"/>
        <v>26484.702299999997</v>
      </c>
      <c r="AG2434" s="2">
        <v>0</v>
      </c>
      <c r="AH2434" s="5">
        <f t="shared" si="360"/>
        <v>294274.46999999997</v>
      </c>
      <c r="AJ2434" s="126" t="e">
        <v>#N/A</v>
      </c>
      <c r="AK2434" s="80">
        <f t="shared" si="357"/>
        <v>0</v>
      </c>
      <c r="AM2434" s="85"/>
    </row>
    <row r="2435" spans="1:39" hidden="1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58"/>
        <v>-263457.70000000007</v>
      </c>
      <c r="X2435" s="13">
        <f t="shared" si="361"/>
        <v>362124.1</v>
      </c>
      <c r="Y2435" s="13">
        <f t="shared" ref="Y2435:Y2498" si="36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363">X2435+AA2435</f>
        <v>362124.1</v>
      </c>
      <c r="AC2435" s="6">
        <f t="shared" ref="AC2435:AC2498" si="364">IF(P2435="返现",X2435*Q2435,V2435-X2435)</f>
        <v>0</v>
      </c>
      <c r="AD2435" s="13">
        <f t="shared" si="359"/>
        <v>362124.1</v>
      </c>
      <c r="AE2435" s="2">
        <v>0.09</v>
      </c>
      <c r="AF2435" s="5">
        <f t="shared" ref="AF2435:AF2498" si="365">AD2435*AE2435</f>
        <v>32591.168999999998</v>
      </c>
      <c r="AG2435" s="2">
        <v>0</v>
      </c>
      <c r="AH2435" s="5">
        <f t="shared" si="360"/>
        <v>362124.1</v>
      </c>
      <c r="AJ2435" s="126" t="e">
        <v>#N/A</v>
      </c>
      <c r="AK2435" s="80">
        <f t="shared" ref="AK2435:AK2498" si="366">X2435+AA2435-AB2435</f>
        <v>0</v>
      </c>
      <c r="AM2435" s="85"/>
    </row>
    <row r="2436" spans="1:39" hidden="1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58"/>
        <v>412393.06999999983</v>
      </c>
      <c r="X2436" s="13">
        <f t="shared" si="361"/>
        <v>731662.46</v>
      </c>
      <c r="Y2436" s="13">
        <f t="shared" si="362"/>
        <v>0</v>
      </c>
      <c r="Z2436" s="2">
        <v>0</v>
      </c>
      <c r="AA2436" s="4">
        <v>0</v>
      </c>
      <c r="AB2436" s="4">
        <f t="shared" si="363"/>
        <v>731662.46</v>
      </c>
      <c r="AC2436" s="6">
        <f t="shared" si="364"/>
        <v>0</v>
      </c>
      <c r="AD2436" s="13">
        <f t="shared" si="359"/>
        <v>731662.46</v>
      </c>
      <c r="AE2436" s="2">
        <v>0.09</v>
      </c>
      <c r="AF2436" s="5">
        <f t="shared" si="365"/>
        <v>65849.621399999989</v>
      </c>
      <c r="AG2436" s="2">
        <v>0</v>
      </c>
      <c r="AH2436" s="5">
        <f t="shared" si="360"/>
        <v>731662.46</v>
      </c>
      <c r="AJ2436" s="126" t="e">
        <v>#N/A</v>
      </c>
      <c r="AK2436" s="80">
        <f t="shared" si="366"/>
        <v>0</v>
      </c>
      <c r="AM2436" s="85"/>
    </row>
    <row r="2437" spans="1:39" hidden="1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58"/>
        <v>1719.9099999999962</v>
      </c>
      <c r="X2437" s="13">
        <f t="shared" si="361"/>
        <v>18450.28</v>
      </c>
      <c r="Y2437" s="13">
        <f t="shared" si="362"/>
        <v>0</v>
      </c>
      <c r="Z2437" s="2">
        <v>0</v>
      </c>
      <c r="AA2437" s="4">
        <v>0</v>
      </c>
      <c r="AB2437" s="4">
        <f t="shared" si="363"/>
        <v>18450.28</v>
      </c>
      <c r="AC2437" s="6">
        <f t="shared" si="364"/>
        <v>0</v>
      </c>
      <c r="AD2437" s="13">
        <f t="shared" si="359"/>
        <v>18450.28</v>
      </c>
      <c r="AE2437" s="2">
        <v>0.09</v>
      </c>
      <c r="AF2437" s="5">
        <f t="shared" si="365"/>
        <v>1660.5251999999998</v>
      </c>
      <c r="AG2437" s="2">
        <v>0</v>
      </c>
      <c r="AH2437" s="5">
        <f t="shared" si="360"/>
        <v>18450.28</v>
      </c>
      <c r="AJ2437" s="126" t="e">
        <v>#N/A</v>
      </c>
      <c r="AK2437" s="80">
        <f t="shared" si="366"/>
        <v>0</v>
      </c>
      <c r="AM2437" s="85"/>
    </row>
    <row r="2438" spans="1:39" hidden="1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58"/>
        <v>96345.499999999884</v>
      </c>
      <c r="X2438" s="13">
        <f t="shared" si="361"/>
        <v>251007.26</v>
      </c>
      <c r="Y2438" s="13">
        <f t="shared" si="362"/>
        <v>0</v>
      </c>
      <c r="Z2438" s="2">
        <v>0</v>
      </c>
      <c r="AA2438" s="4">
        <v>0</v>
      </c>
      <c r="AB2438" s="4">
        <f t="shared" si="363"/>
        <v>251007.26</v>
      </c>
      <c r="AC2438" s="6">
        <f t="shared" si="364"/>
        <v>0</v>
      </c>
      <c r="AD2438" s="13">
        <f t="shared" si="359"/>
        <v>251007.26</v>
      </c>
      <c r="AE2438" s="2">
        <v>0.09</v>
      </c>
      <c r="AF2438" s="5">
        <f t="shared" si="365"/>
        <v>22590.653399999999</v>
      </c>
      <c r="AG2438" s="2">
        <v>0</v>
      </c>
      <c r="AH2438" s="5">
        <f t="shared" si="360"/>
        <v>251007.26</v>
      </c>
      <c r="AJ2438" s="126" t="e">
        <v>#N/A</v>
      </c>
      <c r="AK2438" s="80">
        <f t="shared" si="366"/>
        <v>0</v>
      </c>
      <c r="AM2438" s="85"/>
    </row>
    <row r="2439" spans="1:39" hidden="1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58"/>
        <v>23526.620000000003</v>
      </c>
      <c r="X2439" s="13">
        <f t="shared" si="361"/>
        <v>13500</v>
      </c>
      <c r="Y2439" s="13">
        <f t="shared" si="362"/>
        <v>0</v>
      </c>
      <c r="Z2439" s="2">
        <v>0</v>
      </c>
      <c r="AA2439" s="4">
        <v>0</v>
      </c>
      <c r="AB2439" s="4">
        <f t="shared" si="363"/>
        <v>13500</v>
      </c>
      <c r="AC2439" s="6">
        <f t="shared" si="364"/>
        <v>0</v>
      </c>
      <c r="AD2439" s="13">
        <f t="shared" si="359"/>
        <v>13500</v>
      </c>
      <c r="AE2439" s="2">
        <v>0.09</v>
      </c>
      <c r="AF2439" s="5">
        <f t="shared" si="365"/>
        <v>1215</v>
      </c>
      <c r="AG2439" s="2">
        <v>0</v>
      </c>
      <c r="AH2439" s="5">
        <f t="shared" si="360"/>
        <v>13500</v>
      </c>
      <c r="AJ2439" s="126" t="e">
        <v>#N/A</v>
      </c>
      <c r="AK2439" s="80">
        <f t="shared" si="366"/>
        <v>0</v>
      </c>
      <c r="AM2439" s="85"/>
    </row>
    <row r="2440" spans="1:39" hidden="1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58"/>
        <v>2000</v>
      </c>
      <c r="X2440" s="13">
        <f t="shared" si="361"/>
        <v>28000</v>
      </c>
      <c r="Y2440" s="13">
        <f t="shared" si="362"/>
        <v>0</v>
      </c>
      <c r="Z2440" s="2">
        <v>0</v>
      </c>
      <c r="AA2440" s="4">
        <v>0</v>
      </c>
      <c r="AB2440" s="4">
        <f t="shared" si="363"/>
        <v>28000</v>
      </c>
      <c r="AC2440" s="6">
        <f t="shared" si="364"/>
        <v>0</v>
      </c>
      <c r="AD2440" s="13">
        <f t="shared" si="359"/>
        <v>28000</v>
      </c>
      <c r="AE2440" s="2">
        <v>0.09</v>
      </c>
      <c r="AF2440" s="5">
        <f t="shared" si="365"/>
        <v>2520</v>
      </c>
      <c r="AG2440" s="2">
        <v>0</v>
      </c>
      <c r="AH2440" s="5">
        <f t="shared" si="360"/>
        <v>28000</v>
      </c>
      <c r="AJ2440" s="126" t="e">
        <v>#N/A</v>
      </c>
      <c r="AK2440" s="80">
        <f t="shared" si="366"/>
        <v>0</v>
      </c>
      <c r="AM2440" s="85"/>
    </row>
    <row r="2441" spans="1:39" hidden="1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58"/>
        <v>5924</v>
      </c>
      <c r="X2441" s="13">
        <f t="shared" si="361"/>
        <v>14076</v>
      </c>
      <c r="Y2441" s="13">
        <f t="shared" si="362"/>
        <v>0</v>
      </c>
      <c r="Z2441" s="2">
        <v>0</v>
      </c>
      <c r="AA2441" s="4">
        <v>0</v>
      </c>
      <c r="AB2441" s="4">
        <f t="shared" si="363"/>
        <v>14076</v>
      </c>
      <c r="AC2441" s="6">
        <f t="shared" si="364"/>
        <v>0</v>
      </c>
      <c r="AD2441" s="13">
        <f t="shared" si="359"/>
        <v>14076</v>
      </c>
      <c r="AE2441" s="2">
        <v>0.09</v>
      </c>
      <c r="AF2441" s="5">
        <f t="shared" si="365"/>
        <v>1266.8399999999999</v>
      </c>
      <c r="AG2441" s="2">
        <v>0</v>
      </c>
      <c r="AH2441" s="5">
        <f t="shared" si="360"/>
        <v>14076</v>
      </c>
      <c r="AJ2441" s="126" t="e">
        <v>#N/A</v>
      </c>
      <c r="AK2441" s="80">
        <f t="shared" si="366"/>
        <v>0</v>
      </c>
      <c r="AM2441" s="85"/>
    </row>
    <row r="2442" spans="1:39" hidden="1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58"/>
        <v>64679.820000000014</v>
      </c>
      <c r="X2442" s="13">
        <f t="shared" si="361"/>
        <v>4926.0925925925794</v>
      </c>
      <c r="Y2442" s="13">
        <f t="shared" si="362"/>
        <v>0</v>
      </c>
      <c r="Z2442" s="2">
        <v>0</v>
      </c>
      <c r="AA2442" s="4">
        <v>0</v>
      </c>
      <c r="AB2442" s="4">
        <f t="shared" si="363"/>
        <v>4926.0925925925794</v>
      </c>
      <c r="AC2442" s="6">
        <f t="shared" si="364"/>
        <v>394.08740740740632</v>
      </c>
      <c r="AD2442" s="13">
        <f t="shared" si="359"/>
        <v>5320.1799999999857</v>
      </c>
      <c r="AE2442" s="2">
        <v>0.18</v>
      </c>
      <c r="AF2442" s="5">
        <f t="shared" si="365"/>
        <v>957.63239999999735</v>
      </c>
      <c r="AG2442" s="2">
        <v>0</v>
      </c>
      <c r="AH2442" s="5">
        <f t="shared" si="360"/>
        <v>5320.1799999999857</v>
      </c>
      <c r="AJ2442" s="126" t="e">
        <v>#N/A</v>
      </c>
      <c r="AK2442" s="80">
        <f t="shared" si="366"/>
        <v>0</v>
      </c>
      <c r="AM2442" s="85"/>
    </row>
    <row r="2443" spans="1:39" hidden="1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58"/>
        <v>0</v>
      </c>
      <c r="X2443" s="13">
        <f t="shared" si="361"/>
        <v>46296.296296296292</v>
      </c>
      <c r="Y2443" s="13">
        <f t="shared" si="362"/>
        <v>0</v>
      </c>
      <c r="Z2443" s="2">
        <v>0</v>
      </c>
      <c r="AA2443" s="4">
        <v>0</v>
      </c>
      <c r="AB2443" s="4">
        <f t="shared" si="363"/>
        <v>46296.296296296292</v>
      </c>
      <c r="AC2443" s="6">
        <f t="shared" si="364"/>
        <v>3703.703703703708</v>
      </c>
      <c r="AD2443" s="13">
        <f t="shared" si="359"/>
        <v>50000</v>
      </c>
      <c r="AE2443" s="2">
        <v>0.18</v>
      </c>
      <c r="AF2443" s="5">
        <f t="shared" si="365"/>
        <v>9000</v>
      </c>
      <c r="AG2443" s="2">
        <v>0</v>
      </c>
      <c r="AH2443" s="5">
        <f t="shared" si="360"/>
        <v>50000</v>
      </c>
      <c r="AJ2443" s="126" t="e">
        <v>#N/A</v>
      </c>
      <c r="AK2443" s="80">
        <f t="shared" si="366"/>
        <v>0</v>
      </c>
      <c r="AM2443" s="85"/>
    </row>
    <row r="2444" spans="1:39" hidden="1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58"/>
        <v>-3.6415315207705135E-14</v>
      </c>
      <c r="X2444" s="13">
        <f t="shared" si="361"/>
        <v>3.4705882352941178</v>
      </c>
      <c r="Y2444" s="13">
        <f t="shared" si="362"/>
        <v>0</v>
      </c>
      <c r="Z2444" s="2">
        <v>0</v>
      </c>
      <c r="AA2444" s="4">
        <v>0</v>
      </c>
      <c r="AB2444" s="4">
        <f t="shared" si="363"/>
        <v>3.4705882352941178</v>
      </c>
      <c r="AC2444" s="6">
        <f t="shared" si="364"/>
        <v>6.9411764705882284E-2</v>
      </c>
      <c r="AD2444" s="13">
        <f t="shared" si="359"/>
        <v>3.54</v>
      </c>
      <c r="AE2444" s="2">
        <v>0.09</v>
      </c>
      <c r="AF2444" s="5">
        <f t="shared" si="365"/>
        <v>0.31859999999999999</v>
      </c>
      <c r="AG2444" s="2">
        <v>0</v>
      </c>
      <c r="AH2444" s="5">
        <f t="shared" si="360"/>
        <v>3.54</v>
      </c>
      <c r="AJ2444" s="126" t="e">
        <v>#N/A</v>
      </c>
      <c r="AK2444" s="80">
        <f t="shared" si="366"/>
        <v>0</v>
      </c>
      <c r="AM2444" s="85"/>
    </row>
    <row r="2445" spans="1:39" hidden="1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361"/>
        <v>2.3725490196078431</v>
      </c>
      <c r="Y2445" s="13">
        <f t="shared" si="362"/>
        <v>0</v>
      </c>
      <c r="Z2445" s="2">
        <v>0</v>
      </c>
      <c r="AA2445" s="4">
        <v>0</v>
      </c>
      <c r="AB2445" s="4">
        <f t="shared" si="363"/>
        <v>2.3725490196078431</v>
      </c>
      <c r="AC2445" s="6">
        <f t="shared" si="364"/>
        <v>4.7450980392156783E-2</v>
      </c>
      <c r="AD2445" s="13">
        <f t="shared" si="359"/>
        <v>2.42</v>
      </c>
      <c r="AE2445" s="2">
        <v>0.09</v>
      </c>
      <c r="AF2445" s="5">
        <f t="shared" si="365"/>
        <v>0.21779999999999999</v>
      </c>
      <c r="AG2445" s="2">
        <v>0</v>
      </c>
      <c r="AH2445" s="5">
        <f t="shared" si="360"/>
        <v>2.42</v>
      </c>
      <c r="AJ2445" s="126" t="e">
        <v>#N/A</v>
      </c>
      <c r="AK2445" s="80">
        <f t="shared" si="366"/>
        <v>0</v>
      </c>
      <c r="AM2445" s="85"/>
    </row>
    <row r="2446" spans="1:39" hidden="1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58"/>
        <v>0</v>
      </c>
      <c r="X2446" s="13">
        <f t="shared" si="361"/>
        <v>0</v>
      </c>
      <c r="Y2446" s="13">
        <f t="shared" si="362"/>
        <v>0</v>
      </c>
      <c r="Z2446" s="2">
        <v>0</v>
      </c>
      <c r="AA2446" s="4">
        <v>0</v>
      </c>
      <c r="AB2446" s="4">
        <f t="shared" si="363"/>
        <v>0</v>
      </c>
      <c r="AC2446" s="6">
        <f t="shared" si="364"/>
        <v>0</v>
      </c>
      <c r="AD2446" s="13">
        <f t="shared" si="359"/>
        <v>0</v>
      </c>
      <c r="AE2446" s="2">
        <v>0.09</v>
      </c>
      <c r="AF2446" s="5">
        <f t="shared" si="365"/>
        <v>0</v>
      </c>
      <c r="AG2446" s="2">
        <v>0</v>
      </c>
      <c r="AH2446" s="5">
        <f t="shared" si="360"/>
        <v>0</v>
      </c>
      <c r="AJ2446" s="126" t="e">
        <v>#N/A</v>
      </c>
      <c r="AK2446" s="80">
        <f t="shared" si="366"/>
        <v>0</v>
      </c>
      <c r="AM2446" s="85"/>
    </row>
    <row r="2447" spans="1:39" hidden="1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58"/>
        <v>0</v>
      </c>
      <c r="X2447" s="13">
        <f t="shared" si="361"/>
        <v>0</v>
      </c>
      <c r="Y2447" s="13">
        <f t="shared" si="362"/>
        <v>0</v>
      </c>
      <c r="Z2447" s="2">
        <v>0</v>
      </c>
      <c r="AA2447" s="4">
        <v>0</v>
      </c>
      <c r="AB2447" s="4">
        <f t="shared" si="363"/>
        <v>0</v>
      </c>
      <c r="AC2447" s="6">
        <f t="shared" si="364"/>
        <v>0</v>
      </c>
      <c r="AD2447" s="13">
        <f t="shared" si="359"/>
        <v>0</v>
      </c>
      <c r="AE2447" s="2">
        <v>0.09</v>
      </c>
      <c r="AF2447" s="5">
        <f t="shared" si="365"/>
        <v>0</v>
      </c>
      <c r="AG2447" s="2">
        <v>0</v>
      </c>
      <c r="AH2447" s="5">
        <f t="shared" si="360"/>
        <v>0</v>
      </c>
      <c r="AJ2447" s="126" t="e">
        <v>#N/A</v>
      </c>
      <c r="AK2447" s="80">
        <f t="shared" si="366"/>
        <v>0</v>
      </c>
      <c r="AM2447" s="85"/>
    </row>
    <row r="2448" spans="1:39" hidden="1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58"/>
        <v>0</v>
      </c>
      <c r="X2448" s="13">
        <f t="shared" si="361"/>
        <v>0</v>
      </c>
      <c r="Y2448" s="13">
        <f t="shared" si="362"/>
        <v>0</v>
      </c>
      <c r="Z2448" s="2">
        <v>0</v>
      </c>
      <c r="AA2448" s="4">
        <v>0</v>
      </c>
      <c r="AB2448" s="4">
        <f t="shared" si="363"/>
        <v>0</v>
      </c>
      <c r="AC2448" s="6">
        <f t="shared" si="364"/>
        <v>0</v>
      </c>
      <c r="AD2448" s="13">
        <f t="shared" si="359"/>
        <v>0</v>
      </c>
      <c r="AE2448" s="2">
        <v>0.09</v>
      </c>
      <c r="AF2448" s="5">
        <f t="shared" si="365"/>
        <v>0</v>
      </c>
      <c r="AG2448" s="2">
        <v>0</v>
      </c>
      <c r="AH2448" s="5">
        <f t="shared" si="360"/>
        <v>0</v>
      </c>
      <c r="AJ2448" s="126" t="e">
        <v>#N/A</v>
      </c>
      <c r="AK2448" s="80">
        <f t="shared" si="366"/>
        <v>0</v>
      </c>
      <c r="AM2448" s="85"/>
    </row>
    <row r="2449" spans="1:39" hidden="1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58"/>
        <v>1117.1299999999974</v>
      </c>
      <c r="X2449" s="13">
        <f t="shared" si="361"/>
        <v>43469.942857142858</v>
      </c>
      <c r="Y2449" s="13">
        <f t="shared" si="362"/>
        <v>0</v>
      </c>
      <c r="Z2449" s="2">
        <v>0</v>
      </c>
      <c r="AA2449" s="4">
        <v>0</v>
      </c>
      <c r="AB2449" s="4">
        <f t="shared" si="363"/>
        <v>43469.942857142858</v>
      </c>
      <c r="AC2449" s="6">
        <f t="shared" si="364"/>
        <v>2173.4971428571444</v>
      </c>
      <c r="AD2449" s="13">
        <f t="shared" si="359"/>
        <v>45643.44</v>
      </c>
      <c r="AE2449" s="2">
        <v>0.09</v>
      </c>
      <c r="AF2449" s="5">
        <f t="shared" si="365"/>
        <v>4107.9096</v>
      </c>
      <c r="AG2449" s="2">
        <v>0</v>
      </c>
      <c r="AH2449" s="5">
        <f t="shared" si="360"/>
        <v>45643.44</v>
      </c>
      <c r="AJ2449" s="126" t="e">
        <v>#N/A</v>
      </c>
      <c r="AK2449" s="80">
        <f t="shared" si="366"/>
        <v>0</v>
      </c>
      <c r="AM2449" s="85"/>
    </row>
    <row r="2450" spans="1:39" hidden="1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58"/>
        <v>9951.1799999999967</v>
      </c>
      <c r="X2450" s="13">
        <f t="shared" si="361"/>
        <v>31131.63</v>
      </c>
      <c r="Y2450" s="13">
        <f t="shared" si="362"/>
        <v>0</v>
      </c>
      <c r="Z2450" s="2">
        <v>0</v>
      </c>
      <c r="AA2450" s="4">
        <v>0</v>
      </c>
      <c r="AB2450" s="4">
        <f t="shared" si="363"/>
        <v>31131.63</v>
      </c>
      <c r="AC2450" s="6">
        <f t="shared" si="364"/>
        <v>0</v>
      </c>
      <c r="AD2450" s="13">
        <f t="shared" si="359"/>
        <v>31131.63</v>
      </c>
      <c r="AE2450" s="2">
        <v>0.09</v>
      </c>
      <c r="AF2450" s="5">
        <f t="shared" si="365"/>
        <v>2801.8467000000001</v>
      </c>
      <c r="AG2450" s="2">
        <v>0</v>
      </c>
      <c r="AH2450" s="5">
        <f t="shared" si="360"/>
        <v>31131.63</v>
      </c>
      <c r="AJ2450" s="126" t="e">
        <v>#N/A</v>
      </c>
      <c r="AK2450" s="80">
        <f t="shared" si="366"/>
        <v>0</v>
      </c>
      <c r="AM2450" s="85"/>
    </row>
    <row r="2451" spans="1:39" hidden="1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58"/>
        <v>22549.910000000003</v>
      </c>
      <c r="X2451" s="13">
        <f t="shared" si="361"/>
        <v>73797.03</v>
      </c>
      <c r="Y2451" s="13">
        <f t="shared" si="362"/>
        <v>0</v>
      </c>
      <c r="Z2451" s="2">
        <v>0</v>
      </c>
      <c r="AA2451" s="4">
        <v>0</v>
      </c>
      <c r="AB2451" s="4">
        <f t="shared" si="363"/>
        <v>73797.03</v>
      </c>
      <c r="AC2451" s="6">
        <f t="shared" si="364"/>
        <v>0</v>
      </c>
      <c r="AD2451" s="13">
        <f t="shared" si="359"/>
        <v>73797.03</v>
      </c>
      <c r="AE2451" s="2">
        <v>0.09</v>
      </c>
      <c r="AF2451" s="5">
        <f t="shared" si="365"/>
        <v>6641.7326999999996</v>
      </c>
      <c r="AG2451" s="2">
        <v>0</v>
      </c>
      <c r="AH2451" s="5">
        <f t="shared" si="360"/>
        <v>73797.03</v>
      </c>
      <c r="AJ2451" s="126" t="e">
        <v>#N/A</v>
      </c>
      <c r="AK2451" s="80">
        <f t="shared" si="366"/>
        <v>0</v>
      </c>
      <c r="AM2451" s="85"/>
    </row>
    <row r="2452" spans="1:39" hidden="1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367">T2452+U2452-V2452</f>
        <v>27428</v>
      </c>
      <c r="X2452" s="13">
        <f t="shared" si="361"/>
        <v>31933.333333333332</v>
      </c>
      <c r="Y2452" s="13">
        <f t="shared" si="362"/>
        <v>0</v>
      </c>
      <c r="Z2452" s="2">
        <v>0</v>
      </c>
      <c r="AA2452" s="4">
        <v>0</v>
      </c>
      <c r="AB2452" s="4">
        <f t="shared" si="363"/>
        <v>31933.333333333332</v>
      </c>
      <c r="AC2452" s="6">
        <f t="shared" si="364"/>
        <v>638.66666666666788</v>
      </c>
      <c r="AD2452" s="13">
        <f t="shared" ref="AD2452:AD2515" si="368">V2452</f>
        <v>32572</v>
      </c>
      <c r="AE2452" s="2">
        <v>0.09</v>
      </c>
      <c r="AF2452" s="5">
        <f t="shared" si="365"/>
        <v>2931.48</v>
      </c>
      <c r="AG2452" s="2">
        <v>0</v>
      </c>
      <c r="AH2452" s="5">
        <f t="shared" ref="AH2452:AH2515" si="369">V2452</f>
        <v>32572</v>
      </c>
      <c r="AJ2452" s="126" t="e">
        <v>#N/A</v>
      </c>
      <c r="AK2452" s="80">
        <f t="shared" si="366"/>
        <v>0</v>
      </c>
      <c r="AM2452" s="85"/>
    </row>
    <row r="2453" spans="1:39" hidden="1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367"/>
        <v>17322</v>
      </c>
      <c r="X2453" s="13">
        <f t="shared" si="361"/>
        <v>22678</v>
      </c>
      <c r="Y2453" s="13">
        <f t="shared" si="362"/>
        <v>0</v>
      </c>
      <c r="Z2453" s="2">
        <v>0</v>
      </c>
      <c r="AA2453" s="4">
        <v>0</v>
      </c>
      <c r="AB2453" s="4"/>
      <c r="AC2453" s="6">
        <f t="shared" si="364"/>
        <v>0</v>
      </c>
      <c r="AD2453" s="13">
        <f t="shared" si="368"/>
        <v>22678</v>
      </c>
      <c r="AE2453" s="2">
        <v>0.09</v>
      </c>
      <c r="AF2453" s="5">
        <f t="shared" si="365"/>
        <v>2041.02</v>
      </c>
      <c r="AG2453" s="2">
        <v>0</v>
      </c>
      <c r="AH2453" s="5">
        <f t="shared" si="369"/>
        <v>22678</v>
      </c>
      <c r="AJ2453" s="126">
        <v>109</v>
      </c>
      <c r="AK2453" s="80">
        <f t="shared" si="366"/>
        <v>22678</v>
      </c>
      <c r="AM2453" s="85"/>
    </row>
    <row r="2454" spans="1:39" hidden="1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367"/>
        <v>28302</v>
      </c>
      <c r="X2454" s="13">
        <f t="shared" si="361"/>
        <v>1698</v>
      </c>
      <c r="Y2454" s="13">
        <f t="shared" si="362"/>
        <v>0</v>
      </c>
      <c r="Z2454" s="2">
        <v>0</v>
      </c>
      <c r="AA2454" s="4">
        <v>0</v>
      </c>
      <c r="AB2454" s="4"/>
      <c r="AC2454" s="6">
        <f t="shared" si="364"/>
        <v>0</v>
      </c>
      <c r="AD2454" s="13">
        <f t="shared" si="368"/>
        <v>1698</v>
      </c>
      <c r="AE2454" s="2">
        <v>0.09</v>
      </c>
      <c r="AF2454" s="5">
        <f t="shared" si="365"/>
        <v>152.82</v>
      </c>
      <c r="AG2454" s="2">
        <v>0</v>
      </c>
      <c r="AH2454" s="5">
        <f t="shared" si="369"/>
        <v>1698</v>
      </c>
      <c r="AJ2454" s="126">
        <v>109</v>
      </c>
      <c r="AK2454" s="80">
        <f t="shared" si="366"/>
        <v>1698</v>
      </c>
      <c r="AM2454" s="85"/>
    </row>
    <row r="2455" spans="1:39" hidden="1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367"/>
        <v>3835.3699999999981</v>
      </c>
      <c r="X2455" s="13">
        <f t="shared" si="361"/>
        <v>1504.3039215686276</v>
      </c>
      <c r="Y2455" s="13">
        <f t="shared" si="362"/>
        <v>0</v>
      </c>
      <c r="Z2455" s="2">
        <v>0</v>
      </c>
      <c r="AA2455" s="4">
        <v>0</v>
      </c>
      <c r="AB2455" s="4">
        <f t="shared" si="363"/>
        <v>1504.3039215686276</v>
      </c>
      <c r="AC2455" s="6">
        <f t="shared" si="364"/>
        <v>30.086078431372471</v>
      </c>
      <c r="AD2455" s="13">
        <f t="shared" si="368"/>
        <v>1534.39</v>
      </c>
      <c r="AE2455" s="2">
        <v>0.09</v>
      </c>
      <c r="AF2455" s="5">
        <f t="shared" si="365"/>
        <v>138.0951</v>
      </c>
      <c r="AG2455" s="2">
        <v>0</v>
      </c>
      <c r="AH2455" s="5">
        <f t="shared" si="369"/>
        <v>1534.39</v>
      </c>
      <c r="AJ2455" s="126" t="e">
        <v>#N/A</v>
      </c>
      <c r="AK2455" s="80">
        <f t="shared" si="366"/>
        <v>0</v>
      </c>
      <c r="AM2455" s="85"/>
    </row>
    <row r="2456" spans="1:39" hidden="1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367"/>
        <v>29427.089999999989</v>
      </c>
      <c r="X2456" s="13">
        <f t="shared" si="361"/>
        <v>40070.959999999999</v>
      </c>
      <c r="Y2456" s="13">
        <f t="shared" si="362"/>
        <v>0</v>
      </c>
      <c r="Z2456" s="2">
        <v>0</v>
      </c>
      <c r="AA2456" s="4">
        <v>0</v>
      </c>
      <c r="AB2456" s="4">
        <f t="shared" si="363"/>
        <v>40070.959999999999</v>
      </c>
      <c r="AC2456" s="6">
        <f t="shared" si="364"/>
        <v>0</v>
      </c>
      <c r="AD2456" s="13">
        <f t="shared" si="368"/>
        <v>40070.959999999999</v>
      </c>
      <c r="AE2456" s="2">
        <v>0.09</v>
      </c>
      <c r="AF2456" s="5">
        <f t="shared" si="365"/>
        <v>3606.3863999999999</v>
      </c>
      <c r="AG2456" s="2">
        <v>0</v>
      </c>
      <c r="AH2456" s="5">
        <f t="shared" si="369"/>
        <v>40070.959999999999</v>
      </c>
      <c r="AJ2456" s="126" t="e">
        <v>#N/A</v>
      </c>
      <c r="AK2456" s="80">
        <f t="shared" si="366"/>
        <v>0</v>
      </c>
      <c r="AM2456" s="85"/>
    </row>
    <row r="2457" spans="1:39" hidden="1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367"/>
        <v>0</v>
      </c>
      <c r="X2457" s="13">
        <f t="shared" si="361"/>
        <v>0</v>
      </c>
      <c r="Y2457" s="13">
        <f t="shared" si="362"/>
        <v>0</v>
      </c>
      <c r="Z2457" s="2">
        <v>0</v>
      </c>
      <c r="AA2457" s="4">
        <v>0</v>
      </c>
      <c r="AB2457" s="4">
        <f t="shared" si="363"/>
        <v>0</v>
      </c>
      <c r="AC2457" s="6">
        <f t="shared" si="364"/>
        <v>0</v>
      </c>
      <c r="AD2457" s="13">
        <f t="shared" si="368"/>
        <v>0</v>
      </c>
      <c r="AE2457" s="2">
        <v>0.09</v>
      </c>
      <c r="AF2457" s="5">
        <f t="shared" si="365"/>
        <v>0</v>
      </c>
      <c r="AG2457" s="2">
        <v>0</v>
      </c>
      <c r="AH2457" s="5">
        <f t="shared" si="369"/>
        <v>0</v>
      </c>
      <c r="AJ2457" s="126" t="e">
        <v>#N/A</v>
      </c>
      <c r="AK2457" s="80">
        <f t="shared" si="366"/>
        <v>0</v>
      </c>
      <c r="AM2457" s="85"/>
    </row>
    <row r="2458" spans="1:39" hidden="1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367"/>
        <v>77243.09</v>
      </c>
      <c r="X2458" s="13">
        <f t="shared" si="361"/>
        <v>32756.910000000003</v>
      </c>
      <c r="Y2458" s="13">
        <f t="shared" si="362"/>
        <v>0</v>
      </c>
      <c r="Z2458" s="2">
        <v>0</v>
      </c>
      <c r="AA2458" s="4">
        <v>0</v>
      </c>
      <c r="AB2458" s="4">
        <f t="shared" si="363"/>
        <v>32756.910000000003</v>
      </c>
      <c r="AC2458" s="6">
        <f t="shared" si="364"/>
        <v>0</v>
      </c>
      <c r="AD2458" s="13">
        <f t="shared" si="368"/>
        <v>32756.910000000003</v>
      </c>
      <c r="AE2458" s="2">
        <v>0.09</v>
      </c>
      <c r="AF2458" s="5">
        <f t="shared" si="365"/>
        <v>2948.1219000000001</v>
      </c>
      <c r="AG2458" s="2">
        <v>0</v>
      </c>
      <c r="AH2458" s="5">
        <f t="shared" si="369"/>
        <v>32756.910000000003</v>
      </c>
      <c r="AJ2458" s="126" t="e">
        <v>#N/A</v>
      </c>
      <c r="AK2458" s="80">
        <f t="shared" si="366"/>
        <v>0</v>
      </c>
      <c r="AM2458" s="85"/>
    </row>
    <row r="2459" spans="1:39" hidden="1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367"/>
        <v>48435.070000000007</v>
      </c>
      <c r="X2459" s="13">
        <f t="shared" si="361"/>
        <v>61465</v>
      </c>
      <c r="Y2459" s="13">
        <f t="shared" si="362"/>
        <v>0</v>
      </c>
      <c r="Z2459" s="2">
        <v>0</v>
      </c>
      <c r="AA2459" s="4">
        <v>0</v>
      </c>
      <c r="AB2459" s="4">
        <f t="shared" si="363"/>
        <v>61465</v>
      </c>
      <c r="AC2459" s="6">
        <f t="shared" si="364"/>
        <v>0</v>
      </c>
      <c r="AD2459" s="13">
        <f t="shared" si="368"/>
        <v>61465</v>
      </c>
      <c r="AE2459" s="2">
        <v>0.09</v>
      </c>
      <c r="AF2459" s="5">
        <f t="shared" si="365"/>
        <v>5531.8499999999995</v>
      </c>
      <c r="AG2459" s="2">
        <v>0</v>
      </c>
      <c r="AH2459" s="5">
        <f t="shared" si="369"/>
        <v>61465</v>
      </c>
      <c r="AJ2459" s="126" t="e">
        <v>#N/A</v>
      </c>
      <c r="AK2459" s="80">
        <f t="shared" si="366"/>
        <v>0</v>
      </c>
      <c r="AM2459" s="85"/>
    </row>
    <row r="2460" spans="1:39" hidden="1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367"/>
        <v>68541.710000000137</v>
      </c>
      <c r="X2460" s="13">
        <f t="shared" si="361"/>
        <v>348624.35</v>
      </c>
      <c r="Y2460" s="13">
        <f t="shared" si="362"/>
        <v>0</v>
      </c>
      <c r="Z2460" s="2">
        <v>0.02</v>
      </c>
      <c r="AA2460" s="6">
        <f t="shared" ref="AA2460:AA2461" si="370">X2460/(1-Z2460)*Z2460</f>
        <v>7114.7826530612238</v>
      </c>
      <c r="AB2460" s="4">
        <f t="shared" si="363"/>
        <v>355739.13265306118</v>
      </c>
      <c r="AC2460" s="6">
        <f t="shared" si="364"/>
        <v>0</v>
      </c>
      <c r="AD2460" s="13">
        <f t="shared" si="368"/>
        <v>348624.35</v>
      </c>
      <c r="AE2460" s="2">
        <v>0.09</v>
      </c>
      <c r="AF2460" s="5">
        <f t="shared" si="365"/>
        <v>31376.191499999997</v>
      </c>
      <c r="AG2460" s="2">
        <v>0</v>
      </c>
      <c r="AH2460" s="5">
        <f t="shared" si="369"/>
        <v>348624.35</v>
      </c>
      <c r="AJ2460" s="126" t="e">
        <v>#N/A</v>
      </c>
      <c r="AK2460" s="80">
        <f t="shared" si="366"/>
        <v>0</v>
      </c>
      <c r="AM2460" s="85"/>
    </row>
    <row r="2461" spans="1:39" hidden="1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367"/>
        <v>21418.359999999986</v>
      </c>
      <c r="X2461" s="13">
        <f t="shared" si="361"/>
        <v>233381.64</v>
      </c>
      <c r="Y2461" s="13">
        <f t="shared" si="362"/>
        <v>0</v>
      </c>
      <c r="Z2461" s="2">
        <v>0.02</v>
      </c>
      <c r="AA2461" s="6">
        <f t="shared" si="370"/>
        <v>4762.890612244898</v>
      </c>
      <c r="AB2461" s="4">
        <f t="shared" si="363"/>
        <v>238144.53061224491</v>
      </c>
      <c r="AC2461" s="6">
        <f t="shared" si="364"/>
        <v>0</v>
      </c>
      <c r="AD2461" s="13">
        <f t="shared" si="368"/>
        <v>233381.64</v>
      </c>
      <c r="AE2461" s="2">
        <v>0.09</v>
      </c>
      <c r="AF2461" s="5">
        <f t="shared" si="365"/>
        <v>21004.347600000001</v>
      </c>
      <c r="AG2461" s="2">
        <v>0</v>
      </c>
      <c r="AH2461" s="5">
        <f t="shared" si="369"/>
        <v>233381.64</v>
      </c>
      <c r="AJ2461" s="126" t="e">
        <v>#N/A</v>
      </c>
      <c r="AK2461" s="80">
        <f t="shared" si="366"/>
        <v>0</v>
      </c>
      <c r="AM2461" s="85"/>
    </row>
    <row r="2462" spans="1:39" hidden="1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367"/>
        <v>0</v>
      </c>
      <c r="X2462" s="13">
        <f t="shared" si="361"/>
        <v>0</v>
      </c>
      <c r="Y2462" s="13">
        <f t="shared" si="362"/>
        <v>0</v>
      </c>
      <c r="Z2462" s="2">
        <v>0</v>
      </c>
      <c r="AA2462" s="4">
        <v>0</v>
      </c>
      <c r="AB2462" s="4">
        <f t="shared" si="363"/>
        <v>0</v>
      </c>
      <c r="AC2462" s="6">
        <f t="shared" si="364"/>
        <v>0</v>
      </c>
      <c r="AD2462" s="13">
        <f t="shared" si="368"/>
        <v>0</v>
      </c>
      <c r="AE2462" s="2">
        <v>0.09</v>
      </c>
      <c r="AF2462" s="5">
        <f t="shared" si="365"/>
        <v>0</v>
      </c>
      <c r="AG2462" s="2">
        <v>0</v>
      </c>
      <c r="AH2462" s="5">
        <f t="shared" si="369"/>
        <v>0</v>
      </c>
      <c r="AJ2462" s="126" t="e">
        <v>#N/A</v>
      </c>
      <c r="AK2462" s="80">
        <f t="shared" si="366"/>
        <v>0</v>
      </c>
      <c r="AM2462" s="85"/>
    </row>
    <row r="2463" spans="1:39" hidden="1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367"/>
        <v>0</v>
      </c>
      <c r="X2463" s="13">
        <f t="shared" si="361"/>
        <v>26314.392156862745</v>
      </c>
      <c r="Y2463" s="13">
        <f t="shared" si="362"/>
        <v>0</v>
      </c>
      <c r="Z2463" s="2">
        <v>0</v>
      </c>
      <c r="AA2463" s="4">
        <v>0</v>
      </c>
      <c r="AB2463" s="4">
        <f t="shared" si="363"/>
        <v>26314.392156862745</v>
      </c>
      <c r="AC2463" s="6">
        <f t="shared" si="364"/>
        <v>526.28784313725555</v>
      </c>
      <c r="AD2463" s="13">
        <f t="shared" si="368"/>
        <v>26840.68</v>
      </c>
      <c r="AE2463" s="2">
        <v>0.09</v>
      </c>
      <c r="AF2463" s="5">
        <f t="shared" si="365"/>
        <v>2415.6612</v>
      </c>
      <c r="AG2463" s="2">
        <v>0</v>
      </c>
      <c r="AH2463" s="5">
        <f t="shared" si="369"/>
        <v>26840.68</v>
      </c>
      <c r="AJ2463" s="126" t="e">
        <v>#N/A</v>
      </c>
      <c r="AK2463" s="80">
        <f t="shared" si="366"/>
        <v>0</v>
      </c>
      <c r="AM2463" s="85"/>
    </row>
    <row r="2464" spans="1:39" hidden="1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367"/>
        <v>61113.560000000012</v>
      </c>
      <c r="X2464" s="13">
        <f t="shared" si="361"/>
        <v>22446.89</v>
      </c>
      <c r="Y2464" s="13">
        <f t="shared" si="362"/>
        <v>0</v>
      </c>
      <c r="Z2464" s="2">
        <v>0</v>
      </c>
      <c r="AA2464" s="4">
        <v>0</v>
      </c>
      <c r="AB2464" s="4">
        <f t="shared" si="363"/>
        <v>22446.89</v>
      </c>
      <c r="AC2464" s="6">
        <f t="shared" si="364"/>
        <v>0</v>
      </c>
      <c r="AD2464" s="13">
        <f t="shared" si="368"/>
        <v>22446.89</v>
      </c>
      <c r="AE2464" s="2">
        <v>0.09</v>
      </c>
      <c r="AF2464" s="5">
        <f t="shared" si="365"/>
        <v>2020.2200999999998</v>
      </c>
      <c r="AG2464" s="2">
        <v>0</v>
      </c>
      <c r="AH2464" s="5">
        <f t="shared" si="369"/>
        <v>22446.89</v>
      </c>
      <c r="AJ2464" s="126" t="e">
        <v>#N/A</v>
      </c>
      <c r="AK2464" s="80">
        <f t="shared" si="366"/>
        <v>0</v>
      </c>
      <c r="AM2464" s="85"/>
    </row>
    <row r="2465" spans="1:39" hidden="1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367"/>
        <v>4013.5999999999626</v>
      </c>
      <c r="X2465" s="13">
        <f t="shared" ref="X2465:X2528" si="371">IF(P2465="折扣",V2465*Q2465,IF(P2465="返现",V2465,V2465/(1+Q2465)))</f>
        <v>58.36</v>
      </c>
      <c r="Y2465" s="13">
        <f t="shared" si="362"/>
        <v>0</v>
      </c>
      <c r="Z2465" s="2">
        <v>0</v>
      </c>
      <c r="AA2465" s="4">
        <v>0</v>
      </c>
      <c r="AB2465" s="4">
        <f t="shared" si="363"/>
        <v>58.36</v>
      </c>
      <c r="AC2465" s="6">
        <f t="shared" si="364"/>
        <v>0</v>
      </c>
      <c r="AD2465" s="13">
        <f t="shared" si="368"/>
        <v>58.36</v>
      </c>
      <c r="AE2465" s="2">
        <v>0.09</v>
      </c>
      <c r="AF2465" s="5">
        <f t="shared" si="365"/>
        <v>5.2523999999999997</v>
      </c>
      <c r="AG2465" s="2">
        <v>0</v>
      </c>
      <c r="AH2465" s="5">
        <f t="shared" si="369"/>
        <v>58.36</v>
      </c>
      <c r="AJ2465" s="126" t="e">
        <v>#N/A</v>
      </c>
      <c r="AK2465" s="80">
        <f t="shared" si="366"/>
        <v>0</v>
      </c>
      <c r="AM2465" s="85"/>
    </row>
    <row r="2466" spans="1:39" hidden="1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367"/>
        <v>400000</v>
      </c>
      <c r="X2466" s="13">
        <f t="shared" si="371"/>
        <v>0</v>
      </c>
      <c r="Y2466" s="13">
        <f t="shared" si="362"/>
        <v>0</v>
      </c>
      <c r="Z2466" s="2">
        <v>0</v>
      </c>
      <c r="AA2466" s="4">
        <v>0</v>
      </c>
      <c r="AB2466" s="4">
        <f t="shared" si="363"/>
        <v>0</v>
      </c>
      <c r="AC2466" s="6">
        <f t="shared" si="364"/>
        <v>0</v>
      </c>
      <c r="AD2466" s="13">
        <f t="shared" si="368"/>
        <v>0</v>
      </c>
      <c r="AE2466" s="2">
        <v>0.18</v>
      </c>
      <c r="AF2466" s="5">
        <f t="shared" si="365"/>
        <v>0</v>
      </c>
      <c r="AG2466" s="2">
        <v>0</v>
      </c>
      <c r="AH2466" s="5">
        <f t="shared" si="369"/>
        <v>0</v>
      </c>
      <c r="AJ2466" s="126" t="e">
        <v>#N/A</v>
      </c>
      <c r="AK2466" s="80">
        <f t="shared" si="366"/>
        <v>0</v>
      </c>
      <c r="AM2466" s="85"/>
    </row>
    <row r="2467" spans="1:39" hidden="1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367"/>
        <v>0</v>
      </c>
      <c r="X2467" s="13">
        <f t="shared" si="371"/>
        <v>33257.485148514847</v>
      </c>
      <c r="Y2467" s="13">
        <f t="shared" si="362"/>
        <v>0</v>
      </c>
      <c r="Z2467" s="2">
        <v>0</v>
      </c>
      <c r="AA2467" s="4">
        <v>0</v>
      </c>
      <c r="AB2467" s="4">
        <f t="shared" si="363"/>
        <v>33257.485148514847</v>
      </c>
      <c r="AC2467" s="6">
        <f t="shared" si="364"/>
        <v>332.57485148515116</v>
      </c>
      <c r="AD2467" s="13">
        <f t="shared" si="368"/>
        <v>33590.06</v>
      </c>
      <c r="AE2467" s="2">
        <v>0.09</v>
      </c>
      <c r="AF2467" s="5">
        <f t="shared" si="365"/>
        <v>3023.1053999999995</v>
      </c>
      <c r="AG2467" s="2">
        <v>0</v>
      </c>
      <c r="AH2467" s="5">
        <f t="shared" si="369"/>
        <v>33590.06</v>
      </c>
      <c r="AJ2467" s="126" t="e">
        <v>#N/A</v>
      </c>
      <c r="AK2467" s="80">
        <f t="shared" si="366"/>
        <v>0</v>
      </c>
      <c r="AM2467" s="85"/>
    </row>
    <row r="2468" spans="1:39" hidden="1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367"/>
        <v>0</v>
      </c>
      <c r="X2468" s="13">
        <f t="shared" si="371"/>
        <v>1743.5643564356435</v>
      </c>
      <c r="Y2468" s="13">
        <f t="shared" si="362"/>
        <v>0</v>
      </c>
      <c r="Z2468" s="2">
        <v>0</v>
      </c>
      <c r="AA2468" s="4">
        <v>0</v>
      </c>
      <c r="AB2468" s="4">
        <f t="shared" si="363"/>
        <v>1743.5643564356435</v>
      </c>
      <c r="AC2468" s="6">
        <f t="shared" si="364"/>
        <v>17.435643564356496</v>
      </c>
      <c r="AD2468" s="13">
        <f t="shared" si="368"/>
        <v>1761</v>
      </c>
      <c r="AE2468" s="2">
        <v>0.09</v>
      </c>
      <c r="AF2468" s="5">
        <f t="shared" si="365"/>
        <v>158.48999999999998</v>
      </c>
      <c r="AG2468" s="2">
        <v>0</v>
      </c>
      <c r="AH2468" s="5">
        <f t="shared" si="369"/>
        <v>1761</v>
      </c>
      <c r="AJ2468" s="126" t="e">
        <v>#N/A</v>
      </c>
      <c r="AK2468" s="80">
        <f t="shared" si="366"/>
        <v>0</v>
      </c>
      <c r="AM2468" s="85"/>
    </row>
    <row r="2469" spans="1:39" hidden="1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367"/>
        <v>8511.7100000000646</v>
      </c>
      <c r="X2469" s="13">
        <f t="shared" si="371"/>
        <v>0</v>
      </c>
      <c r="Y2469" s="13">
        <f t="shared" si="362"/>
        <v>0</v>
      </c>
      <c r="Z2469" s="2">
        <v>0</v>
      </c>
      <c r="AA2469" s="4">
        <v>0</v>
      </c>
      <c r="AB2469" s="4">
        <f t="shared" si="363"/>
        <v>0</v>
      </c>
      <c r="AC2469" s="6">
        <f t="shared" si="364"/>
        <v>0</v>
      </c>
      <c r="AD2469" s="13">
        <f t="shared" si="368"/>
        <v>0</v>
      </c>
      <c r="AE2469" s="2">
        <v>0.09</v>
      </c>
      <c r="AF2469" s="5">
        <f t="shared" si="365"/>
        <v>0</v>
      </c>
      <c r="AG2469" s="2">
        <v>0</v>
      </c>
      <c r="AH2469" s="5">
        <f t="shared" si="369"/>
        <v>0</v>
      </c>
      <c r="AJ2469" s="126" t="e">
        <v>#N/A</v>
      </c>
      <c r="AK2469" s="80">
        <f t="shared" si="366"/>
        <v>0</v>
      </c>
      <c r="AM2469" s="85"/>
    </row>
    <row r="2470" spans="1:39" hidden="1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367"/>
        <v>-4.6566128730773926E-10</v>
      </c>
      <c r="X2470" s="13">
        <f t="shared" si="371"/>
        <v>128430.19704433446</v>
      </c>
      <c r="Y2470" s="13">
        <f t="shared" si="362"/>
        <v>0</v>
      </c>
      <c r="Z2470" s="2">
        <v>0</v>
      </c>
      <c r="AA2470" s="4">
        <v>0</v>
      </c>
      <c r="AB2470" s="4">
        <f t="shared" si="363"/>
        <v>128430.19704433446</v>
      </c>
      <c r="AC2470" s="6">
        <f t="shared" si="364"/>
        <v>1926.4529556650086</v>
      </c>
      <c r="AD2470" s="13">
        <f t="shared" si="368"/>
        <v>130356.64999999947</v>
      </c>
      <c r="AE2470" s="2">
        <v>0.09</v>
      </c>
      <c r="AF2470" s="5">
        <f t="shared" si="365"/>
        <v>11732.098499999953</v>
      </c>
      <c r="AG2470" s="2">
        <v>0</v>
      </c>
      <c r="AH2470" s="5">
        <f t="shared" si="369"/>
        <v>130356.64999999947</v>
      </c>
      <c r="AJ2470" s="126" t="e">
        <v>#N/A</v>
      </c>
      <c r="AK2470" s="80">
        <f t="shared" si="366"/>
        <v>0</v>
      </c>
      <c r="AM2470" s="85"/>
    </row>
    <row r="2471" spans="1:39" hidden="1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367"/>
        <v>0</v>
      </c>
      <c r="X2471" s="13">
        <f t="shared" si="371"/>
        <v>18292.52216748779</v>
      </c>
      <c r="Y2471" s="13">
        <f t="shared" si="362"/>
        <v>0</v>
      </c>
      <c r="Z2471" s="2">
        <v>0</v>
      </c>
      <c r="AA2471" s="4">
        <v>0</v>
      </c>
      <c r="AB2471" s="4">
        <f t="shared" si="363"/>
        <v>18292.52216748779</v>
      </c>
      <c r="AC2471" s="6">
        <f t="shared" si="364"/>
        <v>274.38783251231507</v>
      </c>
      <c r="AD2471" s="13">
        <f t="shared" si="368"/>
        <v>18566.910000000105</v>
      </c>
      <c r="AE2471" s="2">
        <v>0.09</v>
      </c>
      <c r="AF2471" s="5">
        <f t="shared" si="365"/>
        <v>1671.0219000000095</v>
      </c>
      <c r="AG2471" s="2">
        <v>0</v>
      </c>
      <c r="AH2471" s="5">
        <f t="shared" si="369"/>
        <v>18566.910000000105</v>
      </c>
      <c r="AJ2471" s="126" t="e">
        <v>#N/A</v>
      </c>
      <c r="AK2471" s="80">
        <f t="shared" si="366"/>
        <v>0</v>
      </c>
      <c r="AM2471" s="85"/>
    </row>
    <row r="2472" spans="1:39" hidden="1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367"/>
        <v>0</v>
      </c>
      <c r="X2472" s="13">
        <f t="shared" si="371"/>
        <v>176139.08653846156</v>
      </c>
      <c r="Y2472" s="13">
        <f t="shared" si="362"/>
        <v>0</v>
      </c>
      <c r="Z2472" s="2">
        <v>0</v>
      </c>
      <c r="AA2472" s="4">
        <v>0</v>
      </c>
      <c r="AB2472" s="4">
        <f t="shared" si="363"/>
        <v>176139.08653846156</v>
      </c>
      <c r="AC2472" s="6">
        <f t="shared" si="364"/>
        <v>7045.5634615384624</v>
      </c>
      <c r="AD2472" s="13">
        <f t="shared" si="368"/>
        <v>183184.65000000002</v>
      </c>
      <c r="AE2472" s="2">
        <v>0.09</v>
      </c>
      <c r="AF2472" s="5">
        <f t="shared" si="365"/>
        <v>16486.6185</v>
      </c>
      <c r="AG2472" s="2">
        <v>0</v>
      </c>
      <c r="AH2472" s="5">
        <f t="shared" si="369"/>
        <v>183184.65000000002</v>
      </c>
      <c r="AJ2472" s="126" t="e">
        <v>#N/A</v>
      </c>
      <c r="AK2472" s="80">
        <f t="shared" si="366"/>
        <v>0</v>
      </c>
      <c r="AM2472" s="85"/>
    </row>
    <row r="2473" spans="1:39" hidden="1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367"/>
        <v>1051240.0900000003</v>
      </c>
      <c r="X2473" s="13">
        <f t="shared" si="371"/>
        <v>168674.86538461538</v>
      </c>
      <c r="Y2473" s="13">
        <f t="shared" si="362"/>
        <v>0</v>
      </c>
      <c r="Z2473" s="2">
        <v>0</v>
      </c>
      <c r="AA2473" s="4">
        <v>0</v>
      </c>
      <c r="AB2473" s="4">
        <f t="shared" si="363"/>
        <v>168674.86538461538</v>
      </c>
      <c r="AC2473" s="6">
        <f t="shared" si="364"/>
        <v>6746.9946153846104</v>
      </c>
      <c r="AD2473" s="13">
        <f t="shared" si="368"/>
        <v>175421.86</v>
      </c>
      <c r="AE2473" s="2">
        <v>0.09</v>
      </c>
      <c r="AF2473" s="5">
        <f t="shared" si="365"/>
        <v>15787.967399999998</v>
      </c>
      <c r="AG2473" s="2">
        <v>0</v>
      </c>
      <c r="AH2473" s="5">
        <f t="shared" si="369"/>
        <v>175421.86</v>
      </c>
      <c r="AJ2473" s="126" t="e">
        <v>#N/A</v>
      </c>
      <c r="AK2473" s="80">
        <f t="shared" si="366"/>
        <v>0</v>
      </c>
      <c r="AM2473" s="85"/>
    </row>
    <row r="2474" spans="1:39" hidden="1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371"/>
        <v>10043.598086124408</v>
      </c>
      <c r="Y2474" s="13">
        <f t="shared" si="362"/>
        <v>0</v>
      </c>
      <c r="Z2474" s="2">
        <v>0</v>
      </c>
      <c r="AA2474" s="4">
        <v>0</v>
      </c>
      <c r="AB2474" s="4">
        <f t="shared" si="363"/>
        <v>10043.598086124408</v>
      </c>
      <c r="AC2474" s="6">
        <f t="shared" si="364"/>
        <v>451.96191387559702</v>
      </c>
      <c r="AD2474" s="13">
        <f t="shared" si="368"/>
        <v>10495.560000000005</v>
      </c>
      <c r="AE2474" s="2">
        <v>0.09</v>
      </c>
      <c r="AF2474" s="5">
        <f t="shared" si="365"/>
        <v>944.60040000000038</v>
      </c>
      <c r="AG2474" s="2">
        <v>0</v>
      </c>
      <c r="AH2474" s="5">
        <f t="shared" si="369"/>
        <v>10495.560000000005</v>
      </c>
      <c r="AJ2474" s="126" t="e">
        <v>#N/A</v>
      </c>
      <c r="AK2474" s="80">
        <f t="shared" si="366"/>
        <v>0</v>
      </c>
      <c r="AM2474" s="85"/>
    </row>
    <row r="2475" spans="1:39" hidden="1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367"/>
        <v>21734.55</v>
      </c>
      <c r="X2475" s="13">
        <f t="shared" si="371"/>
        <v>0</v>
      </c>
      <c r="Y2475" s="13">
        <f t="shared" si="362"/>
        <v>0</v>
      </c>
      <c r="Z2475" s="2">
        <v>0</v>
      </c>
      <c r="AA2475" s="4">
        <v>0</v>
      </c>
      <c r="AB2475" s="4">
        <f t="shared" si="363"/>
        <v>0</v>
      </c>
      <c r="AC2475" s="6">
        <f t="shared" si="364"/>
        <v>0</v>
      </c>
      <c r="AD2475" s="13">
        <f t="shared" si="368"/>
        <v>0</v>
      </c>
      <c r="AE2475" s="2">
        <v>0.09</v>
      </c>
      <c r="AF2475" s="5">
        <f t="shared" si="365"/>
        <v>0</v>
      </c>
      <c r="AG2475" s="2">
        <v>0</v>
      </c>
      <c r="AH2475" s="5">
        <f t="shared" si="369"/>
        <v>0</v>
      </c>
      <c r="AJ2475" s="126" t="e">
        <v>#N/A</v>
      </c>
      <c r="AK2475" s="80">
        <f t="shared" si="366"/>
        <v>0</v>
      </c>
      <c r="AM2475" s="85"/>
    </row>
    <row r="2476" spans="1:39" hidden="1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367"/>
        <v>43215.309999999881</v>
      </c>
      <c r="X2476" s="13">
        <f>V2476-732.85</f>
        <v>168676.41</v>
      </c>
      <c r="Y2476" s="13">
        <f t="shared" si="362"/>
        <v>0</v>
      </c>
      <c r="Z2476" s="2">
        <v>0</v>
      </c>
      <c r="AA2476" s="4">
        <v>0</v>
      </c>
      <c r="AB2476" s="4">
        <f t="shared" si="363"/>
        <v>168676.41</v>
      </c>
      <c r="AC2476" s="6">
        <f t="shared" si="364"/>
        <v>732.85000000000582</v>
      </c>
      <c r="AD2476" s="13">
        <f t="shared" si="368"/>
        <v>169409.26</v>
      </c>
      <c r="AE2476" s="2">
        <v>0.09</v>
      </c>
      <c r="AF2476" s="5">
        <f t="shared" si="365"/>
        <v>15246.8334</v>
      </c>
      <c r="AG2476" s="2">
        <v>0</v>
      </c>
      <c r="AH2476" s="5">
        <f t="shared" si="369"/>
        <v>169409.26</v>
      </c>
      <c r="AJ2476" s="126" t="e">
        <v>#N/A</v>
      </c>
      <c r="AK2476" s="80">
        <f t="shared" si="366"/>
        <v>0</v>
      </c>
      <c r="AM2476" s="85"/>
    </row>
    <row r="2477" spans="1:39" hidden="1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367"/>
        <v>0</v>
      </c>
      <c r="X2477" s="13">
        <f t="shared" si="371"/>
        <v>351922.99999999994</v>
      </c>
      <c r="Y2477" s="13">
        <f t="shared" si="362"/>
        <v>0</v>
      </c>
      <c r="Z2477" s="2">
        <v>0</v>
      </c>
      <c r="AA2477" s="4">
        <v>0</v>
      </c>
      <c r="AB2477" s="4">
        <f t="shared" si="363"/>
        <v>351922.99999999994</v>
      </c>
      <c r="AC2477" s="6">
        <f t="shared" si="364"/>
        <v>7038.460000000021</v>
      </c>
      <c r="AD2477" s="13">
        <f t="shared" si="368"/>
        <v>358961.45999999996</v>
      </c>
      <c r="AE2477" s="2">
        <v>0.09</v>
      </c>
      <c r="AF2477" s="5">
        <f t="shared" si="365"/>
        <v>32306.531399999996</v>
      </c>
      <c r="AG2477" s="2">
        <v>0</v>
      </c>
      <c r="AH2477" s="5">
        <f t="shared" si="369"/>
        <v>358961.45999999996</v>
      </c>
      <c r="AJ2477" s="126" t="e">
        <v>#N/A</v>
      </c>
      <c r="AK2477" s="80">
        <f t="shared" si="366"/>
        <v>0</v>
      </c>
      <c r="AM2477" s="85"/>
    </row>
    <row r="2478" spans="1:39" hidden="1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367"/>
        <v>298644.25</v>
      </c>
      <c r="X2478" s="13">
        <f t="shared" si="371"/>
        <v>557441.3529411765</v>
      </c>
      <c r="Y2478" s="13">
        <f t="shared" si="362"/>
        <v>0</v>
      </c>
      <c r="Z2478" s="2">
        <v>0</v>
      </c>
      <c r="AA2478" s="4">
        <v>0</v>
      </c>
      <c r="AB2478" s="4">
        <f t="shared" si="363"/>
        <v>557441.3529411765</v>
      </c>
      <c r="AC2478" s="6">
        <f t="shared" si="364"/>
        <v>11148.827058823546</v>
      </c>
      <c r="AD2478" s="13">
        <f t="shared" si="368"/>
        <v>568590.18000000005</v>
      </c>
      <c r="AE2478" s="2">
        <v>0.09</v>
      </c>
      <c r="AF2478" s="5">
        <f t="shared" si="365"/>
        <v>51173.116200000004</v>
      </c>
      <c r="AG2478" s="2">
        <v>0</v>
      </c>
      <c r="AH2478" s="5">
        <f t="shared" si="369"/>
        <v>568590.18000000005</v>
      </c>
      <c r="AJ2478" s="126" t="e">
        <v>#N/A</v>
      </c>
      <c r="AK2478" s="80">
        <f t="shared" si="366"/>
        <v>0</v>
      </c>
      <c r="AM2478" s="85"/>
    </row>
    <row r="2479" spans="1:39" hidden="1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367"/>
        <v>4073.05</v>
      </c>
      <c r="X2479" s="13">
        <f t="shared" si="371"/>
        <v>7764.9215686274511</v>
      </c>
      <c r="Y2479" s="13">
        <f t="shared" si="362"/>
        <v>0</v>
      </c>
      <c r="Z2479" s="2">
        <v>0</v>
      </c>
      <c r="AA2479" s="4">
        <v>0</v>
      </c>
      <c r="AB2479" s="4">
        <f t="shared" si="363"/>
        <v>7764.9215686274511</v>
      </c>
      <c r="AC2479" s="6">
        <f t="shared" si="364"/>
        <v>155.2984313725492</v>
      </c>
      <c r="AD2479" s="13">
        <f t="shared" si="368"/>
        <v>7920.22</v>
      </c>
      <c r="AE2479" s="2">
        <v>0.09</v>
      </c>
      <c r="AF2479" s="5">
        <f t="shared" si="365"/>
        <v>712.81979999999999</v>
      </c>
      <c r="AG2479" s="2">
        <v>0</v>
      </c>
      <c r="AH2479" s="5">
        <f t="shared" si="369"/>
        <v>7920.22</v>
      </c>
      <c r="AJ2479" s="126" t="e">
        <v>#N/A</v>
      </c>
      <c r="AK2479" s="80">
        <f t="shared" si="366"/>
        <v>0</v>
      </c>
      <c r="AM2479" s="85"/>
    </row>
    <row r="2480" spans="1:39" hidden="1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367"/>
        <v>54626.989999999991</v>
      </c>
      <c r="X2480" s="13">
        <f t="shared" si="371"/>
        <v>0</v>
      </c>
      <c r="Y2480" s="13">
        <f t="shared" si="362"/>
        <v>0</v>
      </c>
      <c r="Z2480" s="2">
        <v>0</v>
      </c>
      <c r="AA2480" s="4">
        <v>0</v>
      </c>
      <c r="AB2480" s="4">
        <f t="shared" si="363"/>
        <v>0</v>
      </c>
      <c r="AC2480" s="6">
        <f t="shared" si="364"/>
        <v>0</v>
      </c>
      <c r="AD2480" s="13">
        <f t="shared" si="368"/>
        <v>0</v>
      </c>
      <c r="AE2480" s="2">
        <v>0.09</v>
      </c>
      <c r="AF2480" s="5">
        <f t="shared" si="365"/>
        <v>0</v>
      </c>
      <c r="AG2480" s="2">
        <v>0</v>
      </c>
      <c r="AH2480" s="5">
        <f t="shared" si="369"/>
        <v>0</v>
      </c>
      <c r="AJ2480" s="126" t="e">
        <v>#N/A</v>
      </c>
      <c r="AK2480" s="80">
        <f t="shared" si="366"/>
        <v>0</v>
      </c>
      <c r="AM2480" s="85"/>
    </row>
    <row r="2481" spans="1:39" hidden="1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367"/>
        <v>130086.67</v>
      </c>
      <c r="X2481" s="13">
        <f t="shared" si="371"/>
        <v>59543.42</v>
      </c>
      <c r="Y2481" s="13">
        <f t="shared" si="362"/>
        <v>0</v>
      </c>
      <c r="Z2481" s="2">
        <v>0</v>
      </c>
      <c r="AA2481" s="4">
        <v>0</v>
      </c>
      <c r="AB2481" s="4">
        <f t="shared" si="363"/>
        <v>59543.42</v>
      </c>
      <c r="AC2481" s="6">
        <f t="shared" si="364"/>
        <v>0</v>
      </c>
      <c r="AD2481" s="13">
        <f t="shared" si="368"/>
        <v>59543.42</v>
      </c>
      <c r="AE2481" s="2">
        <v>0.18</v>
      </c>
      <c r="AF2481" s="5">
        <f t="shared" si="365"/>
        <v>10717.8156</v>
      </c>
      <c r="AG2481" s="2">
        <v>0</v>
      </c>
      <c r="AH2481" s="5">
        <f t="shared" si="369"/>
        <v>59543.42</v>
      </c>
      <c r="AJ2481" s="126" t="e">
        <v>#N/A</v>
      </c>
      <c r="AK2481" s="80">
        <f t="shared" si="366"/>
        <v>0</v>
      </c>
      <c r="AM2481" s="85"/>
    </row>
    <row r="2482" spans="1:39" hidden="1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367"/>
        <v>29890.9</v>
      </c>
      <c r="X2482" s="13">
        <f t="shared" si="371"/>
        <v>0</v>
      </c>
      <c r="Y2482" s="13">
        <f t="shared" si="362"/>
        <v>0</v>
      </c>
      <c r="Z2482" s="2">
        <v>0</v>
      </c>
      <c r="AA2482" s="4">
        <v>0</v>
      </c>
      <c r="AB2482" s="4">
        <f t="shared" si="363"/>
        <v>0</v>
      </c>
      <c r="AC2482" s="6">
        <f t="shared" si="364"/>
        <v>0</v>
      </c>
      <c r="AD2482" s="13">
        <f t="shared" si="368"/>
        <v>0</v>
      </c>
      <c r="AE2482" s="2">
        <v>0.09</v>
      </c>
      <c r="AF2482" s="5">
        <f t="shared" si="365"/>
        <v>0</v>
      </c>
      <c r="AG2482" s="2">
        <v>0</v>
      </c>
      <c r="AH2482" s="5">
        <f t="shared" si="369"/>
        <v>0</v>
      </c>
      <c r="AJ2482" s="126" t="e">
        <v>#N/A</v>
      </c>
      <c r="AK2482" s="80">
        <f t="shared" si="366"/>
        <v>0</v>
      </c>
      <c r="AM2482" s="85"/>
    </row>
    <row r="2483" spans="1:39" hidden="1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367"/>
        <v>382278.83999999997</v>
      </c>
      <c r="X2483" s="13">
        <f t="shared" si="371"/>
        <v>0</v>
      </c>
      <c r="Y2483" s="13">
        <f t="shared" si="362"/>
        <v>0</v>
      </c>
      <c r="Z2483" s="2">
        <v>0</v>
      </c>
      <c r="AA2483" s="4">
        <v>0</v>
      </c>
      <c r="AB2483" s="4">
        <f t="shared" si="363"/>
        <v>0</v>
      </c>
      <c r="AC2483" s="6">
        <f t="shared" si="364"/>
        <v>0</v>
      </c>
      <c r="AD2483" s="13">
        <f t="shared" si="368"/>
        <v>0</v>
      </c>
      <c r="AE2483" s="2">
        <v>0.09</v>
      </c>
      <c r="AF2483" s="5">
        <f t="shared" si="365"/>
        <v>0</v>
      </c>
      <c r="AG2483" s="2">
        <v>0</v>
      </c>
      <c r="AH2483" s="5">
        <f t="shared" si="369"/>
        <v>0</v>
      </c>
      <c r="AJ2483" s="126" t="e">
        <v>#N/A</v>
      </c>
      <c r="AK2483" s="80">
        <f t="shared" si="366"/>
        <v>0</v>
      </c>
      <c r="AM2483" s="85"/>
    </row>
    <row r="2484" spans="1:39" hidden="1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367"/>
        <v>0</v>
      </c>
      <c r="X2484" s="13">
        <f t="shared" si="371"/>
        <v>40.852941176493843</v>
      </c>
      <c r="Y2484" s="13">
        <f t="shared" si="362"/>
        <v>0</v>
      </c>
      <c r="Z2484" s="2">
        <v>0</v>
      </c>
      <c r="AA2484" s="4">
        <v>0</v>
      </c>
      <c r="AB2484" s="4">
        <f t="shared" si="363"/>
        <v>40.852941176493843</v>
      </c>
      <c r="AC2484" s="6">
        <f t="shared" si="364"/>
        <v>0.81705882352987658</v>
      </c>
      <c r="AD2484" s="13">
        <f t="shared" si="368"/>
        <v>41.67000000002372</v>
      </c>
      <c r="AE2484" s="2">
        <v>0.09</v>
      </c>
      <c r="AF2484" s="5">
        <f t="shared" si="365"/>
        <v>3.7503000000021345</v>
      </c>
      <c r="AG2484" s="2">
        <v>0</v>
      </c>
      <c r="AH2484" s="5">
        <f t="shared" si="369"/>
        <v>41.67000000002372</v>
      </c>
      <c r="AJ2484" s="126" t="e">
        <v>#N/A</v>
      </c>
      <c r="AK2484" s="80">
        <f t="shared" si="366"/>
        <v>0</v>
      </c>
      <c r="AM2484" s="85"/>
    </row>
    <row r="2485" spans="1:39" hidden="1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371"/>
        <v>239980.94230769222</v>
      </c>
      <c r="Y2485" s="13">
        <f t="shared" si="362"/>
        <v>0</v>
      </c>
      <c r="Z2485" s="2">
        <v>0</v>
      </c>
      <c r="AA2485" s="4">
        <v>0</v>
      </c>
      <c r="AB2485" s="4">
        <f t="shared" si="363"/>
        <v>239980.94230769222</v>
      </c>
      <c r="AC2485" s="6">
        <f t="shared" si="364"/>
        <v>9599.2376923077099</v>
      </c>
      <c r="AD2485" s="13">
        <f t="shared" si="368"/>
        <v>249580.17999999993</v>
      </c>
      <c r="AE2485" s="2">
        <v>0.09</v>
      </c>
      <c r="AF2485" s="5">
        <f t="shared" si="365"/>
        <v>22462.216199999992</v>
      </c>
      <c r="AG2485" s="2">
        <v>0</v>
      </c>
      <c r="AH2485" s="5">
        <f t="shared" si="369"/>
        <v>249580.17999999993</v>
      </c>
      <c r="AJ2485" s="126" t="e">
        <v>#N/A</v>
      </c>
      <c r="AK2485" s="80">
        <f t="shared" si="366"/>
        <v>0</v>
      </c>
      <c r="AM2485" s="85"/>
    </row>
    <row r="2486" spans="1:39" hidden="1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367"/>
        <v>48226.919999999984</v>
      </c>
      <c r="X2486" s="13">
        <f t="shared" si="371"/>
        <v>116689.57</v>
      </c>
      <c r="Y2486" s="13">
        <f t="shared" si="362"/>
        <v>0</v>
      </c>
      <c r="Z2486" s="2">
        <v>0</v>
      </c>
      <c r="AA2486" s="4">
        <v>0</v>
      </c>
      <c r="AB2486" s="4">
        <f t="shared" si="363"/>
        <v>116689.57</v>
      </c>
      <c r="AC2486" s="6">
        <f t="shared" si="364"/>
        <v>0</v>
      </c>
      <c r="AD2486" s="13">
        <f t="shared" si="368"/>
        <v>116689.57</v>
      </c>
      <c r="AE2486" s="2">
        <v>0.09</v>
      </c>
      <c r="AF2486" s="5">
        <f t="shared" si="365"/>
        <v>10502.061299999999</v>
      </c>
      <c r="AG2486" s="2">
        <v>0</v>
      </c>
      <c r="AH2486" s="5">
        <f t="shared" si="369"/>
        <v>116689.57</v>
      </c>
      <c r="AJ2486" s="126" t="e">
        <v>#N/A</v>
      </c>
      <c r="AK2486" s="80">
        <f t="shared" si="366"/>
        <v>0</v>
      </c>
      <c r="AM2486" s="85"/>
    </row>
    <row r="2487" spans="1:39" hidden="1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367"/>
        <v>29308.300000000047</v>
      </c>
      <c r="X2487" s="13">
        <f t="shared" si="371"/>
        <v>0</v>
      </c>
      <c r="Y2487" s="13">
        <f t="shared" si="362"/>
        <v>0</v>
      </c>
      <c r="Z2487" s="2">
        <v>0</v>
      </c>
      <c r="AA2487" s="4">
        <v>0</v>
      </c>
      <c r="AB2487" s="4">
        <f t="shared" si="363"/>
        <v>0</v>
      </c>
      <c r="AC2487" s="6">
        <f t="shared" si="364"/>
        <v>0</v>
      </c>
      <c r="AD2487" s="13">
        <f t="shared" si="368"/>
        <v>0</v>
      </c>
      <c r="AE2487" s="2">
        <v>0.09</v>
      </c>
      <c r="AF2487" s="5">
        <f t="shared" si="365"/>
        <v>0</v>
      </c>
      <c r="AG2487" s="2">
        <v>0</v>
      </c>
      <c r="AH2487" s="5">
        <f t="shared" si="369"/>
        <v>0</v>
      </c>
      <c r="AJ2487" s="126" t="e">
        <v>#N/A</v>
      </c>
      <c r="AK2487" s="80">
        <f t="shared" si="366"/>
        <v>0</v>
      </c>
      <c r="AM2487" s="85"/>
    </row>
    <row r="2488" spans="1:39" hidden="1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367"/>
        <v>38160.100000000006</v>
      </c>
      <c r="X2488" s="13">
        <f t="shared" si="371"/>
        <v>55499.754901960783</v>
      </c>
      <c r="Y2488" s="13">
        <f t="shared" si="362"/>
        <v>0</v>
      </c>
      <c r="Z2488" s="2">
        <v>0</v>
      </c>
      <c r="AA2488" s="4">
        <v>0</v>
      </c>
      <c r="AB2488" s="4">
        <f t="shared" si="363"/>
        <v>55499.754901960783</v>
      </c>
      <c r="AC2488" s="6">
        <f t="shared" si="364"/>
        <v>1109.9950980392168</v>
      </c>
      <c r="AD2488" s="13">
        <f t="shared" si="368"/>
        <v>56609.75</v>
      </c>
      <c r="AE2488" s="2">
        <v>0.09</v>
      </c>
      <c r="AF2488" s="5">
        <f t="shared" si="365"/>
        <v>5094.8774999999996</v>
      </c>
      <c r="AG2488" s="2">
        <v>0</v>
      </c>
      <c r="AH2488" s="5">
        <f t="shared" si="369"/>
        <v>56609.75</v>
      </c>
      <c r="AJ2488" s="126" t="e">
        <v>#N/A</v>
      </c>
      <c r="AK2488" s="80">
        <f t="shared" si="366"/>
        <v>0</v>
      </c>
      <c r="AM2488" s="85"/>
    </row>
    <row r="2489" spans="1:39" hidden="1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367"/>
        <v>10372.300000000003</v>
      </c>
      <c r="X2489" s="13">
        <f t="shared" si="371"/>
        <v>41207.284313725489</v>
      </c>
      <c r="Y2489" s="13">
        <f t="shared" si="362"/>
        <v>0</v>
      </c>
      <c r="Z2489" s="2">
        <v>0</v>
      </c>
      <c r="AA2489" s="4">
        <v>0</v>
      </c>
      <c r="AB2489" s="4">
        <f t="shared" si="363"/>
        <v>41207.284313725489</v>
      </c>
      <c r="AC2489" s="6">
        <f t="shared" si="364"/>
        <v>824.14568627451081</v>
      </c>
      <c r="AD2489" s="13">
        <f t="shared" si="368"/>
        <v>42031.43</v>
      </c>
      <c r="AE2489" s="2">
        <v>0.09</v>
      </c>
      <c r="AF2489" s="5">
        <f t="shared" si="365"/>
        <v>3782.8287</v>
      </c>
      <c r="AG2489" s="2">
        <v>0</v>
      </c>
      <c r="AH2489" s="5">
        <f t="shared" si="369"/>
        <v>42031.43</v>
      </c>
      <c r="AJ2489" s="126" t="e">
        <v>#N/A</v>
      </c>
      <c r="AK2489" s="80">
        <f t="shared" si="366"/>
        <v>0</v>
      </c>
      <c r="AM2489" s="85"/>
    </row>
    <row r="2490" spans="1:39" hidden="1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367"/>
        <v>0</v>
      </c>
      <c r="X2490" s="13">
        <f t="shared" si="371"/>
        <v>25491.529411764721</v>
      </c>
      <c r="Y2490" s="13">
        <f t="shared" si="362"/>
        <v>0</v>
      </c>
      <c r="Z2490" s="2">
        <v>0</v>
      </c>
      <c r="AA2490" s="4">
        <v>0</v>
      </c>
      <c r="AB2490" s="4">
        <f t="shared" si="363"/>
        <v>25491.529411764721</v>
      </c>
      <c r="AC2490" s="6">
        <f t="shared" si="364"/>
        <v>509.83058823529427</v>
      </c>
      <c r="AD2490" s="13">
        <f t="shared" si="368"/>
        <v>26001.360000000015</v>
      </c>
      <c r="AE2490" s="2">
        <v>0.09</v>
      </c>
      <c r="AF2490" s="5">
        <f t="shared" si="365"/>
        <v>2340.1224000000011</v>
      </c>
      <c r="AG2490" s="2">
        <v>0</v>
      </c>
      <c r="AH2490" s="5">
        <f t="shared" si="369"/>
        <v>26001.360000000015</v>
      </c>
      <c r="AJ2490" s="126" t="e">
        <v>#N/A</v>
      </c>
      <c r="AK2490" s="80">
        <f t="shared" si="366"/>
        <v>0</v>
      </c>
      <c r="AM2490" s="85"/>
    </row>
    <row r="2491" spans="1:39" hidden="1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367"/>
        <v>15521.95</v>
      </c>
      <c r="X2491" s="13">
        <f t="shared" si="371"/>
        <v>9062.6960784313724</v>
      </c>
      <c r="Y2491" s="13">
        <f t="shared" si="362"/>
        <v>0</v>
      </c>
      <c r="Z2491" s="2">
        <v>0</v>
      </c>
      <c r="AA2491" s="4">
        <v>0</v>
      </c>
      <c r="AB2491" s="4">
        <f t="shared" si="363"/>
        <v>9062.6960784313724</v>
      </c>
      <c r="AC2491" s="6">
        <f t="shared" si="364"/>
        <v>181.25392156862836</v>
      </c>
      <c r="AD2491" s="13">
        <f t="shared" si="368"/>
        <v>9243.9500000000007</v>
      </c>
      <c r="AE2491" s="2">
        <v>0.09</v>
      </c>
      <c r="AF2491" s="5">
        <f t="shared" si="365"/>
        <v>831.95550000000003</v>
      </c>
      <c r="AG2491" s="2">
        <v>0</v>
      </c>
      <c r="AH2491" s="5">
        <f t="shared" si="369"/>
        <v>9243.9500000000007</v>
      </c>
      <c r="AJ2491" s="126" t="e">
        <v>#N/A</v>
      </c>
      <c r="AK2491" s="80">
        <f t="shared" si="366"/>
        <v>0</v>
      </c>
      <c r="AM2491" s="85"/>
    </row>
    <row r="2492" spans="1:39" hidden="1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367"/>
        <v>0</v>
      </c>
      <c r="X2492" s="13">
        <f t="shared" si="371"/>
        <v>85819.911764705874</v>
      </c>
      <c r="Y2492" s="13">
        <f t="shared" si="362"/>
        <v>0</v>
      </c>
      <c r="Z2492" s="2">
        <v>0</v>
      </c>
      <c r="AA2492" s="4">
        <v>0</v>
      </c>
      <c r="AB2492" s="4">
        <f t="shared" si="363"/>
        <v>85819.911764705874</v>
      </c>
      <c r="AC2492" s="6">
        <f t="shared" si="364"/>
        <v>1716.3982352941239</v>
      </c>
      <c r="AD2492" s="13">
        <f t="shared" si="368"/>
        <v>87536.31</v>
      </c>
      <c r="AE2492" s="2">
        <v>0.09</v>
      </c>
      <c r="AF2492" s="5">
        <f t="shared" si="365"/>
        <v>7878.2678999999998</v>
      </c>
      <c r="AG2492" s="2">
        <v>0</v>
      </c>
      <c r="AH2492" s="5">
        <f t="shared" si="369"/>
        <v>87536.31</v>
      </c>
      <c r="AJ2492" s="126" t="e">
        <v>#N/A</v>
      </c>
      <c r="AK2492" s="80">
        <f t="shared" si="366"/>
        <v>0</v>
      </c>
      <c r="AM2492" s="85"/>
    </row>
    <row r="2493" spans="1:39" hidden="1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371"/>
        <v>0</v>
      </c>
      <c r="Y2493" s="13">
        <f t="shared" si="362"/>
        <v>0</v>
      </c>
      <c r="Z2493" s="2">
        <v>0</v>
      </c>
      <c r="AA2493" s="4">
        <v>0</v>
      </c>
      <c r="AB2493" s="4">
        <f t="shared" si="363"/>
        <v>0</v>
      </c>
      <c r="AC2493" s="6">
        <f t="shared" si="364"/>
        <v>0</v>
      </c>
      <c r="AD2493" s="13">
        <f t="shared" si="368"/>
        <v>0</v>
      </c>
      <c r="AE2493" s="2">
        <v>0.18</v>
      </c>
      <c r="AF2493" s="5">
        <f t="shared" si="365"/>
        <v>0</v>
      </c>
      <c r="AG2493" s="2">
        <v>0</v>
      </c>
      <c r="AH2493" s="5">
        <f t="shared" si="369"/>
        <v>0</v>
      </c>
      <c r="AJ2493" s="126" t="e">
        <v>#N/A</v>
      </c>
      <c r="AK2493" s="80">
        <f t="shared" si="366"/>
        <v>0</v>
      </c>
      <c r="AM2493" s="85"/>
    </row>
    <row r="2494" spans="1:39" hidden="1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1" t="s">
        <v>46</v>
      </c>
      <c r="Q2494" s="2">
        <v>0.02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371"/>
        <v>171535.65686274503</v>
      </c>
      <c r="Y2494" s="13">
        <f t="shared" si="362"/>
        <v>0</v>
      </c>
      <c r="Z2494" s="2">
        <v>0</v>
      </c>
      <c r="AA2494" s="4">
        <v>0</v>
      </c>
      <c r="AB2494" s="4">
        <f t="shared" si="363"/>
        <v>171535.65686274503</v>
      </c>
      <c r="AC2494" s="6">
        <f t="shared" si="364"/>
        <v>3430.7131372549047</v>
      </c>
      <c r="AD2494" s="13">
        <f t="shared" si="368"/>
        <v>174966.36999999994</v>
      </c>
      <c r="AE2494" s="2">
        <v>0.09</v>
      </c>
      <c r="AF2494" s="5">
        <f t="shared" si="365"/>
        <v>15746.973299999994</v>
      </c>
      <c r="AG2494" s="2">
        <v>0</v>
      </c>
      <c r="AH2494" s="5">
        <f t="shared" si="369"/>
        <v>174966.36999999994</v>
      </c>
      <c r="AJ2494" s="126" t="e">
        <v>#N/A</v>
      </c>
      <c r="AK2494" s="80">
        <f t="shared" si="366"/>
        <v>0</v>
      </c>
      <c r="AM2494" s="85"/>
    </row>
    <row r="2495" spans="1:39" hidden="1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367"/>
        <v>371992.43</v>
      </c>
      <c r="X2495" s="13">
        <f t="shared" si="371"/>
        <v>0</v>
      </c>
      <c r="Y2495" s="13">
        <f t="shared" si="362"/>
        <v>0</v>
      </c>
      <c r="Z2495" s="2">
        <v>0</v>
      </c>
      <c r="AA2495" s="4">
        <v>0</v>
      </c>
      <c r="AB2495" s="4">
        <f t="shared" si="363"/>
        <v>0</v>
      </c>
      <c r="AC2495" s="6">
        <f t="shared" si="364"/>
        <v>0</v>
      </c>
      <c r="AD2495" s="13">
        <f t="shared" si="368"/>
        <v>0</v>
      </c>
      <c r="AE2495" s="2">
        <v>0.18</v>
      </c>
      <c r="AF2495" s="5">
        <f t="shared" si="365"/>
        <v>0</v>
      </c>
      <c r="AG2495" s="2">
        <v>0</v>
      </c>
      <c r="AH2495" s="5">
        <f t="shared" si="369"/>
        <v>0</v>
      </c>
      <c r="AJ2495" s="126" t="e">
        <v>#N/A</v>
      </c>
      <c r="AK2495" s="80">
        <f t="shared" si="366"/>
        <v>0</v>
      </c>
      <c r="AM2495" s="85"/>
    </row>
    <row r="2496" spans="1:39" hidden="1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367"/>
        <v>25761.950000000012</v>
      </c>
      <c r="X2496" s="13">
        <f t="shared" si="371"/>
        <v>23684</v>
      </c>
      <c r="Y2496" s="13">
        <f t="shared" si="362"/>
        <v>0</v>
      </c>
      <c r="Z2496" s="2">
        <v>0</v>
      </c>
      <c r="AA2496" s="4">
        <v>0</v>
      </c>
      <c r="AB2496" s="4">
        <f t="shared" si="363"/>
        <v>23684</v>
      </c>
      <c r="AC2496" s="6">
        <f t="shared" si="364"/>
        <v>0</v>
      </c>
      <c r="AD2496" s="13">
        <f t="shared" si="368"/>
        <v>23684</v>
      </c>
      <c r="AE2496" s="2">
        <v>0.09</v>
      </c>
      <c r="AF2496" s="5">
        <f t="shared" si="365"/>
        <v>2131.56</v>
      </c>
      <c r="AG2496" s="2">
        <v>0</v>
      </c>
      <c r="AH2496" s="5">
        <f t="shared" si="369"/>
        <v>23684</v>
      </c>
      <c r="AJ2496" s="126" t="e">
        <v>#N/A</v>
      </c>
      <c r="AK2496" s="80">
        <f t="shared" si="366"/>
        <v>0</v>
      </c>
      <c r="AM2496" s="85"/>
    </row>
    <row r="2497" spans="1:39" hidden="1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367"/>
        <v>0</v>
      </c>
      <c r="X2497" s="13">
        <f t="shared" si="371"/>
        <v>8410.6448598130974</v>
      </c>
      <c r="Y2497" s="13">
        <f t="shared" si="362"/>
        <v>0</v>
      </c>
      <c r="Z2497" s="2">
        <v>0</v>
      </c>
      <c r="AA2497" s="4">
        <v>0</v>
      </c>
      <c r="AB2497" s="4">
        <f t="shared" si="363"/>
        <v>8410.6448598130974</v>
      </c>
      <c r="AC2497" s="6">
        <f t="shared" si="364"/>
        <v>588.74514018691661</v>
      </c>
      <c r="AD2497" s="13">
        <f t="shared" si="368"/>
        <v>8999.390000000014</v>
      </c>
      <c r="AE2497" s="2">
        <v>0.18</v>
      </c>
      <c r="AF2497" s="5">
        <f t="shared" si="365"/>
        <v>1619.8902000000026</v>
      </c>
      <c r="AG2497" s="2">
        <v>0</v>
      </c>
      <c r="AH2497" s="5">
        <f t="shared" si="369"/>
        <v>8999.390000000014</v>
      </c>
      <c r="AJ2497" s="126" t="e">
        <v>#N/A</v>
      </c>
      <c r="AK2497" s="80">
        <f t="shared" si="366"/>
        <v>0</v>
      </c>
      <c r="AM2497" s="85"/>
    </row>
    <row r="2498" spans="1:39" hidden="1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367"/>
        <v>2982.0699999999997</v>
      </c>
      <c r="X2498" s="13">
        <f t="shared" si="371"/>
        <v>0</v>
      </c>
      <c r="Y2498" s="13">
        <f t="shared" si="362"/>
        <v>0</v>
      </c>
      <c r="Z2498" s="2">
        <v>0</v>
      </c>
      <c r="AA2498" s="4">
        <v>0</v>
      </c>
      <c r="AB2498" s="4">
        <f t="shared" si="363"/>
        <v>0</v>
      </c>
      <c r="AC2498" s="6">
        <f t="shared" si="364"/>
        <v>0</v>
      </c>
      <c r="AD2498" s="13">
        <f t="shared" si="368"/>
        <v>0</v>
      </c>
      <c r="AE2498" s="2">
        <v>0.09</v>
      </c>
      <c r="AF2498" s="5">
        <f t="shared" si="365"/>
        <v>0</v>
      </c>
      <c r="AG2498" s="2">
        <v>0</v>
      </c>
      <c r="AH2498" s="5">
        <f t="shared" si="369"/>
        <v>0</v>
      </c>
      <c r="AJ2498" s="126" t="e">
        <v>#N/A</v>
      </c>
      <c r="AK2498" s="80">
        <f t="shared" si="366"/>
        <v>0</v>
      </c>
      <c r="AM2498" s="85"/>
    </row>
    <row r="2499" spans="1:39" hidden="1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367"/>
        <v>5.4711790653527714E-13</v>
      </c>
      <c r="X2499" s="13">
        <f t="shared" si="371"/>
        <v>16.078431372549019</v>
      </c>
      <c r="Y2499" s="13">
        <f t="shared" ref="Y2499:Y2562" si="37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373">X2499+AA2499</f>
        <v>16.078431372549019</v>
      </c>
      <c r="AC2499" s="6">
        <f t="shared" ref="AC2499:AC2562" si="374">IF(P2499="返现",X2499*Q2499,V2499-X2499)</f>
        <v>0.32156862745097925</v>
      </c>
      <c r="AD2499" s="13">
        <f t="shared" si="368"/>
        <v>16.399999999999999</v>
      </c>
      <c r="AE2499" s="2">
        <v>0.09</v>
      </c>
      <c r="AF2499" s="5">
        <f t="shared" ref="AF2499:AF2562" si="375">AD2499*AE2499</f>
        <v>1.4759999999999998</v>
      </c>
      <c r="AG2499" s="2">
        <v>0</v>
      </c>
      <c r="AH2499" s="5">
        <f t="shared" si="369"/>
        <v>16.399999999999999</v>
      </c>
      <c r="AJ2499" s="126" t="e">
        <v>#N/A</v>
      </c>
      <c r="AK2499" s="80">
        <f t="shared" ref="AK2499:AK2562" si="376">X2499+AA2499-AB2499</f>
        <v>0</v>
      </c>
      <c r="AM2499" s="85"/>
    </row>
    <row r="2500" spans="1:39" hidden="1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371"/>
        <v>-44856.327272727271</v>
      </c>
      <c r="Y2500" s="13">
        <f t="shared" si="372"/>
        <v>4485.6327272727285</v>
      </c>
      <c r="Z2500" s="2">
        <v>0</v>
      </c>
      <c r="AA2500" s="4">
        <v>0</v>
      </c>
      <c r="AB2500" s="4">
        <f t="shared" si="373"/>
        <v>-44856.327272727271</v>
      </c>
      <c r="AC2500" s="6">
        <f t="shared" si="374"/>
        <v>-4485.6327272727285</v>
      </c>
      <c r="AD2500" s="13">
        <f t="shared" si="368"/>
        <v>-49341.96</v>
      </c>
      <c r="AE2500" s="2">
        <v>0.18</v>
      </c>
      <c r="AF2500" s="5">
        <f t="shared" si="375"/>
        <v>-8881.5527999999995</v>
      </c>
      <c r="AG2500" s="2">
        <v>0</v>
      </c>
      <c r="AH2500" s="5">
        <f t="shared" si="369"/>
        <v>-49341.96</v>
      </c>
      <c r="AJ2500" s="126" t="e">
        <v>#N/A</v>
      </c>
      <c r="AK2500" s="80">
        <f t="shared" si="376"/>
        <v>0</v>
      </c>
      <c r="AM2500" s="85"/>
    </row>
    <row r="2501" spans="1:39" hidden="1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367"/>
        <v>0</v>
      </c>
      <c r="X2501" s="13">
        <f t="shared" si="371"/>
        <v>17061.715686274507</v>
      </c>
      <c r="Y2501" s="13">
        <f t="shared" si="372"/>
        <v>0</v>
      </c>
      <c r="Z2501" s="2">
        <v>0</v>
      </c>
      <c r="AA2501" s="4">
        <v>0</v>
      </c>
      <c r="AB2501" s="4">
        <f t="shared" si="373"/>
        <v>17061.715686274507</v>
      </c>
      <c r="AC2501" s="6">
        <f t="shared" si="374"/>
        <v>341.23431372549021</v>
      </c>
      <c r="AD2501" s="13">
        <f t="shared" si="368"/>
        <v>17402.949999999997</v>
      </c>
      <c r="AE2501" s="2">
        <v>0.09</v>
      </c>
      <c r="AF2501" s="5">
        <f t="shared" si="375"/>
        <v>1566.2654999999997</v>
      </c>
      <c r="AG2501" s="2">
        <v>0</v>
      </c>
      <c r="AH2501" s="5">
        <f t="shared" si="369"/>
        <v>17402.949999999997</v>
      </c>
      <c r="AJ2501" s="126" t="e">
        <v>#N/A</v>
      </c>
      <c r="AK2501" s="80">
        <f t="shared" si="376"/>
        <v>0</v>
      </c>
      <c r="AM2501" s="85"/>
    </row>
    <row r="2502" spans="1:39" hidden="1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371"/>
        <v>4.8312439729990357</v>
      </c>
      <c r="Y2502" s="13">
        <f t="shared" si="372"/>
        <v>0</v>
      </c>
      <c r="Z2502" s="2">
        <v>0</v>
      </c>
      <c r="AA2502" s="4">
        <v>0</v>
      </c>
      <c r="AB2502" s="4">
        <f t="shared" si="373"/>
        <v>4.8312439729990357</v>
      </c>
      <c r="AC2502" s="6">
        <f t="shared" si="374"/>
        <v>0.17875602700096405</v>
      </c>
      <c r="AD2502" s="13">
        <f t="shared" si="368"/>
        <v>5.01</v>
      </c>
      <c r="AE2502" s="2">
        <v>0.09</v>
      </c>
      <c r="AF2502" s="5">
        <f t="shared" si="375"/>
        <v>0.45089999999999997</v>
      </c>
      <c r="AG2502" s="2">
        <v>0</v>
      </c>
      <c r="AH2502" s="5">
        <f t="shared" si="369"/>
        <v>5.01</v>
      </c>
      <c r="AJ2502" s="126" t="e">
        <v>#N/A</v>
      </c>
      <c r="AK2502" s="80">
        <f t="shared" si="376"/>
        <v>0</v>
      </c>
      <c r="AM2502" s="85"/>
    </row>
    <row r="2503" spans="1:39" hidden="1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367"/>
        <v>318200.62</v>
      </c>
      <c r="X2503" s="13">
        <f t="shared" si="371"/>
        <v>125027.4</v>
      </c>
      <c r="Y2503" s="13">
        <f t="shared" si="372"/>
        <v>0</v>
      </c>
      <c r="Z2503" s="2">
        <v>0.02</v>
      </c>
      <c r="AA2503" s="6">
        <f>X2503/(1-Z2503)*Z2503</f>
        <v>2551.5795918367348</v>
      </c>
      <c r="AB2503" s="4">
        <f t="shared" si="373"/>
        <v>127578.97959183673</v>
      </c>
      <c r="AC2503" s="6">
        <f t="shared" si="374"/>
        <v>0</v>
      </c>
      <c r="AD2503" s="13">
        <f t="shared" si="368"/>
        <v>125027.4</v>
      </c>
      <c r="AE2503" s="2">
        <v>0.09</v>
      </c>
      <c r="AF2503" s="5">
        <f t="shared" si="375"/>
        <v>11252.465999999999</v>
      </c>
      <c r="AG2503" s="2">
        <v>0</v>
      </c>
      <c r="AH2503" s="5">
        <f t="shared" si="369"/>
        <v>125027.4</v>
      </c>
      <c r="AJ2503" s="126" t="e">
        <v>#N/A</v>
      </c>
      <c r="AK2503" s="80">
        <f t="shared" si="376"/>
        <v>0</v>
      </c>
      <c r="AM2503" s="85"/>
    </row>
    <row r="2504" spans="1:39" hidden="1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367"/>
        <v>7470.6600000000017</v>
      </c>
      <c r="X2504" s="13">
        <f t="shared" si="371"/>
        <v>1054</v>
      </c>
      <c r="Y2504" s="13">
        <f t="shared" si="372"/>
        <v>0</v>
      </c>
      <c r="Z2504" s="2">
        <v>0</v>
      </c>
      <c r="AA2504" s="4">
        <v>0</v>
      </c>
      <c r="AB2504" s="4">
        <f t="shared" si="373"/>
        <v>1054</v>
      </c>
      <c r="AC2504" s="6">
        <f t="shared" si="374"/>
        <v>0</v>
      </c>
      <c r="AD2504" s="13">
        <f t="shared" si="368"/>
        <v>1054</v>
      </c>
      <c r="AE2504" s="2">
        <v>0.09</v>
      </c>
      <c r="AF2504" s="5">
        <f t="shared" si="375"/>
        <v>94.86</v>
      </c>
      <c r="AG2504" s="2">
        <v>0</v>
      </c>
      <c r="AH2504" s="5">
        <f t="shared" si="369"/>
        <v>1054</v>
      </c>
      <c r="AJ2504" s="126" t="e">
        <v>#N/A</v>
      </c>
      <c r="AK2504" s="80">
        <f t="shared" si="376"/>
        <v>0</v>
      </c>
      <c r="AM2504" s="85"/>
    </row>
    <row r="2505" spans="1:39" hidden="1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367"/>
        <v>3000</v>
      </c>
      <c r="X2505" s="13">
        <f t="shared" si="371"/>
        <v>0</v>
      </c>
      <c r="Y2505" s="13">
        <f t="shared" si="372"/>
        <v>0</v>
      </c>
      <c r="Z2505" s="2">
        <v>0</v>
      </c>
      <c r="AA2505" s="4">
        <v>0</v>
      </c>
      <c r="AB2505" s="4">
        <f t="shared" si="373"/>
        <v>0</v>
      </c>
      <c r="AC2505" s="6">
        <f t="shared" si="374"/>
        <v>0</v>
      </c>
      <c r="AD2505" s="13">
        <f t="shared" si="368"/>
        <v>0</v>
      </c>
      <c r="AE2505" s="2">
        <v>0.09</v>
      </c>
      <c r="AF2505" s="5">
        <f t="shared" si="375"/>
        <v>0</v>
      </c>
      <c r="AG2505" s="2">
        <v>0</v>
      </c>
      <c r="AH2505" s="5">
        <f t="shared" si="369"/>
        <v>0</v>
      </c>
      <c r="AJ2505" s="126" t="e">
        <v>#N/A</v>
      </c>
      <c r="AK2505" s="80">
        <f t="shared" si="376"/>
        <v>0</v>
      </c>
      <c r="AM2505" s="85"/>
    </row>
    <row r="2506" spans="1:39" hidden="1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367"/>
        <v>75415.339999999982</v>
      </c>
      <c r="X2506" s="13">
        <f t="shared" si="371"/>
        <v>0</v>
      </c>
      <c r="Y2506" s="13">
        <f t="shared" si="372"/>
        <v>0</v>
      </c>
      <c r="Z2506" s="2">
        <v>0</v>
      </c>
      <c r="AA2506" s="4">
        <v>0</v>
      </c>
      <c r="AB2506" s="4">
        <f t="shared" si="373"/>
        <v>0</v>
      </c>
      <c r="AC2506" s="6">
        <f t="shared" si="374"/>
        <v>0</v>
      </c>
      <c r="AD2506" s="13">
        <f t="shared" si="368"/>
        <v>0</v>
      </c>
      <c r="AE2506" s="2">
        <v>0.09</v>
      </c>
      <c r="AF2506" s="5">
        <f t="shared" si="375"/>
        <v>0</v>
      </c>
      <c r="AG2506" s="2">
        <v>0</v>
      </c>
      <c r="AH2506" s="5">
        <f t="shared" si="369"/>
        <v>0</v>
      </c>
      <c r="AJ2506" s="126" t="e">
        <v>#N/A</v>
      </c>
      <c r="AK2506" s="80">
        <f t="shared" si="376"/>
        <v>0</v>
      </c>
      <c r="AM2506" s="85"/>
    </row>
    <row r="2507" spans="1:39" hidden="1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367"/>
        <v>4110.1300000000019</v>
      </c>
      <c r="X2507" s="13">
        <f t="shared" si="371"/>
        <v>0</v>
      </c>
      <c r="Y2507" s="13">
        <f t="shared" si="372"/>
        <v>0</v>
      </c>
      <c r="Z2507" s="2">
        <v>0</v>
      </c>
      <c r="AA2507" s="4">
        <v>0</v>
      </c>
      <c r="AB2507" s="4">
        <f t="shared" si="373"/>
        <v>0</v>
      </c>
      <c r="AC2507" s="6">
        <f t="shared" si="374"/>
        <v>0</v>
      </c>
      <c r="AD2507" s="13">
        <f t="shared" si="368"/>
        <v>0</v>
      </c>
      <c r="AE2507" s="2">
        <v>0.09</v>
      </c>
      <c r="AF2507" s="5">
        <f t="shared" si="375"/>
        <v>0</v>
      </c>
      <c r="AG2507" s="2">
        <v>0</v>
      </c>
      <c r="AH2507" s="5">
        <f t="shared" si="369"/>
        <v>0</v>
      </c>
      <c r="AJ2507" s="126" t="e">
        <v>#N/A</v>
      </c>
      <c r="AK2507" s="80">
        <f t="shared" si="376"/>
        <v>0</v>
      </c>
      <c r="AM2507" s="85"/>
    </row>
    <row r="2508" spans="1:39" hidden="1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367"/>
        <v>3711.48</v>
      </c>
      <c r="X2508" s="13">
        <f t="shared" si="371"/>
        <v>0</v>
      </c>
      <c r="Y2508" s="13">
        <f t="shared" si="372"/>
        <v>0</v>
      </c>
      <c r="Z2508" s="2">
        <v>0</v>
      </c>
      <c r="AA2508" s="4">
        <v>0</v>
      </c>
      <c r="AB2508" s="4">
        <f t="shared" si="373"/>
        <v>0</v>
      </c>
      <c r="AC2508" s="6">
        <f t="shared" si="374"/>
        <v>0</v>
      </c>
      <c r="AD2508" s="13">
        <f t="shared" si="368"/>
        <v>0</v>
      </c>
      <c r="AE2508" s="2">
        <v>0.09</v>
      </c>
      <c r="AF2508" s="5">
        <f t="shared" si="375"/>
        <v>0</v>
      </c>
      <c r="AG2508" s="2">
        <v>0</v>
      </c>
      <c r="AH2508" s="5">
        <f t="shared" si="369"/>
        <v>0</v>
      </c>
      <c r="AJ2508" s="126" t="e">
        <v>#N/A</v>
      </c>
      <c r="AK2508" s="80">
        <f t="shared" si="376"/>
        <v>0</v>
      </c>
      <c r="AM2508" s="85"/>
    </row>
    <row r="2509" spans="1:39" hidden="1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367"/>
        <v>2396</v>
      </c>
      <c r="X2509" s="13">
        <f t="shared" si="371"/>
        <v>200</v>
      </c>
      <c r="Y2509" s="13">
        <f t="shared" si="372"/>
        <v>0</v>
      </c>
      <c r="Z2509" s="2">
        <v>0</v>
      </c>
      <c r="AA2509" s="4">
        <v>0</v>
      </c>
      <c r="AB2509" s="4"/>
      <c r="AC2509" s="6">
        <f t="shared" si="374"/>
        <v>0</v>
      </c>
      <c r="AD2509" s="13">
        <f t="shared" si="368"/>
        <v>200</v>
      </c>
      <c r="AE2509" s="2">
        <v>0.09</v>
      </c>
      <c r="AF2509" s="5">
        <f t="shared" si="375"/>
        <v>18</v>
      </c>
      <c r="AG2509" s="2">
        <v>0</v>
      </c>
      <c r="AH2509" s="5">
        <f t="shared" si="369"/>
        <v>200</v>
      </c>
      <c r="AJ2509" s="126">
        <v>109</v>
      </c>
      <c r="AK2509" s="80">
        <f t="shared" si="376"/>
        <v>200</v>
      </c>
      <c r="AM2509" s="85"/>
    </row>
    <row r="2510" spans="1:39" hidden="1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367"/>
        <v>100990.47999999998</v>
      </c>
      <c r="X2510" s="13">
        <f t="shared" si="371"/>
        <v>0</v>
      </c>
      <c r="Y2510" s="13">
        <f t="shared" si="372"/>
        <v>0</v>
      </c>
      <c r="Z2510" s="2">
        <v>0</v>
      </c>
      <c r="AA2510" s="4">
        <v>0</v>
      </c>
      <c r="AB2510" s="4">
        <f t="shared" si="373"/>
        <v>0</v>
      </c>
      <c r="AC2510" s="6">
        <f t="shared" si="374"/>
        <v>0</v>
      </c>
      <c r="AD2510" s="13">
        <f t="shared" si="368"/>
        <v>0</v>
      </c>
      <c r="AE2510" s="2">
        <v>0.09</v>
      </c>
      <c r="AF2510" s="5">
        <f t="shared" si="375"/>
        <v>0</v>
      </c>
      <c r="AG2510" s="2">
        <v>0</v>
      </c>
      <c r="AH2510" s="5">
        <f t="shared" si="369"/>
        <v>0</v>
      </c>
      <c r="AJ2510" s="126" t="e">
        <v>#N/A</v>
      </c>
      <c r="AK2510" s="80">
        <f t="shared" si="376"/>
        <v>0</v>
      </c>
      <c r="AM2510" s="85"/>
    </row>
    <row r="2511" spans="1:39" hidden="1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367"/>
        <v>0</v>
      </c>
      <c r="X2511" s="13">
        <f t="shared" si="371"/>
        <v>11489.019607843138</v>
      </c>
      <c r="Y2511" s="13">
        <f t="shared" si="372"/>
        <v>0</v>
      </c>
      <c r="Z2511" s="2">
        <v>0</v>
      </c>
      <c r="AA2511" s="4">
        <v>0</v>
      </c>
      <c r="AB2511" s="4">
        <f t="shared" si="373"/>
        <v>11489.019607843138</v>
      </c>
      <c r="AC2511" s="6">
        <f t="shared" si="374"/>
        <v>229.78039215686294</v>
      </c>
      <c r="AD2511" s="13">
        <f t="shared" si="368"/>
        <v>11718.800000000001</v>
      </c>
      <c r="AE2511" s="2">
        <v>0.09</v>
      </c>
      <c r="AF2511" s="5">
        <f t="shared" si="375"/>
        <v>1054.692</v>
      </c>
      <c r="AG2511" s="2">
        <v>0</v>
      </c>
      <c r="AH2511" s="5">
        <f t="shared" si="369"/>
        <v>11718.800000000001</v>
      </c>
      <c r="AJ2511" s="126" t="e">
        <v>#N/A</v>
      </c>
      <c r="AK2511" s="80">
        <f t="shared" si="376"/>
        <v>0</v>
      </c>
      <c r="AM2511" s="85"/>
    </row>
    <row r="2512" spans="1:39" hidden="1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371"/>
        <v>0</v>
      </c>
      <c r="Y2512" s="13">
        <f t="shared" si="372"/>
        <v>0</v>
      </c>
      <c r="Z2512" s="2">
        <v>0</v>
      </c>
      <c r="AA2512" s="4">
        <v>0</v>
      </c>
      <c r="AB2512" s="4">
        <f t="shared" si="373"/>
        <v>0</v>
      </c>
      <c r="AC2512" s="6">
        <f t="shared" si="374"/>
        <v>0</v>
      </c>
      <c r="AD2512" s="13">
        <f t="shared" si="368"/>
        <v>0</v>
      </c>
      <c r="AE2512" s="2">
        <v>0.18</v>
      </c>
      <c r="AF2512" s="5">
        <f t="shared" si="375"/>
        <v>0</v>
      </c>
      <c r="AG2512" s="2">
        <v>0</v>
      </c>
      <c r="AH2512" s="5">
        <f t="shared" si="369"/>
        <v>0</v>
      </c>
      <c r="AJ2512" s="126" t="e">
        <v>#N/A</v>
      </c>
      <c r="AK2512" s="80">
        <f t="shared" si="376"/>
        <v>0</v>
      </c>
      <c r="AM2512" s="85"/>
    </row>
    <row r="2513" spans="1:39" hidden="1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367"/>
        <v>9071.89</v>
      </c>
      <c r="X2513" s="13">
        <f t="shared" si="371"/>
        <v>0</v>
      </c>
      <c r="Y2513" s="13">
        <f t="shared" si="372"/>
        <v>0</v>
      </c>
      <c r="Z2513" s="2">
        <v>0</v>
      </c>
      <c r="AA2513" s="4">
        <v>0</v>
      </c>
      <c r="AB2513" s="4">
        <f t="shared" si="373"/>
        <v>0</v>
      </c>
      <c r="AC2513" s="6">
        <f t="shared" si="374"/>
        <v>0</v>
      </c>
      <c r="AD2513" s="13">
        <f t="shared" si="368"/>
        <v>0</v>
      </c>
      <c r="AE2513" s="2">
        <v>0.09</v>
      </c>
      <c r="AF2513" s="5">
        <f t="shared" si="375"/>
        <v>0</v>
      </c>
      <c r="AG2513" s="2">
        <v>0</v>
      </c>
      <c r="AH2513" s="5">
        <f t="shared" si="369"/>
        <v>0</v>
      </c>
      <c r="AJ2513" s="126" t="e">
        <v>#N/A</v>
      </c>
      <c r="AK2513" s="80">
        <f t="shared" si="376"/>
        <v>0</v>
      </c>
      <c r="AM2513" s="85"/>
    </row>
    <row r="2514" spans="1:39" hidden="1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367"/>
        <v>42453.239999999983</v>
      </c>
      <c r="X2514" s="13">
        <f t="shared" si="371"/>
        <v>0</v>
      </c>
      <c r="Y2514" s="13">
        <f t="shared" si="372"/>
        <v>0</v>
      </c>
      <c r="Z2514" s="2">
        <v>0</v>
      </c>
      <c r="AA2514" s="4">
        <v>0</v>
      </c>
      <c r="AB2514" s="4">
        <f t="shared" si="373"/>
        <v>0</v>
      </c>
      <c r="AC2514" s="6">
        <f t="shared" si="374"/>
        <v>0</v>
      </c>
      <c r="AD2514" s="13">
        <f t="shared" si="368"/>
        <v>0</v>
      </c>
      <c r="AE2514" s="2">
        <v>0.09</v>
      </c>
      <c r="AF2514" s="5">
        <f t="shared" si="375"/>
        <v>0</v>
      </c>
      <c r="AG2514" s="2">
        <v>0</v>
      </c>
      <c r="AH2514" s="5">
        <f t="shared" si="369"/>
        <v>0</v>
      </c>
      <c r="AJ2514" s="126" t="e">
        <v>#N/A</v>
      </c>
      <c r="AK2514" s="80">
        <f t="shared" si="376"/>
        <v>0</v>
      </c>
      <c r="AM2514" s="85"/>
    </row>
    <row r="2515" spans="1:39" hidden="1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367"/>
        <v>43378.239999999998</v>
      </c>
      <c r="X2515" s="13">
        <f t="shared" si="371"/>
        <v>0</v>
      </c>
      <c r="Y2515" s="13">
        <f t="shared" si="372"/>
        <v>0</v>
      </c>
      <c r="Z2515" s="2">
        <v>0</v>
      </c>
      <c r="AA2515" s="4">
        <v>0</v>
      </c>
      <c r="AB2515" s="4">
        <f t="shared" si="373"/>
        <v>0</v>
      </c>
      <c r="AC2515" s="6">
        <f t="shared" si="374"/>
        <v>0</v>
      </c>
      <c r="AD2515" s="13">
        <f t="shared" si="368"/>
        <v>0</v>
      </c>
      <c r="AE2515" s="2">
        <v>0.09</v>
      </c>
      <c r="AF2515" s="5">
        <f t="shared" si="375"/>
        <v>0</v>
      </c>
      <c r="AG2515" s="2">
        <v>0</v>
      </c>
      <c r="AH2515" s="5">
        <f t="shared" si="369"/>
        <v>0</v>
      </c>
      <c r="AJ2515" s="126" t="e">
        <v>#N/A</v>
      </c>
      <c r="AK2515" s="80">
        <f t="shared" si="376"/>
        <v>0</v>
      </c>
      <c r="AM2515" s="85"/>
    </row>
    <row r="2516" spans="1:39" hidden="1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377">T2516+U2516-V2516</f>
        <v>0</v>
      </c>
      <c r="X2516" s="13">
        <f t="shared" si="371"/>
        <v>0</v>
      </c>
      <c r="Y2516" s="13">
        <f t="shared" si="372"/>
        <v>0</v>
      </c>
      <c r="Z2516" s="2">
        <v>0</v>
      </c>
      <c r="AA2516" s="4">
        <v>0</v>
      </c>
      <c r="AB2516" s="4">
        <f t="shared" si="373"/>
        <v>0</v>
      </c>
      <c r="AC2516" s="6">
        <f t="shared" si="374"/>
        <v>0</v>
      </c>
      <c r="AD2516" s="13">
        <f t="shared" ref="AD2516:AD2579" si="378">V2516</f>
        <v>0</v>
      </c>
      <c r="AE2516" s="2">
        <v>0.18</v>
      </c>
      <c r="AF2516" s="5">
        <f t="shared" si="375"/>
        <v>0</v>
      </c>
      <c r="AG2516" s="2">
        <v>0</v>
      </c>
      <c r="AH2516" s="5">
        <f t="shared" ref="AH2516:AH2579" si="379">V2516</f>
        <v>0</v>
      </c>
      <c r="AJ2516" s="126" t="e">
        <v>#N/A</v>
      </c>
      <c r="AK2516" s="80">
        <f t="shared" si="376"/>
        <v>0</v>
      </c>
      <c r="AM2516" s="85"/>
    </row>
    <row r="2517" spans="1:39" hidden="1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377"/>
        <v>18.449999999999818</v>
      </c>
      <c r="X2517" s="13">
        <f t="shared" si="371"/>
        <v>0</v>
      </c>
      <c r="Y2517" s="13">
        <f t="shared" si="372"/>
        <v>0</v>
      </c>
      <c r="Z2517" s="2">
        <v>0</v>
      </c>
      <c r="AA2517" s="4">
        <v>0</v>
      </c>
      <c r="AB2517" s="4">
        <f t="shared" si="373"/>
        <v>0</v>
      </c>
      <c r="AC2517" s="6">
        <f t="shared" si="374"/>
        <v>0</v>
      </c>
      <c r="AD2517" s="13">
        <f t="shared" si="378"/>
        <v>0</v>
      </c>
      <c r="AE2517" s="2">
        <v>0.09</v>
      </c>
      <c r="AF2517" s="5">
        <f t="shared" si="375"/>
        <v>0</v>
      </c>
      <c r="AG2517" s="2">
        <v>0</v>
      </c>
      <c r="AH2517" s="5">
        <f t="shared" si="379"/>
        <v>0</v>
      </c>
      <c r="AJ2517" s="126" t="e">
        <v>#N/A</v>
      </c>
      <c r="AK2517" s="80">
        <f t="shared" si="376"/>
        <v>0</v>
      </c>
      <c r="AM2517" s="85"/>
    </row>
    <row r="2518" spans="1:39" hidden="1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377"/>
        <v>589000</v>
      </c>
      <c r="X2518" s="13">
        <f t="shared" si="371"/>
        <v>0</v>
      </c>
      <c r="Y2518" s="13">
        <f t="shared" si="372"/>
        <v>0</v>
      </c>
      <c r="Z2518" s="2">
        <v>0</v>
      </c>
      <c r="AA2518" s="4">
        <v>0</v>
      </c>
      <c r="AB2518" s="4">
        <f t="shared" si="373"/>
        <v>0</v>
      </c>
      <c r="AC2518" s="6">
        <f t="shared" si="374"/>
        <v>0</v>
      </c>
      <c r="AD2518" s="13">
        <f t="shared" si="378"/>
        <v>0</v>
      </c>
      <c r="AE2518" s="2">
        <v>0.09</v>
      </c>
      <c r="AF2518" s="5">
        <f t="shared" si="375"/>
        <v>0</v>
      </c>
      <c r="AG2518" s="2">
        <v>0</v>
      </c>
      <c r="AH2518" s="5">
        <f t="shared" si="379"/>
        <v>0</v>
      </c>
      <c r="AJ2518" s="126" t="e">
        <v>#N/A</v>
      </c>
      <c r="AK2518" s="80">
        <f t="shared" si="376"/>
        <v>0</v>
      </c>
      <c r="AM2518" s="85"/>
    </row>
    <row r="2519" spans="1:39" hidden="1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377"/>
        <v>232339.65</v>
      </c>
      <c r="X2519" s="13">
        <f t="shared" si="371"/>
        <v>0</v>
      </c>
      <c r="Y2519" s="13">
        <f t="shared" si="372"/>
        <v>0</v>
      </c>
      <c r="Z2519" s="2">
        <v>0</v>
      </c>
      <c r="AA2519" s="4">
        <v>0</v>
      </c>
      <c r="AB2519" s="4">
        <f t="shared" si="373"/>
        <v>0</v>
      </c>
      <c r="AC2519" s="6">
        <f t="shared" si="374"/>
        <v>0</v>
      </c>
      <c r="AD2519" s="13">
        <f t="shared" si="378"/>
        <v>0</v>
      </c>
      <c r="AE2519" s="2">
        <v>0.09</v>
      </c>
      <c r="AF2519" s="5">
        <f t="shared" si="375"/>
        <v>0</v>
      </c>
      <c r="AG2519" s="2">
        <v>0</v>
      </c>
      <c r="AH2519" s="5">
        <f t="shared" si="379"/>
        <v>0</v>
      </c>
      <c r="AJ2519" s="126" t="e">
        <v>#N/A</v>
      </c>
      <c r="AK2519" s="80">
        <f t="shared" si="376"/>
        <v>0</v>
      </c>
      <c r="AM2519" s="85"/>
    </row>
    <row r="2520" spans="1:39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377"/>
        <v>55769.140000000007</v>
      </c>
      <c r="X2520" s="13">
        <f t="shared" si="371"/>
        <v>0</v>
      </c>
      <c r="Y2520" s="13">
        <f t="shared" si="372"/>
        <v>0</v>
      </c>
      <c r="Z2520" s="2">
        <v>0</v>
      </c>
      <c r="AA2520" s="4">
        <v>0</v>
      </c>
      <c r="AB2520" s="4">
        <f t="shared" si="373"/>
        <v>0</v>
      </c>
      <c r="AC2520" s="6">
        <f t="shared" si="374"/>
        <v>0</v>
      </c>
      <c r="AD2520" s="13">
        <f t="shared" si="378"/>
        <v>0</v>
      </c>
      <c r="AE2520" s="2">
        <v>0.09</v>
      </c>
      <c r="AF2520" s="5">
        <f t="shared" si="375"/>
        <v>0</v>
      </c>
      <c r="AG2520" s="2">
        <v>0</v>
      </c>
      <c r="AH2520" s="5">
        <f t="shared" si="379"/>
        <v>0</v>
      </c>
      <c r="AJ2520" s="126" t="e">
        <v>#N/A</v>
      </c>
      <c r="AK2520" s="80">
        <f t="shared" si="376"/>
        <v>0</v>
      </c>
      <c r="AM2520" s="85"/>
    </row>
    <row r="2521" spans="1:39" hidden="1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1" t="s">
        <v>46</v>
      </c>
      <c r="Q2521" s="2">
        <v>0.02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371"/>
        <v>0</v>
      </c>
      <c r="Y2521" s="13">
        <f t="shared" si="372"/>
        <v>0</v>
      </c>
      <c r="Z2521" s="2">
        <v>0</v>
      </c>
      <c r="AA2521" s="4">
        <v>0</v>
      </c>
      <c r="AB2521" s="4">
        <f t="shared" si="373"/>
        <v>0</v>
      </c>
      <c r="AC2521" s="6">
        <f t="shared" si="374"/>
        <v>0</v>
      </c>
      <c r="AD2521" s="13">
        <f t="shared" si="378"/>
        <v>0</v>
      </c>
      <c r="AE2521" s="2">
        <v>0.18</v>
      </c>
      <c r="AF2521" s="5">
        <f t="shared" si="375"/>
        <v>0</v>
      </c>
      <c r="AG2521" s="2">
        <v>0</v>
      </c>
      <c r="AH2521" s="5">
        <f t="shared" si="379"/>
        <v>0</v>
      </c>
      <c r="AJ2521" s="126" t="e">
        <v>#N/A</v>
      </c>
      <c r="AK2521" s="80">
        <f t="shared" si="376"/>
        <v>0</v>
      </c>
      <c r="AM2521" s="85"/>
    </row>
    <row r="2522" spans="1:39" hidden="1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377"/>
        <v>70076.809999999969</v>
      </c>
      <c r="X2522" s="13">
        <f t="shared" si="371"/>
        <v>0</v>
      </c>
      <c r="Y2522" s="13">
        <f t="shared" si="372"/>
        <v>0</v>
      </c>
      <c r="Z2522" s="2">
        <v>0</v>
      </c>
      <c r="AA2522" s="4">
        <v>0</v>
      </c>
      <c r="AB2522" s="4">
        <f t="shared" si="373"/>
        <v>0</v>
      </c>
      <c r="AC2522" s="6">
        <f t="shared" si="374"/>
        <v>0</v>
      </c>
      <c r="AD2522" s="13">
        <f t="shared" si="378"/>
        <v>0</v>
      </c>
      <c r="AE2522" s="2">
        <v>0.09</v>
      </c>
      <c r="AF2522" s="5">
        <f t="shared" si="375"/>
        <v>0</v>
      </c>
      <c r="AG2522" s="2">
        <v>0</v>
      </c>
      <c r="AH2522" s="5">
        <f t="shared" si="379"/>
        <v>0</v>
      </c>
      <c r="AJ2522" s="126" t="e">
        <v>#N/A</v>
      </c>
      <c r="AK2522" s="80">
        <f t="shared" si="376"/>
        <v>0</v>
      </c>
      <c r="AM2522" s="85"/>
    </row>
    <row r="2523" spans="1:39" hidden="1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377"/>
        <v>-17443.18</v>
      </c>
      <c r="X2523" s="13">
        <f t="shared" si="371"/>
        <v>16612.55238095238</v>
      </c>
      <c r="Y2523" s="13">
        <f t="shared" si="372"/>
        <v>0</v>
      </c>
      <c r="Z2523" s="2">
        <v>0</v>
      </c>
      <c r="AA2523" s="4">
        <v>0</v>
      </c>
      <c r="AB2523" s="4">
        <f t="shared" si="373"/>
        <v>16612.55238095238</v>
      </c>
      <c r="AC2523" s="6">
        <f t="shared" si="374"/>
        <v>830.6276190476201</v>
      </c>
      <c r="AD2523" s="13">
        <f t="shared" si="378"/>
        <v>17443.18</v>
      </c>
      <c r="AE2523" s="2">
        <v>0.18</v>
      </c>
      <c r="AF2523" s="5">
        <f t="shared" si="375"/>
        <v>3139.7723999999998</v>
      </c>
      <c r="AG2523" s="2">
        <v>0</v>
      </c>
      <c r="AH2523" s="5">
        <f t="shared" si="379"/>
        <v>17443.18</v>
      </c>
      <c r="AJ2523" s="126" t="e">
        <v>#N/A</v>
      </c>
      <c r="AK2523" s="80">
        <f t="shared" si="376"/>
        <v>0</v>
      </c>
      <c r="AM2523" s="85"/>
    </row>
    <row r="2524" spans="1:39" hidden="1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377"/>
        <v>-934564.75000000012</v>
      </c>
      <c r="X2524" s="13">
        <f t="shared" si="371"/>
        <v>29076.666666666664</v>
      </c>
      <c r="Y2524" s="13">
        <f t="shared" si="372"/>
        <v>0</v>
      </c>
      <c r="Z2524" s="2">
        <v>0</v>
      </c>
      <c r="AA2524" s="4">
        <v>0</v>
      </c>
      <c r="AB2524" s="4">
        <f t="shared" si="373"/>
        <v>29076.666666666664</v>
      </c>
      <c r="AC2524" s="6">
        <f t="shared" si="374"/>
        <v>2326.133333333335</v>
      </c>
      <c r="AD2524" s="13">
        <f t="shared" si="378"/>
        <v>31402.799999999999</v>
      </c>
      <c r="AE2524" s="2">
        <v>0.18</v>
      </c>
      <c r="AF2524" s="5">
        <f t="shared" si="375"/>
        <v>5652.5039999999999</v>
      </c>
      <c r="AG2524" s="2">
        <v>0</v>
      </c>
      <c r="AH2524" s="5">
        <f t="shared" si="379"/>
        <v>31402.799999999999</v>
      </c>
      <c r="AJ2524" s="126" t="e">
        <v>#N/A</v>
      </c>
      <c r="AK2524" s="80">
        <f t="shared" si="376"/>
        <v>0</v>
      </c>
      <c r="AM2524" s="85"/>
    </row>
    <row r="2525" spans="1:39" hidden="1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377"/>
        <v>23558.670000000006</v>
      </c>
      <c r="X2525" s="13">
        <f t="shared" si="371"/>
        <v>0</v>
      </c>
      <c r="Y2525" s="13">
        <f t="shared" si="372"/>
        <v>0</v>
      </c>
      <c r="Z2525" s="2">
        <v>0</v>
      </c>
      <c r="AA2525" s="4">
        <v>0</v>
      </c>
      <c r="AB2525" s="4">
        <f t="shared" si="373"/>
        <v>0</v>
      </c>
      <c r="AC2525" s="6">
        <f t="shared" si="374"/>
        <v>0</v>
      </c>
      <c r="AD2525" s="13">
        <f t="shared" si="378"/>
        <v>0</v>
      </c>
      <c r="AE2525" s="2">
        <v>0.09</v>
      </c>
      <c r="AF2525" s="5">
        <f t="shared" si="375"/>
        <v>0</v>
      </c>
      <c r="AG2525" s="2">
        <v>0</v>
      </c>
      <c r="AH2525" s="5">
        <f t="shared" si="379"/>
        <v>0</v>
      </c>
      <c r="AJ2525" s="126" t="e">
        <v>#N/A</v>
      </c>
      <c r="AK2525" s="80">
        <f t="shared" si="376"/>
        <v>0</v>
      </c>
      <c r="AM2525" s="85"/>
    </row>
    <row r="2526" spans="1:39" hidden="1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377"/>
        <v>427.65</v>
      </c>
      <c r="X2526" s="13">
        <f t="shared" si="371"/>
        <v>0</v>
      </c>
      <c r="Y2526" s="13">
        <f t="shared" si="372"/>
        <v>0</v>
      </c>
      <c r="Z2526" s="2">
        <v>0</v>
      </c>
      <c r="AA2526" s="4">
        <v>0</v>
      </c>
      <c r="AB2526" s="4">
        <f t="shared" si="373"/>
        <v>0</v>
      </c>
      <c r="AC2526" s="6">
        <f t="shared" si="374"/>
        <v>0</v>
      </c>
      <c r="AD2526" s="13">
        <f t="shared" si="378"/>
        <v>0</v>
      </c>
      <c r="AE2526" s="2">
        <v>0.09</v>
      </c>
      <c r="AF2526" s="5">
        <f t="shared" si="375"/>
        <v>0</v>
      </c>
      <c r="AG2526" s="2">
        <v>0</v>
      </c>
      <c r="AH2526" s="5">
        <f t="shared" si="379"/>
        <v>0</v>
      </c>
      <c r="AJ2526" s="126" t="e">
        <v>#N/A</v>
      </c>
      <c r="AK2526" s="80">
        <f t="shared" si="376"/>
        <v>0</v>
      </c>
      <c r="AM2526" s="85"/>
    </row>
    <row r="2527" spans="1:39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377"/>
        <v>25000</v>
      </c>
      <c r="X2527" s="13">
        <f t="shared" si="371"/>
        <v>0</v>
      </c>
      <c r="Y2527" s="13">
        <f t="shared" si="372"/>
        <v>0</v>
      </c>
      <c r="Z2527" s="2">
        <v>0</v>
      </c>
      <c r="AA2527" s="4">
        <v>0</v>
      </c>
      <c r="AB2527" s="4">
        <f t="shared" si="373"/>
        <v>0</v>
      </c>
      <c r="AC2527" s="6">
        <f t="shared" si="374"/>
        <v>0</v>
      </c>
      <c r="AD2527" s="13">
        <f t="shared" si="378"/>
        <v>0</v>
      </c>
      <c r="AE2527" s="2">
        <v>0.09</v>
      </c>
      <c r="AF2527" s="5">
        <f t="shared" si="375"/>
        <v>0</v>
      </c>
      <c r="AG2527" s="2">
        <v>0</v>
      </c>
      <c r="AH2527" s="5">
        <f t="shared" si="379"/>
        <v>0</v>
      </c>
      <c r="AJ2527" s="126" t="e">
        <v>#N/A</v>
      </c>
      <c r="AK2527" s="80">
        <f t="shared" si="376"/>
        <v>0</v>
      </c>
      <c r="AM2527" s="85"/>
    </row>
    <row r="2528" spans="1:39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377"/>
        <v>9500</v>
      </c>
      <c r="X2528" s="13">
        <f t="shared" si="371"/>
        <v>0</v>
      </c>
      <c r="Y2528" s="13">
        <f t="shared" si="372"/>
        <v>0</v>
      </c>
      <c r="Z2528" s="2">
        <v>0</v>
      </c>
      <c r="AA2528" s="4">
        <v>0</v>
      </c>
      <c r="AB2528" s="4">
        <f t="shared" si="373"/>
        <v>0</v>
      </c>
      <c r="AC2528" s="6">
        <f t="shared" si="374"/>
        <v>0</v>
      </c>
      <c r="AD2528" s="13">
        <f t="shared" si="378"/>
        <v>0</v>
      </c>
      <c r="AE2528" s="2">
        <v>0.09</v>
      </c>
      <c r="AF2528" s="5">
        <f t="shared" si="375"/>
        <v>0</v>
      </c>
      <c r="AG2528" s="2">
        <v>0</v>
      </c>
      <c r="AH2528" s="5">
        <f t="shared" si="379"/>
        <v>0</v>
      </c>
      <c r="AJ2528" s="126" t="e">
        <v>#N/A</v>
      </c>
      <c r="AK2528" s="80">
        <f t="shared" si="376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377"/>
        <v>-1143.1799999999998</v>
      </c>
      <c r="X2529" s="13">
        <f t="shared" ref="X2529:X2592" si="380">IF(P2529="折扣",V2529*Q2529,IF(P2529="返现",V2529,V2529/(1+Q2529)))</f>
        <v>0</v>
      </c>
      <c r="Y2529" s="13">
        <f t="shared" si="372"/>
        <v>0</v>
      </c>
      <c r="Z2529" s="2">
        <v>0</v>
      </c>
      <c r="AA2529" s="4">
        <v>0</v>
      </c>
      <c r="AB2529" s="4">
        <f t="shared" si="373"/>
        <v>0</v>
      </c>
      <c r="AC2529" s="6">
        <f t="shared" si="374"/>
        <v>0</v>
      </c>
      <c r="AD2529" s="13">
        <f t="shared" si="378"/>
        <v>0</v>
      </c>
      <c r="AE2529" s="2">
        <v>0.18</v>
      </c>
      <c r="AF2529" s="5">
        <f t="shared" si="375"/>
        <v>0</v>
      </c>
      <c r="AG2529" s="2">
        <v>0</v>
      </c>
      <c r="AH2529" s="5">
        <f t="shared" si="379"/>
        <v>0</v>
      </c>
      <c r="AJ2529" s="126" t="e">
        <v>#N/A</v>
      </c>
      <c r="AK2529" s="80">
        <f t="shared" si="376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377"/>
        <v>2808.2299999999996</v>
      </c>
      <c r="X2530" s="13">
        <f t="shared" si="380"/>
        <v>0</v>
      </c>
      <c r="Y2530" s="13">
        <f t="shared" si="372"/>
        <v>0</v>
      </c>
      <c r="Z2530" s="2">
        <v>0</v>
      </c>
      <c r="AA2530" s="4">
        <v>0</v>
      </c>
      <c r="AB2530" s="4">
        <f t="shared" si="373"/>
        <v>0</v>
      </c>
      <c r="AC2530" s="6">
        <f t="shared" si="374"/>
        <v>0</v>
      </c>
      <c r="AD2530" s="13">
        <f t="shared" si="378"/>
        <v>0</v>
      </c>
      <c r="AE2530" s="2">
        <v>0.09</v>
      </c>
      <c r="AF2530" s="5">
        <f t="shared" si="375"/>
        <v>0</v>
      </c>
      <c r="AG2530" s="2">
        <v>0</v>
      </c>
      <c r="AH2530" s="5">
        <f t="shared" si="379"/>
        <v>0</v>
      </c>
      <c r="AJ2530" s="126" t="e">
        <v>#N/A</v>
      </c>
      <c r="AK2530" s="80">
        <f t="shared" si="376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377"/>
        <v>0</v>
      </c>
      <c r="X2531" s="13">
        <f t="shared" si="380"/>
        <v>5581</v>
      </c>
      <c r="Y2531" s="13">
        <f t="shared" si="372"/>
        <v>0</v>
      </c>
      <c r="Z2531" s="2">
        <v>0</v>
      </c>
      <c r="AA2531" s="4">
        <v>0</v>
      </c>
      <c r="AB2531" s="4">
        <f t="shared" si="373"/>
        <v>5581</v>
      </c>
      <c r="AC2531" s="6">
        <f t="shared" si="374"/>
        <v>279.05000000000018</v>
      </c>
      <c r="AD2531" s="13">
        <f t="shared" si="378"/>
        <v>5860.05</v>
      </c>
      <c r="AE2531" s="2">
        <v>0.09</v>
      </c>
      <c r="AF2531" s="5">
        <f t="shared" si="375"/>
        <v>527.40449999999998</v>
      </c>
      <c r="AG2531" s="2">
        <v>0</v>
      </c>
      <c r="AH2531" s="5">
        <f t="shared" si="379"/>
        <v>5860.05</v>
      </c>
      <c r="AJ2531" s="126" t="e">
        <v>#N/A</v>
      </c>
      <c r="AK2531" s="80">
        <f t="shared" si="376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377"/>
        <v>10079.870000000001</v>
      </c>
      <c r="X2532" s="13">
        <f t="shared" si="380"/>
        <v>0</v>
      </c>
      <c r="Y2532" s="13">
        <f t="shared" si="372"/>
        <v>0</v>
      </c>
      <c r="Z2532" s="2">
        <v>0</v>
      </c>
      <c r="AA2532" s="4">
        <v>0</v>
      </c>
      <c r="AB2532" s="4">
        <f t="shared" si="373"/>
        <v>0</v>
      </c>
      <c r="AC2532" s="6">
        <f t="shared" si="374"/>
        <v>0</v>
      </c>
      <c r="AD2532" s="13">
        <f t="shared" si="378"/>
        <v>0</v>
      </c>
      <c r="AE2532" s="2">
        <v>0.09</v>
      </c>
      <c r="AF2532" s="5">
        <f t="shared" si="375"/>
        <v>0</v>
      </c>
      <c r="AG2532" s="2">
        <v>0</v>
      </c>
      <c r="AH2532" s="5">
        <f t="shared" si="379"/>
        <v>0</v>
      </c>
      <c r="AJ2532" s="126" t="e">
        <v>#N/A</v>
      </c>
      <c r="AK2532" s="80">
        <f t="shared" si="376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377"/>
        <v>-39902.44</v>
      </c>
      <c r="X2533" s="13">
        <f t="shared" si="380"/>
        <v>4273.4399999999996</v>
      </c>
      <c r="Y2533" s="13">
        <f t="shared" si="372"/>
        <v>0</v>
      </c>
      <c r="Z2533" s="2">
        <v>0</v>
      </c>
      <c r="AA2533" s="4">
        <v>0</v>
      </c>
      <c r="AB2533" s="4">
        <f t="shared" si="373"/>
        <v>4273.4399999999996</v>
      </c>
      <c r="AC2533" s="6">
        <f t="shared" si="374"/>
        <v>0</v>
      </c>
      <c r="AD2533" s="13">
        <f t="shared" si="378"/>
        <v>4273.4399999999996</v>
      </c>
      <c r="AE2533" s="2">
        <v>0.18</v>
      </c>
      <c r="AF2533" s="5">
        <f t="shared" si="375"/>
        <v>769.21919999999989</v>
      </c>
      <c r="AG2533" s="2">
        <v>0</v>
      </c>
      <c r="AH2533" s="5">
        <f t="shared" si="379"/>
        <v>4273.4399999999996</v>
      </c>
      <c r="AJ2533" s="126" t="e">
        <v>#N/A</v>
      </c>
      <c r="AK2533" s="80">
        <f t="shared" si="376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377"/>
        <v>27897.68</v>
      </c>
      <c r="X2534" s="13">
        <f t="shared" si="380"/>
        <v>0</v>
      </c>
      <c r="Y2534" s="13">
        <f t="shared" si="372"/>
        <v>0</v>
      </c>
      <c r="Z2534" s="2">
        <v>0</v>
      </c>
      <c r="AA2534" s="4">
        <v>0</v>
      </c>
      <c r="AB2534" s="4">
        <f t="shared" si="373"/>
        <v>0</v>
      </c>
      <c r="AC2534" s="6">
        <f t="shared" si="374"/>
        <v>0</v>
      </c>
      <c r="AD2534" s="13">
        <f t="shared" si="378"/>
        <v>0</v>
      </c>
      <c r="AE2534" s="2">
        <v>0.09</v>
      </c>
      <c r="AF2534" s="5">
        <f t="shared" si="375"/>
        <v>0</v>
      </c>
      <c r="AG2534" s="2">
        <v>0</v>
      </c>
      <c r="AH2534" s="5">
        <f t="shared" si="379"/>
        <v>0</v>
      </c>
      <c r="AJ2534" s="126" t="e">
        <v>#N/A</v>
      </c>
      <c r="AK2534" s="80">
        <f t="shared" si="376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377"/>
        <v>4006.75</v>
      </c>
      <c r="X2535" s="13">
        <f t="shared" si="380"/>
        <v>0</v>
      </c>
      <c r="Y2535" s="13">
        <f t="shared" si="372"/>
        <v>0</v>
      </c>
      <c r="Z2535" s="2">
        <v>0</v>
      </c>
      <c r="AA2535" s="4">
        <v>0</v>
      </c>
      <c r="AB2535" s="4">
        <f t="shared" si="373"/>
        <v>0</v>
      </c>
      <c r="AC2535" s="6">
        <f t="shared" si="374"/>
        <v>0</v>
      </c>
      <c r="AD2535" s="13">
        <f t="shared" si="378"/>
        <v>0</v>
      </c>
      <c r="AE2535" s="2">
        <v>0.09</v>
      </c>
      <c r="AF2535" s="5">
        <f t="shared" si="375"/>
        <v>0</v>
      </c>
      <c r="AG2535" s="2">
        <v>0</v>
      </c>
      <c r="AH2535" s="5">
        <f t="shared" si="379"/>
        <v>0</v>
      </c>
      <c r="AJ2535" s="126" t="e">
        <v>#N/A</v>
      </c>
      <c r="AK2535" s="80">
        <f t="shared" si="376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377"/>
        <v>2238.3000000000002</v>
      </c>
      <c r="X2536" s="13">
        <f t="shared" si="380"/>
        <v>0</v>
      </c>
      <c r="Y2536" s="13">
        <f t="shared" si="372"/>
        <v>0</v>
      </c>
      <c r="Z2536" s="2">
        <v>0</v>
      </c>
      <c r="AA2536" s="4">
        <v>0</v>
      </c>
      <c r="AB2536" s="4">
        <f t="shared" si="373"/>
        <v>0</v>
      </c>
      <c r="AC2536" s="6">
        <f t="shared" si="374"/>
        <v>0</v>
      </c>
      <c r="AD2536" s="13">
        <f t="shared" si="378"/>
        <v>0</v>
      </c>
      <c r="AE2536" s="2">
        <v>0.18</v>
      </c>
      <c r="AF2536" s="5">
        <f t="shared" si="375"/>
        <v>0</v>
      </c>
      <c r="AG2536" s="2">
        <v>0</v>
      </c>
      <c r="AH2536" s="5">
        <f t="shared" si="379"/>
        <v>0</v>
      </c>
      <c r="AJ2536" s="126" t="e">
        <v>#N/A</v>
      </c>
      <c r="AK2536" s="80">
        <f t="shared" si="376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377"/>
        <v>4257.3999999999996</v>
      </c>
      <c r="X2537" s="13">
        <f t="shared" si="380"/>
        <v>0</v>
      </c>
      <c r="Y2537" s="13">
        <f t="shared" si="372"/>
        <v>0</v>
      </c>
      <c r="Z2537" s="2">
        <v>0</v>
      </c>
      <c r="AA2537" s="4">
        <v>0</v>
      </c>
      <c r="AB2537" s="4">
        <f t="shared" si="373"/>
        <v>0</v>
      </c>
      <c r="AC2537" s="6">
        <f t="shared" si="374"/>
        <v>0</v>
      </c>
      <c r="AD2537" s="13">
        <f t="shared" si="378"/>
        <v>0</v>
      </c>
      <c r="AE2537" s="2">
        <v>0.09</v>
      </c>
      <c r="AF2537" s="5">
        <f t="shared" si="375"/>
        <v>0</v>
      </c>
      <c r="AG2537" s="2">
        <v>0</v>
      </c>
      <c r="AH2537" s="5">
        <f t="shared" si="379"/>
        <v>0</v>
      </c>
      <c r="AJ2537" s="126" t="e">
        <v>#N/A</v>
      </c>
      <c r="AK2537" s="80">
        <f t="shared" si="376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377"/>
        <v>7.9225515037251171E-13</v>
      </c>
      <c r="X2538" s="13">
        <f t="shared" si="380"/>
        <v>26.38</v>
      </c>
      <c r="Y2538" s="13">
        <f t="shared" si="372"/>
        <v>0</v>
      </c>
      <c r="Z2538" s="2">
        <v>0</v>
      </c>
      <c r="AA2538" s="4">
        <v>0</v>
      </c>
      <c r="AB2538" s="4">
        <f t="shared" si="373"/>
        <v>26.38</v>
      </c>
      <c r="AC2538" s="6">
        <f t="shared" si="374"/>
        <v>0</v>
      </c>
      <c r="AD2538" s="13">
        <f t="shared" si="378"/>
        <v>26.38</v>
      </c>
      <c r="AE2538" s="2">
        <v>0.09</v>
      </c>
      <c r="AF2538" s="5">
        <f t="shared" si="375"/>
        <v>2.3741999999999996</v>
      </c>
      <c r="AG2538" s="2">
        <v>0</v>
      </c>
      <c r="AH2538" s="5">
        <f t="shared" si="379"/>
        <v>26.38</v>
      </c>
      <c r="AJ2538" s="126" t="e">
        <v>#N/A</v>
      </c>
      <c r="AK2538" s="80">
        <f t="shared" si="376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377"/>
        <v>-2332917.0300000003</v>
      </c>
      <c r="X2539" s="13">
        <f t="shared" si="380"/>
        <v>247818.64</v>
      </c>
      <c r="Y2539" s="13">
        <f t="shared" si="372"/>
        <v>0</v>
      </c>
      <c r="Z2539" s="2">
        <v>0</v>
      </c>
      <c r="AA2539" s="4">
        <v>0</v>
      </c>
      <c r="AB2539" s="4">
        <f t="shared" si="373"/>
        <v>247818.64</v>
      </c>
      <c r="AC2539" s="6">
        <f t="shared" si="374"/>
        <v>0</v>
      </c>
      <c r="AD2539" s="13">
        <f t="shared" si="378"/>
        <v>247818.64</v>
      </c>
      <c r="AE2539" s="2">
        <v>0.18</v>
      </c>
      <c r="AF2539" s="5">
        <f t="shared" si="375"/>
        <v>44607.355199999998</v>
      </c>
      <c r="AG2539" s="2">
        <v>0</v>
      </c>
      <c r="AH2539" s="5">
        <f t="shared" si="379"/>
        <v>247818.64</v>
      </c>
      <c r="AJ2539" s="126" t="e">
        <v>#N/A</v>
      </c>
      <c r="AK2539" s="80">
        <f t="shared" si="376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377"/>
        <v>33802.089999999997</v>
      </c>
      <c r="X2540" s="13">
        <f t="shared" si="380"/>
        <v>0</v>
      </c>
      <c r="Y2540" s="13">
        <f t="shared" si="372"/>
        <v>0</v>
      </c>
      <c r="Z2540" s="2">
        <v>0</v>
      </c>
      <c r="AA2540" s="4">
        <v>0</v>
      </c>
      <c r="AB2540" s="4">
        <f t="shared" si="373"/>
        <v>0</v>
      </c>
      <c r="AC2540" s="6">
        <f t="shared" si="374"/>
        <v>0</v>
      </c>
      <c r="AD2540" s="13">
        <f t="shared" si="378"/>
        <v>0</v>
      </c>
      <c r="AE2540" s="2">
        <v>0.09</v>
      </c>
      <c r="AF2540" s="5">
        <f t="shared" si="375"/>
        <v>0</v>
      </c>
      <c r="AG2540" s="2">
        <v>0</v>
      </c>
      <c r="AH2540" s="5">
        <f t="shared" si="379"/>
        <v>0</v>
      </c>
      <c r="AJ2540" s="126" t="e">
        <v>#N/A</v>
      </c>
      <c r="AK2540" s="80">
        <f t="shared" si="376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377"/>
        <v>1153.1199999999999</v>
      </c>
      <c r="X2541" s="13">
        <f t="shared" si="380"/>
        <v>0</v>
      </c>
      <c r="Y2541" s="13">
        <f t="shared" si="372"/>
        <v>0</v>
      </c>
      <c r="Z2541" s="2">
        <v>0</v>
      </c>
      <c r="AA2541" s="4">
        <v>0</v>
      </c>
      <c r="AB2541" s="4"/>
      <c r="AC2541" s="6">
        <f t="shared" si="374"/>
        <v>0</v>
      </c>
      <c r="AD2541" s="13">
        <f t="shared" si="378"/>
        <v>0</v>
      </c>
      <c r="AE2541" s="2">
        <v>0.18</v>
      </c>
      <c r="AF2541" s="5">
        <f t="shared" si="375"/>
        <v>0</v>
      </c>
      <c r="AG2541" s="2">
        <v>0</v>
      </c>
      <c r="AH2541" s="5">
        <f t="shared" si="379"/>
        <v>0</v>
      </c>
      <c r="AJ2541" s="126">
        <v>25</v>
      </c>
      <c r="AK2541" s="80">
        <f t="shared" si="376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377"/>
        <v>977.7</v>
      </c>
      <c r="X2542" s="13">
        <f t="shared" si="380"/>
        <v>0</v>
      </c>
      <c r="Y2542" s="13">
        <f t="shared" si="372"/>
        <v>0</v>
      </c>
      <c r="Z2542" s="2">
        <v>0</v>
      </c>
      <c r="AA2542" s="4">
        <v>0</v>
      </c>
      <c r="AB2542" s="4">
        <f t="shared" si="373"/>
        <v>0</v>
      </c>
      <c r="AC2542" s="6">
        <f t="shared" si="374"/>
        <v>0</v>
      </c>
      <c r="AD2542" s="13">
        <f t="shared" si="378"/>
        <v>0</v>
      </c>
      <c r="AE2542" s="2">
        <v>0.09</v>
      </c>
      <c r="AF2542" s="5">
        <f t="shared" si="375"/>
        <v>0</v>
      </c>
      <c r="AG2542" s="2">
        <v>0</v>
      </c>
      <c r="AH2542" s="5">
        <f t="shared" si="379"/>
        <v>0</v>
      </c>
      <c r="AJ2542" s="126" t="e">
        <v>#N/A</v>
      </c>
      <c r="AK2542" s="80">
        <f t="shared" si="376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377"/>
        <v>-732001.65</v>
      </c>
      <c r="X2543" s="13">
        <f t="shared" si="380"/>
        <v>23573.040000000001</v>
      </c>
      <c r="Y2543" s="13">
        <f t="shared" si="372"/>
        <v>0</v>
      </c>
      <c r="Z2543" s="2">
        <v>0</v>
      </c>
      <c r="AA2543" s="4">
        <v>0</v>
      </c>
      <c r="AB2543" s="4">
        <f t="shared" si="373"/>
        <v>23573.040000000001</v>
      </c>
      <c r="AC2543" s="6">
        <f t="shared" si="374"/>
        <v>0</v>
      </c>
      <c r="AD2543" s="13">
        <f t="shared" si="378"/>
        <v>23573.040000000001</v>
      </c>
      <c r="AE2543" s="2">
        <v>0.18</v>
      </c>
      <c r="AF2543" s="5">
        <f t="shared" si="375"/>
        <v>4243.1472000000003</v>
      </c>
      <c r="AG2543" s="2">
        <v>0</v>
      </c>
      <c r="AH2543" s="5">
        <f t="shared" si="379"/>
        <v>23573.040000000001</v>
      </c>
      <c r="AJ2543" s="126" t="e">
        <v>#N/A</v>
      </c>
      <c r="AK2543" s="80">
        <f t="shared" si="376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377"/>
        <v>-288203.2</v>
      </c>
      <c r="X2544" s="13">
        <f t="shared" si="380"/>
        <v>761.3</v>
      </c>
      <c r="Y2544" s="13">
        <f t="shared" si="372"/>
        <v>0</v>
      </c>
      <c r="Z2544" s="2">
        <v>0</v>
      </c>
      <c r="AA2544" s="4">
        <v>0</v>
      </c>
      <c r="AB2544" s="4">
        <f t="shared" si="373"/>
        <v>761.3</v>
      </c>
      <c r="AC2544" s="6">
        <f t="shared" si="374"/>
        <v>0</v>
      </c>
      <c r="AD2544" s="13">
        <f t="shared" si="378"/>
        <v>761.3</v>
      </c>
      <c r="AE2544" s="2">
        <v>0.18</v>
      </c>
      <c r="AF2544" s="5">
        <f t="shared" si="375"/>
        <v>137.03399999999999</v>
      </c>
      <c r="AG2544" s="2">
        <v>0</v>
      </c>
      <c r="AH2544" s="5">
        <f t="shared" si="379"/>
        <v>761.3</v>
      </c>
      <c r="AJ2544" s="126" t="e">
        <v>#N/A</v>
      </c>
      <c r="AK2544" s="80">
        <f t="shared" si="376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377"/>
        <v>4458.1899999999996</v>
      </c>
      <c r="X2545" s="13">
        <f t="shared" si="380"/>
        <v>0</v>
      </c>
      <c r="Y2545" s="13">
        <f t="shared" si="372"/>
        <v>0</v>
      </c>
      <c r="Z2545" s="2">
        <v>0</v>
      </c>
      <c r="AA2545" s="4">
        <v>0</v>
      </c>
      <c r="AB2545" s="4">
        <f t="shared" si="373"/>
        <v>0</v>
      </c>
      <c r="AC2545" s="6">
        <f t="shared" si="374"/>
        <v>0</v>
      </c>
      <c r="AD2545" s="13">
        <f t="shared" si="378"/>
        <v>0</v>
      </c>
      <c r="AE2545" s="2">
        <v>0.09</v>
      </c>
      <c r="AF2545" s="5">
        <f t="shared" si="375"/>
        <v>0</v>
      </c>
      <c r="AG2545" s="2">
        <v>0</v>
      </c>
      <c r="AH2545" s="5">
        <f t="shared" si="379"/>
        <v>0</v>
      </c>
      <c r="AJ2545" s="126" t="e">
        <v>#N/A</v>
      </c>
      <c r="AK2545" s="80">
        <f t="shared" si="376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377"/>
        <v>69200.62</v>
      </c>
      <c r="X2546" s="13">
        <f t="shared" si="380"/>
        <v>0</v>
      </c>
      <c r="Y2546" s="13">
        <f t="shared" si="372"/>
        <v>0</v>
      </c>
      <c r="Z2546" s="2">
        <v>0</v>
      </c>
      <c r="AA2546" s="4">
        <v>0</v>
      </c>
      <c r="AB2546" s="4">
        <f t="shared" si="373"/>
        <v>0</v>
      </c>
      <c r="AC2546" s="6">
        <f t="shared" si="374"/>
        <v>0</v>
      </c>
      <c r="AD2546" s="13">
        <f t="shared" si="378"/>
        <v>0</v>
      </c>
      <c r="AE2546" s="2">
        <v>0.09</v>
      </c>
      <c r="AF2546" s="5">
        <f t="shared" si="375"/>
        <v>0</v>
      </c>
      <c r="AG2546" s="2">
        <v>0</v>
      </c>
      <c r="AH2546" s="5">
        <f t="shared" si="379"/>
        <v>0</v>
      </c>
      <c r="AJ2546" s="126" t="e">
        <v>#N/A</v>
      </c>
      <c r="AK2546" s="80">
        <f t="shared" si="376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377"/>
        <v>4331.8599999999997</v>
      </c>
      <c r="X2547" s="13">
        <f t="shared" si="380"/>
        <v>0</v>
      </c>
      <c r="Y2547" s="13">
        <f t="shared" si="372"/>
        <v>0</v>
      </c>
      <c r="Z2547" s="2">
        <v>0</v>
      </c>
      <c r="AA2547" s="4">
        <v>0</v>
      </c>
      <c r="AB2547" s="4">
        <f t="shared" si="373"/>
        <v>0</v>
      </c>
      <c r="AC2547" s="6">
        <f t="shared" si="374"/>
        <v>0</v>
      </c>
      <c r="AD2547" s="13">
        <f t="shared" si="378"/>
        <v>0</v>
      </c>
      <c r="AE2547" s="2">
        <v>0.09</v>
      </c>
      <c r="AF2547" s="5">
        <f t="shared" si="375"/>
        <v>0</v>
      </c>
      <c r="AG2547" s="2">
        <v>0</v>
      </c>
      <c r="AH2547" s="5">
        <f t="shared" si="379"/>
        <v>0</v>
      </c>
      <c r="AJ2547" s="126" t="e">
        <v>#N/A</v>
      </c>
      <c r="AK2547" s="80">
        <f t="shared" si="376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377"/>
        <v>-5342.56</v>
      </c>
      <c r="X2548" s="13">
        <f t="shared" si="380"/>
        <v>0</v>
      </c>
      <c r="Y2548" s="13">
        <f t="shared" si="372"/>
        <v>0</v>
      </c>
      <c r="Z2548" s="2">
        <v>0</v>
      </c>
      <c r="AA2548" s="4">
        <v>0</v>
      </c>
      <c r="AB2548" s="4">
        <f t="shared" si="373"/>
        <v>0</v>
      </c>
      <c r="AC2548" s="6">
        <f t="shared" si="374"/>
        <v>0</v>
      </c>
      <c r="AD2548" s="13">
        <f t="shared" si="378"/>
        <v>0</v>
      </c>
      <c r="AE2548" s="2">
        <v>0.18</v>
      </c>
      <c r="AF2548" s="5">
        <f t="shared" si="375"/>
        <v>0</v>
      </c>
      <c r="AG2548" s="2">
        <v>0</v>
      </c>
      <c r="AH2548" s="5">
        <f t="shared" si="379"/>
        <v>0</v>
      </c>
      <c r="AJ2548" s="126" t="e">
        <v>#N/A</v>
      </c>
      <c r="AK2548" s="80">
        <f t="shared" si="376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377"/>
        <v>102479.85</v>
      </c>
      <c r="X2549" s="13">
        <f t="shared" si="380"/>
        <v>0</v>
      </c>
      <c r="Y2549" s="13">
        <f t="shared" si="372"/>
        <v>0</v>
      </c>
      <c r="Z2549" s="2">
        <v>0</v>
      </c>
      <c r="AA2549" s="4">
        <v>0</v>
      </c>
      <c r="AB2549" s="4">
        <f t="shared" si="373"/>
        <v>0</v>
      </c>
      <c r="AC2549" s="6">
        <f t="shared" si="374"/>
        <v>0</v>
      </c>
      <c r="AD2549" s="13">
        <f t="shared" si="378"/>
        <v>0</v>
      </c>
      <c r="AE2549" s="2">
        <v>0.09</v>
      </c>
      <c r="AF2549" s="5">
        <f t="shared" si="375"/>
        <v>0</v>
      </c>
      <c r="AG2549" s="2">
        <v>0</v>
      </c>
      <c r="AH2549" s="5">
        <f t="shared" si="379"/>
        <v>0</v>
      </c>
      <c r="AJ2549" s="126" t="e">
        <v>#N/A</v>
      </c>
      <c r="AK2549" s="80">
        <f t="shared" si="376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377"/>
        <v>-307236.3</v>
      </c>
      <c r="X2550" s="13">
        <f t="shared" si="380"/>
        <v>0</v>
      </c>
      <c r="Y2550" s="13">
        <f t="shared" si="372"/>
        <v>0</v>
      </c>
      <c r="Z2550" s="2">
        <v>0</v>
      </c>
      <c r="AA2550" s="4">
        <v>0</v>
      </c>
      <c r="AB2550" s="4">
        <f t="shared" si="373"/>
        <v>0</v>
      </c>
      <c r="AC2550" s="6">
        <f t="shared" si="374"/>
        <v>0</v>
      </c>
      <c r="AD2550" s="13">
        <f t="shared" si="378"/>
        <v>0</v>
      </c>
      <c r="AE2550" s="2">
        <v>0.18</v>
      </c>
      <c r="AF2550" s="5">
        <f t="shared" si="375"/>
        <v>0</v>
      </c>
      <c r="AG2550" s="2">
        <v>0</v>
      </c>
      <c r="AH2550" s="5">
        <f t="shared" si="379"/>
        <v>0</v>
      </c>
      <c r="AJ2550" s="126" t="e">
        <v>#N/A</v>
      </c>
      <c r="AK2550" s="80">
        <f t="shared" si="376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377"/>
        <v>-1416309.59</v>
      </c>
      <c r="X2551" s="13">
        <f t="shared" si="380"/>
        <v>60427.94</v>
      </c>
      <c r="Y2551" s="13">
        <f t="shared" si="372"/>
        <v>0</v>
      </c>
      <c r="Z2551" s="2">
        <v>0</v>
      </c>
      <c r="AA2551" s="4">
        <v>0</v>
      </c>
      <c r="AB2551" s="4">
        <f t="shared" si="373"/>
        <v>60427.94</v>
      </c>
      <c r="AC2551" s="6">
        <f t="shared" si="374"/>
        <v>0</v>
      </c>
      <c r="AD2551" s="13">
        <f t="shared" si="378"/>
        <v>60427.94</v>
      </c>
      <c r="AE2551" s="2">
        <v>0.18</v>
      </c>
      <c r="AF2551" s="5">
        <f t="shared" si="375"/>
        <v>10877.029200000001</v>
      </c>
      <c r="AG2551" s="2">
        <v>0</v>
      </c>
      <c r="AH2551" s="5">
        <f t="shared" si="379"/>
        <v>60427.94</v>
      </c>
      <c r="AJ2551" s="126" t="e">
        <v>#N/A</v>
      </c>
      <c r="AK2551" s="80">
        <f t="shared" si="376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377"/>
        <v>10000</v>
      </c>
      <c r="X2552" s="13">
        <f t="shared" si="380"/>
        <v>0</v>
      </c>
      <c r="Y2552" s="13">
        <f t="shared" si="372"/>
        <v>0</v>
      </c>
      <c r="Z2552" s="2">
        <v>0</v>
      </c>
      <c r="AA2552" s="4">
        <v>0</v>
      </c>
      <c r="AB2552" s="4">
        <f t="shared" si="373"/>
        <v>0</v>
      </c>
      <c r="AC2552" s="6">
        <f t="shared" si="374"/>
        <v>0</v>
      </c>
      <c r="AD2552" s="13">
        <f t="shared" si="378"/>
        <v>0</v>
      </c>
      <c r="AE2552" s="2">
        <v>0.09</v>
      </c>
      <c r="AF2552" s="5">
        <f t="shared" si="375"/>
        <v>0</v>
      </c>
      <c r="AG2552" s="2">
        <v>0</v>
      </c>
      <c r="AH2552" s="5">
        <f t="shared" si="379"/>
        <v>0</v>
      </c>
      <c r="AJ2552" s="126" t="e">
        <v>#N/A</v>
      </c>
      <c r="AK2552" s="80">
        <f t="shared" si="376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377"/>
        <v>8478.73</v>
      </c>
      <c r="X2553" s="13">
        <f t="shared" si="380"/>
        <v>0</v>
      </c>
      <c r="Y2553" s="13">
        <f t="shared" si="372"/>
        <v>0</v>
      </c>
      <c r="Z2553" s="2">
        <v>0</v>
      </c>
      <c r="AA2553" s="4">
        <v>0</v>
      </c>
      <c r="AB2553" s="4">
        <f t="shared" si="373"/>
        <v>0</v>
      </c>
      <c r="AC2553" s="6">
        <f t="shared" si="374"/>
        <v>0</v>
      </c>
      <c r="AD2553" s="13">
        <f t="shared" si="378"/>
        <v>0</v>
      </c>
      <c r="AE2553" s="2">
        <v>0.09</v>
      </c>
      <c r="AF2553" s="5">
        <f t="shared" si="375"/>
        <v>0</v>
      </c>
      <c r="AG2553" s="2">
        <v>0</v>
      </c>
      <c r="AH2553" s="5">
        <f t="shared" si="379"/>
        <v>0</v>
      </c>
      <c r="AJ2553" s="126" t="e">
        <v>#N/A</v>
      </c>
      <c r="AK2553" s="80">
        <f t="shared" si="376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377"/>
        <v>1105.3699999999999</v>
      </c>
      <c r="X2554" s="13">
        <f t="shared" si="380"/>
        <v>0</v>
      </c>
      <c r="Y2554" s="13">
        <f t="shared" si="372"/>
        <v>0</v>
      </c>
      <c r="Z2554" s="2">
        <v>0</v>
      </c>
      <c r="AA2554" s="4">
        <v>0</v>
      </c>
      <c r="AB2554" s="4">
        <f t="shared" si="373"/>
        <v>0</v>
      </c>
      <c r="AC2554" s="6">
        <f t="shared" si="374"/>
        <v>0</v>
      </c>
      <c r="AD2554" s="13">
        <f t="shared" si="378"/>
        <v>0</v>
      </c>
      <c r="AE2554" s="2">
        <v>0.09</v>
      </c>
      <c r="AF2554" s="5">
        <f t="shared" si="375"/>
        <v>0</v>
      </c>
      <c r="AG2554" s="2">
        <v>0</v>
      </c>
      <c r="AH2554" s="5">
        <f t="shared" si="379"/>
        <v>0</v>
      </c>
      <c r="AJ2554" s="126" t="e">
        <v>#N/A</v>
      </c>
      <c r="AK2554" s="80">
        <f t="shared" si="376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377"/>
        <v>500000</v>
      </c>
      <c r="X2555" s="13">
        <f t="shared" si="380"/>
        <v>0</v>
      </c>
      <c r="Y2555" s="13">
        <f t="shared" si="372"/>
        <v>0</v>
      </c>
      <c r="Z2555" s="2">
        <v>0</v>
      </c>
      <c r="AA2555" s="4">
        <v>0</v>
      </c>
      <c r="AB2555" s="4">
        <f t="shared" si="373"/>
        <v>0</v>
      </c>
      <c r="AC2555" s="6">
        <f t="shared" si="374"/>
        <v>0</v>
      </c>
      <c r="AD2555" s="13">
        <f t="shared" si="378"/>
        <v>0</v>
      </c>
      <c r="AE2555" s="2">
        <v>0.09</v>
      </c>
      <c r="AF2555" s="5">
        <f t="shared" si="375"/>
        <v>0</v>
      </c>
      <c r="AG2555" s="2">
        <v>0</v>
      </c>
      <c r="AH2555" s="5">
        <f t="shared" si="379"/>
        <v>0</v>
      </c>
      <c r="AJ2555" s="126" t="e">
        <v>#N/A</v>
      </c>
      <c r="AK2555" s="80">
        <f t="shared" si="376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380"/>
        <v>0</v>
      </c>
      <c r="Y2556" s="13">
        <f t="shared" si="372"/>
        <v>0</v>
      </c>
      <c r="Z2556" s="2">
        <v>0</v>
      </c>
      <c r="AA2556" s="4">
        <v>0</v>
      </c>
      <c r="AB2556" s="4">
        <f t="shared" si="373"/>
        <v>0</v>
      </c>
      <c r="AC2556" s="6">
        <f t="shared" si="374"/>
        <v>0</v>
      </c>
      <c r="AD2556" s="13">
        <f t="shared" si="378"/>
        <v>0</v>
      </c>
      <c r="AE2556" s="2">
        <v>0.18</v>
      </c>
      <c r="AF2556" s="5">
        <f t="shared" si="375"/>
        <v>0</v>
      </c>
      <c r="AG2556" s="2">
        <v>0</v>
      </c>
      <c r="AH2556" s="5">
        <f t="shared" si="379"/>
        <v>0</v>
      </c>
      <c r="AJ2556" s="126" t="e">
        <v>#N/A</v>
      </c>
      <c r="AK2556" s="80">
        <f t="shared" si="376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377"/>
        <v>10600</v>
      </c>
      <c r="X2557" s="13">
        <f t="shared" si="380"/>
        <v>0</v>
      </c>
      <c r="Y2557" s="13">
        <f t="shared" si="372"/>
        <v>0</v>
      </c>
      <c r="Z2557" s="2">
        <v>0</v>
      </c>
      <c r="AA2557" s="4">
        <v>0</v>
      </c>
      <c r="AB2557" s="4">
        <f t="shared" si="373"/>
        <v>0</v>
      </c>
      <c r="AC2557" s="6">
        <f t="shared" si="374"/>
        <v>0</v>
      </c>
      <c r="AD2557" s="13">
        <f t="shared" si="378"/>
        <v>0</v>
      </c>
      <c r="AE2557" s="2">
        <v>0.18</v>
      </c>
      <c r="AF2557" s="5">
        <f t="shared" si="375"/>
        <v>0</v>
      </c>
      <c r="AG2557" s="2">
        <v>0</v>
      </c>
      <c r="AH2557" s="5">
        <f t="shared" si="379"/>
        <v>0</v>
      </c>
      <c r="AJ2557" s="126" t="e">
        <v>#N/A</v>
      </c>
      <c r="AK2557" s="80">
        <f t="shared" si="376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377"/>
        <v>26746.11</v>
      </c>
      <c r="X2558" s="13">
        <f t="shared" si="380"/>
        <v>0</v>
      </c>
      <c r="Y2558" s="13">
        <f t="shared" si="372"/>
        <v>0</v>
      </c>
      <c r="Z2558" s="2">
        <v>0</v>
      </c>
      <c r="AA2558" s="4">
        <v>0</v>
      </c>
      <c r="AB2558" s="4">
        <f t="shared" si="373"/>
        <v>0</v>
      </c>
      <c r="AC2558" s="6">
        <f t="shared" si="374"/>
        <v>0</v>
      </c>
      <c r="AD2558" s="13">
        <f t="shared" si="378"/>
        <v>0</v>
      </c>
      <c r="AE2558" s="2">
        <v>0.09</v>
      </c>
      <c r="AF2558" s="5">
        <f t="shared" si="375"/>
        <v>0</v>
      </c>
      <c r="AG2558" s="2">
        <v>0</v>
      </c>
      <c r="AH2558" s="5">
        <f t="shared" si="379"/>
        <v>0</v>
      </c>
      <c r="AJ2558" s="126" t="e">
        <v>#N/A</v>
      </c>
      <c r="AK2558" s="80">
        <f t="shared" si="376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377"/>
        <v>1262.4100000000001</v>
      </c>
      <c r="X2559" s="13">
        <f t="shared" si="380"/>
        <v>0</v>
      </c>
      <c r="Y2559" s="13">
        <f t="shared" si="372"/>
        <v>0</v>
      </c>
      <c r="Z2559" s="2">
        <v>0</v>
      </c>
      <c r="AA2559" s="4">
        <v>0</v>
      </c>
      <c r="AB2559" s="4">
        <f t="shared" si="373"/>
        <v>0</v>
      </c>
      <c r="AC2559" s="6">
        <f t="shared" si="374"/>
        <v>0</v>
      </c>
      <c r="AD2559" s="13">
        <f t="shared" si="378"/>
        <v>0</v>
      </c>
      <c r="AE2559" s="2">
        <v>0.18</v>
      </c>
      <c r="AF2559" s="5">
        <f t="shared" si="375"/>
        <v>0</v>
      </c>
      <c r="AG2559" s="2">
        <v>0</v>
      </c>
      <c r="AH2559" s="5">
        <f t="shared" si="379"/>
        <v>0</v>
      </c>
      <c r="AJ2559" s="126" t="e">
        <v>#N/A</v>
      </c>
      <c r="AK2559" s="80">
        <f t="shared" si="376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377"/>
        <v>7397.8599999999988</v>
      </c>
      <c r="X2560" s="13">
        <f t="shared" si="380"/>
        <v>0</v>
      </c>
      <c r="Y2560" s="13">
        <f t="shared" si="372"/>
        <v>0</v>
      </c>
      <c r="Z2560" s="2">
        <v>0</v>
      </c>
      <c r="AA2560" s="4">
        <v>0</v>
      </c>
      <c r="AB2560" s="4">
        <f t="shared" si="373"/>
        <v>0</v>
      </c>
      <c r="AC2560" s="6">
        <f t="shared" si="374"/>
        <v>0</v>
      </c>
      <c r="AD2560" s="13">
        <f t="shared" si="378"/>
        <v>0</v>
      </c>
      <c r="AE2560" s="2">
        <v>0.09</v>
      </c>
      <c r="AF2560" s="5">
        <f t="shared" si="375"/>
        <v>0</v>
      </c>
      <c r="AG2560" s="2">
        <v>0</v>
      </c>
      <c r="AH2560" s="5">
        <f t="shared" si="379"/>
        <v>0</v>
      </c>
      <c r="AJ2560" s="126" t="e">
        <v>#N/A</v>
      </c>
      <c r="AK2560" s="80">
        <f t="shared" si="376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377"/>
        <v>-236147.21</v>
      </c>
      <c r="X2561" s="13">
        <f t="shared" si="380"/>
        <v>44472.6</v>
      </c>
      <c r="Y2561" s="13">
        <f t="shared" si="372"/>
        <v>0</v>
      </c>
      <c r="Z2561" s="2">
        <v>0.02</v>
      </c>
      <c r="AA2561" s="6">
        <f>X2561/(1-Z2561)*Z2561</f>
        <v>907.60408163265311</v>
      </c>
      <c r="AB2561" s="4">
        <f t="shared" si="373"/>
        <v>45380.204081632648</v>
      </c>
      <c r="AC2561" s="6">
        <f t="shared" si="374"/>
        <v>0</v>
      </c>
      <c r="AD2561" s="13">
        <f t="shared" si="378"/>
        <v>44472.6</v>
      </c>
      <c r="AE2561" s="2">
        <v>0.18</v>
      </c>
      <c r="AF2561" s="5">
        <f t="shared" si="375"/>
        <v>8005.0679999999993</v>
      </c>
      <c r="AG2561" s="2">
        <v>0</v>
      </c>
      <c r="AH2561" s="5">
        <f t="shared" si="379"/>
        <v>44472.6</v>
      </c>
      <c r="AJ2561" s="126" t="e">
        <v>#N/A</v>
      </c>
      <c r="AK2561" s="80">
        <f t="shared" si="376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377"/>
        <v>-559476.19999999995</v>
      </c>
      <c r="X2562" s="13">
        <f t="shared" si="380"/>
        <v>3051.1764705882351</v>
      </c>
      <c r="Y2562" s="13">
        <f t="shared" si="372"/>
        <v>0</v>
      </c>
      <c r="Z2562" s="2">
        <v>0</v>
      </c>
      <c r="AA2562" s="4">
        <v>0</v>
      </c>
      <c r="AB2562" s="4">
        <f t="shared" si="373"/>
        <v>3051.1764705882351</v>
      </c>
      <c r="AC2562" s="6">
        <f t="shared" si="374"/>
        <v>61.023529411764684</v>
      </c>
      <c r="AD2562" s="13">
        <f t="shared" si="378"/>
        <v>3112.2</v>
      </c>
      <c r="AE2562" s="2">
        <v>0.18</v>
      </c>
      <c r="AF2562" s="5">
        <f t="shared" si="375"/>
        <v>560.19599999999991</v>
      </c>
      <c r="AG2562" s="2">
        <v>0</v>
      </c>
      <c r="AH2562" s="5">
        <f t="shared" si="379"/>
        <v>3112.2</v>
      </c>
      <c r="AJ2562" s="126" t="e">
        <v>#N/A</v>
      </c>
      <c r="AK2562" s="80">
        <f t="shared" si="376"/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377"/>
        <v>650</v>
      </c>
      <c r="X2563" s="13">
        <f t="shared" si="380"/>
        <v>0</v>
      </c>
      <c r="Y2563" s="13">
        <f t="shared" ref="Y2563:Y2626" si="38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382">IF(P2563="返现",X2563*Q2563,V2563-X2563)</f>
        <v>0</v>
      </c>
      <c r="AD2563" s="13">
        <f t="shared" si="378"/>
        <v>0</v>
      </c>
      <c r="AE2563" s="2">
        <v>0.09</v>
      </c>
      <c r="AF2563" s="5">
        <f t="shared" ref="AF2563:AF2626" si="383">AD2563*AE2563</f>
        <v>0</v>
      </c>
      <c r="AG2563" s="2">
        <v>0</v>
      </c>
      <c r="AH2563" s="5">
        <f t="shared" si="379"/>
        <v>0</v>
      </c>
      <c r="AJ2563" s="126">
        <v>3</v>
      </c>
      <c r="AK2563" s="80">
        <f t="shared" ref="AK2563:AK2626" si="384">X2563+AA2563-AB2563</f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377"/>
        <v>7337</v>
      </c>
      <c r="X2564" s="13">
        <f t="shared" si="380"/>
        <v>0</v>
      </c>
      <c r="Y2564" s="13">
        <f t="shared" si="381"/>
        <v>0</v>
      </c>
      <c r="Z2564" s="2">
        <v>0</v>
      </c>
      <c r="AA2564" s="4">
        <v>0</v>
      </c>
      <c r="AB2564" s="4">
        <f t="shared" ref="AB2564:AB2626" si="385">X2564+AA2564</f>
        <v>0</v>
      </c>
      <c r="AC2564" s="6">
        <f t="shared" si="382"/>
        <v>0</v>
      </c>
      <c r="AD2564" s="13">
        <f t="shared" si="378"/>
        <v>0</v>
      </c>
      <c r="AE2564" s="2">
        <v>0.09</v>
      </c>
      <c r="AF2564" s="5">
        <f t="shared" si="383"/>
        <v>0</v>
      </c>
      <c r="AG2564" s="2">
        <v>0</v>
      </c>
      <c r="AH2564" s="5">
        <f t="shared" si="379"/>
        <v>0</v>
      </c>
      <c r="AJ2564" s="126" t="e">
        <v>#N/A</v>
      </c>
      <c r="AK2564" s="80">
        <f t="shared" si="384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377"/>
        <v>19864.599999999999</v>
      </c>
      <c r="X2565" s="13">
        <f t="shared" si="380"/>
        <v>0</v>
      </c>
      <c r="Y2565" s="13">
        <f t="shared" si="381"/>
        <v>0</v>
      </c>
      <c r="Z2565" s="2">
        <v>0</v>
      </c>
      <c r="AA2565" s="4">
        <v>0</v>
      </c>
      <c r="AB2565" s="4">
        <f t="shared" si="385"/>
        <v>0</v>
      </c>
      <c r="AC2565" s="6">
        <f t="shared" si="382"/>
        <v>0</v>
      </c>
      <c r="AD2565" s="13">
        <f t="shared" si="378"/>
        <v>0</v>
      </c>
      <c r="AE2565" s="2">
        <v>0.09</v>
      </c>
      <c r="AF2565" s="5">
        <f t="shared" si="383"/>
        <v>0</v>
      </c>
      <c r="AG2565" s="2">
        <v>0</v>
      </c>
      <c r="AH2565" s="5">
        <f t="shared" si="379"/>
        <v>0</v>
      </c>
      <c r="AJ2565" s="126" t="e">
        <v>#N/A</v>
      </c>
      <c r="AK2565" s="80">
        <f t="shared" si="384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377"/>
        <v>0</v>
      </c>
      <c r="X2566" s="13">
        <f t="shared" si="380"/>
        <v>8356.8571428571431</v>
      </c>
      <c r="Y2566" s="13">
        <f t="shared" si="381"/>
        <v>0</v>
      </c>
      <c r="Z2566" s="2">
        <v>0</v>
      </c>
      <c r="AA2566" s="4">
        <v>0</v>
      </c>
      <c r="AB2566" s="4">
        <f t="shared" si="385"/>
        <v>8356.8571428571431</v>
      </c>
      <c r="AC2566" s="6">
        <f t="shared" si="382"/>
        <v>417.84285714285761</v>
      </c>
      <c r="AD2566" s="13">
        <f t="shared" si="378"/>
        <v>8774.7000000000007</v>
      </c>
      <c r="AE2566" s="2">
        <v>0.09</v>
      </c>
      <c r="AF2566" s="5">
        <f t="shared" si="383"/>
        <v>789.72300000000007</v>
      </c>
      <c r="AG2566" s="2">
        <v>0</v>
      </c>
      <c r="AH2566" s="5">
        <f t="shared" si="379"/>
        <v>8774.7000000000007</v>
      </c>
      <c r="AJ2566" s="126" t="e">
        <v>#N/A</v>
      </c>
      <c r="AK2566" s="80">
        <f t="shared" si="384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377"/>
        <v>2641</v>
      </c>
      <c r="X2567" s="13">
        <f t="shared" si="380"/>
        <v>0</v>
      </c>
      <c r="Y2567" s="13">
        <f t="shared" si="381"/>
        <v>0</v>
      </c>
      <c r="Z2567" s="2">
        <v>0</v>
      </c>
      <c r="AA2567" s="4">
        <v>0</v>
      </c>
      <c r="AB2567" s="4">
        <f t="shared" si="385"/>
        <v>0</v>
      </c>
      <c r="AC2567" s="6">
        <f t="shared" si="382"/>
        <v>0</v>
      </c>
      <c r="AD2567" s="13">
        <f t="shared" si="378"/>
        <v>0</v>
      </c>
      <c r="AE2567" s="2">
        <v>0.09</v>
      </c>
      <c r="AF2567" s="5">
        <f t="shared" si="383"/>
        <v>0</v>
      </c>
      <c r="AG2567" s="2">
        <v>0</v>
      </c>
      <c r="AH2567" s="5">
        <f t="shared" si="379"/>
        <v>0</v>
      </c>
      <c r="AJ2567" s="126" t="e">
        <v>#N/A</v>
      </c>
      <c r="AK2567" s="80">
        <f t="shared" si="384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377"/>
        <v>3533.05</v>
      </c>
      <c r="X2568" s="13">
        <f t="shared" si="380"/>
        <v>0</v>
      </c>
      <c r="Y2568" s="13">
        <f t="shared" si="381"/>
        <v>0</v>
      </c>
      <c r="Z2568" s="2">
        <v>0</v>
      </c>
      <c r="AA2568" s="4">
        <v>0</v>
      </c>
      <c r="AB2568" s="4">
        <f t="shared" si="385"/>
        <v>0</v>
      </c>
      <c r="AC2568" s="6">
        <f t="shared" si="382"/>
        <v>0</v>
      </c>
      <c r="AD2568" s="13">
        <f t="shared" si="378"/>
        <v>0</v>
      </c>
      <c r="AE2568" s="2">
        <v>0.09</v>
      </c>
      <c r="AF2568" s="5">
        <f t="shared" si="383"/>
        <v>0</v>
      </c>
      <c r="AG2568" s="2">
        <v>0</v>
      </c>
      <c r="AH2568" s="5">
        <f t="shared" si="379"/>
        <v>0</v>
      </c>
      <c r="AJ2568" s="126" t="e">
        <v>#N/A</v>
      </c>
      <c r="AK2568" s="80">
        <f t="shared" si="384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377"/>
        <v>-1045.43</v>
      </c>
      <c r="X2569" s="13">
        <f t="shared" si="380"/>
        <v>1045.43</v>
      </c>
      <c r="Y2569" s="13">
        <f t="shared" si="381"/>
        <v>0</v>
      </c>
      <c r="Z2569" s="2">
        <v>0</v>
      </c>
      <c r="AA2569" s="4">
        <v>0</v>
      </c>
      <c r="AB2569" s="4">
        <f t="shared" si="385"/>
        <v>1045.43</v>
      </c>
      <c r="AC2569" s="6">
        <f t="shared" si="382"/>
        <v>0</v>
      </c>
      <c r="AD2569" s="13">
        <f t="shared" si="378"/>
        <v>1045.43</v>
      </c>
      <c r="AE2569" s="2">
        <v>0.18</v>
      </c>
      <c r="AF2569" s="5">
        <f t="shared" si="383"/>
        <v>188.17740000000001</v>
      </c>
      <c r="AG2569" s="2">
        <v>0</v>
      </c>
      <c r="AH2569" s="5">
        <f t="shared" si="379"/>
        <v>1045.43</v>
      </c>
      <c r="AJ2569" s="126" t="e">
        <v>#N/A</v>
      </c>
      <c r="AK2569" s="80">
        <f t="shared" si="384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377"/>
        <v>-67672</v>
      </c>
      <c r="X2570" s="13">
        <f t="shared" si="380"/>
        <v>1800</v>
      </c>
      <c r="Y2570" s="13">
        <f t="shared" si="381"/>
        <v>0</v>
      </c>
      <c r="Z2570" s="2">
        <v>0</v>
      </c>
      <c r="AA2570" s="4">
        <v>0</v>
      </c>
      <c r="AB2570" s="4">
        <f t="shared" si="385"/>
        <v>1800</v>
      </c>
      <c r="AC2570" s="6">
        <f t="shared" si="382"/>
        <v>0</v>
      </c>
      <c r="AD2570" s="13">
        <f t="shared" si="378"/>
        <v>1800</v>
      </c>
      <c r="AE2570" s="2">
        <v>0.18</v>
      </c>
      <c r="AF2570" s="5">
        <f t="shared" si="383"/>
        <v>324</v>
      </c>
      <c r="AG2570" s="2">
        <v>0</v>
      </c>
      <c r="AH2570" s="5">
        <f t="shared" si="379"/>
        <v>1800</v>
      </c>
      <c r="AJ2570" s="126" t="e">
        <v>#N/A</v>
      </c>
      <c r="AK2570" s="80">
        <f t="shared" si="384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377"/>
        <v>7130.130000000001</v>
      </c>
      <c r="X2571" s="13">
        <f t="shared" si="380"/>
        <v>0</v>
      </c>
      <c r="Y2571" s="13">
        <f t="shared" si="381"/>
        <v>0</v>
      </c>
      <c r="Z2571" s="2">
        <v>0</v>
      </c>
      <c r="AA2571" s="4">
        <v>0</v>
      </c>
      <c r="AB2571" s="4">
        <f t="shared" si="385"/>
        <v>0</v>
      </c>
      <c r="AC2571" s="6">
        <f t="shared" si="382"/>
        <v>0</v>
      </c>
      <c r="AD2571" s="13">
        <f t="shared" si="378"/>
        <v>0</v>
      </c>
      <c r="AE2571" s="2">
        <v>0.09</v>
      </c>
      <c r="AF2571" s="5">
        <f t="shared" si="383"/>
        <v>0</v>
      </c>
      <c r="AG2571" s="2">
        <v>0</v>
      </c>
      <c r="AH2571" s="5">
        <f t="shared" si="379"/>
        <v>0</v>
      </c>
      <c r="AJ2571" s="126" t="e">
        <v>#N/A</v>
      </c>
      <c r="AK2571" s="80">
        <f t="shared" si="384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377"/>
        <v>-41545.46</v>
      </c>
      <c r="X2572" s="13">
        <f t="shared" si="380"/>
        <v>0</v>
      </c>
      <c r="Y2572" s="13">
        <f t="shared" si="381"/>
        <v>0</v>
      </c>
      <c r="Z2572" s="2">
        <v>0</v>
      </c>
      <c r="AA2572" s="4">
        <v>0</v>
      </c>
      <c r="AB2572" s="4">
        <f t="shared" si="385"/>
        <v>0</v>
      </c>
      <c r="AC2572" s="6">
        <f t="shared" si="382"/>
        <v>0</v>
      </c>
      <c r="AD2572" s="13">
        <f t="shared" si="378"/>
        <v>0</v>
      </c>
      <c r="AE2572" s="2">
        <v>0.18</v>
      </c>
      <c r="AF2572" s="5">
        <f t="shared" si="383"/>
        <v>0</v>
      </c>
      <c r="AG2572" s="2">
        <v>0</v>
      </c>
      <c r="AH2572" s="5">
        <f t="shared" si="379"/>
        <v>0</v>
      </c>
      <c r="AJ2572" s="126" t="e">
        <v>#N/A</v>
      </c>
      <c r="AK2572" s="80">
        <f t="shared" si="384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377"/>
        <v>-10080.1</v>
      </c>
      <c r="X2573" s="13">
        <f t="shared" si="380"/>
        <v>0</v>
      </c>
      <c r="Y2573" s="13">
        <f t="shared" si="381"/>
        <v>0</v>
      </c>
      <c r="Z2573" s="2">
        <v>0</v>
      </c>
      <c r="AA2573" s="4">
        <v>0</v>
      </c>
      <c r="AB2573" s="4">
        <f t="shared" si="385"/>
        <v>0</v>
      </c>
      <c r="AC2573" s="6">
        <f t="shared" si="382"/>
        <v>0</v>
      </c>
      <c r="AD2573" s="13">
        <f t="shared" si="378"/>
        <v>0</v>
      </c>
      <c r="AE2573" s="2">
        <v>0.18</v>
      </c>
      <c r="AF2573" s="5">
        <f t="shared" si="383"/>
        <v>0</v>
      </c>
      <c r="AG2573" s="2">
        <v>0</v>
      </c>
      <c r="AH2573" s="5">
        <f t="shared" si="379"/>
        <v>0</v>
      </c>
      <c r="AJ2573" s="126" t="e">
        <v>#N/A</v>
      </c>
      <c r="AK2573" s="80">
        <f t="shared" si="384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377"/>
        <v>-365615.88</v>
      </c>
      <c r="X2574" s="13">
        <f t="shared" si="380"/>
        <v>0</v>
      </c>
      <c r="Y2574" s="13">
        <f t="shared" si="381"/>
        <v>0</v>
      </c>
      <c r="Z2574" s="2">
        <v>0</v>
      </c>
      <c r="AA2574" s="4">
        <v>0</v>
      </c>
      <c r="AB2574" s="4">
        <f t="shared" si="385"/>
        <v>0</v>
      </c>
      <c r="AC2574" s="6">
        <f t="shared" si="382"/>
        <v>0</v>
      </c>
      <c r="AD2574" s="13">
        <f t="shared" si="378"/>
        <v>0</v>
      </c>
      <c r="AE2574" s="2">
        <v>0.18</v>
      </c>
      <c r="AF2574" s="5">
        <f t="shared" si="383"/>
        <v>0</v>
      </c>
      <c r="AG2574" s="2">
        <v>0</v>
      </c>
      <c r="AH2574" s="5">
        <f t="shared" si="379"/>
        <v>0</v>
      </c>
      <c r="AJ2574" s="126" t="e">
        <v>#N/A</v>
      </c>
      <c r="AK2574" s="80">
        <f t="shared" si="384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377"/>
        <v>-168764.61</v>
      </c>
      <c r="X2575" s="13">
        <f t="shared" si="380"/>
        <v>0</v>
      </c>
      <c r="Y2575" s="13">
        <f t="shared" si="381"/>
        <v>0</v>
      </c>
      <c r="Z2575" s="2">
        <v>0</v>
      </c>
      <c r="AA2575" s="4">
        <v>0</v>
      </c>
      <c r="AB2575" s="4">
        <f t="shared" si="385"/>
        <v>0</v>
      </c>
      <c r="AC2575" s="6">
        <f t="shared" si="382"/>
        <v>0</v>
      </c>
      <c r="AD2575" s="13">
        <f t="shared" si="378"/>
        <v>0</v>
      </c>
      <c r="AE2575" s="2">
        <v>0.18</v>
      </c>
      <c r="AF2575" s="5">
        <f t="shared" si="383"/>
        <v>0</v>
      </c>
      <c r="AG2575" s="2">
        <v>0</v>
      </c>
      <c r="AH2575" s="5">
        <f t="shared" si="379"/>
        <v>0</v>
      </c>
      <c r="AJ2575" s="126" t="e">
        <v>#N/A</v>
      </c>
      <c r="AK2575" s="80">
        <f t="shared" si="384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377"/>
        <v>-51441.16</v>
      </c>
      <c r="X2576" s="13">
        <f t="shared" si="380"/>
        <v>0</v>
      </c>
      <c r="Y2576" s="13">
        <f t="shared" si="381"/>
        <v>0</v>
      </c>
      <c r="Z2576" s="2">
        <v>0</v>
      </c>
      <c r="AA2576" s="4">
        <v>0</v>
      </c>
      <c r="AB2576" s="4">
        <f t="shared" si="385"/>
        <v>0</v>
      </c>
      <c r="AC2576" s="6">
        <f t="shared" si="382"/>
        <v>0</v>
      </c>
      <c r="AD2576" s="13">
        <f t="shared" si="378"/>
        <v>0</v>
      </c>
      <c r="AE2576" s="2">
        <v>0.18</v>
      </c>
      <c r="AF2576" s="5">
        <f t="shared" si="383"/>
        <v>0</v>
      </c>
      <c r="AG2576" s="2">
        <v>0</v>
      </c>
      <c r="AH2576" s="5">
        <f t="shared" si="379"/>
        <v>0</v>
      </c>
      <c r="AJ2576" s="126" t="e">
        <v>#N/A</v>
      </c>
      <c r="AK2576" s="80">
        <f t="shared" si="384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377"/>
        <v>-145114.81</v>
      </c>
      <c r="X2577" s="13">
        <f t="shared" si="380"/>
        <v>0</v>
      </c>
      <c r="Y2577" s="13">
        <f t="shared" si="381"/>
        <v>0</v>
      </c>
      <c r="Z2577" s="2">
        <v>0</v>
      </c>
      <c r="AA2577" s="4">
        <v>0</v>
      </c>
      <c r="AB2577" s="4">
        <f t="shared" si="385"/>
        <v>0</v>
      </c>
      <c r="AC2577" s="6">
        <f t="shared" si="382"/>
        <v>0</v>
      </c>
      <c r="AD2577" s="13">
        <f t="shared" si="378"/>
        <v>0</v>
      </c>
      <c r="AE2577" s="2">
        <v>0.18</v>
      </c>
      <c r="AF2577" s="5">
        <f t="shared" si="383"/>
        <v>0</v>
      </c>
      <c r="AG2577" s="2">
        <v>0</v>
      </c>
      <c r="AH2577" s="5">
        <f t="shared" si="379"/>
        <v>0</v>
      </c>
      <c r="AJ2577" s="126" t="e">
        <v>#N/A</v>
      </c>
      <c r="AK2577" s="80">
        <f t="shared" si="384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377"/>
        <v>-6716.95</v>
      </c>
      <c r="X2578" s="13">
        <f t="shared" si="380"/>
        <v>0</v>
      </c>
      <c r="Y2578" s="13">
        <f t="shared" si="381"/>
        <v>0</v>
      </c>
      <c r="Z2578" s="2">
        <v>0</v>
      </c>
      <c r="AA2578" s="4">
        <v>0</v>
      </c>
      <c r="AB2578" s="4">
        <f t="shared" si="385"/>
        <v>0</v>
      </c>
      <c r="AC2578" s="6">
        <f t="shared" si="382"/>
        <v>0</v>
      </c>
      <c r="AD2578" s="13">
        <f t="shared" si="378"/>
        <v>0</v>
      </c>
      <c r="AE2578" s="2">
        <v>0.18</v>
      </c>
      <c r="AF2578" s="5">
        <f t="shared" si="383"/>
        <v>0</v>
      </c>
      <c r="AG2578" s="2">
        <v>0</v>
      </c>
      <c r="AH2578" s="5">
        <f t="shared" si="379"/>
        <v>0</v>
      </c>
      <c r="AJ2578" s="126" t="e">
        <v>#N/A</v>
      </c>
      <c r="AK2578" s="80">
        <f t="shared" si="384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377"/>
        <v>-3229.28</v>
      </c>
      <c r="X2579" s="13">
        <f t="shared" si="380"/>
        <v>0</v>
      </c>
      <c r="Y2579" s="13">
        <f t="shared" si="381"/>
        <v>0</v>
      </c>
      <c r="Z2579" s="2">
        <v>0</v>
      </c>
      <c r="AA2579" s="4">
        <v>0</v>
      </c>
      <c r="AB2579" s="4">
        <f t="shared" si="385"/>
        <v>0</v>
      </c>
      <c r="AC2579" s="6">
        <f t="shared" si="382"/>
        <v>0</v>
      </c>
      <c r="AD2579" s="13">
        <f t="shared" si="378"/>
        <v>0</v>
      </c>
      <c r="AE2579" s="2">
        <v>0.18</v>
      </c>
      <c r="AF2579" s="5">
        <f t="shared" si="383"/>
        <v>0</v>
      </c>
      <c r="AG2579" s="2">
        <v>0</v>
      </c>
      <c r="AH2579" s="5">
        <f t="shared" si="379"/>
        <v>0</v>
      </c>
      <c r="AJ2579" s="126" t="e">
        <v>#N/A</v>
      </c>
      <c r="AK2579" s="80">
        <f t="shared" si="384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380"/>
        <v>0</v>
      </c>
      <c r="Y2580" s="13">
        <f t="shared" si="381"/>
        <v>0</v>
      </c>
      <c r="Z2580" s="2">
        <v>0</v>
      </c>
      <c r="AA2580" s="4">
        <v>0</v>
      </c>
      <c r="AB2580" s="4">
        <f t="shared" si="385"/>
        <v>0</v>
      </c>
      <c r="AC2580" s="6">
        <f t="shared" si="382"/>
        <v>0</v>
      </c>
      <c r="AD2580" s="13">
        <f t="shared" ref="AD2580:AD2604" si="386">V2580</f>
        <v>0</v>
      </c>
      <c r="AE2580" s="2">
        <v>0.18</v>
      </c>
      <c r="AF2580" s="5">
        <f t="shared" si="383"/>
        <v>0</v>
      </c>
      <c r="AG2580" s="2">
        <v>0</v>
      </c>
      <c r="AH2580" s="5">
        <f t="shared" ref="AH2580:AH2604" si="387">V2580</f>
        <v>0</v>
      </c>
      <c r="AJ2580" s="126" t="e">
        <v>#N/A</v>
      </c>
      <c r="AK2580" s="80">
        <f t="shared" si="384"/>
        <v>0</v>
      </c>
      <c r="AM2580" s="85"/>
    </row>
    <row r="2581" spans="1:39" hidden="1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380"/>
        <v>0</v>
      </c>
      <c r="Y2581" s="13">
        <f t="shared" si="381"/>
        <v>0</v>
      </c>
      <c r="Z2581" s="2">
        <v>0</v>
      </c>
      <c r="AA2581" s="4">
        <v>0</v>
      </c>
      <c r="AB2581" s="4">
        <f t="shared" si="385"/>
        <v>0</v>
      </c>
      <c r="AC2581" s="6">
        <f t="shared" si="382"/>
        <v>0</v>
      </c>
      <c r="AD2581" s="13">
        <f t="shared" si="386"/>
        <v>0</v>
      </c>
      <c r="AE2581" s="2">
        <v>0.18</v>
      </c>
      <c r="AF2581" s="5">
        <f t="shared" si="383"/>
        <v>0</v>
      </c>
      <c r="AG2581" s="2">
        <v>0</v>
      </c>
      <c r="AH2581" s="5">
        <f t="shared" si="387"/>
        <v>0</v>
      </c>
      <c r="AJ2581" s="126" t="e">
        <v>#N/A</v>
      </c>
      <c r="AK2581" s="80">
        <f t="shared" si="384"/>
        <v>0</v>
      </c>
      <c r="AM2581" s="85"/>
    </row>
    <row r="2582" spans="1:39" hidden="1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388">T2582+U2582-V2582</f>
        <v>-69890.53</v>
      </c>
      <c r="X2582" s="13">
        <f t="shared" si="380"/>
        <v>48543.920000000006</v>
      </c>
      <c r="Y2582" s="13">
        <f t="shared" si="381"/>
        <v>0</v>
      </c>
      <c r="Z2582" s="2">
        <v>0</v>
      </c>
      <c r="AA2582" s="4">
        <v>0</v>
      </c>
      <c r="AB2582" s="4">
        <f t="shared" si="385"/>
        <v>48543.920000000006</v>
      </c>
      <c r="AC2582" s="6">
        <f t="shared" si="382"/>
        <v>0</v>
      </c>
      <c r="AD2582" s="13">
        <f t="shared" si="386"/>
        <v>48543.920000000006</v>
      </c>
      <c r="AE2582" s="2">
        <v>0.18</v>
      </c>
      <c r="AF2582" s="5">
        <f t="shared" si="383"/>
        <v>8737.9056</v>
      </c>
      <c r="AG2582" s="2">
        <v>0</v>
      </c>
      <c r="AH2582" s="5">
        <f t="shared" si="387"/>
        <v>48543.920000000006</v>
      </c>
      <c r="AJ2582" s="126" t="e">
        <v>#N/A</v>
      </c>
      <c r="AK2582" s="80">
        <f t="shared" si="384"/>
        <v>0</v>
      </c>
      <c r="AM2582" s="85"/>
    </row>
    <row r="2583" spans="1:39" hidden="1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388"/>
        <v>-26</v>
      </c>
      <c r="X2583" s="13">
        <f t="shared" si="380"/>
        <v>0</v>
      </c>
      <c r="Y2583" s="13">
        <f t="shared" si="381"/>
        <v>0</v>
      </c>
      <c r="Z2583" s="2">
        <v>0.02</v>
      </c>
      <c r="AA2583" s="6">
        <f>X2583/(1-Z2583)*Z2583</f>
        <v>0</v>
      </c>
      <c r="AB2583" s="4">
        <f t="shared" si="385"/>
        <v>0</v>
      </c>
      <c r="AC2583" s="6">
        <f t="shared" si="382"/>
        <v>0</v>
      </c>
      <c r="AD2583" s="13">
        <f t="shared" si="386"/>
        <v>0</v>
      </c>
      <c r="AE2583" s="2">
        <v>0.18</v>
      </c>
      <c r="AF2583" s="5">
        <f t="shared" si="383"/>
        <v>0</v>
      </c>
      <c r="AG2583" s="2">
        <v>0</v>
      </c>
      <c r="AH2583" s="5">
        <f t="shared" si="387"/>
        <v>0</v>
      </c>
      <c r="AJ2583" s="126" t="e">
        <v>#N/A</v>
      </c>
      <c r="AK2583" s="80">
        <f t="shared" si="384"/>
        <v>0</v>
      </c>
      <c r="AM2583" s="85"/>
    </row>
    <row r="2584" spans="1:39" hidden="1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388"/>
        <v>-160375.22</v>
      </c>
      <c r="X2584" s="13">
        <f t="shared" si="380"/>
        <v>0</v>
      </c>
      <c r="Y2584" s="13">
        <f t="shared" si="381"/>
        <v>0</v>
      </c>
      <c r="Z2584" s="2">
        <v>0</v>
      </c>
      <c r="AA2584" s="4">
        <v>0</v>
      </c>
      <c r="AB2584" s="4">
        <f t="shared" si="385"/>
        <v>0</v>
      </c>
      <c r="AC2584" s="6">
        <f t="shared" si="382"/>
        <v>0</v>
      </c>
      <c r="AD2584" s="13">
        <f t="shared" si="386"/>
        <v>0</v>
      </c>
      <c r="AE2584" s="2">
        <v>0.18</v>
      </c>
      <c r="AF2584" s="5">
        <f t="shared" si="383"/>
        <v>0</v>
      </c>
      <c r="AG2584" s="2">
        <v>0</v>
      </c>
      <c r="AH2584" s="5">
        <f t="shared" si="387"/>
        <v>0</v>
      </c>
      <c r="AJ2584" s="126" t="e">
        <v>#N/A</v>
      </c>
      <c r="AK2584" s="80">
        <f t="shared" si="384"/>
        <v>0</v>
      </c>
      <c r="AM2584" s="85"/>
    </row>
    <row r="2585" spans="1:39" hidden="1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388"/>
        <v>356.31999999999971</v>
      </c>
      <c r="X2585" s="13">
        <f t="shared" si="380"/>
        <v>4422.5523809523811</v>
      </c>
      <c r="Y2585" s="13">
        <f t="shared" si="381"/>
        <v>0</v>
      </c>
      <c r="Z2585" s="2">
        <v>0</v>
      </c>
      <c r="AA2585" s="4">
        <v>0</v>
      </c>
      <c r="AB2585" s="4">
        <f t="shared" si="385"/>
        <v>4422.5523809523811</v>
      </c>
      <c r="AC2585" s="6">
        <f t="shared" si="382"/>
        <v>221.12761904761919</v>
      </c>
      <c r="AD2585" s="13">
        <f t="shared" si="386"/>
        <v>4643.68</v>
      </c>
      <c r="AE2585" s="2">
        <v>0.09</v>
      </c>
      <c r="AF2585" s="5">
        <f t="shared" si="383"/>
        <v>417.93119999999999</v>
      </c>
      <c r="AG2585" s="2">
        <v>0</v>
      </c>
      <c r="AH2585" s="5">
        <f t="shared" si="387"/>
        <v>4643.68</v>
      </c>
      <c r="AJ2585" s="126" t="e">
        <v>#N/A</v>
      </c>
      <c r="AK2585" s="80">
        <f t="shared" si="384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388"/>
        <v>0</v>
      </c>
      <c r="X2586" s="13">
        <f t="shared" si="380"/>
        <v>113.38000000000011</v>
      </c>
      <c r="Y2586" s="13">
        <f t="shared" si="381"/>
        <v>0</v>
      </c>
      <c r="Z2586" s="2">
        <v>0</v>
      </c>
      <c r="AA2586" s="4">
        <v>0</v>
      </c>
      <c r="AB2586" s="4">
        <f t="shared" si="385"/>
        <v>113.38000000000011</v>
      </c>
      <c r="AC2586" s="6">
        <f t="shared" si="382"/>
        <v>0</v>
      </c>
      <c r="AD2586" s="13">
        <f t="shared" si="386"/>
        <v>113.38000000000011</v>
      </c>
      <c r="AE2586" s="2">
        <v>0.09</v>
      </c>
      <c r="AF2586" s="5">
        <f t="shared" si="383"/>
        <v>10.204200000000009</v>
      </c>
      <c r="AG2586" s="2">
        <v>0</v>
      </c>
      <c r="AH2586" s="5">
        <f t="shared" si="387"/>
        <v>113.38000000000011</v>
      </c>
      <c r="AJ2586" s="126" t="e">
        <v>#N/A</v>
      </c>
      <c r="AK2586" s="80">
        <f t="shared" si="384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388"/>
        <v>-48518.63</v>
      </c>
      <c r="X2587" s="13">
        <f t="shared" si="380"/>
        <v>47567.284313725489</v>
      </c>
      <c r="Y2587" s="13">
        <f t="shared" si="381"/>
        <v>0</v>
      </c>
      <c r="Z2587" s="2">
        <v>0</v>
      </c>
      <c r="AA2587" s="4">
        <v>0</v>
      </c>
      <c r="AB2587" s="4">
        <f t="shared" si="385"/>
        <v>47567.284313725489</v>
      </c>
      <c r="AC2587" s="6">
        <f t="shared" si="382"/>
        <v>951.3456862745079</v>
      </c>
      <c r="AD2587" s="13">
        <f t="shared" si="386"/>
        <v>48518.63</v>
      </c>
      <c r="AE2587" s="2">
        <v>0.09</v>
      </c>
      <c r="AF2587" s="5">
        <f t="shared" si="383"/>
        <v>4366.6767</v>
      </c>
      <c r="AG2587" s="2">
        <v>0</v>
      </c>
      <c r="AH2587" s="5">
        <f t="shared" si="387"/>
        <v>48518.63</v>
      </c>
      <c r="AJ2587" s="126" t="e">
        <v>#N/A</v>
      </c>
      <c r="AK2587" s="80">
        <f t="shared" si="384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380"/>
        <v>51591.828571428567</v>
      </c>
      <c r="Y2588" s="13">
        <f t="shared" si="381"/>
        <v>0</v>
      </c>
      <c r="Z2588" s="2">
        <v>0</v>
      </c>
      <c r="AA2588" s="4">
        <v>0</v>
      </c>
      <c r="AB2588" s="4">
        <f t="shared" si="385"/>
        <v>51591.828571428567</v>
      </c>
      <c r="AC2588" s="6">
        <f t="shared" si="382"/>
        <v>2579.5914285714316</v>
      </c>
      <c r="AD2588" s="13">
        <f t="shared" si="386"/>
        <v>54171.42</v>
      </c>
      <c r="AE2588" s="2">
        <v>0.09</v>
      </c>
      <c r="AF2588" s="5">
        <f t="shared" si="383"/>
        <v>4875.4277999999995</v>
      </c>
      <c r="AG2588" s="2">
        <v>0</v>
      </c>
      <c r="AH2588" s="5">
        <f t="shared" si="387"/>
        <v>54171.42</v>
      </c>
      <c r="AJ2588" s="126" t="e">
        <v>#N/A</v>
      </c>
      <c r="AK2588" s="80">
        <f t="shared" si="384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388"/>
        <v>-293.76</v>
      </c>
      <c r="X2589" s="13">
        <f t="shared" si="380"/>
        <v>0</v>
      </c>
      <c r="Y2589" s="13">
        <f t="shared" si="381"/>
        <v>0</v>
      </c>
      <c r="Z2589" s="2">
        <v>0</v>
      </c>
      <c r="AA2589" s="4">
        <v>0</v>
      </c>
      <c r="AB2589" s="4">
        <f t="shared" si="385"/>
        <v>0</v>
      </c>
      <c r="AC2589" s="6">
        <f t="shared" si="382"/>
        <v>0</v>
      </c>
      <c r="AD2589" s="13">
        <f t="shared" si="386"/>
        <v>0</v>
      </c>
      <c r="AE2589" s="2">
        <v>0.18</v>
      </c>
      <c r="AF2589" s="5">
        <f t="shared" si="383"/>
        <v>0</v>
      </c>
      <c r="AG2589" s="2">
        <v>0</v>
      </c>
      <c r="AH2589" s="5">
        <f t="shared" si="387"/>
        <v>0</v>
      </c>
      <c r="AJ2589" s="126" t="e">
        <v>#N/A</v>
      </c>
      <c r="AK2589" s="80">
        <f t="shared" si="384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388"/>
        <v>-935756.02</v>
      </c>
      <c r="X2590" s="13">
        <f t="shared" si="380"/>
        <v>75.44</v>
      </c>
      <c r="Y2590" s="13">
        <f t="shared" si="381"/>
        <v>0</v>
      </c>
      <c r="Z2590" s="2">
        <v>0</v>
      </c>
      <c r="AA2590" s="4">
        <v>0</v>
      </c>
      <c r="AB2590" s="4">
        <f t="shared" si="385"/>
        <v>75.44</v>
      </c>
      <c r="AC2590" s="6">
        <f t="shared" si="382"/>
        <v>0</v>
      </c>
      <c r="AD2590" s="13">
        <f t="shared" si="386"/>
        <v>75.44</v>
      </c>
      <c r="AE2590" s="2">
        <v>0.18</v>
      </c>
      <c r="AF2590" s="5">
        <f t="shared" si="383"/>
        <v>13.579199999999998</v>
      </c>
      <c r="AG2590" s="2">
        <v>0</v>
      </c>
      <c r="AH2590" s="5">
        <f t="shared" si="387"/>
        <v>75.44</v>
      </c>
      <c r="AJ2590" s="126" t="e">
        <v>#N/A</v>
      </c>
      <c r="AK2590" s="80">
        <f t="shared" si="384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388"/>
        <v>-430564.51</v>
      </c>
      <c r="X2591" s="13">
        <f t="shared" si="380"/>
        <v>414004.33653846156</v>
      </c>
      <c r="Y2591" s="13">
        <f t="shared" si="381"/>
        <v>0</v>
      </c>
      <c r="Z2591" s="2">
        <v>0</v>
      </c>
      <c r="AA2591" s="4">
        <v>0</v>
      </c>
      <c r="AB2591" s="4">
        <f t="shared" si="385"/>
        <v>414004.33653846156</v>
      </c>
      <c r="AC2591" s="6">
        <f t="shared" si="382"/>
        <v>16560.173461538448</v>
      </c>
      <c r="AD2591" s="13">
        <f t="shared" si="386"/>
        <v>430564.51</v>
      </c>
      <c r="AE2591" s="2">
        <v>0.18</v>
      </c>
      <c r="AF2591" s="5">
        <f t="shared" si="383"/>
        <v>77501.611799999999</v>
      </c>
      <c r="AG2591" s="2">
        <v>0</v>
      </c>
      <c r="AH2591" s="5">
        <f t="shared" si="387"/>
        <v>430564.51</v>
      </c>
      <c r="AJ2591" s="126" t="e">
        <v>#N/A</v>
      </c>
      <c r="AK2591" s="80">
        <f t="shared" si="384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388"/>
        <v>-23601.200000000001</v>
      </c>
      <c r="X2592" s="13">
        <f t="shared" si="380"/>
        <v>0</v>
      </c>
      <c r="Y2592" s="13">
        <f t="shared" si="381"/>
        <v>0</v>
      </c>
      <c r="Z2592" s="2">
        <v>0</v>
      </c>
      <c r="AA2592" s="4">
        <v>0</v>
      </c>
      <c r="AB2592" s="4">
        <f t="shared" si="385"/>
        <v>0</v>
      </c>
      <c r="AC2592" s="6">
        <f t="shared" si="382"/>
        <v>0</v>
      </c>
      <c r="AD2592" s="13">
        <f t="shared" si="386"/>
        <v>0</v>
      </c>
      <c r="AE2592" s="2">
        <v>0.18</v>
      </c>
      <c r="AF2592" s="5">
        <f t="shared" si="383"/>
        <v>0</v>
      </c>
      <c r="AG2592" s="2">
        <v>0</v>
      </c>
      <c r="AH2592" s="5">
        <f t="shared" si="387"/>
        <v>0</v>
      </c>
      <c r="AJ2592" s="126" t="e">
        <v>#N/A</v>
      </c>
      <c r="AK2592" s="80">
        <f t="shared" si="384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388"/>
        <v>-58669.73</v>
      </c>
      <c r="X2593" s="13">
        <f t="shared" ref="X2593:X2624" si="389">IF(P2593="折扣",V2593*Q2593,IF(P2593="返现",V2593,V2593/(1+Q2593)))</f>
        <v>56413.201923076922</v>
      </c>
      <c r="Y2593" s="13">
        <f t="shared" si="381"/>
        <v>0</v>
      </c>
      <c r="Z2593" s="2">
        <v>0</v>
      </c>
      <c r="AA2593" s="4">
        <v>0</v>
      </c>
      <c r="AB2593" s="4">
        <f t="shared" si="385"/>
        <v>56413.201923076922</v>
      </c>
      <c r="AC2593" s="6">
        <f t="shared" si="382"/>
        <v>2256.5280769230812</v>
      </c>
      <c r="AD2593" s="13">
        <f t="shared" si="386"/>
        <v>58669.73</v>
      </c>
      <c r="AE2593" s="2">
        <v>0.18</v>
      </c>
      <c r="AF2593" s="5">
        <f t="shared" si="383"/>
        <v>10560.5514</v>
      </c>
      <c r="AG2593" s="2">
        <v>0</v>
      </c>
      <c r="AH2593" s="5">
        <f t="shared" si="387"/>
        <v>58669.73</v>
      </c>
      <c r="AJ2593" s="126" t="e">
        <v>#N/A</v>
      </c>
      <c r="AK2593" s="80">
        <f t="shared" si="384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388"/>
        <v>-75624.570000000007</v>
      </c>
      <c r="X2594" s="13">
        <f t="shared" si="389"/>
        <v>113.85</v>
      </c>
      <c r="Y2594" s="13">
        <f t="shared" si="381"/>
        <v>0</v>
      </c>
      <c r="Z2594" s="2">
        <v>0</v>
      </c>
      <c r="AA2594" s="4">
        <v>0</v>
      </c>
      <c r="AB2594" s="4">
        <f t="shared" si="385"/>
        <v>113.85</v>
      </c>
      <c r="AC2594" s="6">
        <f t="shared" si="382"/>
        <v>0</v>
      </c>
      <c r="AD2594" s="13">
        <f t="shared" si="386"/>
        <v>113.85</v>
      </c>
      <c r="AE2594" s="2">
        <v>0.18</v>
      </c>
      <c r="AF2594" s="5">
        <f t="shared" si="383"/>
        <v>20.492999999999999</v>
      </c>
      <c r="AG2594" s="2">
        <v>0</v>
      </c>
      <c r="AH2594" s="5">
        <f t="shared" si="387"/>
        <v>113.85</v>
      </c>
      <c r="AJ2594" s="126" t="e">
        <v>#N/A</v>
      </c>
      <c r="AK2594" s="80">
        <f t="shared" si="384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388"/>
        <v>-876159.79</v>
      </c>
      <c r="X2595" s="13">
        <f t="shared" si="389"/>
        <v>834437.8952380952</v>
      </c>
      <c r="Y2595" s="13">
        <f t="shared" si="381"/>
        <v>0</v>
      </c>
      <c r="Z2595" s="2">
        <v>0</v>
      </c>
      <c r="AA2595" s="4">
        <v>0</v>
      </c>
      <c r="AB2595" s="4">
        <f t="shared" si="385"/>
        <v>834437.8952380952</v>
      </c>
      <c r="AC2595" s="6">
        <f t="shared" si="382"/>
        <v>41721.894761904841</v>
      </c>
      <c r="AD2595" s="13">
        <f t="shared" si="386"/>
        <v>876159.79</v>
      </c>
      <c r="AE2595" s="2">
        <v>0.18</v>
      </c>
      <c r="AF2595" s="5">
        <f t="shared" si="383"/>
        <v>157708.7622</v>
      </c>
      <c r="AG2595" s="2">
        <v>0</v>
      </c>
      <c r="AH2595" s="5">
        <f t="shared" si="387"/>
        <v>876159.79</v>
      </c>
      <c r="AJ2595" s="126" t="e">
        <v>#N/A</v>
      </c>
      <c r="AK2595" s="80">
        <f t="shared" si="384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388"/>
        <v>-528719.76</v>
      </c>
      <c r="X2596" s="13">
        <f t="shared" si="389"/>
        <v>498792.22641509434</v>
      </c>
      <c r="Y2596" s="13">
        <f t="shared" si="381"/>
        <v>0</v>
      </c>
      <c r="Z2596" s="2">
        <v>0</v>
      </c>
      <c r="AA2596" s="4">
        <v>0</v>
      </c>
      <c r="AB2596" s="4">
        <f t="shared" si="385"/>
        <v>498792.22641509434</v>
      </c>
      <c r="AC2596" s="6">
        <f t="shared" si="382"/>
        <v>29927.533584905672</v>
      </c>
      <c r="AD2596" s="13">
        <f t="shared" si="386"/>
        <v>528719.76</v>
      </c>
      <c r="AE2596" s="2">
        <v>0.18</v>
      </c>
      <c r="AF2596" s="5">
        <f t="shared" si="383"/>
        <v>95169.556799999991</v>
      </c>
      <c r="AG2596" s="2">
        <v>0</v>
      </c>
      <c r="AH2596" s="5">
        <f t="shared" si="387"/>
        <v>528719.76</v>
      </c>
      <c r="AJ2596" s="126" t="e">
        <v>#N/A</v>
      </c>
      <c r="AK2596" s="80">
        <f t="shared" si="384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388"/>
        <v>-4116.1499999999996</v>
      </c>
      <c r="X2597" s="13">
        <f t="shared" si="389"/>
        <v>3883.1603773584902</v>
      </c>
      <c r="Y2597" s="13">
        <f t="shared" si="381"/>
        <v>0</v>
      </c>
      <c r="Z2597" s="2">
        <v>0</v>
      </c>
      <c r="AA2597" s="4">
        <v>0</v>
      </c>
      <c r="AB2597" s="4">
        <f t="shared" si="385"/>
        <v>3883.1603773584902</v>
      </c>
      <c r="AC2597" s="6">
        <f t="shared" si="382"/>
        <v>232.98962264150941</v>
      </c>
      <c r="AD2597" s="13">
        <f t="shared" si="386"/>
        <v>4116.1499999999996</v>
      </c>
      <c r="AE2597" s="2">
        <v>0.18</v>
      </c>
      <c r="AF2597" s="5">
        <f t="shared" si="383"/>
        <v>740.90699999999993</v>
      </c>
      <c r="AG2597" s="2">
        <v>0</v>
      </c>
      <c r="AH2597" s="5">
        <f t="shared" si="387"/>
        <v>4116.1499999999996</v>
      </c>
      <c r="AJ2597" s="126" t="e">
        <v>#N/A</v>
      </c>
      <c r="AK2597" s="80">
        <f t="shared" si="384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388"/>
        <v>-3162195.33</v>
      </c>
      <c r="X2598" s="13">
        <f t="shared" si="389"/>
        <v>2983203.1415094337</v>
      </c>
      <c r="Y2598" s="13">
        <f t="shared" si="381"/>
        <v>0</v>
      </c>
      <c r="Z2598" s="2">
        <v>0</v>
      </c>
      <c r="AA2598" s="4">
        <v>0</v>
      </c>
      <c r="AB2598" s="4">
        <f t="shared" si="385"/>
        <v>2983203.1415094337</v>
      </c>
      <c r="AC2598" s="6">
        <f t="shared" si="382"/>
        <v>178992.18849056633</v>
      </c>
      <c r="AD2598" s="13">
        <f t="shared" si="386"/>
        <v>3162195.33</v>
      </c>
      <c r="AE2598" s="2">
        <v>0.18</v>
      </c>
      <c r="AF2598" s="5">
        <f t="shared" si="383"/>
        <v>569195.1594</v>
      </c>
      <c r="AG2598" s="2">
        <v>0</v>
      </c>
      <c r="AH2598" s="5">
        <f t="shared" si="387"/>
        <v>3162195.33</v>
      </c>
      <c r="AJ2598" s="126" t="e">
        <v>#N/A</v>
      </c>
      <c r="AK2598" s="80">
        <f t="shared" si="384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388"/>
        <v>-231306.86</v>
      </c>
      <c r="X2599" s="13">
        <f t="shared" si="389"/>
        <v>218214.01886792452</v>
      </c>
      <c r="Y2599" s="13">
        <f t="shared" si="381"/>
        <v>0</v>
      </c>
      <c r="Z2599" s="2">
        <v>0</v>
      </c>
      <c r="AA2599" s="4">
        <v>0</v>
      </c>
      <c r="AB2599" s="4">
        <f t="shared" si="385"/>
        <v>218214.01886792452</v>
      </c>
      <c r="AC2599" s="6">
        <f t="shared" si="382"/>
        <v>13092.841132075468</v>
      </c>
      <c r="AD2599" s="13">
        <f t="shared" si="386"/>
        <v>231306.86</v>
      </c>
      <c r="AE2599" s="2">
        <v>0.18</v>
      </c>
      <c r="AF2599" s="5">
        <f t="shared" si="383"/>
        <v>41635.234799999998</v>
      </c>
      <c r="AG2599" s="2">
        <v>0</v>
      </c>
      <c r="AH2599" s="5">
        <f t="shared" si="387"/>
        <v>231306.86</v>
      </c>
      <c r="AJ2599" s="126" t="e">
        <v>#N/A</v>
      </c>
      <c r="AK2599" s="80">
        <f t="shared" si="384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388"/>
        <v>-13759.91</v>
      </c>
      <c r="X2600" s="13">
        <f t="shared" si="389"/>
        <v>12981.04716981132</v>
      </c>
      <c r="Y2600" s="13">
        <f t="shared" si="381"/>
        <v>0</v>
      </c>
      <c r="Z2600" s="2">
        <v>0</v>
      </c>
      <c r="AA2600" s="4">
        <v>0</v>
      </c>
      <c r="AB2600" s="4">
        <f t="shared" si="385"/>
        <v>12981.04716981132</v>
      </c>
      <c r="AC2600" s="6">
        <f t="shared" si="382"/>
        <v>778.86283018868016</v>
      </c>
      <c r="AD2600" s="13">
        <f t="shared" si="386"/>
        <v>13759.91</v>
      </c>
      <c r="AE2600" s="2">
        <v>0.18</v>
      </c>
      <c r="AF2600" s="5">
        <f t="shared" si="383"/>
        <v>2476.7837999999997</v>
      </c>
      <c r="AG2600" s="2">
        <v>0</v>
      </c>
      <c r="AH2600" s="5">
        <f t="shared" si="387"/>
        <v>13759.91</v>
      </c>
      <c r="AJ2600" s="126" t="e">
        <v>#N/A</v>
      </c>
      <c r="AK2600" s="80">
        <f t="shared" si="384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388"/>
        <v>-608.1</v>
      </c>
      <c r="X2601" s="13">
        <f t="shared" si="389"/>
        <v>608.1</v>
      </c>
      <c r="Y2601" s="13">
        <f t="shared" si="381"/>
        <v>0</v>
      </c>
      <c r="Z2601" s="2">
        <v>0</v>
      </c>
      <c r="AA2601" s="4">
        <v>0</v>
      </c>
      <c r="AB2601" s="4">
        <f t="shared" si="385"/>
        <v>608.1</v>
      </c>
      <c r="AC2601" s="6">
        <f t="shared" si="382"/>
        <v>0</v>
      </c>
      <c r="AD2601" s="13">
        <f t="shared" si="386"/>
        <v>608.1</v>
      </c>
      <c r="AE2601" s="2">
        <v>0.18</v>
      </c>
      <c r="AF2601" s="5">
        <f t="shared" si="383"/>
        <v>109.458</v>
      </c>
      <c r="AG2601" s="2">
        <v>0</v>
      </c>
      <c r="AH2601" s="5">
        <f t="shared" si="387"/>
        <v>608.1</v>
      </c>
      <c r="AJ2601" s="126" t="e">
        <v>#N/A</v>
      </c>
      <c r="AK2601" s="80">
        <f t="shared" si="384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388"/>
        <v>-2891426.33</v>
      </c>
      <c r="X2602" s="13">
        <f t="shared" si="389"/>
        <v>2727760.6886792453</v>
      </c>
      <c r="Y2602" s="13">
        <f t="shared" si="381"/>
        <v>0</v>
      </c>
      <c r="Z2602" s="2">
        <v>0</v>
      </c>
      <c r="AA2602" s="4">
        <v>0</v>
      </c>
      <c r="AB2602" s="4">
        <f t="shared" si="385"/>
        <v>2727760.6886792453</v>
      </c>
      <c r="AC2602" s="6">
        <f t="shared" si="382"/>
        <v>163665.64132075477</v>
      </c>
      <c r="AD2602" s="13">
        <f t="shared" si="386"/>
        <v>2891426.33</v>
      </c>
      <c r="AE2602" s="2">
        <v>0.18</v>
      </c>
      <c r="AF2602" s="5">
        <f t="shared" si="383"/>
        <v>520456.73940000002</v>
      </c>
      <c r="AG2602" s="2">
        <v>0</v>
      </c>
      <c r="AH2602" s="5">
        <f t="shared" si="387"/>
        <v>2891426.33</v>
      </c>
      <c r="AJ2602" s="126" t="e">
        <v>#N/A</v>
      </c>
      <c r="AK2602" s="80">
        <f t="shared" si="384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388"/>
        <v>-1400</v>
      </c>
      <c r="X2603" s="13">
        <f t="shared" si="389"/>
        <v>1400</v>
      </c>
      <c r="Y2603" s="13">
        <f t="shared" si="381"/>
        <v>0</v>
      </c>
      <c r="Z2603" s="2">
        <v>0</v>
      </c>
      <c r="AA2603" s="4">
        <v>0</v>
      </c>
      <c r="AB2603" s="4">
        <f t="shared" si="385"/>
        <v>1400</v>
      </c>
      <c r="AC2603" s="6">
        <f t="shared" si="382"/>
        <v>0</v>
      </c>
      <c r="AD2603" s="13">
        <f t="shared" si="386"/>
        <v>1400</v>
      </c>
      <c r="AE2603" s="2">
        <v>0.18</v>
      </c>
      <c r="AF2603" s="5">
        <f t="shared" si="383"/>
        <v>252</v>
      </c>
      <c r="AG2603" s="2">
        <v>0</v>
      </c>
      <c r="AH2603" s="5">
        <f t="shared" si="387"/>
        <v>1400</v>
      </c>
      <c r="AJ2603" s="126" t="e">
        <v>#N/A</v>
      </c>
      <c r="AK2603" s="80">
        <f t="shared" si="384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388"/>
        <v>-1117.1300000000001</v>
      </c>
      <c r="X2604" s="13">
        <f t="shared" si="389"/>
        <v>1063.9333333333334</v>
      </c>
      <c r="Y2604" s="13">
        <f t="shared" si="381"/>
        <v>0</v>
      </c>
      <c r="Z2604" s="2">
        <v>0</v>
      </c>
      <c r="AA2604" s="4">
        <v>0</v>
      </c>
      <c r="AB2604" s="4">
        <f t="shared" si="385"/>
        <v>1063.9333333333334</v>
      </c>
      <c r="AC2604" s="6">
        <f t="shared" si="382"/>
        <v>53.196666666666715</v>
      </c>
      <c r="AD2604" s="13">
        <f t="shared" si="386"/>
        <v>1117.1300000000001</v>
      </c>
      <c r="AE2604" s="2">
        <v>0.18</v>
      </c>
      <c r="AF2604" s="5">
        <f t="shared" si="383"/>
        <v>201.08340000000001</v>
      </c>
      <c r="AG2604" s="2">
        <v>0</v>
      </c>
      <c r="AH2604" s="5">
        <f t="shared" si="387"/>
        <v>1117.1300000000001</v>
      </c>
      <c r="AJ2604" s="126" t="e">
        <v>#N/A</v>
      </c>
      <c r="AK2604" s="80">
        <f t="shared" si="384"/>
        <v>0</v>
      </c>
      <c r="AM2604" s="85"/>
    </row>
    <row r="2605" spans="1:39" hidden="1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388"/>
        <v>0</v>
      </c>
      <c r="X2605" s="13">
        <f t="shared" si="389"/>
        <v>0</v>
      </c>
      <c r="Y2605" s="13">
        <f t="shared" si="381"/>
        <v>0</v>
      </c>
      <c r="Z2605" s="2">
        <v>0</v>
      </c>
      <c r="AA2605" s="4">
        <v>0</v>
      </c>
      <c r="AB2605" s="4">
        <f t="shared" si="385"/>
        <v>0</v>
      </c>
      <c r="AC2605" s="6">
        <f t="shared" si="382"/>
        <v>0</v>
      </c>
      <c r="AD2605" s="13">
        <f>V2605*95%</f>
        <v>0</v>
      </c>
      <c r="AE2605" s="2">
        <v>0</v>
      </c>
      <c r="AF2605" s="5">
        <f t="shared" si="38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384"/>
        <v>0</v>
      </c>
      <c r="AM2605" s="85"/>
    </row>
    <row r="2606" spans="1:39" hidden="1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388"/>
        <v>0</v>
      </c>
      <c r="X2606" s="13">
        <f t="shared" si="389"/>
        <v>0</v>
      </c>
      <c r="Y2606" s="13">
        <f t="shared" si="381"/>
        <v>0</v>
      </c>
      <c r="Z2606" s="2">
        <v>0</v>
      </c>
      <c r="AA2606" s="4">
        <v>0</v>
      </c>
      <c r="AB2606" s="4">
        <f t="shared" si="385"/>
        <v>0</v>
      </c>
      <c r="AC2606" s="6">
        <f t="shared" si="382"/>
        <v>0</v>
      </c>
      <c r="AD2606" s="13">
        <f t="shared" ref="AD2606:AD2641" si="390">V2606*95%</f>
        <v>0</v>
      </c>
      <c r="AE2606" s="2">
        <v>0</v>
      </c>
      <c r="AF2606" s="5">
        <f t="shared" si="383"/>
        <v>0</v>
      </c>
      <c r="AG2606" s="2">
        <v>0</v>
      </c>
      <c r="AH2606" s="5">
        <f t="shared" ref="AH2606:AH2641" si="391">AD2606</f>
        <v>0</v>
      </c>
      <c r="AJ2606" s="126" t="e">
        <v>#N/A</v>
      </c>
      <c r="AK2606" s="80">
        <f t="shared" si="384"/>
        <v>0</v>
      </c>
      <c r="AM2606" s="85"/>
    </row>
    <row r="2607" spans="1:39" hidden="1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388"/>
        <v>7.9999999898063834E-3</v>
      </c>
      <c r="X2607" s="13">
        <f t="shared" si="389"/>
        <v>1000.2728155339805</v>
      </c>
      <c r="Y2607" s="13">
        <f t="shared" si="381"/>
        <v>21.505865533980568</v>
      </c>
      <c r="Z2607" s="2">
        <v>0</v>
      </c>
      <c r="AA2607" s="4">
        <v>0</v>
      </c>
      <c r="AB2607" s="4">
        <f t="shared" si="385"/>
        <v>1000.2728155339805</v>
      </c>
      <c r="AC2607" s="6">
        <f t="shared" si="382"/>
        <v>30.008184466019429</v>
      </c>
      <c r="AD2607" s="13">
        <f t="shared" si="390"/>
        <v>978.76694999999995</v>
      </c>
      <c r="AE2607" s="2">
        <v>0</v>
      </c>
      <c r="AF2607" s="5">
        <f t="shared" si="383"/>
        <v>0</v>
      </c>
      <c r="AG2607" s="2">
        <v>0</v>
      </c>
      <c r="AH2607" s="5">
        <f t="shared" si="391"/>
        <v>978.76694999999995</v>
      </c>
      <c r="AJ2607" s="126" t="e">
        <v>#N/A</v>
      </c>
      <c r="AK2607" s="80">
        <f t="shared" si="384"/>
        <v>0</v>
      </c>
      <c r="AM2607" s="85"/>
    </row>
    <row r="2608" spans="1:39" hidden="1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388"/>
        <v>0</v>
      </c>
      <c r="X2608" s="13">
        <f t="shared" si="389"/>
        <v>0</v>
      </c>
      <c r="Y2608" s="13">
        <f t="shared" si="381"/>
        <v>0</v>
      </c>
      <c r="Z2608" s="2">
        <v>0</v>
      </c>
      <c r="AA2608" s="4">
        <v>0</v>
      </c>
      <c r="AB2608" s="4">
        <f t="shared" si="385"/>
        <v>0</v>
      </c>
      <c r="AC2608" s="6">
        <f t="shared" si="382"/>
        <v>0</v>
      </c>
      <c r="AD2608" s="13">
        <f t="shared" si="390"/>
        <v>0</v>
      </c>
      <c r="AE2608" s="2">
        <v>0</v>
      </c>
      <c r="AF2608" s="5">
        <f t="shared" si="383"/>
        <v>0</v>
      </c>
      <c r="AG2608" s="2">
        <v>0</v>
      </c>
      <c r="AH2608" s="5">
        <f t="shared" si="391"/>
        <v>0</v>
      </c>
      <c r="AJ2608" s="126" t="e">
        <v>#N/A</v>
      </c>
      <c r="AK2608" s="80">
        <f t="shared" si="384"/>
        <v>0</v>
      </c>
      <c r="AM2608" s="85"/>
    </row>
    <row r="2609" spans="1:39" hidden="1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388"/>
        <v>0</v>
      </c>
      <c r="X2609" s="13">
        <f t="shared" si="389"/>
        <v>0</v>
      </c>
      <c r="Y2609" s="13">
        <f t="shared" si="381"/>
        <v>0</v>
      </c>
      <c r="Z2609" s="2">
        <v>0</v>
      </c>
      <c r="AA2609" s="4">
        <v>0</v>
      </c>
      <c r="AB2609" s="4">
        <f t="shared" si="385"/>
        <v>0</v>
      </c>
      <c r="AC2609" s="6">
        <f t="shared" si="382"/>
        <v>0</v>
      </c>
      <c r="AD2609" s="13">
        <f t="shared" si="390"/>
        <v>0</v>
      </c>
      <c r="AE2609" s="2">
        <v>0</v>
      </c>
      <c r="AF2609" s="5">
        <f t="shared" si="383"/>
        <v>0</v>
      </c>
      <c r="AG2609" s="2">
        <v>0</v>
      </c>
      <c r="AH2609" s="5">
        <f t="shared" si="391"/>
        <v>0</v>
      </c>
      <c r="AJ2609" s="126" t="e">
        <v>#N/A</v>
      </c>
      <c r="AK2609" s="80">
        <f t="shared" si="384"/>
        <v>0</v>
      </c>
      <c r="AM2609" s="85"/>
    </row>
    <row r="2610" spans="1:39" hidden="1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388"/>
        <v>0</v>
      </c>
      <c r="X2610" s="13">
        <f t="shared" si="389"/>
        <v>0</v>
      </c>
      <c r="Y2610" s="13">
        <f t="shared" si="381"/>
        <v>0</v>
      </c>
      <c r="Z2610" s="2">
        <v>0</v>
      </c>
      <c r="AA2610" s="4">
        <v>0</v>
      </c>
      <c r="AB2610" s="4">
        <f t="shared" si="385"/>
        <v>0</v>
      </c>
      <c r="AC2610" s="6">
        <f t="shared" si="382"/>
        <v>0</v>
      </c>
      <c r="AD2610" s="13">
        <f t="shared" si="390"/>
        <v>0</v>
      </c>
      <c r="AE2610" s="2">
        <v>0</v>
      </c>
      <c r="AF2610" s="5">
        <f t="shared" si="383"/>
        <v>0</v>
      </c>
      <c r="AG2610" s="2">
        <v>0</v>
      </c>
      <c r="AH2610" s="5">
        <f t="shared" si="391"/>
        <v>0</v>
      </c>
      <c r="AJ2610" s="126" t="e">
        <v>#N/A</v>
      </c>
      <c r="AK2610" s="80">
        <f t="shared" si="384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388"/>
        <v>-2.000000313273631E-3</v>
      </c>
      <c r="X2611" s="13">
        <f t="shared" si="389"/>
        <v>0</v>
      </c>
      <c r="Y2611" s="13">
        <f t="shared" si="381"/>
        <v>0</v>
      </c>
      <c r="Z2611" s="2">
        <v>0</v>
      </c>
      <c r="AA2611" s="4">
        <v>0</v>
      </c>
      <c r="AB2611" s="4">
        <f t="shared" si="385"/>
        <v>0</v>
      </c>
      <c r="AC2611" s="6">
        <f t="shared" si="382"/>
        <v>0</v>
      </c>
      <c r="AD2611" s="13">
        <f t="shared" si="390"/>
        <v>0</v>
      </c>
      <c r="AE2611" s="2">
        <v>0</v>
      </c>
      <c r="AF2611" s="5">
        <f t="shared" si="383"/>
        <v>0</v>
      </c>
      <c r="AG2611" s="2">
        <v>0</v>
      </c>
      <c r="AH2611" s="5">
        <f t="shared" si="391"/>
        <v>0</v>
      </c>
      <c r="AJ2611" s="126" t="e">
        <v>#N/A</v>
      </c>
      <c r="AK2611" s="80">
        <f t="shared" si="384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388"/>
        <v>-9.9999999838473741E-4</v>
      </c>
      <c r="X2612" s="13">
        <f t="shared" si="389"/>
        <v>0</v>
      </c>
      <c r="Y2612" s="13">
        <f t="shared" si="381"/>
        <v>0</v>
      </c>
      <c r="Z2612" s="2">
        <v>0</v>
      </c>
      <c r="AA2612" s="4">
        <v>0</v>
      </c>
      <c r="AB2612" s="4">
        <f t="shared" si="385"/>
        <v>0</v>
      </c>
      <c r="AC2612" s="6">
        <f t="shared" si="382"/>
        <v>0</v>
      </c>
      <c r="AD2612" s="13">
        <f t="shared" si="390"/>
        <v>0</v>
      </c>
      <c r="AE2612" s="2">
        <v>0</v>
      </c>
      <c r="AF2612" s="5">
        <f t="shared" si="383"/>
        <v>0</v>
      </c>
      <c r="AG2612" s="2">
        <v>0</v>
      </c>
      <c r="AH2612" s="5">
        <f t="shared" si="391"/>
        <v>0</v>
      </c>
      <c r="AJ2612" s="126" t="e">
        <v>#N/A</v>
      </c>
      <c r="AK2612" s="80">
        <f t="shared" si="384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388"/>
        <v>2.0000000076834112E-3</v>
      </c>
      <c r="X2613" s="13">
        <f t="shared" si="389"/>
        <v>0</v>
      </c>
      <c r="Y2613" s="13">
        <f t="shared" si="381"/>
        <v>0</v>
      </c>
      <c r="Z2613" s="2">
        <v>0</v>
      </c>
      <c r="AA2613" s="4">
        <v>0</v>
      </c>
      <c r="AB2613" s="4">
        <f t="shared" si="385"/>
        <v>0</v>
      </c>
      <c r="AC2613" s="6">
        <f t="shared" si="382"/>
        <v>0</v>
      </c>
      <c r="AD2613" s="13">
        <f t="shared" si="390"/>
        <v>0</v>
      </c>
      <c r="AE2613" s="2">
        <v>0</v>
      </c>
      <c r="AF2613" s="5">
        <f t="shared" si="383"/>
        <v>0</v>
      </c>
      <c r="AG2613" s="2">
        <v>0</v>
      </c>
      <c r="AH2613" s="5">
        <f t="shared" si="391"/>
        <v>0</v>
      </c>
      <c r="AJ2613" s="126" t="e">
        <v>#N/A</v>
      </c>
      <c r="AK2613" s="80">
        <f t="shared" si="384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388"/>
        <v>1.196000000803906</v>
      </c>
      <c r="X2614" s="13">
        <f t="shared" si="389"/>
        <v>0</v>
      </c>
      <c r="Y2614" s="13">
        <f t="shared" si="381"/>
        <v>0</v>
      </c>
      <c r="Z2614" s="2">
        <v>0</v>
      </c>
      <c r="AA2614" s="4">
        <v>0</v>
      </c>
      <c r="AB2614" s="4">
        <f t="shared" si="385"/>
        <v>0</v>
      </c>
      <c r="AC2614" s="6">
        <f t="shared" si="382"/>
        <v>0</v>
      </c>
      <c r="AD2614" s="13">
        <f t="shared" si="390"/>
        <v>0</v>
      </c>
      <c r="AE2614" s="2">
        <v>0</v>
      </c>
      <c r="AF2614" s="5">
        <f t="shared" si="383"/>
        <v>0</v>
      </c>
      <c r="AG2614" s="2">
        <v>0</v>
      </c>
      <c r="AH2614" s="5">
        <f t="shared" si="391"/>
        <v>0</v>
      </c>
      <c r="AJ2614" s="126" t="e">
        <v>#N/A</v>
      </c>
      <c r="AK2614" s="80">
        <f t="shared" si="384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388"/>
        <v>7.9999995032267179E-3</v>
      </c>
      <c r="X2615" s="13">
        <f t="shared" si="389"/>
        <v>0</v>
      </c>
      <c r="Y2615" s="13">
        <f t="shared" si="381"/>
        <v>0</v>
      </c>
      <c r="Z2615" s="2">
        <v>0</v>
      </c>
      <c r="AA2615" s="4">
        <v>0</v>
      </c>
      <c r="AB2615" s="4">
        <f t="shared" si="385"/>
        <v>0</v>
      </c>
      <c r="AC2615" s="6">
        <f t="shared" si="382"/>
        <v>0</v>
      </c>
      <c r="AD2615" s="13">
        <f t="shared" si="390"/>
        <v>0</v>
      </c>
      <c r="AE2615" s="2">
        <v>0</v>
      </c>
      <c r="AF2615" s="5">
        <f t="shared" si="383"/>
        <v>0</v>
      </c>
      <c r="AG2615" s="2">
        <v>0</v>
      </c>
      <c r="AH2615" s="5">
        <f t="shared" si="391"/>
        <v>0</v>
      </c>
      <c r="AJ2615" s="126" t="e">
        <v>#N/A</v>
      </c>
      <c r="AK2615" s="80">
        <f t="shared" si="384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388"/>
        <v>8.9999999909196049E-3</v>
      </c>
      <c r="X2616" s="13">
        <f t="shared" si="389"/>
        <v>0</v>
      </c>
      <c r="Y2616" s="13">
        <f t="shared" si="381"/>
        <v>0</v>
      </c>
      <c r="Z2616" s="2">
        <v>0</v>
      </c>
      <c r="AA2616" s="4">
        <v>0</v>
      </c>
      <c r="AB2616" s="4">
        <f t="shared" si="385"/>
        <v>0</v>
      </c>
      <c r="AC2616" s="6">
        <f t="shared" si="382"/>
        <v>0</v>
      </c>
      <c r="AD2616" s="13">
        <f t="shared" si="390"/>
        <v>0</v>
      </c>
      <c r="AE2616" s="2">
        <v>0</v>
      </c>
      <c r="AF2616" s="5">
        <f t="shared" si="383"/>
        <v>0</v>
      </c>
      <c r="AG2616" s="2">
        <v>0</v>
      </c>
      <c r="AH2616" s="5">
        <f t="shared" si="391"/>
        <v>0</v>
      </c>
      <c r="AJ2616" s="126" t="e">
        <v>#N/A</v>
      </c>
      <c r="AK2616" s="80">
        <f t="shared" si="384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388"/>
        <v>-1.0000000038417056E-3</v>
      </c>
      <c r="X2617" s="13">
        <f t="shared" si="389"/>
        <v>0</v>
      </c>
      <c r="Y2617" s="13">
        <f t="shared" si="381"/>
        <v>0</v>
      </c>
      <c r="Z2617" s="2">
        <v>0</v>
      </c>
      <c r="AA2617" s="4">
        <v>0</v>
      </c>
      <c r="AB2617" s="4">
        <f t="shared" si="385"/>
        <v>0</v>
      </c>
      <c r="AC2617" s="6">
        <f t="shared" si="382"/>
        <v>0</v>
      </c>
      <c r="AD2617" s="13">
        <f t="shared" si="390"/>
        <v>0</v>
      </c>
      <c r="AE2617" s="2">
        <v>0</v>
      </c>
      <c r="AF2617" s="5">
        <f t="shared" si="383"/>
        <v>0</v>
      </c>
      <c r="AG2617" s="2">
        <v>0</v>
      </c>
      <c r="AH2617" s="5">
        <f t="shared" si="391"/>
        <v>0</v>
      </c>
      <c r="AJ2617" s="126" t="e">
        <v>#N/A</v>
      </c>
      <c r="AK2617" s="80">
        <f t="shared" si="384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388"/>
        <v>14695.009999999998</v>
      </c>
      <c r="X2618" s="13">
        <f t="shared" si="389"/>
        <v>0</v>
      </c>
      <c r="Y2618" s="13">
        <f t="shared" si="381"/>
        <v>0</v>
      </c>
      <c r="Z2618" s="2">
        <v>0</v>
      </c>
      <c r="AA2618" s="4">
        <v>0</v>
      </c>
      <c r="AB2618" s="4">
        <f t="shared" si="385"/>
        <v>0</v>
      </c>
      <c r="AC2618" s="6">
        <f t="shared" si="382"/>
        <v>0</v>
      </c>
      <c r="AD2618" s="13">
        <f t="shared" si="390"/>
        <v>0</v>
      </c>
      <c r="AE2618" s="2">
        <v>0</v>
      </c>
      <c r="AF2618" s="5">
        <f t="shared" si="383"/>
        <v>0</v>
      </c>
      <c r="AG2618" s="2">
        <v>0</v>
      </c>
      <c r="AH2618" s="5">
        <f t="shared" si="391"/>
        <v>0</v>
      </c>
      <c r="AJ2618" s="126" t="e">
        <v>#N/A</v>
      </c>
      <c r="AK2618" s="80">
        <f t="shared" si="384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388"/>
        <v>5946.98</v>
      </c>
      <c r="X2619" s="13">
        <f t="shared" si="389"/>
        <v>0</v>
      </c>
      <c r="Y2619" s="13">
        <f t="shared" si="381"/>
        <v>0</v>
      </c>
      <c r="Z2619" s="2">
        <v>0</v>
      </c>
      <c r="AA2619" s="4">
        <v>0</v>
      </c>
      <c r="AB2619" s="4">
        <f t="shared" si="385"/>
        <v>0</v>
      </c>
      <c r="AC2619" s="6">
        <f t="shared" si="382"/>
        <v>0</v>
      </c>
      <c r="AD2619" s="13">
        <f t="shared" si="390"/>
        <v>0</v>
      </c>
      <c r="AE2619" s="2">
        <v>0</v>
      </c>
      <c r="AF2619" s="5">
        <f t="shared" si="383"/>
        <v>0</v>
      </c>
      <c r="AG2619" s="2">
        <v>0</v>
      </c>
      <c r="AH2619" s="5">
        <f t="shared" si="391"/>
        <v>0</v>
      </c>
      <c r="AJ2619" s="126" t="e">
        <v>#N/A</v>
      </c>
      <c r="AK2619" s="80">
        <f t="shared" si="384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388"/>
        <v>5126.3500000000004</v>
      </c>
      <c r="X2620" s="13">
        <f t="shared" si="389"/>
        <v>0</v>
      </c>
      <c r="Y2620" s="13">
        <f t="shared" si="381"/>
        <v>0</v>
      </c>
      <c r="Z2620" s="2">
        <v>0</v>
      </c>
      <c r="AA2620" s="4">
        <v>0</v>
      </c>
      <c r="AB2620" s="4">
        <f t="shared" si="385"/>
        <v>0</v>
      </c>
      <c r="AC2620" s="6">
        <f t="shared" si="382"/>
        <v>0</v>
      </c>
      <c r="AD2620" s="13">
        <f t="shared" si="390"/>
        <v>0</v>
      </c>
      <c r="AE2620" s="2">
        <v>0</v>
      </c>
      <c r="AF2620" s="5">
        <f t="shared" si="383"/>
        <v>0</v>
      </c>
      <c r="AG2620" s="2">
        <v>0</v>
      </c>
      <c r="AH2620" s="5">
        <f t="shared" si="391"/>
        <v>0</v>
      </c>
      <c r="AJ2620" s="126" t="e">
        <v>#N/A</v>
      </c>
      <c r="AK2620" s="80">
        <f t="shared" si="384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388"/>
        <v>6831.73</v>
      </c>
      <c r="X2621" s="13">
        <f t="shared" si="389"/>
        <v>0</v>
      </c>
      <c r="Y2621" s="13">
        <f t="shared" si="381"/>
        <v>0</v>
      </c>
      <c r="Z2621" s="2">
        <v>0</v>
      </c>
      <c r="AA2621" s="4">
        <v>0</v>
      </c>
      <c r="AB2621" s="4">
        <f t="shared" si="385"/>
        <v>0</v>
      </c>
      <c r="AC2621" s="6">
        <f t="shared" si="382"/>
        <v>0</v>
      </c>
      <c r="AD2621" s="13">
        <f t="shared" si="390"/>
        <v>0</v>
      </c>
      <c r="AE2621" s="2">
        <v>0</v>
      </c>
      <c r="AF2621" s="5">
        <f t="shared" si="383"/>
        <v>0</v>
      </c>
      <c r="AG2621" s="2">
        <v>0</v>
      </c>
      <c r="AH2621" s="5">
        <f t="shared" si="391"/>
        <v>0</v>
      </c>
      <c r="AJ2621" s="126" t="e">
        <v>#N/A</v>
      </c>
      <c r="AK2621" s="80">
        <f t="shared" si="384"/>
        <v>0</v>
      </c>
      <c r="AM2621" s="85"/>
    </row>
    <row r="2622" spans="1:39" hidden="1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388"/>
        <v>73503.599000000002</v>
      </c>
      <c r="X2622" s="13">
        <f t="shared" si="389"/>
        <v>30383.933009708733</v>
      </c>
      <c r="Y2622" s="13">
        <f t="shared" si="381"/>
        <v>653.25455970873736</v>
      </c>
      <c r="Z2622" s="2">
        <v>0</v>
      </c>
      <c r="AA2622" s="4">
        <v>0</v>
      </c>
      <c r="AB2622" s="4">
        <f t="shared" si="385"/>
        <v>30383.933009708733</v>
      </c>
      <c r="AC2622" s="6">
        <f t="shared" si="382"/>
        <v>911.51799029126414</v>
      </c>
      <c r="AD2622" s="13">
        <f t="shared" si="390"/>
        <v>29730.678449999996</v>
      </c>
      <c r="AE2622" s="2">
        <v>0</v>
      </c>
      <c r="AF2622" s="5">
        <f t="shared" si="383"/>
        <v>0</v>
      </c>
      <c r="AG2622" s="2">
        <v>0</v>
      </c>
      <c r="AH2622" s="5">
        <f t="shared" si="391"/>
        <v>29730.678449999996</v>
      </c>
      <c r="AJ2622" s="126" t="e">
        <v>#N/A</v>
      </c>
      <c r="AK2622" s="80">
        <f t="shared" si="384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388"/>
        <v>41991.1</v>
      </c>
      <c r="X2623" s="13">
        <f t="shared" si="389"/>
        <v>8.4761904761904763</v>
      </c>
      <c r="Y2623" s="13">
        <f t="shared" si="381"/>
        <v>2.1190476190476204E-2</v>
      </c>
      <c r="Z2623" s="2">
        <v>0</v>
      </c>
      <c r="AA2623" s="4">
        <v>0</v>
      </c>
      <c r="AB2623" s="4">
        <f t="shared" si="385"/>
        <v>8.4761904761904763</v>
      </c>
      <c r="AC2623" s="6">
        <f t="shared" si="382"/>
        <v>0.42380952380952408</v>
      </c>
      <c r="AD2623" s="13">
        <f t="shared" si="390"/>
        <v>8.4550000000000001</v>
      </c>
      <c r="AE2623" s="2">
        <v>0</v>
      </c>
      <c r="AF2623" s="5">
        <f t="shared" si="383"/>
        <v>0</v>
      </c>
      <c r="AG2623" s="2">
        <v>0</v>
      </c>
      <c r="AH2623" s="5">
        <f t="shared" si="391"/>
        <v>8.4550000000000001</v>
      </c>
      <c r="AJ2623" s="126" t="e">
        <v>#N/A</v>
      </c>
      <c r="AK2623" s="80">
        <f t="shared" si="384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388"/>
        <v>0</v>
      </c>
      <c r="X2624" s="13">
        <f t="shared" si="389"/>
        <v>0</v>
      </c>
      <c r="Y2624" s="13">
        <f t="shared" si="381"/>
        <v>0</v>
      </c>
      <c r="Z2624" s="2">
        <v>0</v>
      </c>
      <c r="AA2624" s="4">
        <v>6435.84</v>
      </c>
      <c r="AB2624" s="4">
        <f t="shared" si="385"/>
        <v>6435.84</v>
      </c>
      <c r="AC2624" s="6">
        <f t="shared" si="382"/>
        <v>0</v>
      </c>
      <c r="AD2624" s="13">
        <f t="shared" si="390"/>
        <v>0</v>
      </c>
      <c r="AE2624" s="2">
        <v>0.12</v>
      </c>
      <c r="AF2624" s="5">
        <f t="shared" si="383"/>
        <v>0</v>
      </c>
      <c r="AG2624" s="2">
        <v>0</v>
      </c>
      <c r="AH2624" s="5">
        <f t="shared" si="391"/>
        <v>0</v>
      </c>
      <c r="AJ2624" s="126" t="e">
        <v>#N/A</v>
      </c>
      <c r="AK2624" s="80">
        <f t="shared" si="384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388"/>
        <v>0</v>
      </c>
      <c r="X2625" s="13">
        <v>-6227.65</v>
      </c>
      <c r="Y2625" s="13">
        <f t="shared" si="381"/>
        <v>0</v>
      </c>
      <c r="Z2625" s="2">
        <v>0</v>
      </c>
      <c r="AA2625" s="4">
        <v>0</v>
      </c>
      <c r="AB2625" s="4">
        <f t="shared" si="385"/>
        <v>-6227.65</v>
      </c>
      <c r="AC2625" s="6">
        <f t="shared" si="382"/>
        <v>6227.65</v>
      </c>
      <c r="AD2625" s="13">
        <f t="shared" si="390"/>
        <v>0</v>
      </c>
      <c r="AE2625" s="2">
        <v>7.0000000000000007E-2</v>
      </c>
      <c r="AF2625" s="5">
        <f t="shared" si="383"/>
        <v>0</v>
      </c>
      <c r="AG2625" s="2">
        <v>0</v>
      </c>
      <c r="AH2625" s="5">
        <f t="shared" si="391"/>
        <v>0</v>
      </c>
      <c r="AJ2625" s="126" t="e">
        <v>#N/A</v>
      </c>
      <c r="AK2625" s="80">
        <f t="shared" si="384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">
        <v>3712</v>
      </c>
      <c r="L2626" s="1" t="s">
        <v>35</v>
      </c>
      <c r="M2626" s="15"/>
      <c r="N2626" s="3" t="s">
        <v>3713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388"/>
        <v>0</v>
      </c>
      <c r="X2626" s="13">
        <v>0</v>
      </c>
      <c r="Y2626" s="13">
        <f t="shared" si="381"/>
        <v>0</v>
      </c>
      <c r="Z2626" s="2">
        <v>0</v>
      </c>
      <c r="AA2626" s="4">
        <v>46800</v>
      </c>
      <c r="AB2626" s="4">
        <f t="shared" si="385"/>
        <v>46800</v>
      </c>
      <c r="AC2626" s="6">
        <f t="shared" si="382"/>
        <v>0</v>
      </c>
      <c r="AD2626" s="13">
        <f t="shared" si="390"/>
        <v>0</v>
      </c>
      <c r="AE2626" s="2">
        <v>0.05</v>
      </c>
      <c r="AF2626" s="5">
        <f t="shared" si="383"/>
        <v>0</v>
      </c>
      <c r="AG2626" s="2">
        <v>0</v>
      </c>
      <c r="AH2626" s="5">
        <f t="shared" si="391"/>
        <v>0</v>
      </c>
      <c r="AJ2626" s="126" t="e">
        <v>#N/A</v>
      </c>
      <c r="AK2626" s="80">
        <f t="shared" si="384"/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">
        <v>3712</v>
      </c>
      <c r="L2627" s="1" t="s">
        <v>35</v>
      </c>
      <c r="M2627" s="15"/>
      <c r="N2627" s="3" t="s">
        <v>3729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388"/>
        <v>0</v>
      </c>
      <c r="X2627" s="13">
        <v>0</v>
      </c>
      <c r="Y2627" s="13">
        <f t="shared" ref="Y2627:Y2690" si="392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393">X2627+AA2627</f>
        <v>9154.2900000000009</v>
      </c>
      <c r="AC2627" s="6">
        <f t="shared" ref="AC2627:AC2689" si="394">IF(P2627="返现",X2627*Q2627,V2627-X2627)</f>
        <v>0</v>
      </c>
      <c r="AD2627" s="13">
        <f t="shared" si="390"/>
        <v>0</v>
      </c>
      <c r="AE2627" s="2">
        <v>0.05</v>
      </c>
      <c r="AF2627" s="5">
        <f t="shared" ref="AF2627:AF2653" si="395">AD2627*AE2627</f>
        <v>0</v>
      </c>
      <c r="AG2627" s="2">
        <v>0</v>
      </c>
      <c r="AH2627" s="5">
        <f t="shared" si="391"/>
        <v>0</v>
      </c>
      <c r="AJ2627" s="126" t="e">
        <v>#N/A</v>
      </c>
      <c r="AK2627" s="80">
        <f t="shared" ref="AK2627:AK2690" si="396">X2627+AA2627-AB2627</f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">
        <v>3712</v>
      </c>
      <c r="L2628" s="1" t="s">
        <v>35</v>
      </c>
      <c r="M2628" s="15"/>
      <c r="N2628" s="3" t="s">
        <v>3729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388"/>
        <v>0</v>
      </c>
      <c r="X2628" s="13">
        <v>0</v>
      </c>
      <c r="Y2628" s="13">
        <f t="shared" si="392"/>
        <v>0</v>
      </c>
      <c r="Z2628" s="2">
        <v>0</v>
      </c>
      <c r="AA2628" s="4">
        <v>102980.9</v>
      </c>
      <c r="AB2628" s="4">
        <f t="shared" si="393"/>
        <v>102980.9</v>
      </c>
      <c r="AC2628" s="6">
        <f t="shared" si="394"/>
        <v>0</v>
      </c>
      <c r="AD2628" s="13">
        <f t="shared" si="390"/>
        <v>0</v>
      </c>
      <c r="AE2628" s="2">
        <v>0.05</v>
      </c>
      <c r="AF2628" s="5">
        <f t="shared" si="395"/>
        <v>0</v>
      </c>
      <c r="AG2628" s="2">
        <v>0</v>
      </c>
      <c r="AH2628" s="5">
        <f t="shared" si="391"/>
        <v>0</v>
      </c>
      <c r="AJ2628" s="126" t="e">
        <v>#N/A</v>
      </c>
      <c r="AK2628" s="80">
        <f t="shared" si="396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388"/>
        <v>0</v>
      </c>
      <c r="X2629" s="13">
        <v>0</v>
      </c>
      <c r="Y2629" s="13">
        <f t="shared" si="392"/>
        <v>0</v>
      </c>
      <c r="Z2629" s="2">
        <v>0</v>
      </c>
      <c r="AA2629" s="4">
        <v>1078519.93</v>
      </c>
      <c r="AB2629" s="4">
        <f t="shared" si="393"/>
        <v>1078519.93</v>
      </c>
      <c r="AC2629" s="6">
        <f t="shared" si="394"/>
        <v>0</v>
      </c>
      <c r="AD2629" s="13">
        <f t="shared" si="390"/>
        <v>0</v>
      </c>
      <c r="AE2629" s="2">
        <v>0.12</v>
      </c>
      <c r="AF2629" s="5">
        <f t="shared" si="395"/>
        <v>0</v>
      </c>
      <c r="AG2629" s="2">
        <v>0</v>
      </c>
      <c r="AH2629" s="5">
        <f t="shared" si="391"/>
        <v>0</v>
      </c>
      <c r="AJ2629" s="126" t="e">
        <v>#N/A</v>
      </c>
      <c r="AK2629" s="80">
        <f t="shared" si="396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388"/>
        <v>0</v>
      </c>
      <c r="X2630" s="13">
        <f>IF(P2630="折扣",V2630*Q2630,IF(P2630="返现",V2630,V2630/(1+Q2630+AG2630)))</f>
        <v>0</v>
      </c>
      <c r="Y2630" s="13">
        <f t="shared" si="392"/>
        <v>0</v>
      </c>
      <c r="Z2630" s="2">
        <v>0</v>
      </c>
      <c r="AA2630" s="4">
        <v>135527.35999999999</v>
      </c>
      <c r="AB2630" s="4">
        <f t="shared" si="393"/>
        <v>135527.35999999999</v>
      </c>
      <c r="AC2630" s="6">
        <f t="shared" si="394"/>
        <v>0</v>
      </c>
      <c r="AD2630" s="13">
        <f t="shared" si="390"/>
        <v>0</v>
      </c>
      <c r="AE2630" s="2">
        <v>0.06</v>
      </c>
      <c r="AF2630" s="5">
        <f t="shared" si="395"/>
        <v>0</v>
      </c>
      <c r="AG2630" s="2">
        <v>0</v>
      </c>
      <c r="AH2630" s="5">
        <f t="shared" si="391"/>
        <v>0</v>
      </c>
      <c r="AJ2630" s="126" t="e">
        <v>#N/A</v>
      </c>
      <c r="AK2630" s="80">
        <f t="shared" si="396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">
        <v>3712</v>
      </c>
      <c r="L2631" s="1" t="s">
        <v>35</v>
      </c>
      <c r="M2631" s="15"/>
      <c r="N2631" s="3" t="s">
        <v>3729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388"/>
        <v>0</v>
      </c>
      <c r="X2631" s="13">
        <v>0</v>
      </c>
      <c r="Y2631" s="13">
        <f t="shared" si="392"/>
        <v>0</v>
      </c>
      <c r="Z2631" s="2">
        <v>0</v>
      </c>
      <c r="AA2631" s="4">
        <v>3678259.36</v>
      </c>
      <c r="AB2631" s="4">
        <f t="shared" si="393"/>
        <v>3678259.36</v>
      </c>
      <c r="AC2631" s="6">
        <f t="shared" si="394"/>
        <v>0</v>
      </c>
      <c r="AD2631" s="13">
        <f t="shared" si="390"/>
        <v>0</v>
      </c>
      <c r="AE2631" s="2">
        <v>0.05</v>
      </c>
      <c r="AF2631" s="5">
        <f t="shared" si="395"/>
        <v>0</v>
      </c>
      <c r="AG2631" s="2">
        <v>0</v>
      </c>
      <c r="AH2631" s="5">
        <f t="shared" si="391"/>
        <v>0</v>
      </c>
      <c r="AJ2631" s="126" t="e">
        <v>#N/A</v>
      </c>
      <c r="AK2631" s="80">
        <f t="shared" si="396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388"/>
        <v>0</v>
      </c>
      <c r="X2632" s="13">
        <v>0</v>
      </c>
      <c r="Y2632" s="13">
        <f t="shared" si="392"/>
        <v>0</v>
      </c>
      <c r="Z2632" s="2">
        <v>0</v>
      </c>
      <c r="AA2632" s="4">
        <v>2196.41</v>
      </c>
      <c r="AB2632" s="4">
        <f t="shared" si="393"/>
        <v>2196.41</v>
      </c>
      <c r="AC2632" s="6">
        <f t="shared" si="394"/>
        <v>0</v>
      </c>
      <c r="AD2632" s="13">
        <f t="shared" si="390"/>
        <v>0</v>
      </c>
      <c r="AE2632" s="2">
        <v>0</v>
      </c>
      <c r="AF2632" s="5">
        <f t="shared" si="395"/>
        <v>0</v>
      </c>
      <c r="AG2632" s="2">
        <v>0</v>
      </c>
      <c r="AH2632" s="5">
        <f t="shared" si="391"/>
        <v>0</v>
      </c>
      <c r="AJ2632" s="126" t="e">
        <v>#N/A</v>
      </c>
      <c r="AK2632" s="80">
        <f t="shared" si="396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388"/>
        <v>0</v>
      </c>
      <c r="X2633" s="13">
        <v>0</v>
      </c>
      <c r="Y2633" s="13">
        <f t="shared" si="392"/>
        <v>0</v>
      </c>
      <c r="Z2633" s="2">
        <v>0</v>
      </c>
      <c r="AA2633" s="4">
        <v>250000</v>
      </c>
      <c r="AB2633" s="4">
        <f t="shared" si="393"/>
        <v>250000</v>
      </c>
      <c r="AC2633" s="6">
        <f t="shared" si="394"/>
        <v>0</v>
      </c>
      <c r="AD2633" s="13">
        <f t="shared" si="390"/>
        <v>0</v>
      </c>
      <c r="AE2633" s="2">
        <v>7.0000000000000007E-2</v>
      </c>
      <c r="AF2633" s="5">
        <f t="shared" si="395"/>
        <v>0</v>
      </c>
      <c r="AG2633" s="2">
        <v>0</v>
      </c>
      <c r="AH2633" s="5">
        <f t="shared" si="391"/>
        <v>0</v>
      </c>
      <c r="AJ2633" s="126" t="e">
        <v>#N/A</v>
      </c>
      <c r="AK2633" s="80">
        <f t="shared" si="396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">
        <v>3712</v>
      </c>
      <c r="L2634" s="1" t="s">
        <v>35</v>
      </c>
      <c r="M2634" s="15"/>
      <c r="N2634" s="3" t="s">
        <v>3729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388"/>
        <v>0</v>
      </c>
      <c r="X2634" s="13">
        <v>0</v>
      </c>
      <c r="Y2634" s="13">
        <f t="shared" si="392"/>
        <v>0</v>
      </c>
      <c r="Z2634" s="2">
        <v>0</v>
      </c>
      <c r="AA2634" s="4">
        <v>1951.99</v>
      </c>
      <c r="AB2634" s="4">
        <f t="shared" si="393"/>
        <v>1951.99</v>
      </c>
      <c r="AC2634" s="6">
        <f t="shared" si="394"/>
        <v>0</v>
      </c>
      <c r="AD2634" s="13">
        <f t="shared" si="390"/>
        <v>0</v>
      </c>
      <c r="AE2634" s="2">
        <v>0.05</v>
      </c>
      <c r="AF2634" s="5">
        <f t="shared" si="395"/>
        <v>0</v>
      </c>
      <c r="AG2634" s="2">
        <v>0</v>
      </c>
      <c r="AH2634" s="5">
        <f t="shared" si="391"/>
        <v>0</v>
      </c>
      <c r="AJ2634" s="126" t="e">
        <v>#N/A</v>
      </c>
      <c r="AK2634" s="80">
        <f t="shared" si="396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">
        <v>3712</v>
      </c>
      <c r="L2635" s="1" t="s">
        <v>35</v>
      </c>
      <c r="M2635" s="15"/>
      <c r="N2635" s="3" t="s">
        <v>3729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388"/>
        <v>0</v>
      </c>
      <c r="X2635" s="13">
        <v>0</v>
      </c>
      <c r="Y2635" s="13">
        <f t="shared" si="392"/>
        <v>0</v>
      </c>
      <c r="Z2635" s="2">
        <v>0</v>
      </c>
      <c r="AA2635" s="4">
        <v>580069.06999999995</v>
      </c>
      <c r="AB2635" s="4">
        <f t="shared" si="393"/>
        <v>580069.06999999995</v>
      </c>
      <c r="AC2635" s="6">
        <f t="shared" si="394"/>
        <v>0</v>
      </c>
      <c r="AD2635" s="13">
        <f t="shared" si="390"/>
        <v>0</v>
      </c>
      <c r="AE2635" s="2">
        <v>0.05</v>
      </c>
      <c r="AF2635" s="5">
        <f t="shared" si="395"/>
        <v>0</v>
      </c>
      <c r="AG2635" s="2">
        <v>0</v>
      </c>
      <c r="AH2635" s="5">
        <f t="shared" si="391"/>
        <v>0</v>
      </c>
      <c r="AJ2635" s="126" t="e">
        <v>#N/A</v>
      </c>
      <c r="AK2635" s="80">
        <f t="shared" si="396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">
        <v>3712</v>
      </c>
      <c r="L2636" s="1" t="s">
        <v>35</v>
      </c>
      <c r="M2636" s="15"/>
      <c r="N2636" s="3" t="s">
        <v>3729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388"/>
        <v>0</v>
      </c>
      <c r="X2636" s="13">
        <v>0</v>
      </c>
      <c r="Y2636" s="13">
        <f t="shared" si="392"/>
        <v>0</v>
      </c>
      <c r="Z2636" s="2">
        <v>0</v>
      </c>
      <c r="AA2636" s="4">
        <v>4428.5199999999995</v>
      </c>
      <c r="AB2636" s="4">
        <f t="shared" si="393"/>
        <v>4428.5199999999995</v>
      </c>
      <c r="AC2636" s="6">
        <f t="shared" si="394"/>
        <v>0</v>
      </c>
      <c r="AD2636" s="13">
        <f t="shared" si="390"/>
        <v>0</v>
      </c>
      <c r="AE2636" s="2">
        <v>0.05</v>
      </c>
      <c r="AF2636" s="5">
        <f t="shared" si="395"/>
        <v>0</v>
      </c>
      <c r="AG2636" s="2">
        <v>0</v>
      </c>
      <c r="AH2636" s="5">
        <f t="shared" si="391"/>
        <v>0</v>
      </c>
      <c r="AJ2636" s="126" t="e">
        <v>#N/A</v>
      </c>
      <c r="AK2636" s="80">
        <f t="shared" si="396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">
        <v>3712</v>
      </c>
      <c r="L2637" s="1" t="s">
        <v>35</v>
      </c>
      <c r="M2637" s="15"/>
      <c r="N2637" s="3" t="s">
        <v>3729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388"/>
        <v>0</v>
      </c>
      <c r="X2637" s="13">
        <v>0</v>
      </c>
      <c r="Y2637" s="13">
        <f t="shared" si="392"/>
        <v>0</v>
      </c>
      <c r="Z2637" s="2">
        <v>0</v>
      </c>
      <c r="AA2637" s="4">
        <v>52.02</v>
      </c>
      <c r="AB2637" s="4">
        <f t="shared" si="393"/>
        <v>52.02</v>
      </c>
      <c r="AC2637" s="6">
        <f t="shared" si="394"/>
        <v>0</v>
      </c>
      <c r="AD2637" s="13">
        <f t="shared" si="390"/>
        <v>0</v>
      </c>
      <c r="AE2637" s="2">
        <v>0.05</v>
      </c>
      <c r="AF2637" s="5">
        <f t="shared" si="395"/>
        <v>0</v>
      </c>
      <c r="AG2637" s="2">
        <v>0</v>
      </c>
      <c r="AH2637" s="5">
        <f t="shared" si="391"/>
        <v>0</v>
      </c>
      <c r="AJ2637" s="126" t="e">
        <v>#N/A</v>
      </c>
      <c r="AK2637" s="80">
        <f t="shared" si="396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388"/>
        <v>0</v>
      </c>
      <c r="X2638" s="13">
        <v>0</v>
      </c>
      <c r="Y2638" s="13">
        <f t="shared" si="392"/>
        <v>0</v>
      </c>
      <c r="Z2638" s="2">
        <v>0</v>
      </c>
      <c r="AA2638" s="4">
        <v>23526.400000000001</v>
      </c>
      <c r="AB2638" s="4">
        <f t="shared" si="393"/>
        <v>23526.400000000001</v>
      </c>
      <c r="AC2638" s="6">
        <f t="shared" si="394"/>
        <v>0</v>
      </c>
      <c r="AD2638" s="13">
        <f t="shared" si="390"/>
        <v>0</v>
      </c>
      <c r="AE2638" s="2">
        <v>0</v>
      </c>
      <c r="AF2638" s="5">
        <f t="shared" si="395"/>
        <v>0</v>
      </c>
      <c r="AG2638" s="2">
        <v>0</v>
      </c>
      <c r="AH2638" s="5">
        <f t="shared" si="391"/>
        <v>0</v>
      </c>
      <c r="AJ2638" s="126" t="e">
        <v>#N/A</v>
      </c>
      <c r="AK2638" s="80">
        <f t="shared" si="396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388"/>
        <v>0</v>
      </c>
      <c r="X2639" s="13">
        <f>IF(P2639="折扣",V2639*Q2639,IF(P2639="返现",V2639,V2639/(1+Q2639+AG2639)))</f>
        <v>0</v>
      </c>
      <c r="Y2639" s="13">
        <f t="shared" si="392"/>
        <v>0</v>
      </c>
      <c r="Z2639" s="2">
        <v>0</v>
      </c>
      <c r="AA2639" s="4">
        <v>908.30000000000007</v>
      </c>
      <c r="AB2639" s="4">
        <f t="shared" si="393"/>
        <v>908.30000000000007</v>
      </c>
      <c r="AC2639" s="6">
        <f t="shared" si="394"/>
        <v>0</v>
      </c>
      <c r="AD2639" s="13">
        <f t="shared" si="390"/>
        <v>0</v>
      </c>
      <c r="AE2639" s="2">
        <v>7.0000000000000007E-2</v>
      </c>
      <c r="AF2639" s="5">
        <f t="shared" si="395"/>
        <v>0</v>
      </c>
      <c r="AG2639" s="2">
        <v>0</v>
      </c>
      <c r="AH2639" s="5">
        <f t="shared" si="391"/>
        <v>0</v>
      </c>
      <c r="AJ2639" s="126" t="e">
        <v>#N/A</v>
      </c>
      <c r="AK2639" s="80">
        <f t="shared" si="396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388"/>
        <v>0</v>
      </c>
      <c r="X2640" s="13">
        <v>0</v>
      </c>
      <c r="Y2640" s="13">
        <f t="shared" si="392"/>
        <v>0</v>
      </c>
      <c r="Z2640" s="2">
        <v>0</v>
      </c>
      <c r="AA2640" s="4">
        <v>3200.46</v>
      </c>
      <c r="AB2640" s="4">
        <f t="shared" si="393"/>
        <v>3200.46</v>
      </c>
      <c r="AC2640" s="6">
        <f t="shared" si="394"/>
        <v>0</v>
      </c>
      <c r="AD2640" s="13">
        <f t="shared" si="390"/>
        <v>0</v>
      </c>
      <c r="AE2640" s="2">
        <v>0.09</v>
      </c>
      <c r="AF2640" s="5">
        <f t="shared" si="395"/>
        <v>0</v>
      </c>
      <c r="AG2640" s="2">
        <v>0</v>
      </c>
      <c r="AH2640" s="5">
        <f t="shared" si="391"/>
        <v>0</v>
      </c>
      <c r="AJ2640" s="126" t="e">
        <v>#N/A</v>
      </c>
      <c r="AK2640" s="80">
        <f t="shared" si="396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388"/>
        <v>0</v>
      </c>
      <c r="X2641" s="13">
        <v>0</v>
      </c>
      <c r="Y2641" s="13">
        <f t="shared" si="392"/>
        <v>0</v>
      </c>
      <c r="Z2641" s="2">
        <v>0</v>
      </c>
      <c r="AA2641" s="4">
        <v>4746.18</v>
      </c>
      <c r="AB2641" s="4">
        <f t="shared" si="393"/>
        <v>4746.18</v>
      </c>
      <c r="AC2641" s="6">
        <f t="shared" si="394"/>
        <v>0</v>
      </c>
      <c r="AD2641" s="13">
        <f t="shared" si="390"/>
        <v>0</v>
      </c>
      <c r="AE2641" s="2">
        <v>0.12</v>
      </c>
      <c r="AF2641" s="5">
        <f t="shared" si="395"/>
        <v>0</v>
      </c>
      <c r="AG2641" s="2">
        <v>0</v>
      </c>
      <c r="AH2641" s="5">
        <f t="shared" si="391"/>
        <v>0</v>
      </c>
      <c r="AJ2641" s="126" t="e">
        <v>#N/A</v>
      </c>
      <c r="AK2641" s="80">
        <f t="shared" si="396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388"/>
        <v>-71443.820000000007</v>
      </c>
      <c r="X2642" s="13">
        <f t="shared" ref="X2642:X2704" si="397">IF(P2642="折扣",V2642*Q2642,IF(P2642="返现",V2642,V2642/(1+Q2642)))</f>
        <v>71443.820000000007</v>
      </c>
      <c r="Y2642" s="13">
        <f t="shared" si="392"/>
        <v>0</v>
      </c>
      <c r="Z2642" s="2">
        <v>0</v>
      </c>
      <c r="AA2642" s="4">
        <v>0</v>
      </c>
      <c r="AB2642" s="4">
        <f t="shared" si="393"/>
        <v>71443.820000000007</v>
      </c>
      <c r="AC2642" s="6">
        <f t="shared" si="394"/>
        <v>0</v>
      </c>
      <c r="AD2642" s="13">
        <f t="shared" ref="AD2642" si="398">V2642</f>
        <v>71443.820000000007</v>
      </c>
      <c r="AE2642" s="2">
        <v>0.09</v>
      </c>
      <c r="AF2642" s="5">
        <f t="shared" si="395"/>
        <v>6429.9438</v>
      </c>
      <c r="AG2642" s="2">
        <v>0</v>
      </c>
      <c r="AH2642" s="5">
        <f t="shared" ref="AH2642" si="399">V2642</f>
        <v>71443.820000000007</v>
      </c>
      <c r="AJ2642" s="126" t="e">
        <v>#N/A</v>
      </c>
      <c r="AK2642" s="80">
        <f t="shared" si="396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388"/>
        <v>11376.98</v>
      </c>
      <c r="X2643" s="13">
        <f t="shared" si="397"/>
        <v>0</v>
      </c>
      <c r="Y2643" s="13">
        <f t="shared" si="392"/>
        <v>0</v>
      </c>
      <c r="Z2643" s="14">
        <v>0</v>
      </c>
      <c r="AA2643" s="18"/>
      <c r="AB2643" s="4">
        <f t="shared" si="393"/>
        <v>0</v>
      </c>
      <c r="AC2643" s="6">
        <f t="shared" si="394"/>
        <v>0</v>
      </c>
      <c r="AD2643" s="6">
        <v>0</v>
      </c>
      <c r="AE2643" s="14">
        <v>0</v>
      </c>
      <c r="AF2643" s="6">
        <f t="shared" si="395"/>
        <v>0</v>
      </c>
      <c r="AG2643" s="14">
        <v>0</v>
      </c>
      <c r="AH2643" s="8"/>
      <c r="AI2643" s="16"/>
      <c r="AJ2643" s="126" t="e">
        <v>#N/A</v>
      </c>
      <c r="AK2643" s="80">
        <f t="shared" si="396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388"/>
        <v>0</v>
      </c>
      <c r="X2644" s="13">
        <f t="shared" si="397"/>
        <v>0</v>
      </c>
      <c r="Y2644" s="13">
        <f t="shared" si="392"/>
        <v>0</v>
      </c>
      <c r="Z2644" s="14">
        <v>0</v>
      </c>
      <c r="AA2644" s="18"/>
      <c r="AB2644" s="4">
        <f t="shared" si="393"/>
        <v>0</v>
      </c>
      <c r="AC2644" s="6">
        <f t="shared" si="394"/>
        <v>0</v>
      </c>
      <c r="AD2644" s="6">
        <v>0</v>
      </c>
      <c r="AE2644" s="14">
        <v>0</v>
      </c>
      <c r="AF2644" s="6">
        <f t="shared" si="395"/>
        <v>0</v>
      </c>
      <c r="AG2644" s="14">
        <v>0</v>
      </c>
      <c r="AH2644" s="8"/>
      <c r="AI2644" s="16"/>
      <c r="AJ2644" s="126" t="e">
        <v>#N/A</v>
      </c>
      <c r="AK2644" s="80">
        <f t="shared" si="396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388"/>
        <v>0</v>
      </c>
      <c r="X2645" s="13">
        <f t="shared" si="397"/>
        <v>26720</v>
      </c>
      <c r="Y2645" s="13">
        <f t="shared" si="392"/>
        <v>0</v>
      </c>
      <c r="Z2645" s="14">
        <v>0</v>
      </c>
      <c r="AA2645" s="18"/>
      <c r="AB2645" s="4">
        <f t="shared" si="393"/>
        <v>26720</v>
      </c>
      <c r="AC2645" s="6">
        <f t="shared" si="394"/>
        <v>0</v>
      </c>
      <c r="AD2645" s="6">
        <v>26720</v>
      </c>
      <c r="AE2645" s="14">
        <v>7.0000000000000007E-2</v>
      </c>
      <c r="AF2645" s="6">
        <f t="shared" si="395"/>
        <v>1870.4</v>
      </c>
      <c r="AG2645" s="14">
        <v>0</v>
      </c>
      <c r="AH2645" s="8"/>
      <c r="AI2645" s="16"/>
      <c r="AJ2645" s="126" t="e">
        <v>#N/A</v>
      </c>
      <c r="AK2645" s="80">
        <f t="shared" si="396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00">T2646+U2646-V2646</f>
        <v>0</v>
      </c>
      <c r="X2646" s="13">
        <f t="shared" si="397"/>
        <v>45750</v>
      </c>
      <c r="Y2646" s="13">
        <f t="shared" si="392"/>
        <v>0</v>
      </c>
      <c r="Z2646" s="14">
        <v>0</v>
      </c>
      <c r="AA2646" s="18"/>
      <c r="AB2646" s="4">
        <f t="shared" si="393"/>
        <v>45750</v>
      </c>
      <c r="AC2646" s="6">
        <f t="shared" si="394"/>
        <v>0</v>
      </c>
      <c r="AD2646" s="6">
        <v>45750</v>
      </c>
      <c r="AE2646" s="14">
        <v>7.0000000000000007E-2</v>
      </c>
      <c r="AF2646" s="6">
        <f t="shared" si="395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396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00"/>
        <v>0</v>
      </c>
      <c r="X2647" s="13">
        <f t="shared" si="397"/>
        <v>211665.67</v>
      </c>
      <c r="Y2647" s="13">
        <f t="shared" si="392"/>
        <v>0</v>
      </c>
      <c r="Z2647" s="14">
        <v>0</v>
      </c>
      <c r="AA2647" s="18"/>
      <c r="AB2647" s="4">
        <f t="shared" si="393"/>
        <v>211665.67</v>
      </c>
      <c r="AC2647" s="6">
        <f t="shared" si="394"/>
        <v>0</v>
      </c>
      <c r="AD2647" s="6">
        <v>211665.67</v>
      </c>
      <c r="AE2647" s="14">
        <v>7.0000000000000007E-2</v>
      </c>
      <c r="AF2647" s="6">
        <f t="shared" si="395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396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397"/>
        <v>0</v>
      </c>
      <c r="Y2648" s="13">
        <f t="shared" si="392"/>
        <v>0</v>
      </c>
      <c r="Z2648" s="14">
        <v>0</v>
      </c>
      <c r="AA2648" s="18"/>
      <c r="AB2648" s="4">
        <f t="shared" si="393"/>
        <v>0</v>
      </c>
      <c r="AC2648" s="6">
        <f t="shared" si="394"/>
        <v>0</v>
      </c>
      <c r="AD2648" s="6">
        <v>0</v>
      </c>
      <c r="AE2648" s="14">
        <v>0</v>
      </c>
      <c r="AF2648" s="6">
        <f t="shared" si="395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396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00"/>
        <v>0</v>
      </c>
      <c r="X2649" s="13">
        <f t="shared" si="397"/>
        <v>56760</v>
      </c>
      <c r="Y2649" s="13">
        <f t="shared" si="392"/>
        <v>0</v>
      </c>
      <c r="Z2649" s="14">
        <v>0</v>
      </c>
      <c r="AA2649" s="18"/>
      <c r="AB2649" s="4">
        <f t="shared" si="393"/>
        <v>56760</v>
      </c>
      <c r="AC2649" s="6">
        <f t="shared" si="394"/>
        <v>0</v>
      </c>
      <c r="AD2649" s="6">
        <v>56760</v>
      </c>
      <c r="AE2649" s="14">
        <v>7.0000000000000007E-2</v>
      </c>
      <c r="AF2649" s="6">
        <f t="shared" si="395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396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00"/>
        <v>0</v>
      </c>
      <c r="X2650" s="13">
        <f t="shared" si="397"/>
        <v>56760</v>
      </c>
      <c r="Y2650" s="13">
        <f t="shared" si="392"/>
        <v>0</v>
      </c>
      <c r="Z2650" s="14">
        <v>0</v>
      </c>
      <c r="AA2650" s="18"/>
      <c r="AB2650" s="4">
        <f t="shared" si="393"/>
        <v>56760</v>
      </c>
      <c r="AC2650" s="6">
        <f t="shared" si="394"/>
        <v>0</v>
      </c>
      <c r="AD2650" s="6">
        <v>56760</v>
      </c>
      <c r="AE2650" s="14">
        <v>7.0000000000000007E-2</v>
      </c>
      <c r="AF2650" s="6">
        <f t="shared" si="395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396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00"/>
        <v>93395.280000000013</v>
      </c>
      <c r="X2651" s="13">
        <f t="shared" si="397"/>
        <v>0</v>
      </c>
      <c r="Y2651" s="13">
        <f t="shared" si="392"/>
        <v>0</v>
      </c>
      <c r="Z2651" s="14">
        <v>0</v>
      </c>
      <c r="AA2651" s="18"/>
      <c r="AB2651" s="4">
        <f t="shared" si="393"/>
        <v>0</v>
      </c>
      <c r="AC2651" s="6">
        <f t="shared" si="394"/>
        <v>0</v>
      </c>
      <c r="AD2651" s="6">
        <v>0</v>
      </c>
      <c r="AE2651" s="14">
        <v>0</v>
      </c>
      <c r="AF2651" s="6">
        <f t="shared" si="395"/>
        <v>0</v>
      </c>
      <c r="AG2651" s="14">
        <v>0</v>
      </c>
      <c r="AH2651" s="8"/>
      <c r="AI2651" s="16"/>
      <c r="AJ2651" s="126" t="e">
        <v>#N/A</v>
      </c>
      <c r="AK2651" s="80">
        <f t="shared" si="396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00"/>
        <v>18381.79</v>
      </c>
      <c r="X2652" s="13">
        <f t="shared" si="397"/>
        <v>0</v>
      </c>
      <c r="Y2652" s="13">
        <f t="shared" si="392"/>
        <v>0</v>
      </c>
      <c r="Z2652" s="14">
        <v>0</v>
      </c>
      <c r="AA2652" s="18"/>
      <c r="AB2652" s="4">
        <f t="shared" si="393"/>
        <v>0</v>
      </c>
      <c r="AC2652" s="6">
        <f t="shared" si="394"/>
        <v>0</v>
      </c>
      <c r="AD2652" s="6">
        <v>0</v>
      </c>
      <c r="AE2652" s="14">
        <v>0</v>
      </c>
      <c r="AF2652" s="6">
        <f t="shared" si="395"/>
        <v>0</v>
      </c>
      <c r="AG2652" s="14">
        <v>0</v>
      </c>
      <c r="AH2652" s="8"/>
      <c r="AI2652" s="16"/>
      <c r="AJ2652" s="126" t="e">
        <v>#N/A</v>
      </c>
      <c r="AK2652" s="80">
        <f t="shared" si="396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00"/>
        <v>-3087.24</v>
      </c>
      <c r="X2653" s="13">
        <f t="shared" si="397"/>
        <v>0</v>
      </c>
      <c r="Y2653" s="13">
        <f t="shared" si="392"/>
        <v>0</v>
      </c>
      <c r="Z2653" s="14">
        <v>0</v>
      </c>
      <c r="AA2653" s="18"/>
      <c r="AB2653" s="4">
        <f t="shared" si="393"/>
        <v>0</v>
      </c>
      <c r="AC2653" s="6">
        <f t="shared" si="394"/>
        <v>0</v>
      </c>
      <c r="AD2653" s="6">
        <v>0</v>
      </c>
      <c r="AE2653" s="14">
        <v>0</v>
      </c>
      <c r="AF2653" s="6">
        <f t="shared" si="395"/>
        <v>0</v>
      </c>
      <c r="AG2653" s="14">
        <v>0</v>
      </c>
      <c r="AH2653" s="8"/>
      <c r="AI2653" s="16"/>
      <c r="AJ2653" s="126" t="e">
        <v>#N/A</v>
      </c>
      <c r="AK2653" s="80">
        <f t="shared" si="396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00"/>
        <v>0</v>
      </c>
      <c r="X2654" s="13">
        <f t="shared" si="397"/>
        <v>295000</v>
      </c>
      <c r="Y2654" s="13">
        <f t="shared" si="392"/>
        <v>0</v>
      </c>
      <c r="Z2654" s="14">
        <v>0</v>
      </c>
      <c r="AA2654" s="18"/>
      <c r="AB2654" s="4">
        <f t="shared" si="393"/>
        <v>295000</v>
      </c>
      <c r="AC2654" s="6">
        <f t="shared" si="394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396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00"/>
        <v>0</v>
      </c>
      <c r="X2655" s="13">
        <f t="shared" si="397"/>
        <v>263736</v>
      </c>
      <c r="Y2655" s="13">
        <f t="shared" si="392"/>
        <v>0</v>
      </c>
      <c r="Z2655" s="14">
        <v>0</v>
      </c>
      <c r="AA2655" s="18"/>
      <c r="AB2655" s="4">
        <f t="shared" si="393"/>
        <v>263736</v>
      </c>
      <c r="AC2655" s="6">
        <f t="shared" si="394"/>
        <v>0</v>
      </c>
      <c r="AD2655" s="6">
        <v>263736</v>
      </c>
      <c r="AE2655" s="14">
        <v>0</v>
      </c>
      <c r="AF2655" s="6">
        <f t="shared" ref="AF2655:AF2704" si="401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396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">
        <v>3707</v>
      </c>
      <c r="L2656" s="1" t="s">
        <v>35</v>
      </c>
      <c r="M2656" s="15"/>
      <c r="N2656" s="3" t="s">
        <v>3708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00"/>
        <v>0</v>
      </c>
      <c r="X2656" s="13">
        <f t="shared" si="397"/>
        <v>94500</v>
      </c>
      <c r="Y2656" s="13">
        <f t="shared" si="392"/>
        <v>0</v>
      </c>
      <c r="Z2656" s="14">
        <v>0</v>
      </c>
      <c r="AA2656" s="18"/>
      <c r="AB2656" s="4">
        <f t="shared" si="393"/>
        <v>94500</v>
      </c>
      <c r="AC2656" s="6">
        <f t="shared" si="394"/>
        <v>10500</v>
      </c>
      <c r="AD2656" s="6">
        <v>105000</v>
      </c>
      <c r="AE2656" s="14">
        <v>0.1</v>
      </c>
      <c r="AF2656" s="6">
        <f t="shared" si="401"/>
        <v>10500</v>
      </c>
      <c r="AG2656" s="14">
        <v>0</v>
      </c>
      <c r="AH2656" s="6"/>
      <c r="AI2656" s="16"/>
      <c r="AJ2656" s="126" t="e">
        <v>#N/A</v>
      </c>
      <c r="AK2656" s="80">
        <f t="shared" si="396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00"/>
        <v>0</v>
      </c>
      <c r="X2657" s="13">
        <v>0</v>
      </c>
      <c r="Y2657" s="13">
        <f t="shared" si="392"/>
        <v>0</v>
      </c>
      <c r="Z2657" s="14">
        <v>0</v>
      </c>
      <c r="AA2657" s="18"/>
      <c r="AB2657" s="4">
        <f t="shared" si="393"/>
        <v>0</v>
      </c>
      <c r="AC2657" s="6">
        <f t="shared" si="394"/>
        <v>40810</v>
      </c>
      <c r="AD2657" s="6">
        <v>40810</v>
      </c>
      <c r="AE2657" s="14">
        <v>0</v>
      </c>
      <c r="AF2657" s="6">
        <f t="shared" si="401"/>
        <v>0</v>
      </c>
      <c r="AG2657" s="14">
        <v>0</v>
      </c>
      <c r="AH2657" s="6"/>
      <c r="AI2657" s="16"/>
      <c r="AJ2657" s="126" t="e">
        <v>#N/A</v>
      </c>
      <c r="AK2657" s="80">
        <f t="shared" si="396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00"/>
        <v>0</v>
      </c>
      <c r="X2658" s="13">
        <f t="shared" si="397"/>
        <v>-90177.23</v>
      </c>
      <c r="Y2658" s="13">
        <f t="shared" si="392"/>
        <v>0</v>
      </c>
      <c r="Z2658" s="14">
        <v>0</v>
      </c>
      <c r="AA2658" s="18"/>
      <c r="AB2658" s="4">
        <f t="shared" si="393"/>
        <v>-90177.23</v>
      </c>
      <c r="AC2658" s="6">
        <f t="shared" si="394"/>
        <v>0</v>
      </c>
      <c r="AD2658" s="6">
        <v>-90177.23</v>
      </c>
      <c r="AE2658" s="14">
        <v>0</v>
      </c>
      <c r="AF2658" s="6">
        <f t="shared" si="401"/>
        <v>0</v>
      </c>
      <c r="AG2658" s="14">
        <v>0</v>
      </c>
      <c r="AH2658" s="6"/>
      <c r="AI2658" s="16"/>
      <c r="AJ2658" s="126" t="e">
        <v>#N/A</v>
      </c>
      <c r="AK2658" s="80">
        <f t="shared" si="396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00"/>
        <v>0</v>
      </c>
      <c r="X2659" s="13">
        <f t="shared" si="397"/>
        <v>0</v>
      </c>
      <c r="Y2659" s="13">
        <f t="shared" si="392"/>
        <v>0</v>
      </c>
      <c r="Z2659" s="14">
        <v>0</v>
      </c>
      <c r="AA2659" s="18"/>
      <c r="AB2659" s="4">
        <f t="shared" si="393"/>
        <v>0</v>
      </c>
      <c r="AC2659" s="6">
        <f t="shared" si="394"/>
        <v>0</v>
      </c>
      <c r="AD2659" s="6"/>
      <c r="AE2659" s="14"/>
      <c r="AF2659" s="6">
        <f t="shared" si="401"/>
        <v>0</v>
      </c>
      <c r="AG2659" s="14">
        <v>0</v>
      </c>
      <c r="AH2659" s="6"/>
      <c r="AI2659" s="16"/>
      <c r="AJ2659" s="126" t="e">
        <v>#N/A</v>
      </c>
      <c r="AK2659" s="80">
        <f t="shared" si="396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00"/>
        <v>242615.16999999993</v>
      </c>
      <c r="X2660" s="13">
        <f t="shared" si="397"/>
        <v>4610490.5</v>
      </c>
      <c r="Y2660" s="13">
        <f t="shared" si="392"/>
        <v>0</v>
      </c>
      <c r="Z2660" s="14">
        <v>0</v>
      </c>
      <c r="AA2660" s="18"/>
      <c r="AB2660" s="4">
        <f t="shared" si="393"/>
        <v>4610490.5</v>
      </c>
      <c r="AC2660" s="6">
        <f t="shared" si="394"/>
        <v>0</v>
      </c>
      <c r="AD2660" s="6">
        <v>4610490.5</v>
      </c>
      <c r="AE2660" s="14">
        <v>0</v>
      </c>
      <c r="AF2660" s="6">
        <f t="shared" si="401"/>
        <v>0</v>
      </c>
      <c r="AG2660" s="14">
        <v>0</v>
      </c>
      <c r="AH2660" s="6"/>
      <c r="AI2660" s="16"/>
      <c r="AJ2660" s="126" t="e">
        <v>#N/A</v>
      </c>
      <c r="AK2660" s="80">
        <f t="shared" si="396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00"/>
        <v>451864.56999999983</v>
      </c>
      <c r="X2661" s="13">
        <f t="shared" si="397"/>
        <v>708602.85981308413</v>
      </c>
      <c r="Y2661" s="13">
        <f t="shared" si="392"/>
        <v>0</v>
      </c>
      <c r="Z2661" s="14">
        <v>0</v>
      </c>
      <c r="AA2661" s="18"/>
      <c r="AB2661" s="4">
        <f t="shared" si="393"/>
        <v>708602.85981308413</v>
      </c>
      <c r="AC2661" s="6">
        <f t="shared" si="394"/>
        <v>49602.200186915928</v>
      </c>
      <c r="AD2661" s="6">
        <v>758205.06</v>
      </c>
      <c r="AE2661" s="14">
        <v>0.05</v>
      </c>
      <c r="AF2661" s="6">
        <f t="shared" si="401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396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00"/>
        <v>286576.25</v>
      </c>
      <c r="X2662" s="13">
        <f t="shared" si="397"/>
        <v>159107.41</v>
      </c>
      <c r="Y2662" s="13">
        <f t="shared" si="392"/>
        <v>0</v>
      </c>
      <c r="Z2662" s="14">
        <v>0</v>
      </c>
      <c r="AA2662" s="18"/>
      <c r="AB2662" s="4">
        <f t="shared" si="393"/>
        <v>159107.41</v>
      </c>
      <c r="AC2662" s="6">
        <f t="shared" si="394"/>
        <v>0</v>
      </c>
      <c r="AD2662" s="6">
        <v>159107.41</v>
      </c>
      <c r="AE2662" s="14">
        <v>0.05</v>
      </c>
      <c r="AF2662" s="6">
        <f t="shared" si="401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396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">
        <v>3712</v>
      </c>
      <c r="L2663" s="1" t="s">
        <v>35</v>
      </c>
      <c r="M2663" s="15"/>
      <c r="N2663" s="3" t="s">
        <v>3728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00"/>
        <v>0</v>
      </c>
      <c r="X2663" s="13">
        <f t="shared" si="397"/>
        <v>0</v>
      </c>
      <c r="Y2663" s="13">
        <f t="shared" si="392"/>
        <v>0</v>
      </c>
      <c r="Z2663" s="14">
        <v>0</v>
      </c>
      <c r="AA2663" s="18"/>
      <c r="AB2663" s="4">
        <f t="shared" si="393"/>
        <v>0</v>
      </c>
      <c r="AC2663" s="6">
        <f t="shared" si="394"/>
        <v>0</v>
      </c>
      <c r="AD2663" s="6">
        <v>0</v>
      </c>
      <c r="AE2663" s="14">
        <v>0.1</v>
      </c>
      <c r="AF2663" s="6">
        <f t="shared" si="401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396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00"/>
        <v>-5.8207660913467407E-11</v>
      </c>
      <c r="X2664" s="13">
        <f t="shared" si="397"/>
        <v>0</v>
      </c>
      <c r="Y2664" s="13">
        <f t="shared" si="392"/>
        <v>0</v>
      </c>
      <c r="Z2664" s="14">
        <v>0</v>
      </c>
      <c r="AA2664" s="18"/>
      <c r="AB2664" s="4">
        <f t="shared" si="393"/>
        <v>0</v>
      </c>
      <c r="AC2664" s="6">
        <f t="shared" si="394"/>
        <v>0</v>
      </c>
      <c r="AD2664" s="6">
        <v>0</v>
      </c>
      <c r="AE2664" s="14">
        <v>0.05</v>
      </c>
      <c r="AF2664" s="6">
        <f t="shared" si="401"/>
        <v>0</v>
      </c>
      <c r="AG2664" s="14">
        <v>0</v>
      </c>
      <c r="AH2664" s="6"/>
      <c r="AI2664" s="16"/>
      <c r="AJ2664" s="126" t="e">
        <v>#N/A</v>
      </c>
      <c r="AK2664" s="80">
        <f t="shared" si="396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00"/>
        <v>0</v>
      </c>
      <c r="X2665" s="13">
        <f t="shared" si="397"/>
        <v>0</v>
      </c>
      <c r="Y2665" s="13">
        <f t="shared" si="392"/>
        <v>0</v>
      </c>
      <c r="Z2665" s="14">
        <v>0</v>
      </c>
      <c r="AA2665" s="18"/>
      <c r="AB2665" s="4">
        <f t="shared" si="393"/>
        <v>0</v>
      </c>
      <c r="AC2665" s="6">
        <f t="shared" si="394"/>
        <v>0</v>
      </c>
      <c r="AD2665" s="6">
        <v>0</v>
      </c>
      <c r="AE2665" s="14">
        <v>0.05</v>
      </c>
      <c r="AF2665" s="6">
        <f t="shared" si="401"/>
        <v>0</v>
      </c>
      <c r="AG2665" s="14">
        <v>0</v>
      </c>
      <c r="AH2665" s="6"/>
      <c r="AI2665" s="16"/>
      <c r="AJ2665" s="126" t="e">
        <v>#N/A</v>
      </c>
      <c r="AK2665" s="80">
        <f t="shared" si="396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00"/>
        <v>0</v>
      </c>
      <c r="X2666" s="13">
        <f t="shared" si="397"/>
        <v>0</v>
      </c>
      <c r="Y2666" s="13">
        <f t="shared" si="392"/>
        <v>0</v>
      </c>
      <c r="Z2666" s="14">
        <v>0</v>
      </c>
      <c r="AA2666" s="18"/>
      <c r="AB2666" s="4">
        <f t="shared" si="393"/>
        <v>0</v>
      </c>
      <c r="AC2666" s="6">
        <f t="shared" si="394"/>
        <v>0</v>
      </c>
      <c r="AD2666" s="6">
        <v>0</v>
      </c>
      <c r="AE2666" s="14">
        <v>0.05</v>
      </c>
      <c r="AF2666" s="6">
        <f t="shared" si="401"/>
        <v>0</v>
      </c>
      <c r="AG2666" s="14">
        <v>0</v>
      </c>
      <c r="AH2666" s="6"/>
      <c r="AI2666" s="16"/>
      <c r="AJ2666" s="126" t="e">
        <v>#N/A</v>
      </c>
      <c r="AK2666" s="80">
        <f t="shared" si="396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00"/>
        <v>0</v>
      </c>
      <c r="X2667" s="13">
        <f t="shared" si="397"/>
        <v>0</v>
      </c>
      <c r="Y2667" s="13">
        <f t="shared" si="392"/>
        <v>0</v>
      </c>
      <c r="Z2667" s="14">
        <v>0</v>
      </c>
      <c r="AA2667" s="18"/>
      <c r="AB2667" s="4">
        <f t="shared" si="393"/>
        <v>0</v>
      </c>
      <c r="AC2667" s="6">
        <f t="shared" si="394"/>
        <v>0</v>
      </c>
      <c r="AD2667" s="6">
        <v>0</v>
      </c>
      <c r="AE2667" s="14">
        <v>0.05</v>
      </c>
      <c r="AF2667" s="6">
        <f t="shared" si="401"/>
        <v>0</v>
      </c>
      <c r="AG2667" s="14">
        <v>0</v>
      </c>
      <c r="AH2667" s="6"/>
      <c r="AI2667" s="16"/>
      <c r="AJ2667" s="126" t="e">
        <v>#N/A</v>
      </c>
      <c r="AK2667" s="80">
        <f t="shared" si="396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00"/>
        <v>0</v>
      </c>
      <c r="X2668" s="13">
        <f t="shared" si="397"/>
        <v>0</v>
      </c>
      <c r="Y2668" s="13">
        <f t="shared" si="392"/>
        <v>0</v>
      </c>
      <c r="Z2668" s="14">
        <v>0</v>
      </c>
      <c r="AA2668" s="18"/>
      <c r="AB2668" s="4">
        <f t="shared" si="393"/>
        <v>0</v>
      </c>
      <c r="AC2668" s="6">
        <f t="shared" si="394"/>
        <v>0</v>
      </c>
      <c r="AD2668" s="6">
        <v>0</v>
      </c>
      <c r="AE2668" s="14">
        <v>0.05</v>
      </c>
      <c r="AF2668" s="6">
        <f t="shared" si="401"/>
        <v>0</v>
      </c>
      <c r="AG2668" s="14">
        <v>0</v>
      </c>
      <c r="AH2668" s="6"/>
      <c r="AI2668" s="16"/>
      <c r="AJ2668" s="126" t="e">
        <v>#N/A</v>
      </c>
      <c r="AK2668" s="80">
        <f t="shared" si="396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00"/>
        <v>0</v>
      </c>
      <c r="X2669" s="13">
        <f t="shared" si="397"/>
        <v>0</v>
      </c>
      <c r="Y2669" s="13">
        <f t="shared" si="392"/>
        <v>0</v>
      </c>
      <c r="Z2669" s="14">
        <v>0</v>
      </c>
      <c r="AA2669" s="18"/>
      <c r="AB2669" s="4">
        <f t="shared" si="393"/>
        <v>0</v>
      </c>
      <c r="AC2669" s="6">
        <f t="shared" si="394"/>
        <v>0</v>
      </c>
      <c r="AD2669" s="6">
        <v>0</v>
      </c>
      <c r="AE2669" s="14">
        <v>0</v>
      </c>
      <c r="AF2669" s="6">
        <f t="shared" si="401"/>
        <v>0</v>
      </c>
      <c r="AG2669" s="14">
        <v>0</v>
      </c>
      <c r="AH2669" s="6"/>
      <c r="AI2669" s="16"/>
      <c r="AJ2669" s="126" t="e">
        <v>#N/A</v>
      </c>
      <c r="AK2669" s="80">
        <f t="shared" si="396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3749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00"/>
        <v>77055.920000000013</v>
      </c>
      <c r="X2670" s="13">
        <f t="shared" si="397"/>
        <v>65712.88</v>
      </c>
      <c r="Y2670" s="13">
        <f t="shared" si="392"/>
        <v>65712.88</v>
      </c>
      <c r="Z2670" s="14">
        <v>0</v>
      </c>
      <c r="AA2670" s="18"/>
      <c r="AB2670" s="4">
        <f t="shared" si="393"/>
        <v>65712.88</v>
      </c>
      <c r="AC2670" s="6">
        <f t="shared" si="394"/>
        <v>0</v>
      </c>
      <c r="AD2670" s="6">
        <v>0</v>
      </c>
      <c r="AE2670" s="14">
        <v>0.05</v>
      </c>
      <c r="AF2670" s="6">
        <f t="shared" si="401"/>
        <v>0</v>
      </c>
      <c r="AG2670" s="14">
        <v>0</v>
      </c>
      <c r="AH2670" s="6"/>
      <c r="AI2670" s="16"/>
      <c r="AJ2670" s="126" t="e">
        <v>#N/A</v>
      </c>
      <c r="AK2670" s="80">
        <f t="shared" si="396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00"/>
        <v>0</v>
      </c>
      <c r="X2671" s="13">
        <f t="shared" si="397"/>
        <v>0</v>
      </c>
      <c r="Y2671" s="13">
        <f t="shared" si="392"/>
        <v>0</v>
      </c>
      <c r="Z2671" s="14">
        <v>0</v>
      </c>
      <c r="AA2671" s="18"/>
      <c r="AB2671" s="4">
        <f t="shared" si="393"/>
        <v>0</v>
      </c>
      <c r="AC2671" s="6">
        <f t="shared" si="394"/>
        <v>0</v>
      </c>
      <c r="AD2671" s="6">
        <v>0</v>
      </c>
      <c r="AE2671" s="14">
        <v>0</v>
      </c>
      <c r="AF2671" s="6">
        <f t="shared" si="401"/>
        <v>0</v>
      </c>
      <c r="AG2671" s="14">
        <v>0</v>
      </c>
      <c r="AH2671" s="6"/>
      <c r="AI2671" s="16"/>
      <c r="AJ2671" s="126" t="e">
        <v>#N/A</v>
      </c>
      <c r="AK2671" s="80">
        <f t="shared" si="396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00"/>
        <v>40943.42</v>
      </c>
      <c r="X2672" s="13">
        <f t="shared" si="397"/>
        <v>0</v>
      </c>
      <c r="Y2672" s="13">
        <f t="shared" si="392"/>
        <v>0</v>
      </c>
      <c r="Z2672" s="14">
        <v>0</v>
      </c>
      <c r="AA2672" s="18"/>
      <c r="AB2672" s="4">
        <f t="shared" si="393"/>
        <v>0</v>
      </c>
      <c r="AC2672" s="6">
        <f t="shared" si="394"/>
        <v>0</v>
      </c>
      <c r="AD2672" s="6">
        <v>0</v>
      </c>
      <c r="AE2672" s="14">
        <v>0</v>
      </c>
      <c r="AF2672" s="6">
        <f t="shared" si="401"/>
        <v>0</v>
      </c>
      <c r="AG2672" s="14">
        <v>0</v>
      </c>
      <c r="AH2672" s="6"/>
      <c r="AI2672" s="16"/>
      <c r="AJ2672" s="126" t="e">
        <v>#N/A</v>
      </c>
      <c r="AK2672" s="80">
        <f t="shared" si="396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00"/>
        <v>18870.099999999999</v>
      </c>
      <c r="X2673" s="13">
        <f t="shared" si="397"/>
        <v>0</v>
      </c>
      <c r="Y2673" s="13">
        <f t="shared" si="392"/>
        <v>0</v>
      </c>
      <c r="Z2673" s="14">
        <v>0</v>
      </c>
      <c r="AA2673" s="18"/>
      <c r="AB2673" s="4">
        <f t="shared" si="393"/>
        <v>0</v>
      </c>
      <c r="AC2673" s="6">
        <f t="shared" si="394"/>
        <v>0</v>
      </c>
      <c r="AD2673" s="6">
        <v>0</v>
      </c>
      <c r="AE2673" s="14">
        <v>0</v>
      </c>
      <c r="AF2673" s="6">
        <f t="shared" si="401"/>
        <v>0</v>
      </c>
      <c r="AG2673" s="14">
        <v>0</v>
      </c>
      <c r="AH2673" s="6"/>
      <c r="AI2673" s="16"/>
      <c r="AJ2673" s="126" t="e">
        <v>#N/A</v>
      </c>
      <c r="AK2673" s="80">
        <f t="shared" si="396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00"/>
        <v>14857.4</v>
      </c>
      <c r="X2674" s="13">
        <f t="shared" si="397"/>
        <v>0</v>
      </c>
      <c r="Y2674" s="13">
        <f t="shared" si="392"/>
        <v>0</v>
      </c>
      <c r="Z2674" s="14">
        <v>0</v>
      </c>
      <c r="AA2674" s="18"/>
      <c r="AB2674" s="4">
        <f t="shared" si="393"/>
        <v>0</v>
      </c>
      <c r="AC2674" s="6">
        <f t="shared" si="394"/>
        <v>0</v>
      </c>
      <c r="AD2674" s="6">
        <v>0</v>
      </c>
      <c r="AE2674" s="14">
        <v>0</v>
      </c>
      <c r="AF2674" s="6">
        <f t="shared" si="401"/>
        <v>0</v>
      </c>
      <c r="AG2674" s="14">
        <v>0</v>
      </c>
      <c r="AH2674" s="6"/>
      <c r="AI2674" s="16"/>
      <c r="AJ2674" s="126" t="e">
        <v>#N/A</v>
      </c>
      <c r="AK2674" s="80">
        <f t="shared" si="396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00"/>
        <v>0</v>
      </c>
      <c r="X2675" s="13">
        <f t="shared" si="397"/>
        <v>0</v>
      </c>
      <c r="Y2675" s="13">
        <f t="shared" si="392"/>
        <v>0</v>
      </c>
      <c r="Z2675" s="14">
        <v>0</v>
      </c>
      <c r="AA2675" s="18"/>
      <c r="AB2675" s="4">
        <f t="shared" si="393"/>
        <v>0</v>
      </c>
      <c r="AC2675" s="6">
        <f t="shared" si="394"/>
        <v>0</v>
      </c>
      <c r="AD2675" s="6">
        <v>0</v>
      </c>
      <c r="AE2675" s="14">
        <v>0</v>
      </c>
      <c r="AF2675" s="6">
        <f t="shared" si="401"/>
        <v>0</v>
      </c>
      <c r="AG2675" s="14">
        <v>0</v>
      </c>
      <c r="AH2675" s="6"/>
      <c r="AI2675" s="16"/>
      <c r="AJ2675" s="126" t="e">
        <v>#N/A</v>
      </c>
      <c r="AK2675" s="80">
        <f t="shared" si="396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3749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00"/>
        <v>0</v>
      </c>
      <c r="X2676" s="13">
        <f t="shared" si="397"/>
        <v>0</v>
      </c>
      <c r="Y2676" s="13">
        <f t="shared" si="392"/>
        <v>0</v>
      </c>
      <c r="Z2676" s="14">
        <v>0</v>
      </c>
      <c r="AA2676" s="18"/>
      <c r="AB2676" s="4">
        <f t="shared" si="393"/>
        <v>0</v>
      </c>
      <c r="AC2676" s="6">
        <f t="shared" si="394"/>
        <v>0</v>
      </c>
      <c r="AD2676" s="6">
        <v>65712.88</v>
      </c>
      <c r="AE2676" s="14">
        <v>0.05</v>
      </c>
      <c r="AF2676" s="6">
        <f t="shared" si="401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396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00"/>
        <v>49999.999999999985</v>
      </c>
      <c r="X2677" s="13">
        <f t="shared" si="397"/>
        <v>5004.0092592592591</v>
      </c>
      <c r="Y2677" s="13">
        <f t="shared" si="392"/>
        <v>0</v>
      </c>
      <c r="Z2677" s="14">
        <v>0</v>
      </c>
      <c r="AA2677" s="18"/>
      <c r="AB2677" s="4">
        <f t="shared" si="393"/>
        <v>5004.0092592592591</v>
      </c>
      <c r="AC2677" s="6">
        <f t="shared" si="394"/>
        <v>400.3207407407408</v>
      </c>
      <c r="AD2677" s="6">
        <v>5404.33</v>
      </c>
      <c r="AE2677" s="14">
        <v>0.05</v>
      </c>
      <c r="AF2677" s="6">
        <f t="shared" si="401"/>
        <v>270.2165</v>
      </c>
      <c r="AG2677" s="14">
        <v>0</v>
      </c>
      <c r="AH2677" s="6"/>
      <c r="AI2677" s="16"/>
      <c r="AJ2677" s="126" t="e">
        <v>#N/A</v>
      </c>
      <c r="AK2677" s="80">
        <f t="shared" si="396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00"/>
        <v>0</v>
      </c>
      <c r="X2678" s="13">
        <f t="shared" si="397"/>
        <v>792000</v>
      </c>
      <c r="Y2678" s="13">
        <f t="shared" si="392"/>
        <v>0</v>
      </c>
      <c r="Z2678" s="14">
        <v>0</v>
      </c>
      <c r="AA2678" s="18"/>
      <c r="AB2678" s="4">
        <f t="shared" si="393"/>
        <v>792000</v>
      </c>
      <c r="AC2678" s="6">
        <f t="shared" si="394"/>
        <v>108000</v>
      </c>
      <c r="AD2678" s="6">
        <v>900000</v>
      </c>
      <c r="AE2678" s="14">
        <v>0.1</v>
      </c>
      <c r="AF2678" s="6">
        <f t="shared" si="401"/>
        <v>90000</v>
      </c>
      <c r="AG2678" s="14"/>
      <c r="AH2678" s="6"/>
      <c r="AI2678" s="16" t="s">
        <v>3196</v>
      </c>
      <c r="AJ2678" s="126" t="e">
        <v>#N/A</v>
      </c>
      <c r="AK2678" s="80">
        <f t="shared" si="396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397"/>
        <v>23750</v>
      </c>
      <c r="Y2679" s="13">
        <f t="shared" si="392"/>
        <v>0</v>
      </c>
      <c r="Z2679" s="14">
        <v>0</v>
      </c>
      <c r="AA2679" s="18"/>
      <c r="AB2679" s="4">
        <f t="shared" si="393"/>
        <v>23750</v>
      </c>
      <c r="AC2679" s="6">
        <f t="shared" si="394"/>
        <v>0</v>
      </c>
      <c r="AD2679" s="6">
        <v>23750</v>
      </c>
      <c r="AE2679" s="2">
        <v>0.06</v>
      </c>
      <c r="AF2679" s="6">
        <f t="shared" si="401"/>
        <v>1425</v>
      </c>
      <c r="AG2679" s="14">
        <v>0</v>
      </c>
      <c r="AH2679" s="6"/>
      <c r="AI2679" s="16"/>
      <c r="AJ2679" s="126" t="s">
        <v>4223</v>
      </c>
      <c r="AK2679" s="80">
        <f t="shared" si="396"/>
        <v>0</v>
      </c>
      <c r="AL2679" s="150"/>
      <c r="AM2679" s="85"/>
    </row>
    <row r="2680" spans="1:39" hidden="1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397"/>
        <v>579840</v>
      </c>
      <c r="Y2680" s="13">
        <f t="shared" si="392"/>
        <v>0</v>
      </c>
      <c r="Z2680" s="14">
        <v>0</v>
      </c>
      <c r="AA2680" s="18"/>
      <c r="AB2680" s="4">
        <f t="shared" si="393"/>
        <v>579840</v>
      </c>
      <c r="AC2680" s="6">
        <f t="shared" si="394"/>
        <v>0</v>
      </c>
      <c r="AD2680" s="6">
        <v>579840</v>
      </c>
      <c r="AE2680" s="2">
        <v>0.06</v>
      </c>
      <c r="AF2680" s="6">
        <f t="shared" si="401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396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392"/>
        <v>0</v>
      </c>
      <c r="Z2681" s="14">
        <v>0</v>
      </c>
      <c r="AA2681" s="18"/>
      <c r="AB2681" s="4">
        <f t="shared" si="393"/>
        <v>165500</v>
      </c>
      <c r="AC2681" s="6">
        <f t="shared" si="394"/>
        <v>0</v>
      </c>
      <c r="AD2681" s="6">
        <v>165500</v>
      </c>
      <c r="AE2681" s="2">
        <v>0.06</v>
      </c>
      <c r="AF2681" s="6">
        <f t="shared" si="401"/>
        <v>9930</v>
      </c>
      <c r="AG2681" s="14">
        <v>0</v>
      </c>
      <c r="AH2681" s="6"/>
      <c r="AI2681" s="16"/>
      <c r="AJ2681" s="126" t="e">
        <v>#N/A</v>
      </c>
      <c r="AK2681" s="80">
        <f t="shared" si="396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397"/>
        <v>163600</v>
      </c>
      <c r="Y2682" s="13">
        <f t="shared" si="392"/>
        <v>0</v>
      </c>
      <c r="Z2682" s="14">
        <v>0</v>
      </c>
      <c r="AA2682" s="18"/>
      <c r="AB2682" s="4">
        <f t="shared" si="393"/>
        <v>163600</v>
      </c>
      <c r="AC2682" s="6">
        <f t="shared" si="394"/>
        <v>0</v>
      </c>
      <c r="AD2682" s="6">
        <v>163600</v>
      </c>
      <c r="AE2682" s="2">
        <v>0.06</v>
      </c>
      <c r="AF2682" s="6">
        <f t="shared" si="401"/>
        <v>9816</v>
      </c>
      <c r="AG2682" s="14">
        <v>0.05</v>
      </c>
      <c r="AH2682" s="6"/>
      <c r="AI2682" s="16"/>
      <c r="AJ2682" s="126" t="e">
        <v>#N/A</v>
      </c>
      <c r="AK2682" s="80">
        <f t="shared" si="396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397"/>
        <v>106029</v>
      </c>
      <c r="Y2683" s="13">
        <f t="shared" si="392"/>
        <v>0</v>
      </c>
      <c r="Z2683" s="14">
        <v>0</v>
      </c>
      <c r="AA2683" s="18"/>
      <c r="AB2683" s="4">
        <f t="shared" si="393"/>
        <v>106029</v>
      </c>
      <c r="AC2683" s="6">
        <f t="shared" si="394"/>
        <v>0</v>
      </c>
      <c r="AD2683" s="6">
        <v>112200</v>
      </c>
      <c r="AE2683" s="2">
        <v>0.06</v>
      </c>
      <c r="AF2683" s="6">
        <f t="shared" si="401"/>
        <v>6732</v>
      </c>
      <c r="AG2683" s="14">
        <v>0</v>
      </c>
      <c r="AH2683" s="6"/>
      <c r="AI2683" s="16"/>
      <c r="AJ2683" s="126" t="e">
        <v>#N/A</v>
      </c>
      <c r="AK2683" s="80">
        <f t="shared" si="396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392"/>
        <v>0</v>
      </c>
      <c r="Z2684" s="14">
        <v>0</v>
      </c>
      <c r="AA2684" s="18"/>
      <c r="AB2684" s="4">
        <f t="shared" si="393"/>
        <v>251000</v>
      </c>
      <c r="AC2684" s="6">
        <f t="shared" si="394"/>
        <v>0</v>
      </c>
      <c r="AD2684" s="6">
        <v>251000</v>
      </c>
      <c r="AE2684" s="2">
        <v>0.06</v>
      </c>
      <c r="AF2684" s="6">
        <f t="shared" si="401"/>
        <v>15060</v>
      </c>
      <c r="AG2684" s="14">
        <v>0</v>
      </c>
      <c r="AH2684" s="6"/>
      <c r="AI2684" s="16"/>
      <c r="AJ2684" s="126" t="e">
        <v>#N/A</v>
      </c>
      <c r="AK2684" s="80">
        <f t="shared" si="396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392"/>
        <v>0</v>
      </c>
      <c r="Z2685" s="14">
        <v>0</v>
      </c>
      <c r="AA2685" s="18"/>
      <c r="AB2685" s="4">
        <f t="shared" si="393"/>
        <v>251000</v>
      </c>
      <c r="AC2685" s="6">
        <f t="shared" si="394"/>
        <v>0</v>
      </c>
      <c r="AD2685" s="6">
        <v>251000</v>
      </c>
      <c r="AE2685" s="2">
        <v>0.06</v>
      </c>
      <c r="AF2685" s="6">
        <f t="shared" si="401"/>
        <v>15060</v>
      </c>
      <c r="AG2685" s="14">
        <v>0</v>
      </c>
      <c r="AH2685" s="6"/>
      <c r="AI2685" s="16"/>
      <c r="AJ2685" s="126" t="e">
        <v>#N/A</v>
      </c>
      <c r="AK2685" s="80">
        <f t="shared" si="396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392"/>
        <v>0</v>
      </c>
      <c r="Z2686" s="14">
        <v>0</v>
      </c>
      <c r="AA2686" s="18"/>
      <c r="AB2686" s="4">
        <f t="shared" si="393"/>
        <v>103194</v>
      </c>
      <c r="AC2686" s="6">
        <f t="shared" si="394"/>
        <v>0</v>
      </c>
      <c r="AD2686" s="6">
        <v>109200</v>
      </c>
      <c r="AE2686" s="2">
        <v>0.06</v>
      </c>
      <c r="AF2686" s="6">
        <f t="shared" si="401"/>
        <v>6552</v>
      </c>
      <c r="AG2686" s="14">
        <v>0</v>
      </c>
      <c r="AH2686" s="6"/>
      <c r="AI2686" s="16"/>
      <c r="AJ2686" s="126" t="e">
        <v>#N/A</v>
      </c>
      <c r="AK2686" s="80">
        <f t="shared" si="396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392"/>
        <v>0</v>
      </c>
      <c r="Z2687" s="14">
        <v>0</v>
      </c>
      <c r="AA2687" s="18"/>
      <c r="AB2687" s="4">
        <f t="shared" si="393"/>
        <v>40068</v>
      </c>
      <c r="AC2687" s="6">
        <f t="shared" si="394"/>
        <v>0</v>
      </c>
      <c r="AD2687" s="6">
        <v>42400</v>
      </c>
      <c r="AE2687" s="2">
        <v>0.06</v>
      </c>
      <c r="AF2687" s="6">
        <f t="shared" si="401"/>
        <v>2544</v>
      </c>
      <c r="AG2687" s="14">
        <v>0</v>
      </c>
      <c r="AH2687" s="6"/>
      <c r="AI2687" s="16"/>
      <c r="AJ2687" s="126" t="e">
        <v>#N/A</v>
      </c>
      <c r="AK2687" s="80">
        <f t="shared" si="396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397"/>
        <v>97146</v>
      </c>
      <c r="Y2688" s="13">
        <f t="shared" si="392"/>
        <v>0</v>
      </c>
      <c r="Z2688" s="14">
        <v>0</v>
      </c>
      <c r="AA2688" s="18"/>
      <c r="AB2688" s="4">
        <f t="shared" si="393"/>
        <v>97146</v>
      </c>
      <c r="AC2688" s="6">
        <f t="shared" si="394"/>
        <v>0</v>
      </c>
      <c r="AD2688" s="6">
        <v>102800</v>
      </c>
      <c r="AE2688" s="2">
        <v>0.06</v>
      </c>
      <c r="AF2688" s="6">
        <f t="shared" si="401"/>
        <v>6168</v>
      </c>
      <c r="AG2688" s="14">
        <v>0</v>
      </c>
      <c r="AH2688" s="6"/>
      <c r="AI2688" s="16"/>
      <c r="AJ2688" s="126" t="e">
        <v>#N/A</v>
      </c>
      <c r="AK2688" s="80">
        <f t="shared" si="396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392"/>
        <v>0</v>
      </c>
      <c r="Z2689" s="14">
        <v>0</v>
      </c>
      <c r="AA2689" s="18"/>
      <c r="AB2689" s="4">
        <f t="shared" si="393"/>
        <v>47250</v>
      </c>
      <c r="AC2689" s="6">
        <f t="shared" si="394"/>
        <v>0</v>
      </c>
      <c r="AD2689" s="6">
        <v>50000</v>
      </c>
      <c r="AE2689" s="2">
        <v>0.06</v>
      </c>
      <c r="AF2689" s="6">
        <f t="shared" si="401"/>
        <v>3000</v>
      </c>
      <c r="AG2689" s="14">
        <v>0</v>
      </c>
      <c r="AH2689" s="6"/>
      <c r="AI2689" s="16"/>
      <c r="AJ2689" s="126" t="e">
        <v>#N/A</v>
      </c>
      <c r="AK2689" s="80">
        <f t="shared" si="396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392"/>
        <v>0</v>
      </c>
      <c r="Z2690" s="14">
        <v>0</v>
      </c>
      <c r="AA2690" s="18"/>
      <c r="AB2690" s="4">
        <f t="shared" si="393"/>
        <v>31752</v>
      </c>
      <c r="AC2690" s="6">
        <f t="shared" ref="AC2690:AC2726" si="402">IF(P2690="返现",X2690*Q2690,V2690-X2690)</f>
        <v>0</v>
      </c>
      <c r="AD2690" s="6">
        <v>33600</v>
      </c>
      <c r="AE2690" s="2">
        <v>0.06</v>
      </c>
      <c r="AF2690" s="6">
        <f t="shared" si="401"/>
        <v>2016</v>
      </c>
      <c r="AG2690" s="14">
        <v>0</v>
      </c>
      <c r="AH2690" s="6"/>
      <c r="AI2690" s="16"/>
      <c r="AJ2690" s="126" t="e">
        <v>#N/A</v>
      </c>
      <c r="AK2690" s="80">
        <f t="shared" si="396"/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03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04">X2691+AA2691</f>
        <v>699300</v>
      </c>
      <c r="AC2691" s="6">
        <f t="shared" si="402"/>
        <v>0</v>
      </c>
      <c r="AD2691" s="6">
        <v>740000</v>
      </c>
      <c r="AE2691" s="2">
        <v>0.06</v>
      </c>
      <c r="AF2691" s="6">
        <f t="shared" si="401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05">X2691+AA2691-AB2691</f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03"/>
        <v>0</v>
      </c>
      <c r="Z2692" s="14">
        <v>0</v>
      </c>
      <c r="AA2692" s="18"/>
      <c r="AB2692" s="4">
        <f t="shared" si="404"/>
        <v>656775</v>
      </c>
      <c r="AC2692" s="6">
        <f t="shared" si="402"/>
        <v>0</v>
      </c>
      <c r="AD2692" s="6">
        <v>695000</v>
      </c>
      <c r="AE2692" s="2">
        <v>0.06</v>
      </c>
      <c r="AF2692" s="6">
        <f t="shared" si="401"/>
        <v>41700</v>
      </c>
      <c r="AG2692" s="14">
        <v>0</v>
      </c>
      <c r="AH2692" s="6"/>
      <c r="AI2692" s="16"/>
      <c r="AJ2692" s="126" t="e">
        <v>#N/A</v>
      </c>
      <c r="AK2692" s="80">
        <f t="shared" si="405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03"/>
        <v>0</v>
      </c>
      <c r="Z2693" s="14">
        <v>0</v>
      </c>
      <c r="AA2693" s="18"/>
      <c r="AB2693" s="4">
        <f t="shared" si="404"/>
        <v>99603</v>
      </c>
      <c r="AC2693" s="6">
        <f t="shared" si="402"/>
        <v>0</v>
      </c>
      <c r="AD2693" s="6">
        <v>105400</v>
      </c>
      <c r="AE2693" s="2">
        <v>0.06</v>
      </c>
      <c r="AF2693" s="6">
        <f t="shared" si="401"/>
        <v>6324</v>
      </c>
      <c r="AG2693" s="14">
        <v>0</v>
      </c>
      <c r="AH2693" s="6"/>
      <c r="AI2693" s="16"/>
      <c r="AJ2693" s="126" t="e">
        <v>#N/A</v>
      </c>
      <c r="AK2693" s="80">
        <f t="shared" si="405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397"/>
        <v>575000</v>
      </c>
      <c r="Y2694" s="13">
        <f t="shared" si="403"/>
        <v>0</v>
      </c>
      <c r="Z2694" s="14">
        <v>0</v>
      </c>
      <c r="AA2694" s="18"/>
      <c r="AB2694" s="4">
        <f t="shared" si="404"/>
        <v>575000</v>
      </c>
      <c r="AC2694" s="6">
        <f t="shared" si="402"/>
        <v>0</v>
      </c>
      <c r="AD2694" s="6">
        <v>575000</v>
      </c>
      <c r="AE2694" s="2">
        <v>0.06</v>
      </c>
      <c r="AF2694" s="6">
        <f t="shared" si="401"/>
        <v>34500</v>
      </c>
      <c r="AG2694" s="14">
        <v>0</v>
      </c>
      <c r="AH2694" s="6"/>
      <c r="AI2694" s="16"/>
      <c r="AJ2694" s="126" t="e">
        <v>#N/A</v>
      </c>
      <c r="AK2694" s="80">
        <f t="shared" si="405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00"/>
        <v>1038.4300000000003</v>
      </c>
      <c r="X2695" s="13">
        <f t="shared" si="397"/>
        <v>9029.5046728971956</v>
      </c>
      <c r="Y2695" s="13">
        <f t="shared" si="403"/>
        <v>0</v>
      </c>
      <c r="Z2695" s="14">
        <v>0</v>
      </c>
      <c r="AA2695" s="18"/>
      <c r="AB2695" s="4">
        <f t="shared" si="404"/>
        <v>9029.5046728971956</v>
      </c>
      <c r="AC2695" s="6">
        <f t="shared" si="402"/>
        <v>632.06532710280408</v>
      </c>
      <c r="AD2695" s="6">
        <v>9661.57</v>
      </c>
      <c r="AE2695" s="14">
        <v>0.12</v>
      </c>
      <c r="AF2695" s="6">
        <f t="shared" si="401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05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397"/>
        <v>299750</v>
      </c>
      <c r="Y2696" s="13">
        <f t="shared" si="403"/>
        <v>0</v>
      </c>
      <c r="Z2696" s="14">
        <v>0</v>
      </c>
      <c r="AA2696" s="18"/>
      <c r="AB2696" s="4">
        <f t="shared" si="404"/>
        <v>299750</v>
      </c>
      <c r="AC2696" s="6">
        <f t="shared" si="402"/>
        <v>0</v>
      </c>
      <c r="AD2696" s="6">
        <v>299750</v>
      </c>
      <c r="AE2696" s="2">
        <v>0.06</v>
      </c>
      <c r="AF2696" s="6">
        <f t="shared" si="401"/>
        <v>17985</v>
      </c>
      <c r="AG2696" s="14">
        <v>0</v>
      </c>
      <c r="AH2696" s="6"/>
      <c r="AI2696" s="16"/>
      <c r="AJ2696" s="126" t="e">
        <v>#N/A</v>
      </c>
      <c r="AK2696" s="80">
        <f t="shared" si="405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03"/>
        <v>4227</v>
      </c>
      <c r="Z2697" s="14">
        <v>0</v>
      </c>
      <c r="AA2697" s="18"/>
      <c r="AB2697" s="4">
        <f t="shared" si="404"/>
        <v>108500</v>
      </c>
      <c r="AC2697" s="6">
        <f t="shared" si="402"/>
        <v>-4227</v>
      </c>
      <c r="AD2697" s="6">
        <v>104273</v>
      </c>
      <c r="AE2697" s="2">
        <v>0.06</v>
      </c>
      <c r="AF2697" s="6">
        <f t="shared" si="401"/>
        <v>6256.38</v>
      </c>
      <c r="AG2697" s="14">
        <v>0</v>
      </c>
      <c r="AH2697" s="6"/>
      <c r="AI2697" s="16"/>
      <c r="AJ2697" s="126" t="e">
        <v>#N/A</v>
      </c>
      <c r="AK2697" s="80">
        <f t="shared" si="405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397"/>
        <v>42400</v>
      </c>
      <c r="Y2698" s="13">
        <f t="shared" si="403"/>
        <v>0</v>
      </c>
      <c r="Z2698" s="14">
        <v>0</v>
      </c>
      <c r="AA2698" s="18"/>
      <c r="AB2698" s="4">
        <f t="shared" si="404"/>
        <v>42400</v>
      </c>
      <c r="AC2698" s="6">
        <f t="shared" si="402"/>
        <v>0</v>
      </c>
      <c r="AD2698" s="6">
        <v>42400</v>
      </c>
      <c r="AE2698" s="2">
        <v>0.06</v>
      </c>
      <c r="AF2698" s="6">
        <f t="shared" si="401"/>
        <v>2544</v>
      </c>
      <c r="AG2698" s="14">
        <v>0</v>
      </c>
      <c r="AH2698" s="6"/>
      <c r="AI2698" s="16"/>
      <c r="AJ2698" s="126" t="e">
        <v>#N/A</v>
      </c>
      <c r="AK2698" s="80">
        <f t="shared" si="405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397"/>
        <v>30000</v>
      </c>
      <c r="Y2699" s="13">
        <f t="shared" si="403"/>
        <v>0</v>
      </c>
      <c r="Z2699" s="14">
        <v>0</v>
      </c>
      <c r="AA2699" s="18"/>
      <c r="AB2699" s="4">
        <f t="shared" si="404"/>
        <v>30000</v>
      </c>
      <c r="AC2699" s="6">
        <f t="shared" si="402"/>
        <v>0</v>
      </c>
      <c r="AD2699" s="6">
        <v>30000</v>
      </c>
      <c r="AE2699" s="2">
        <v>0.06</v>
      </c>
      <c r="AF2699" s="6">
        <f t="shared" si="401"/>
        <v>1800</v>
      </c>
      <c r="AG2699" s="14">
        <v>0</v>
      </c>
      <c r="AH2699" s="6"/>
      <c r="AI2699" s="16"/>
      <c r="AJ2699" s="126" t="e">
        <v>#N/A</v>
      </c>
      <c r="AK2699" s="80">
        <f t="shared" si="405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03"/>
        <v>3000</v>
      </c>
      <c r="Z2700" s="14">
        <v>0</v>
      </c>
      <c r="AA2700" s="18"/>
      <c r="AB2700" s="4">
        <f t="shared" si="404"/>
        <v>25000</v>
      </c>
      <c r="AC2700" s="6">
        <f t="shared" si="402"/>
        <v>-3000</v>
      </c>
      <c r="AD2700" s="6">
        <v>22000</v>
      </c>
      <c r="AE2700" s="2">
        <v>0.06</v>
      </c>
      <c r="AF2700" s="6">
        <f t="shared" si="401"/>
        <v>1320</v>
      </c>
      <c r="AG2700" s="14">
        <v>0</v>
      </c>
      <c r="AH2700" s="6"/>
      <c r="AI2700" s="16"/>
      <c r="AJ2700" s="126" t="e">
        <v>#N/A</v>
      </c>
      <c r="AK2700" s="80">
        <f t="shared" si="405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397"/>
        <v>20000</v>
      </c>
      <c r="Y2701" s="13">
        <f t="shared" si="403"/>
        <v>0</v>
      </c>
      <c r="Z2701" s="14">
        <v>0</v>
      </c>
      <c r="AA2701" s="18"/>
      <c r="AB2701" s="4">
        <f t="shared" si="404"/>
        <v>20000</v>
      </c>
      <c r="AC2701" s="6">
        <f t="shared" si="402"/>
        <v>0</v>
      </c>
      <c r="AD2701" s="6">
        <v>20000</v>
      </c>
      <c r="AE2701" s="2">
        <v>0.06</v>
      </c>
      <c r="AF2701" s="6">
        <f t="shared" si="401"/>
        <v>1200</v>
      </c>
      <c r="AG2701" s="14">
        <v>0</v>
      </c>
      <c r="AH2701" s="6"/>
      <c r="AI2701" s="16"/>
      <c r="AJ2701" s="126" t="e">
        <v>#N/A</v>
      </c>
      <c r="AK2701" s="80">
        <f t="shared" si="405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00"/>
        <v>27627.369999999995</v>
      </c>
      <c r="X2702" s="13">
        <f t="shared" si="397"/>
        <v>30000</v>
      </c>
      <c r="Y2702" s="13">
        <f t="shared" si="403"/>
        <v>560.70000000000073</v>
      </c>
      <c r="Z2702" s="14">
        <v>0</v>
      </c>
      <c r="AA2702" s="18"/>
      <c r="AB2702" s="4">
        <f t="shared" si="404"/>
        <v>30000</v>
      </c>
      <c r="AC2702" s="6">
        <f t="shared" si="402"/>
        <v>1500</v>
      </c>
      <c r="AD2702" s="6">
        <v>29439.3</v>
      </c>
      <c r="AE2702" s="14">
        <v>0</v>
      </c>
      <c r="AF2702" s="6">
        <f t="shared" si="401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05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397"/>
        <v>88571.839999999997</v>
      </c>
      <c r="Y2703" s="13">
        <f t="shared" si="403"/>
        <v>0</v>
      </c>
      <c r="Z2703" s="14">
        <v>0</v>
      </c>
      <c r="AA2703" s="18"/>
      <c r="AB2703" s="4">
        <f t="shared" si="404"/>
        <v>88571.839999999997</v>
      </c>
      <c r="AC2703" s="6">
        <f t="shared" si="402"/>
        <v>0</v>
      </c>
      <c r="AD2703" s="6">
        <v>88571.839999999997</v>
      </c>
      <c r="AE2703" s="14">
        <v>0.09</v>
      </c>
      <c r="AF2703" s="6">
        <f t="shared" si="401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05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397"/>
        <v>20158.919999999998</v>
      </c>
      <c r="Y2704" s="13">
        <f t="shared" si="403"/>
        <v>0</v>
      </c>
      <c r="Z2704" s="14">
        <v>0</v>
      </c>
      <c r="AA2704" s="18"/>
      <c r="AB2704" s="4">
        <f t="shared" si="404"/>
        <v>20158.919999999998</v>
      </c>
      <c r="AC2704" s="6">
        <f t="shared" si="402"/>
        <v>0</v>
      </c>
      <c r="AD2704" s="6">
        <v>20158.919999999998</v>
      </c>
      <c r="AE2704" s="14">
        <v>0.09</v>
      </c>
      <c r="AF2704" s="6">
        <f t="shared" si="401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05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00"/>
        <v>0</v>
      </c>
      <c r="X2705" s="13">
        <f t="shared" ref="X2705:X2725" si="406">IF(P2705="折扣",V2705*Q2705,IF(P2705="返现",V2705,V2705/(1+Q2705)))</f>
        <v>0</v>
      </c>
      <c r="Y2705" s="13">
        <f t="shared" si="403"/>
        <v>0</v>
      </c>
      <c r="Z2705" s="9">
        <v>0</v>
      </c>
      <c r="AA2705" s="18"/>
      <c r="AB2705" s="4">
        <f t="shared" si="404"/>
        <v>0</v>
      </c>
      <c r="AC2705" s="6">
        <f t="shared" si="402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05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00"/>
        <v>0</v>
      </c>
      <c r="X2706" s="13">
        <f t="shared" si="406"/>
        <v>0</v>
      </c>
      <c r="Y2706" s="13">
        <f t="shared" si="403"/>
        <v>0</v>
      </c>
      <c r="Z2706" s="9">
        <v>0</v>
      </c>
      <c r="AA2706" s="18"/>
      <c r="AB2706" s="4">
        <f t="shared" si="404"/>
        <v>0</v>
      </c>
      <c r="AC2706" s="6">
        <f t="shared" si="402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05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00"/>
        <v>1387.5</v>
      </c>
      <c r="X2707" s="13">
        <f t="shared" si="406"/>
        <v>0</v>
      </c>
      <c r="Y2707" s="13">
        <f t="shared" si="403"/>
        <v>0</v>
      </c>
      <c r="Z2707" s="9">
        <v>0</v>
      </c>
      <c r="AA2707" s="18"/>
      <c r="AB2707" s="4">
        <f t="shared" si="404"/>
        <v>0</v>
      </c>
      <c r="AC2707" s="6">
        <f t="shared" si="402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05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00"/>
        <v>22550.75</v>
      </c>
      <c r="X2708" s="13">
        <f t="shared" si="406"/>
        <v>0</v>
      </c>
      <c r="Y2708" s="13">
        <f t="shared" si="403"/>
        <v>0</v>
      </c>
      <c r="Z2708" s="9">
        <v>0</v>
      </c>
      <c r="AA2708" s="18"/>
      <c r="AB2708" s="4">
        <f t="shared" si="404"/>
        <v>0</v>
      </c>
      <c r="AC2708" s="6">
        <f t="shared" si="402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05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07">T2709+U2709-V2709</f>
        <v>638606.93999999994</v>
      </c>
      <c r="X2709" s="13">
        <f t="shared" si="406"/>
        <v>373116.27</v>
      </c>
      <c r="Y2709" s="13">
        <f t="shared" si="403"/>
        <v>7316.0100000000093</v>
      </c>
      <c r="Z2709" s="9">
        <v>0</v>
      </c>
      <c r="AA2709" s="18"/>
      <c r="AB2709" s="4">
        <f t="shared" si="404"/>
        <v>373116.27</v>
      </c>
      <c r="AC2709" s="6">
        <f t="shared" si="402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05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07"/>
        <v>0</v>
      </c>
      <c r="X2710" s="13">
        <f t="shared" si="406"/>
        <v>16500</v>
      </c>
      <c r="Y2710" s="13">
        <f t="shared" si="403"/>
        <v>0</v>
      </c>
      <c r="Z2710" s="9">
        <v>0</v>
      </c>
      <c r="AA2710" s="18"/>
      <c r="AB2710" s="4">
        <f t="shared" si="404"/>
        <v>16500</v>
      </c>
      <c r="AC2710" s="6">
        <f t="shared" si="402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05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06"/>
        <v>0</v>
      </c>
      <c r="Y2711" s="13">
        <f t="shared" si="403"/>
        <v>0</v>
      </c>
      <c r="Z2711" s="9">
        <v>0</v>
      </c>
      <c r="AA2711" s="18"/>
      <c r="AB2711" s="4">
        <f t="shared" si="404"/>
        <v>0</v>
      </c>
      <c r="AC2711" s="6">
        <f t="shared" si="402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05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07"/>
        <v>159441.73000000001</v>
      </c>
      <c r="X2712" s="13">
        <f t="shared" si="406"/>
        <v>0</v>
      </c>
      <c r="Y2712" s="13">
        <f t="shared" si="403"/>
        <v>0</v>
      </c>
      <c r="Z2712" s="9">
        <v>0</v>
      </c>
      <c r="AA2712" s="18"/>
      <c r="AB2712" s="4">
        <f t="shared" si="404"/>
        <v>0</v>
      </c>
      <c r="AC2712" s="6">
        <f t="shared" si="402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05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07"/>
        <v>9968.7000000000007</v>
      </c>
      <c r="X2713" s="13">
        <f t="shared" si="406"/>
        <v>0</v>
      </c>
      <c r="Y2713" s="13">
        <f t="shared" si="403"/>
        <v>0</v>
      </c>
      <c r="Z2713" s="9">
        <v>0</v>
      </c>
      <c r="AA2713" s="18"/>
      <c r="AB2713" s="4">
        <f t="shared" si="404"/>
        <v>0</v>
      </c>
      <c r="AC2713" s="6">
        <f t="shared" si="402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05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07"/>
        <v>-2059.96</v>
      </c>
      <c r="X2714" s="13">
        <f t="shared" si="406"/>
        <v>0</v>
      </c>
      <c r="Y2714" s="13">
        <f t="shared" si="403"/>
        <v>0</v>
      </c>
      <c r="Z2714" s="9">
        <v>0</v>
      </c>
      <c r="AA2714" s="18"/>
      <c r="AB2714" s="4">
        <f t="shared" si="404"/>
        <v>0</v>
      </c>
      <c r="AC2714" s="6">
        <f t="shared" si="402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05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07"/>
        <v>-74481.459999999905</v>
      </c>
      <c r="X2715" s="13">
        <f t="shared" si="406"/>
        <v>0</v>
      </c>
      <c r="Y2715" s="13">
        <f t="shared" si="403"/>
        <v>0</v>
      </c>
      <c r="Z2715" s="9">
        <v>0</v>
      </c>
      <c r="AA2715" s="18"/>
      <c r="AB2715" s="4">
        <f t="shared" si="404"/>
        <v>0</v>
      </c>
      <c r="AC2715" s="6">
        <f t="shared" si="402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05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07"/>
        <v>-1516.75</v>
      </c>
      <c r="X2716" s="13">
        <f t="shared" si="406"/>
        <v>0</v>
      </c>
      <c r="Y2716" s="13">
        <f t="shared" si="403"/>
        <v>0</v>
      </c>
      <c r="Z2716" s="9">
        <v>0</v>
      </c>
      <c r="AA2716" s="18"/>
      <c r="AB2716" s="4">
        <f t="shared" si="404"/>
        <v>0</v>
      </c>
      <c r="AC2716" s="6">
        <f t="shared" si="402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05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07"/>
        <v>45.899999999999899</v>
      </c>
      <c r="X2717" s="13">
        <f t="shared" si="406"/>
        <v>0</v>
      </c>
      <c r="Y2717" s="13">
        <f t="shared" si="403"/>
        <v>0</v>
      </c>
      <c r="Z2717" s="9">
        <v>0</v>
      </c>
      <c r="AA2717" s="18"/>
      <c r="AB2717" s="4">
        <f t="shared" si="404"/>
        <v>0</v>
      </c>
      <c r="AC2717" s="6">
        <f t="shared" si="402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05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07"/>
        <v>0</v>
      </c>
      <c r="X2718" s="13">
        <f t="shared" si="406"/>
        <v>0</v>
      </c>
      <c r="Y2718" s="13">
        <f t="shared" si="403"/>
        <v>0</v>
      </c>
      <c r="Z2718" s="9">
        <v>0</v>
      </c>
      <c r="AA2718" s="18"/>
      <c r="AB2718" s="4">
        <f t="shared" si="404"/>
        <v>0</v>
      </c>
      <c r="AC2718" s="6">
        <f t="shared" si="402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05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07"/>
        <v>-2426.1</v>
      </c>
      <c r="X2719" s="13">
        <f t="shared" si="406"/>
        <v>0</v>
      </c>
      <c r="Y2719" s="13">
        <f t="shared" si="403"/>
        <v>0</v>
      </c>
      <c r="Z2719" s="9">
        <v>0</v>
      </c>
      <c r="AA2719" s="18"/>
      <c r="AB2719" s="4">
        <f t="shared" si="404"/>
        <v>0</v>
      </c>
      <c r="AC2719" s="6">
        <f t="shared" si="402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05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07"/>
        <v>-22573.94</v>
      </c>
      <c r="X2720" s="13">
        <f t="shared" si="406"/>
        <v>22573.94</v>
      </c>
      <c r="Y2720" s="13">
        <f t="shared" si="403"/>
        <v>868.22999999999956</v>
      </c>
      <c r="Z2720" s="9">
        <v>0</v>
      </c>
      <c r="AA2720" s="18"/>
      <c r="AB2720" s="4">
        <f t="shared" si="404"/>
        <v>22573.94</v>
      </c>
      <c r="AC2720" s="6">
        <f t="shared" si="402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05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07"/>
        <v>0</v>
      </c>
      <c r="X2721" s="18">
        <v>0</v>
      </c>
      <c r="Y2721" s="13">
        <f t="shared" si="403"/>
        <v>0</v>
      </c>
      <c r="Z2721" s="9">
        <v>0.04</v>
      </c>
      <c r="AA2721" s="18">
        <v>12811.533461538462</v>
      </c>
      <c r="AB2721" s="4">
        <f t="shared" si="404"/>
        <v>12811.533461538462</v>
      </c>
      <c r="AC2721" s="6">
        <f t="shared" si="402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05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07"/>
        <v>0</v>
      </c>
      <c r="X2722" s="18">
        <v>0</v>
      </c>
      <c r="Y2722" s="13">
        <f t="shared" si="403"/>
        <v>0</v>
      </c>
      <c r="Z2722" s="9">
        <v>0.04</v>
      </c>
      <c r="AA2722" s="18">
        <v>96645.634230769239</v>
      </c>
      <c r="AB2722" s="4">
        <f t="shared" si="404"/>
        <v>96645.634230769239</v>
      </c>
      <c r="AC2722" s="6">
        <f t="shared" si="402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05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07"/>
        <v>0</v>
      </c>
      <c r="X2723" s="18">
        <f t="shared" si="406"/>
        <v>0</v>
      </c>
      <c r="Y2723" s="13">
        <f t="shared" si="403"/>
        <v>0</v>
      </c>
      <c r="Z2723" s="9">
        <v>0</v>
      </c>
      <c r="AA2723" s="18"/>
      <c r="AB2723" s="4">
        <f t="shared" si="404"/>
        <v>0</v>
      </c>
      <c r="AC2723" s="6">
        <f t="shared" si="402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05"/>
        <v>0</v>
      </c>
      <c r="AM2723" s="85"/>
    </row>
    <row r="2724" spans="1:39" hidden="1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07"/>
        <v>25944.999999999927</v>
      </c>
      <c r="X2724" s="13">
        <f t="shared" si="406"/>
        <v>118175.36</v>
      </c>
      <c r="Y2724" s="13">
        <f t="shared" si="403"/>
        <v>0</v>
      </c>
      <c r="Z2724" s="2">
        <v>0</v>
      </c>
      <c r="AA2724" s="4">
        <v>0</v>
      </c>
      <c r="AB2724" s="4">
        <f t="shared" si="404"/>
        <v>118175.36</v>
      </c>
      <c r="AC2724" s="6">
        <f t="shared" si="402"/>
        <v>0</v>
      </c>
      <c r="AD2724" s="13">
        <f t="shared" ref="AD2724:AD2725" si="408">V2724</f>
        <v>118175.36</v>
      </c>
      <c r="AF2724" s="1"/>
      <c r="AG2724" s="2">
        <v>0</v>
      </c>
      <c r="AH2724" s="5">
        <f t="shared" ref="AH2724:AH2725" si="409">V2724</f>
        <v>118175.36</v>
      </c>
      <c r="AJ2724" s="126" t="e">
        <v>#N/A</v>
      </c>
      <c r="AK2724" s="80">
        <f t="shared" si="405"/>
        <v>0</v>
      </c>
      <c r="AM2724" s="85"/>
    </row>
    <row r="2725" spans="1:39" hidden="1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07"/>
        <v>0</v>
      </c>
      <c r="X2725" s="13">
        <f t="shared" si="406"/>
        <v>1567254.5700000003</v>
      </c>
      <c r="Y2725" s="13">
        <f t="shared" si="403"/>
        <v>0</v>
      </c>
      <c r="Z2725" s="2">
        <v>0</v>
      </c>
      <c r="AA2725" s="4">
        <v>0</v>
      </c>
      <c r="AB2725" s="4">
        <f t="shared" si="404"/>
        <v>1567254.5700000003</v>
      </c>
      <c r="AC2725" s="6">
        <f t="shared" si="402"/>
        <v>0</v>
      </c>
      <c r="AD2725" s="13">
        <f t="shared" si="408"/>
        <v>1567254.5700000003</v>
      </c>
      <c r="AF2725" s="1"/>
      <c r="AG2725" s="2">
        <v>0</v>
      </c>
      <c r="AH2725" s="5">
        <f t="shared" si="409"/>
        <v>1567254.5700000003</v>
      </c>
      <c r="AJ2725" s="126" t="e">
        <v>#N/A</v>
      </c>
      <c r="AK2725" s="80">
        <f t="shared" si="405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07"/>
        <v>1321.5999999999976</v>
      </c>
      <c r="X2726" s="13">
        <f t="shared" ref="X2726" si="410">IF(P2726="折扣",V2726*Q2726,IF(P2726="返现",V2726,V2726/(1+Q2726+AG2726)))</f>
        <v>0</v>
      </c>
      <c r="Y2726" s="13">
        <f t="shared" si="403"/>
        <v>0</v>
      </c>
      <c r="Z2726" s="2">
        <v>0</v>
      </c>
      <c r="AA2726" s="4">
        <v>0</v>
      </c>
      <c r="AB2726" s="4">
        <f t="shared" si="404"/>
        <v>0</v>
      </c>
      <c r="AC2726" s="6">
        <f t="shared" si="402"/>
        <v>0</v>
      </c>
      <c r="AD2726" s="4">
        <v>0</v>
      </c>
      <c r="AE2726" s="2">
        <v>0.06</v>
      </c>
      <c r="AF2726" s="5">
        <f t="shared" ref="AF2726:AF2728" si="411">AD2726*AE2726</f>
        <v>0</v>
      </c>
      <c r="AG2726" s="9">
        <v>0</v>
      </c>
      <c r="AH2726" s="4">
        <f t="shared" ref="AH2726" si="412">V2726/(1+AG2726)</f>
        <v>0</v>
      </c>
      <c r="AJ2726" s="126" t="e">
        <v>#N/A</v>
      </c>
      <c r="AK2726" s="80">
        <f t="shared" si="405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07"/>
        <v>0</v>
      </c>
      <c r="X2727" s="13">
        <f t="shared" ref="X2727" si="413">IF(P2727="折扣",V2727*Q2727,IF(P2727="返现",V2727,V2727/(1+Q2727)))</f>
        <v>0</v>
      </c>
      <c r="Y2727" s="13">
        <f t="shared" si="403"/>
        <v>0</v>
      </c>
      <c r="Z2727" s="2">
        <v>0</v>
      </c>
      <c r="AA2727" s="4">
        <v>0</v>
      </c>
      <c r="AB2727" s="4">
        <f t="shared" si="404"/>
        <v>0</v>
      </c>
      <c r="AC2727" s="6">
        <v>1427666.57</v>
      </c>
      <c r="AD2727" s="13">
        <f t="shared" ref="AD2727" si="414">V2727</f>
        <v>0</v>
      </c>
      <c r="AE2727" s="2">
        <v>0.05</v>
      </c>
      <c r="AF2727" s="5">
        <f t="shared" si="411"/>
        <v>0</v>
      </c>
      <c r="AG2727" s="2">
        <v>0</v>
      </c>
      <c r="AH2727" s="5">
        <f t="shared" ref="AH2727" si="415">V2727</f>
        <v>0</v>
      </c>
      <c r="AJ2727" s="126" t="e">
        <v>#N/A</v>
      </c>
      <c r="AK2727" s="80">
        <f t="shared" si="405"/>
        <v>0</v>
      </c>
      <c r="AM2727" s="85"/>
    </row>
    <row r="2728" spans="1:39" hidden="1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03"/>
        <v>0</v>
      </c>
      <c r="Z2728" s="22">
        <v>0.03</v>
      </c>
      <c r="AA2728" s="24">
        <f t="shared" ref="AA2728" si="416">X2728*Z2728</f>
        <v>10181.409</v>
      </c>
      <c r="AB2728" s="4">
        <f t="shared" si="404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11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05"/>
        <v>0</v>
      </c>
      <c r="AM2728" s="85"/>
    </row>
    <row r="2729" spans="1:39" hidden="1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03"/>
        <v>0</v>
      </c>
      <c r="Z2729" s="22">
        <v>0</v>
      </c>
      <c r="AA2729" s="24">
        <v>0</v>
      </c>
      <c r="AB2729" s="4">
        <f t="shared" si="404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05"/>
        <v>0</v>
      </c>
      <c r="AM2729" s="85"/>
    </row>
    <row r="2730" spans="1:39" hidden="1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17">X2730+AA2730</f>
        <v>27.15</v>
      </c>
      <c r="W2730" s="24"/>
      <c r="X2730" s="24">
        <v>27.15</v>
      </c>
      <c r="Y2730" s="13">
        <f t="shared" si="403"/>
        <v>0</v>
      </c>
      <c r="Z2730" s="22">
        <v>0</v>
      </c>
      <c r="AA2730" s="24">
        <v>0</v>
      </c>
      <c r="AB2730" s="4">
        <f t="shared" si="404"/>
        <v>27.15</v>
      </c>
      <c r="AC2730" s="26"/>
      <c r="AD2730" s="24">
        <f t="shared" ref="AD2730:AD2752" si="418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05"/>
        <v>0</v>
      </c>
      <c r="AM2730" s="85"/>
    </row>
    <row r="2731" spans="1:39" hidden="1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17"/>
        <v>2237.9700000000003</v>
      </c>
      <c r="W2731" s="24"/>
      <c r="X2731" s="24">
        <v>2237.9700000000003</v>
      </c>
      <c r="Y2731" s="13">
        <f t="shared" si="403"/>
        <v>0</v>
      </c>
      <c r="Z2731" s="22">
        <v>0</v>
      </c>
      <c r="AA2731" s="24">
        <v>0</v>
      </c>
      <c r="AB2731" s="4">
        <f t="shared" si="404"/>
        <v>2237.9700000000003</v>
      </c>
      <c r="AC2731" s="26"/>
      <c r="AD2731" s="24">
        <f t="shared" si="418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05"/>
        <v>0</v>
      </c>
      <c r="AM2731" s="85"/>
    </row>
    <row r="2732" spans="1:39" hidden="1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17"/>
        <v>38234.5</v>
      </c>
      <c r="W2732" s="24"/>
      <c r="X2732" s="24">
        <v>38234.5</v>
      </c>
      <c r="Y2732" s="13">
        <f t="shared" si="403"/>
        <v>0</v>
      </c>
      <c r="Z2732" s="22">
        <v>0</v>
      </c>
      <c r="AA2732" s="24">
        <v>0</v>
      </c>
      <c r="AB2732" s="4">
        <f t="shared" si="404"/>
        <v>38234.5</v>
      </c>
      <c r="AC2732" s="26"/>
      <c r="AD2732" s="24">
        <f t="shared" si="418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05"/>
        <v>0</v>
      </c>
      <c r="AM2732" s="85"/>
    </row>
    <row r="2733" spans="1:39" hidden="1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17"/>
        <v>146153.4</v>
      </c>
      <c r="W2733" s="24"/>
      <c r="X2733" s="24">
        <v>146153.4</v>
      </c>
      <c r="Y2733" s="13">
        <f t="shared" si="403"/>
        <v>0</v>
      </c>
      <c r="Z2733" s="22">
        <v>0</v>
      </c>
      <c r="AA2733" s="24">
        <v>0</v>
      </c>
      <c r="AB2733" s="4">
        <f t="shared" si="404"/>
        <v>146153.4</v>
      </c>
      <c r="AC2733" s="26"/>
      <c r="AD2733" s="24">
        <f t="shared" si="418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05"/>
        <v>0</v>
      </c>
      <c r="AM2733" s="85"/>
    </row>
    <row r="2734" spans="1:39" hidden="1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17"/>
        <v>31630.34</v>
      </c>
      <c r="W2734" s="24"/>
      <c r="X2734" s="24">
        <v>31630.34</v>
      </c>
      <c r="Y2734" s="13">
        <f t="shared" si="403"/>
        <v>0</v>
      </c>
      <c r="Z2734" s="22">
        <v>0</v>
      </c>
      <c r="AA2734" s="24">
        <v>0</v>
      </c>
      <c r="AB2734" s="4">
        <f t="shared" si="404"/>
        <v>31630.34</v>
      </c>
      <c r="AC2734" s="26"/>
      <c r="AD2734" s="24">
        <f t="shared" si="418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05"/>
        <v>0</v>
      </c>
      <c r="AM2734" s="85"/>
    </row>
    <row r="2735" spans="1:39" hidden="1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17"/>
        <v>35425.068627450979</v>
      </c>
      <c r="W2735" s="24"/>
      <c r="X2735" s="24">
        <v>35425.068627450979</v>
      </c>
      <c r="Y2735" s="13">
        <f t="shared" si="403"/>
        <v>0</v>
      </c>
      <c r="Z2735" s="22">
        <v>0</v>
      </c>
      <c r="AA2735" s="24">
        <v>0</v>
      </c>
      <c r="AB2735" s="4">
        <f t="shared" si="404"/>
        <v>35425.068627450979</v>
      </c>
      <c r="AC2735" s="26"/>
      <c r="AD2735" s="24">
        <f t="shared" si="418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05"/>
        <v>0</v>
      </c>
      <c r="AM2735" s="85"/>
    </row>
    <row r="2736" spans="1:39" hidden="1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17"/>
        <v>11306.186274509802</v>
      </c>
      <c r="W2736" s="24"/>
      <c r="X2736" s="24">
        <v>11306.186274509802</v>
      </c>
      <c r="Y2736" s="13">
        <f t="shared" si="403"/>
        <v>0</v>
      </c>
      <c r="Z2736" s="22">
        <v>0</v>
      </c>
      <c r="AA2736" s="24">
        <v>0</v>
      </c>
      <c r="AB2736" s="4">
        <f t="shared" si="404"/>
        <v>11306.186274509802</v>
      </c>
      <c r="AC2736" s="26"/>
      <c r="AD2736" s="24">
        <f t="shared" si="418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05"/>
        <v>0</v>
      </c>
      <c r="AM2736" s="85"/>
    </row>
    <row r="2737" spans="1:39" hidden="1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17"/>
        <v>129626.47</v>
      </c>
      <c r="W2737" s="24"/>
      <c r="X2737" s="24">
        <v>129626.47</v>
      </c>
      <c r="Y2737" s="13">
        <f t="shared" si="403"/>
        <v>0</v>
      </c>
      <c r="Z2737" s="22">
        <v>0</v>
      </c>
      <c r="AA2737" s="24">
        <v>0</v>
      </c>
      <c r="AB2737" s="4">
        <f t="shared" si="404"/>
        <v>129626.47</v>
      </c>
      <c r="AC2737" s="26"/>
      <c r="AD2737" s="24">
        <f t="shared" si="418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05"/>
        <v>0</v>
      </c>
      <c r="AM2737" s="85"/>
    </row>
    <row r="2738" spans="1:39" hidden="1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17"/>
        <v>30325.47</v>
      </c>
      <c r="W2738" s="24"/>
      <c r="X2738" s="24">
        <v>30325.47</v>
      </c>
      <c r="Y2738" s="13">
        <f t="shared" si="403"/>
        <v>0</v>
      </c>
      <c r="Z2738" s="22">
        <v>0</v>
      </c>
      <c r="AA2738" s="24">
        <v>0</v>
      </c>
      <c r="AB2738" s="4">
        <f t="shared" si="404"/>
        <v>30325.47</v>
      </c>
      <c r="AC2738" s="26"/>
      <c r="AD2738" s="24">
        <f t="shared" si="418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05"/>
        <v>0</v>
      </c>
      <c r="AM2738" s="85"/>
    </row>
    <row r="2739" spans="1:39" hidden="1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17"/>
        <v>1669.94</v>
      </c>
      <c r="W2739" s="24"/>
      <c r="X2739" s="24">
        <v>1669.94</v>
      </c>
      <c r="Y2739" s="13">
        <f t="shared" si="403"/>
        <v>0</v>
      </c>
      <c r="Z2739" s="22">
        <v>0</v>
      </c>
      <c r="AA2739" s="24">
        <v>0</v>
      </c>
      <c r="AB2739" s="4">
        <f t="shared" si="404"/>
        <v>1669.94</v>
      </c>
      <c r="AC2739" s="26"/>
      <c r="AD2739" s="24">
        <f t="shared" si="418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05"/>
        <v>0</v>
      </c>
      <c r="AM2739" s="85"/>
    </row>
    <row r="2740" spans="1:39" hidden="1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17"/>
        <v>109467.52445544553</v>
      </c>
      <c r="W2740" s="24"/>
      <c r="X2740" s="24">
        <v>109467.52445544553</v>
      </c>
      <c r="Y2740" s="13">
        <f t="shared" si="403"/>
        <v>0</v>
      </c>
      <c r="Z2740" s="22">
        <v>0</v>
      </c>
      <c r="AA2740" s="24">
        <v>0</v>
      </c>
      <c r="AB2740" s="4">
        <f t="shared" si="404"/>
        <v>109467.52445544553</v>
      </c>
      <c r="AC2740" s="26"/>
      <c r="AD2740" s="24">
        <f t="shared" si="418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05"/>
        <v>0</v>
      </c>
      <c r="AM2740" s="85"/>
    </row>
    <row r="2741" spans="1:39" hidden="1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17"/>
        <v>28186.899999999965</v>
      </c>
      <c r="W2741" s="24"/>
      <c r="X2741" s="24">
        <v>28186.899999999965</v>
      </c>
      <c r="Y2741" s="13">
        <f t="shared" si="403"/>
        <v>0</v>
      </c>
      <c r="Z2741" s="22">
        <v>0</v>
      </c>
      <c r="AA2741" s="24">
        <v>0</v>
      </c>
      <c r="AB2741" s="4">
        <f t="shared" si="404"/>
        <v>28186.899999999965</v>
      </c>
      <c r="AC2741" s="26"/>
      <c r="AD2741" s="24">
        <f t="shared" si="418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05"/>
        <v>0</v>
      </c>
      <c r="AM2741" s="85"/>
    </row>
    <row r="2742" spans="1:39" hidden="1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17"/>
        <v>366273.39999999991</v>
      </c>
      <c r="W2742" s="24"/>
      <c r="X2742" s="24">
        <v>366273.39999999991</v>
      </c>
      <c r="Y2742" s="13">
        <f t="shared" si="403"/>
        <v>0</v>
      </c>
      <c r="Z2742" s="22">
        <v>0</v>
      </c>
      <c r="AA2742" s="24">
        <v>0</v>
      </c>
      <c r="AB2742" s="4">
        <f t="shared" si="404"/>
        <v>366273.39999999991</v>
      </c>
      <c r="AC2742" s="26"/>
      <c r="AD2742" s="24">
        <f t="shared" si="418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05"/>
        <v>0</v>
      </c>
      <c r="AM2742" s="85"/>
    </row>
    <row r="2743" spans="1:39" hidden="1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17"/>
        <v>49987.961165048539</v>
      </c>
      <c r="W2743" s="24"/>
      <c r="X2743" s="24">
        <v>49987.961165048539</v>
      </c>
      <c r="Y2743" s="13">
        <f t="shared" si="403"/>
        <v>0</v>
      </c>
      <c r="Z2743" s="22">
        <v>0</v>
      </c>
      <c r="AA2743" s="24">
        <v>0</v>
      </c>
      <c r="AB2743" s="4">
        <f t="shared" si="404"/>
        <v>49987.961165048539</v>
      </c>
      <c r="AC2743" s="26"/>
      <c r="AD2743" s="24">
        <f t="shared" si="418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05"/>
        <v>0</v>
      </c>
      <c r="AM2743" s="85"/>
    </row>
    <row r="2744" spans="1:39" hidden="1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17"/>
        <v>40724.040816326531</v>
      </c>
      <c r="W2744" s="24"/>
      <c r="X2744" s="24">
        <v>39909.56</v>
      </c>
      <c r="Y2744" s="13">
        <f t="shared" si="403"/>
        <v>0</v>
      </c>
      <c r="Z2744" s="22">
        <v>0.02</v>
      </c>
      <c r="AA2744" s="26">
        <v>814.48081632653066</v>
      </c>
      <c r="AB2744" s="4">
        <f t="shared" si="404"/>
        <v>40724.040816326531</v>
      </c>
      <c r="AC2744" s="26"/>
      <c r="AD2744" s="24">
        <f t="shared" si="418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05"/>
        <v>0</v>
      </c>
      <c r="AM2744" s="85"/>
    </row>
    <row r="2745" spans="1:39" hidden="1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03"/>
        <v>0</v>
      </c>
      <c r="Z2745" s="22">
        <v>0</v>
      </c>
      <c r="AA2745" s="24">
        <v>0</v>
      </c>
      <c r="AB2745" s="4">
        <f t="shared" si="404"/>
        <v>40635.0742718447</v>
      </c>
      <c r="AC2745" s="26"/>
      <c r="AD2745" s="24">
        <f t="shared" si="418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05"/>
        <v>0</v>
      </c>
      <c r="AM2745" s="85"/>
    </row>
    <row r="2746" spans="1:39" hidden="1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17"/>
        <v>13642.480000000001</v>
      </c>
      <c r="W2746" s="24"/>
      <c r="X2746" s="24">
        <v>13642.480000000001</v>
      </c>
      <c r="Y2746" s="13">
        <f t="shared" si="403"/>
        <v>0</v>
      </c>
      <c r="Z2746" s="22">
        <v>0</v>
      </c>
      <c r="AA2746" s="24">
        <v>0</v>
      </c>
      <c r="AB2746" s="4">
        <f t="shared" si="404"/>
        <v>13642.480000000001</v>
      </c>
      <c r="AC2746" s="26"/>
      <c r="AD2746" s="24">
        <f t="shared" si="418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05"/>
        <v>0</v>
      </c>
      <c r="AM2746" s="85"/>
    </row>
    <row r="2747" spans="1:39" hidden="1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17"/>
        <v>10685.284313725509</v>
      </c>
      <c r="W2747" s="24"/>
      <c r="X2747" s="24">
        <v>10685.284313725509</v>
      </c>
      <c r="Y2747" s="13">
        <f t="shared" si="403"/>
        <v>0</v>
      </c>
      <c r="Z2747" s="22">
        <v>0</v>
      </c>
      <c r="AA2747" s="24">
        <v>0</v>
      </c>
      <c r="AB2747" s="4">
        <f t="shared" si="404"/>
        <v>10685.284313725509</v>
      </c>
      <c r="AC2747" s="26"/>
      <c r="AD2747" s="24">
        <f t="shared" si="418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05"/>
        <v>0</v>
      </c>
      <c r="AM2747" s="85"/>
    </row>
    <row r="2748" spans="1:39" hidden="1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17"/>
        <v>100691.06796116508</v>
      </c>
      <c r="W2748" s="24"/>
      <c r="X2748" s="24">
        <v>100691.06796116508</v>
      </c>
      <c r="Y2748" s="13">
        <f t="shared" si="403"/>
        <v>0</v>
      </c>
      <c r="Z2748" s="22">
        <v>0</v>
      </c>
      <c r="AA2748" s="24">
        <v>0</v>
      </c>
      <c r="AB2748" s="4">
        <f t="shared" si="404"/>
        <v>100691.06796116508</v>
      </c>
      <c r="AC2748" s="26"/>
      <c r="AD2748" s="24">
        <f t="shared" si="418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05"/>
        <v>0</v>
      </c>
      <c r="AM2748" s="85"/>
    </row>
    <row r="2749" spans="1:39" hidden="1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17"/>
        <v>232565.82524271848</v>
      </c>
      <c r="W2749" s="24"/>
      <c r="X2749" s="24">
        <v>232565.82524271848</v>
      </c>
      <c r="Y2749" s="13">
        <f t="shared" si="403"/>
        <v>0</v>
      </c>
      <c r="Z2749" s="22">
        <v>0</v>
      </c>
      <c r="AA2749" s="24">
        <v>0</v>
      </c>
      <c r="AB2749" s="4">
        <f t="shared" si="404"/>
        <v>232565.82524271848</v>
      </c>
      <c r="AC2749" s="26"/>
      <c r="AD2749" s="24">
        <f t="shared" si="418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05"/>
        <v>0</v>
      </c>
      <c r="AM2749" s="85"/>
    </row>
    <row r="2750" spans="1:39" hidden="1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17"/>
        <v>694</v>
      </c>
      <c r="W2750" s="24"/>
      <c r="X2750" s="24">
        <v>694</v>
      </c>
      <c r="Y2750" s="13">
        <f t="shared" si="403"/>
        <v>0</v>
      </c>
      <c r="Z2750" s="22">
        <v>0</v>
      </c>
      <c r="AA2750" s="24">
        <v>0</v>
      </c>
      <c r="AB2750" s="4">
        <f t="shared" si="404"/>
        <v>694</v>
      </c>
      <c r="AC2750" s="26"/>
      <c r="AD2750" s="24">
        <f t="shared" si="418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05"/>
        <v>0</v>
      </c>
      <c r="AM2750" s="85"/>
    </row>
    <row r="2751" spans="1:39" hidden="1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17"/>
        <v>11047</v>
      </c>
      <c r="W2751" s="24"/>
      <c r="X2751" s="24">
        <v>11047</v>
      </c>
      <c r="Y2751" s="13">
        <f t="shared" si="403"/>
        <v>0</v>
      </c>
      <c r="Z2751" s="22">
        <v>0</v>
      </c>
      <c r="AA2751" s="24">
        <v>0</v>
      </c>
      <c r="AB2751" s="4">
        <f t="shared" si="404"/>
        <v>11047</v>
      </c>
      <c r="AC2751" s="26"/>
      <c r="AD2751" s="24">
        <f t="shared" si="418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05"/>
        <v>0</v>
      </c>
      <c r="AM2751" s="85"/>
    </row>
    <row r="2752" spans="1:39" hidden="1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17"/>
        <v>400</v>
      </c>
      <c r="W2752" s="24"/>
      <c r="X2752" s="24">
        <v>400</v>
      </c>
      <c r="Y2752" s="13">
        <f t="shared" si="403"/>
        <v>0</v>
      </c>
      <c r="Z2752" s="22">
        <v>0</v>
      </c>
      <c r="AA2752" s="24">
        <v>0</v>
      </c>
      <c r="AB2752" s="4">
        <f t="shared" si="404"/>
        <v>400</v>
      </c>
      <c r="AC2752" s="26"/>
      <c r="AD2752" s="24">
        <f t="shared" si="418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05"/>
        <v>0</v>
      </c>
      <c r="AM2752" s="85"/>
    </row>
    <row r="2753" spans="1:39" s="23" customFormat="1" hidden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03"/>
        <v>0</v>
      </c>
      <c r="Z2753" s="22">
        <v>0</v>
      </c>
      <c r="AA2753" s="24"/>
      <c r="AB2753" s="4">
        <f t="shared" si="404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05"/>
        <v>0</v>
      </c>
      <c r="AL2753" s="85"/>
      <c r="AM2753" s="85"/>
    </row>
    <row r="2754" spans="1:39" s="23" customFormat="1" hidden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19">X2754</f>
        <v>425191.50837202749</v>
      </c>
      <c r="W2754" s="24"/>
      <c r="X2754" s="24">
        <v>425191.50837202749</v>
      </c>
      <c r="Y2754" s="13">
        <f t="shared" si="403"/>
        <v>0</v>
      </c>
      <c r="Z2754" s="22">
        <v>0</v>
      </c>
      <c r="AA2754" s="24"/>
      <c r="AB2754" s="4">
        <f t="shared" si="404"/>
        <v>425191.50837202749</v>
      </c>
      <c r="AC2754" s="24"/>
      <c r="AD2754" s="24">
        <f t="shared" ref="AD2754:AD2756" si="420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05"/>
        <v>0</v>
      </c>
      <c r="AL2754" s="85"/>
      <c r="AM2754" s="85"/>
    </row>
    <row r="2755" spans="1:39" s="23" customFormat="1" hidden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19"/>
        <v>40386.443749999999</v>
      </c>
      <c r="W2755" s="24"/>
      <c r="X2755" s="24">
        <v>40386.443749999999</v>
      </c>
      <c r="Y2755" s="13">
        <f t="shared" ref="Y2755:Y2818" si="421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22">X2755+AA2755</f>
        <v>40386.443749999999</v>
      </c>
      <c r="AC2755" s="24"/>
      <c r="AD2755" s="24">
        <f t="shared" si="420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23">X2755+AA2755-AB2755</f>
        <v>0</v>
      </c>
      <c r="AL2755" s="85"/>
      <c r="AM2755" s="85"/>
    </row>
    <row r="2756" spans="1:39" s="23" customFormat="1" hidden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19"/>
        <v>1.23</v>
      </c>
      <c r="W2756" s="24"/>
      <c r="X2756" s="24">
        <v>1.23</v>
      </c>
      <c r="Y2756" s="13">
        <f t="shared" si="421"/>
        <v>0</v>
      </c>
      <c r="Z2756" s="22">
        <v>0</v>
      </c>
      <c r="AA2756" s="132"/>
      <c r="AB2756" s="4">
        <f t="shared" si="422"/>
        <v>1.23</v>
      </c>
      <c r="AC2756" s="132"/>
      <c r="AD2756" s="24">
        <f t="shared" si="420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23"/>
        <v>0</v>
      </c>
      <c r="AL2756" s="85"/>
      <c r="AM2756" s="85"/>
    </row>
    <row r="2757" spans="1:39" hidden="1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24">T2757+U2757-V2757</f>
        <v>0</v>
      </c>
      <c r="X2757" s="13">
        <f>IF(P2757="折扣",V2757*Q2757,IF(P2757="返现",V2757,V2757/(1+Q2757+AG2757)))</f>
        <v>1209410.9354413704</v>
      </c>
      <c r="Y2757" s="13">
        <f t="shared" si="421"/>
        <v>1209410.9354413704</v>
      </c>
      <c r="Z2757" s="2">
        <v>0</v>
      </c>
      <c r="AA2757" s="4">
        <v>0</v>
      </c>
      <c r="AB2757" s="4">
        <f t="shared" si="422"/>
        <v>1209410.9354413704</v>
      </c>
      <c r="AC2757" s="6">
        <f t="shared" ref="AC2757:AC2759" si="425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26">AD2757*AE2757</f>
        <v>0</v>
      </c>
      <c r="AG2757" s="9">
        <v>0.47299999999999998</v>
      </c>
      <c r="AH2757" s="4">
        <f t="shared" ref="AH2757" si="427">V2757/(1+AG2757)</f>
        <v>1246358.3163611679</v>
      </c>
      <c r="AJ2757" s="126" t="e">
        <v>#N/A</v>
      </c>
      <c r="AK2757" s="80">
        <f t="shared" si="423"/>
        <v>0</v>
      </c>
      <c r="AM2757" s="85"/>
    </row>
    <row r="2758" spans="1:39" hidden="1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24"/>
        <v>-4250.7</v>
      </c>
      <c r="X2758" s="18">
        <f t="shared" ref="X2758:X2762" si="428">IF(P2758="折扣",V2758*Q2758,IF(P2758="返现",V2758,V2758/(1+Q2758)))</f>
        <v>4250.7</v>
      </c>
      <c r="Y2758" s="13">
        <f t="shared" si="421"/>
        <v>1704.7208992179535</v>
      </c>
      <c r="Z2758" s="14">
        <v>0</v>
      </c>
      <c r="AA2758" s="4">
        <v>0</v>
      </c>
      <c r="AB2758" s="4">
        <f t="shared" si="422"/>
        <v>4250.7</v>
      </c>
      <c r="AC2758" s="6">
        <f t="shared" si="425"/>
        <v>0</v>
      </c>
      <c r="AD2758" s="6">
        <f t="shared" ref="AD2758" si="429">V2758*0.598955254612663</f>
        <v>2545.9791007820463</v>
      </c>
      <c r="AE2758" s="2">
        <v>0.15</v>
      </c>
      <c r="AF2758" s="5">
        <f t="shared" si="426"/>
        <v>381.89686511730696</v>
      </c>
      <c r="AG2758" s="14">
        <v>0</v>
      </c>
      <c r="AH2758" s="19">
        <f t="shared" ref="AH2758:AH2759" si="430">V2758</f>
        <v>4250.7</v>
      </c>
      <c r="AJ2758" s="126" t="e">
        <v>#N/A</v>
      </c>
      <c r="AK2758" s="80">
        <f t="shared" si="423"/>
        <v>0</v>
      </c>
      <c r="AM2758" s="85"/>
    </row>
    <row r="2759" spans="1:39" hidden="1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">
        <v>3712</v>
      </c>
      <c r="L2759" s="1" t="s">
        <v>35</v>
      </c>
      <c r="N2759" s="3" t="s">
        <v>3712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24"/>
        <v>-298239.03999999992</v>
      </c>
      <c r="X2759" s="13">
        <f t="shared" si="428"/>
        <v>295286.1782178217</v>
      </c>
      <c r="Y2759" s="13">
        <f t="shared" si="421"/>
        <v>0</v>
      </c>
      <c r="Z2759" s="2">
        <v>0</v>
      </c>
      <c r="AA2759" s="4">
        <v>0</v>
      </c>
      <c r="AB2759" s="4">
        <f t="shared" si="422"/>
        <v>295286.1782178217</v>
      </c>
      <c r="AC2759" s="6">
        <f t="shared" si="425"/>
        <v>2952.8617821782245</v>
      </c>
      <c r="AD2759" s="13">
        <f t="shared" ref="AD2759" si="431">V2759</f>
        <v>298239.03999999992</v>
      </c>
      <c r="AE2759" s="2">
        <v>0.05</v>
      </c>
      <c r="AF2759" s="5">
        <f t="shared" si="426"/>
        <v>14911.951999999997</v>
      </c>
      <c r="AG2759" s="2">
        <v>0</v>
      </c>
      <c r="AH2759" s="5">
        <f t="shared" si="430"/>
        <v>298239.03999999992</v>
      </c>
      <c r="AJ2759" s="126" t="e">
        <v>#N/A</v>
      </c>
      <c r="AK2759" s="80">
        <f t="shared" si="423"/>
        <v>0</v>
      </c>
      <c r="AM2759" s="85"/>
    </row>
    <row r="2760" spans="1:39" hidden="1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24"/>
        <v>0</v>
      </c>
      <c r="X2760" s="18">
        <f t="shared" si="428"/>
        <v>12693.13725490196</v>
      </c>
      <c r="Y2760" s="13">
        <f t="shared" si="421"/>
        <v>4938.4635734318126</v>
      </c>
      <c r="Z2760" s="14">
        <v>0</v>
      </c>
      <c r="AB2760" s="4">
        <f t="shared" si="422"/>
        <v>12693.13725490196</v>
      </c>
      <c r="AD2760" s="6">
        <f t="shared" ref="AD2760:AD2761" si="432">V2760*0.598955254612663</f>
        <v>7754.6736814701471</v>
      </c>
      <c r="AJ2760" s="126" t="e">
        <v>#N/A</v>
      </c>
      <c r="AK2760" s="80">
        <f t="shared" si="423"/>
        <v>0</v>
      </c>
      <c r="AM2760" s="85"/>
    </row>
    <row r="2761" spans="1:39" hidden="1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24"/>
        <v>0</v>
      </c>
      <c r="X2761" s="18">
        <f t="shared" si="428"/>
        <v>46526.274509803923</v>
      </c>
      <c r="Y2761" s="13">
        <f t="shared" si="421"/>
        <v>18101.774782701697</v>
      </c>
      <c r="Z2761" s="14">
        <v>0</v>
      </c>
      <c r="AB2761" s="4">
        <f t="shared" si="422"/>
        <v>46526.274509803923</v>
      </c>
      <c r="AD2761" s="6">
        <f t="shared" si="432"/>
        <v>28424.499727102226</v>
      </c>
      <c r="AJ2761" s="126" t="e">
        <v>#N/A</v>
      </c>
      <c r="AK2761" s="80">
        <f t="shared" si="423"/>
        <v>0</v>
      </c>
      <c r="AM2761" s="85"/>
    </row>
    <row r="2762" spans="1:39" hidden="1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24"/>
        <v>-21800.559999999597</v>
      </c>
      <c r="X2762" s="18">
        <f t="shared" si="428"/>
        <v>21800.559999999597</v>
      </c>
      <c r="Y2762" s="13">
        <f t="shared" si="421"/>
        <v>9873.2564658961746</v>
      </c>
      <c r="Z2762" s="14">
        <v>0</v>
      </c>
      <c r="AA2762" s="4">
        <v>0</v>
      </c>
      <c r="AB2762" s="4">
        <f t="shared" si="422"/>
        <v>21800.559999999597</v>
      </c>
      <c r="AC2762" s="6">
        <f t="shared" ref="AC2762" si="433">IF(P2762="返现",X2762*Q2762,V2762-X2762)</f>
        <v>0</v>
      </c>
      <c r="AD2762" s="18">
        <f t="shared" ref="AD2762" si="434">V2762*0.547109961125019</f>
        <v>11927.303534103423</v>
      </c>
      <c r="AE2762" s="2">
        <v>0.12</v>
      </c>
      <c r="AF2762" s="5">
        <f t="shared" ref="AF2762" si="435">AD2762*AE2762</f>
        <v>1431.2764240924107</v>
      </c>
      <c r="AG2762" s="14">
        <v>0</v>
      </c>
      <c r="AH2762" s="10">
        <f t="shared" ref="AH2762" si="436">V2762</f>
        <v>21800.559999999597</v>
      </c>
      <c r="AI2762" s="16"/>
      <c r="AJ2762" s="126" t="e">
        <v>#N/A</v>
      </c>
      <c r="AK2762" s="80">
        <f t="shared" si="423"/>
        <v>0</v>
      </c>
      <c r="AM2762" s="85"/>
    </row>
    <row r="2763" spans="1:39" hidden="1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21"/>
        <v>0.34076190476190504</v>
      </c>
      <c r="Z2763" s="14">
        <v>0</v>
      </c>
      <c r="AA2763" s="6">
        <v>0</v>
      </c>
      <c r="AB2763" s="4">
        <f t="shared" si="422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23"/>
        <v>0</v>
      </c>
      <c r="AM2763" s="85"/>
    </row>
    <row r="2764" spans="1:39" hidden="1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37">T2764+U2764-V2764</f>
        <v>30360.768000000011</v>
      </c>
      <c r="X2764" s="6">
        <f t="shared" ref="X2764:X2788" si="438">IF(P2764="折扣",V2764*Q2764,IF(P2764="返现",V2764,V2764/(1+Q2764)))</f>
        <v>41886.243689320378</v>
      </c>
      <c r="Y2764" s="13">
        <f t="shared" si="421"/>
        <v>900.55423932038684</v>
      </c>
      <c r="Z2764" s="14">
        <v>0</v>
      </c>
      <c r="AA2764" s="6">
        <v>0</v>
      </c>
      <c r="AB2764" s="4">
        <f t="shared" si="422"/>
        <v>41886.243689320378</v>
      </c>
      <c r="AC2764" s="4">
        <f t="shared" ref="AC2764:AC2827" si="439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40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23"/>
        <v>0</v>
      </c>
      <c r="AM2764" s="85"/>
    </row>
    <row r="2765" spans="1:39" hidden="1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37"/>
        <v>-5559.39</v>
      </c>
      <c r="X2765" s="6">
        <f t="shared" si="438"/>
        <v>0</v>
      </c>
      <c r="Y2765" s="13">
        <f t="shared" si="421"/>
        <v>0</v>
      </c>
      <c r="Z2765" s="14">
        <v>0.02</v>
      </c>
      <c r="AA2765" s="6">
        <f>X2765*Z2765</f>
        <v>0</v>
      </c>
      <c r="AB2765" s="4">
        <f t="shared" si="422"/>
        <v>0</v>
      </c>
      <c r="AC2765" s="4">
        <f t="shared" si="439"/>
        <v>0</v>
      </c>
      <c r="AD2765" s="6">
        <v>0</v>
      </c>
      <c r="AE2765" s="2">
        <v>0</v>
      </c>
      <c r="AF2765" s="6">
        <f t="shared" si="440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23"/>
        <v>0</v>
      </c>
      <c r="AM2765" s="85"/>
    </row>
    <row r="2766" spans="1:39" hidden="1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37"/>
        <v>-978.4709999999925</v>
      </c>
      <c r="X2766" s="6">
        <f t="shared" si="438"/>
        <v>0</v>
      </c>
      <c r="Y2766" s="13">
        <f t="shared" si="421"/>
        <v>0</v>
      </c>
      <c r="Z2766" s="14">
        <v>0</v>
      </c>
      <c r="AA2766" s="6">
        <v>0</v>
      </c>
      <c r="AB2766" s="4">
        <f t="shared" si="422"/>
        <v>0</v>
      </c>
      <c r="AC2766" s="4">
        <f t="shared" si="439"/>
        <v>0</v>
      </c>
      <c r="AD2766" s="6">
        <v>0</v>
      </c>
      <c r="AE2766" s="2">
        <v>0</v>
      </c>
      <c r="AF2766" s="6">
        <f t="shared" si="440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23"/>
        <v>0</v>
      </c>
      <c r="AM2766" s="85"/>
    </row>
    <row r="2767" spans="1:39" hidden="1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37"/>
        <v>9.9999999994988542E-3</v>
      </c>
      <c r="X2767" s="6">
        <f t="shared" si="438"/>
        <v>0</v>
      </c>
      <c r="Y2767" s="13">
        <f t="shared" si="421"/>
        <v>0</v>
      </c>
      <c r="Z2767" s="14">
        <v>0</v>
      </c>
      <c r="AA2767" s="6">
        <v>0</v>
      </c>
      <c r="AB2767" s="4">
        <f t="shared" si="422"/>
        <v>0</v>
      </c>
      <c r="AC2767" s="4">
        <f t="shared" si="439"/>
        <v>0</v>
      </c>
      <c r="AD2767" s="6">
        <v>0</v>
      </c>
      <c r="AE2767" s="2">
        <v>0</v>
      </c>
      <c r="AF2767" s="6">
        <f t="shared" si="440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23"/>
        <v>0</v>
      </c>
      <c r="AM2767" s="85"/>
    </row>
    <row r="2768" spans="1:39" hidden="1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37"/>
        <v>11079.391000000018</v>
      </c>
      <c r="X2768" s="6">
        <f t="shared" si="438"/>
        <v>0</v>
      </c>
      <c r="Y2768" s="13">
        <f t="shared" si="421"/>
        <v>0</v>
      </c>
      <c r="Z2768" s="14">
        <v>0</v>
      </c>
      <c r="AA2768" s="6">
        <v>0</v>
      </c>
      <c r="AB2768" s="4">
        <f t="shared" si="422"/>
        <v>0</v>
      </c>
      <c r="AC2768" s="4">
        <f t="shared" si="439"/>
        <v>0</v>
      </c>
      <c r="AD2768" s="6">
        <v>0</v>
      </c>
      <c r="AE2768" s="2">
        <v>0</v>
      </c>
      <c r="AF2768" s="6">
        <f t="shared" si="440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23"/>
        <v>0</v>
      </c>
      <c r="AM2768" s="85"/>
    </row>
    <row r="2769" spans="1:39" hidden="1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37"/>
        <v>14622.041000000012</v>
      </c>
      <c r="X2769" s="6">
        <f t="shared" si="438"/>
        <v>0</v>
      </c>
      <c r="Y2769" s="13">
        <f t="shared" si="421"/>
        <v>0</v>
      </c>
      <c r="Z2769" s="14">
        <v>0</v>
      </c>
      <c r="AA2769" s="6">
        <v>0</v>
      </c>
      <c r="AB2769" s="4">
        <f t="shared" si="422"/>
        <v>0</v>
      </c>
      <c r="AC2769" s="4">
        <f t="shared" si="439"/>
        <v>0</v>
      </c>
      <c r="AD2769" s="6">
        <v>0</v>
      </c>
      <c r="AE2769" s="2">
        <v>0</v>
      </c>
      <c r="AF2769" s="6">
        <f t="shared" si="440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23"/>
        <v>0</v>
      </c>
      <c r="AM2769" s="85"/>
    </row>
    <row r="2770" spans="1:39" hidden="1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37"/>
        <v>1698653.26229</v>
      </c>
      <c r="X2770" s="6">
        <f t="shared" si="438"/>
        <v>0</v>
      </c>
      <c r="Y2770" s="13">
        <f t="shared" si="421"/>
        <v>0</v>
      </c>
      <c r="Z2770" s="14">
        <v>0</v>
      </c>
      <c r="AA2770" s="6">
        <v>0</v>
      </c>
      <c r="AB2770" s="4">
        <f t="shared" si="422"/>
        <v>0</v>
      </c>
      <c r="AC2770" s="4">
        <f t="shared" si="439"/>
        <v>0</v>
      </c>
      <c r="AD2770" s="6">
        <v>0</v>
      </c>
      <c r="AE2770" s="2">
        <v>0</v>
      </c>
      <c r="AF2770" s="6">
        <f t="shared" si="440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23"/>
        <v>0</v>
      </c>
      <c r="AM2770" s="85"/>
    </row>
    <row r="2771" spans="1:39" hidden="1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37"/>
        <v>1.0000000000218279E-2</v>
      </c>
      <c r="X2771" s="6">
        <f t="shared" si="438"/>
        <v>0</v>
      </c>
      <c r="Y2771" s="13">
        <f t="shared" si="421"/>
        <v>0</v>
      </c>
      <c r="Z2771" s="14">
        <v>0</v>
      </c>
      <c r="AA2771" s="6">
        <v>0</v>
      </c>
      <c r="AB2771" s="4">
        <f t="shared" si="422"/>
        <v>0</v>
      </c>
      <c r="AC2771" s="4">
        <f t="shared" si="439"/>
        <v>0</v>
      </c>
      <c r="AD2771" s="6">
        <v>0</v>
      </c>
      <c r="AE2771" s="2">
        <v>0</v>
      </c>
      <c r="AF2771" s="6">
        <f t="shared" si="440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23"/>
        <v>0</v>
      </c>
      <c r="AM2771" s="85"/>
    </row>
    <row r="2772" spans="1:39" hidden="1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37"/>
        <v>7284.76</v>
      </c>
      <c r="X2772" s="6">
        <f t="shared" si="438"/>
        <v>0</v>
      </c>
      <c r="Y2772" s="13">
        <f t="shared" si="421"/>
        <v>0</v>
      </c>
      <c r="Z2772" s="14">
        <v>0</v>
      </c>
      <c r="AA2772" s="6">
        <v>0</v>
      </c>
      <c r="AB2772" s="4">
        <f t="shared" si="422"/>
        <v>0</v>
      </c>
      <c r="AC2772" s="4">
        <f t="shared" si="439"/>
        <v>0</v>
      </c>
      <c r="AD2772" s="6">
        <v>0</v>
      </c>
      <c r="AE2772" s="2">
        <v>0</v>
      </c>
      <c r="AF2772" s="6">
        <f t="shared" si="440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23"/>
        <v>0</v>
      </c>
      <c r="AM2772" s="85"/>
    </row>
    <row r="2773" spans="1:39" hidden="1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37"/>
        <v>-7203.2599999999984</v>
      </c>
      <c r="X2773" s="6">
        <f t="shared" si="438"/>
        <v>0</v>
      </c>
      <c r="Y2773" s="13">
        <f t="shared" si="421"/>
        <v>0</v>
      </c>
      <c r="Z2773" s="14">
        <v>0</v>
      </c>
      <c r="AA2773" s="6">
        <v>0</v>
      </c>
      <c r="AB2773" s="4">
        <f t="shared" si="422"/>
        <v>0</v>
      </c>
      <c r="AC2773" s="4">
        <f t="shared" si="439"/>
        <v>0</v>
      </c>
      <c r="AD2773" s="6">
        <v>0</v>
      </c>
      <c r="AE2773" s="2">
        <v>0</v>
      </c>
      <c r="AF2773" s="6">
        <f t="shared" si="440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23"/>
        <v>0</v>
      </c>
      <c r="AM2773" s="85"/>
    </row>
    <row r="2774" spans="1:39" hidden="1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37"/>
        <v>25818.397659999999</v>
      </c>
      <c r="X2774" s="6">
        <f t="shared" si="438"/>
        <v>0</v>
      </c>
      <c r="Y2774" s="13">
        <f t="shared" si="421"/>
        <v>0</v>
      </c>
      <c r="Z2774" s="14">
        <v>0.02</v>
      </c>
      <c r="AA2774" s="6">
        <f>X2774*Z2774</f>
        <v>0</v>
      </c>
      <c r="AB2774" s="4">
        <f t="shared" si="422"/>
        <v>0</v>
      </c>
      <c r="AC2774" s="4">
        <f t="shared" si="439"/>
        <v>0</v>
      </c>
      <c r="AD2774" s="6">
        <v>0</v>
      </c>
      <c r="AE2774" s="2">
        <v>0</v>
      </c>
      <c r="AF2774" s="6">
        <f t="shared" si="440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23"/>
        <v>0</v>
      </c>
      <c r="AM2774" s="85"/>
    </row>
    <row r="2775" spans="1:39" hidden="1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37"/>
        <v>1137087.5482300001</v>
      </c>
      <c r="X2775" s="6">
        <f t="shared" si="438"/>
        <v>0</v>
      </c>
      <c r="Y2775" s="13">
        <f t="shared" si="421"/>
        <v>0</v>
      </c>
      <c r="Z2775" s="14">
        <v>0</v>
      </c>
      <c r="AA2775" s="6">
        <v>0</v>
      </c>
      <c r="AB2775" s="4">
        <f t="shared" si="422"/>
        <v>0</v>
      </c>
      <c r="AC2775" s="4">
        <f t="shared" si="439"/>
        <v>0</v>
      </c>
      <c r="AD2775" s="6">
        <v>0</v>
      </c>
      <c r="AE2775" s="2">
        <v>0</v>
      </c>
      <c r="AF2775" s="6">
        <f t="shared" si="440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23"/>
        <v>0</v>
      </c>
      <c r="AM2775" s="85"/>
    </row>
    <row r="2776" spans="1:39" hidden="1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37"/>
        <v>-1135040.31</v>
      </c>
      <c r="X2776" s="6">
        <f t="shared" si="438"/>
        <v>0</v>
      </c>
      <c r="Y2776" s="13">
        <f t="shared" si="421"/>
        <v>0</v>
      </c>
      <c r="Z2776" s="14">
        <v>0</v>
      </c>
      <c r="AA2776" s="6">
        <v>0</v>
      </c>
      <c r="AB2776" s="4">
        <f t="shared" si="422"/>
        <v>0</v>
      </c>
      <c r="AC2776" s="4">
        <f t="shared" si="439"/>
        <v>0</v>
      </c>
      <c r="AD2776" s="6">
        <v>0</v>
      </c>
      <c r="AE2776" s="2">
        <v>0</v>
      </c>
      <c r="AF2776" s="6">
        <f t="shared" si="440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23"/>
        <v>0</v>
      </c>
      <c r="AM2776" s="85"/>
    </row>
    <row r="2777" spans="1:39" hidden="1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37"/>
        <v>-1697896.06</v>
      </c>
      <c r="X2777" s="6">
        <f t="shared" si="438"/>
        <v>0</v>
      </c>
      <c r="Y2777" s="13">
        <f t="shared" si="421"/>
        <v>0</v>
      </c>
      <c r="Z2777" s="14">
        <v>0</v>
      </c>
      <c r="AA2777" s="6">
        <v>0</v>
      </c>
      <c r="AB2777" s="4">
        <f t="shared" si="422"/>
        <v>0</v>
      </c>
      <c r="AC2777" s="4">
        <f t="shared" si="439"/>
        <v>0</v>
      </c>
      <c r="AD2777" s="6">
        <v>0</v>
      </c>
      <c r="AE2777" s="2">
        <v>0</v>
      </c>
      <c r="AF2777" s="6">
        <f t="shared" si="440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23"/>
        <v>0</v>
      </c>
      <c r="AM2777" s="85"/>
    </row>
    <row r="2778" spans="1:39" hidden="1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37"/>
        <v>986.86000000000104</v>
      </c>
      <c r="X2778" s="6">
        <f t="shared" si="438"/>
        <v>0</v>
      </c>
      <c r="Y2778" s="13">
        <f t="shared" si="421"/>
        <v>0</v>
      </c>
      <c r="Z2778" s="14">
        <v>0</v>
      </c>
      <c r="AA2778" s="6">
        <v>0</v>
      </c>
      <c r="AB2778" s="4">
        <f t="shared" si="422"/>
        <v>0</v>
      </c>
      <c r="AC2778" s="4">
        <f t="shared" si="439"/>
        <v>0</v>
      </c>
      <c r="AD2778" s="6">
        <v>0</v>
      </c>
      <c r="AE2778" s="2">
        <v>0</v>
      </c>
      <c r="AF2778" s="6">
        <f t="shared" si="440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23"/>
        <v>0</v>
      </c>
      <c r="AM2778" s="85"/>
    </row>
    <row r="2779" spans="1:39" hidden="1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37"/>
        <v>145.4</v>
      </c>
      <c r="X2779" s="6">
        <f t="shared" si="438"/>
        <v>0</v>
      </c>
      <c r="Y2779" s="13">
        <f t="shared" si="421"/>
        <v>0</v>
      </c>
      <c r="Z2779" s="14">
        <v>0</v>
      </c>
      <c r="AA2779" s="6">
        <v>0</v>
      </c>
      <c r="AB2779" s="4">
        <f t="shared" si="422"/>
        <v>0</v>
      </c>
      <c r="AC2779" s="4">
        <f t="shared" si="439"/>
        <v>0</v>
      </c>
      <c r="AD2779" s="6">
        <v>0</v>
      </c>
      <c r="AE2779" s="2">
        <v>0</v>
      </c>
      <c r="AF2779" s="6">
        <f t="shared" si="440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23"/>
        <v>0</v>
      </c>
      <c r="AM2779" s="85"/>
    </row>
    <row r="2780" spans="1:39" hidden="1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37"/>
        <v>57356.7</v>
      </c>
      <c r="X2780" s="6">
        <f t="shared" si="438"/>
        <v>0</v>
      </c>
      <c r="Y2780" s="13">
        <f t="shared" si="421"/>
        <v>0</v>
      </c>
      <c r="Z2780" s="14">
        <v>5.5E-2</v>
      </c>
      <c r="AA2780" s="6">
        <f>X2780*Z2780</f>
        <v>0</v>
      </c>
      <c r="AB2780" s="4">
        <f t="shared" si="422"/>
        <v>0</v>
      </c>
      <c r="AC2780" s="4">
        <f t="shared" si="439"/>
        <v>0</v>
      </c>
      <c r="AD2780" s="6">
        <v>0</v>
      </c>
      <c r="AE2780" s="2">
        <v>0</v>
      </c>
      <c r="AF2780" s="6">
        <f t="shared" si="440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23"/>
        <v>0</v>
      </c>
      <c r="AM2780" s="85"/>
    </row>
    <row r="2781" spans="1:39" hidden="1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37"/>
        <v>7.9999999898063834E-3</v>
      </c>
      <c r="X2781" s="6">
        <f t="shared" si="438"/>
        <v>0</v>
      </c>
      <c r="Y2781" s="13">
        <f t="shared" si="421"/>
        <v>0</v>
      </c>
      <c r="Z2781" s="14">
        <v>0</v>
      </c>
      <c r="AA2781" s="6">
        <v>0</v>
      </c>
      <c r="AB2781" s="4">
        <f t="shared" si="422"/>
        <v>0</v>
      </c>
      <c r="AC2781" s="4">
        <f t="shared" si="439"/>
        <v>0</v>
      </c>
      <c r="AD2781" s="6">
        <f t="shared" ref="AD2781:AD2788" si="441">V2781*0.95</f>
        <v>0</v>
      </c>
      <c r="AE2781" s="2">
        <v>0</v>
      </c>
      <c r="AF2781" s="6">
        <f t="shared" si="440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23"/>
        <v>0</v>
      </c>
      <c r="AM2781" s="85"/>
    </row>
    <row r="2782" spans="1:39" hidden="1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37"/>
        <v>1.196000000803906</v>
      </c>
      <c r="X2782" s="6">
        <f t="shared" si="438"/>
        <v>0</v>
      </c>
      <c r="Y2782" s="13">
        <f t="shared" si="421"/>
        <v>0</v>
      </c>
      <c r="Z2782" s="14">
        <v>0</v>
      </c>
      <c r="AA2782" s="6">
        <v>0</v>
      </c>
      <c r="AB2782" s="4">
        <f t="shared" si="422"/>
        <v>0</v>
      </c>
      <c r="AC2782" s="4">
        <f t="shared" si="439"/>
        <v>0</v>
      </c>
      <c r="AD2782" s="6">
        <f t="shared" si="441"/>
        <v>0</v>
      </c>
      <c r="AE2782" s="2">
        <v>0</v>
      </c>
      <c r="AF2782" s="6">
        <f t="shared" si="440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23"/>
        <v>0</v>
      </c>
      <c r="AM2782" s="85"/>
    </row>
    <row r="2783" spans="1:39" hidden="1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37"/>
        <v>7.9999995032267179E-3</v>
      </c>
      <c r="X2783" s="6">
        <f t="shared" si="438"/>
        <v>0</v>
      </c>
      <c r="Y2783" s="13">
        <f t="shared" si="421"/>
        <v>0</v>
      </c>
      <c r="Z2783" s="14">
        <v>0</v>
      </c>
      <c r="AA2783" s="6">
        <v>0</v>
      </c>
      <c r="AB2783" s="4">
        <f t="shared" si="422"/>
        <v>0</v>
      </c>
      <c r="AC2783" s="4">
        <f t="shared" si="439"/>
        <v>0</v>
      </c>
      <c r="AD2783" s="6">
        <f t="shared" si="441"/>
        <v>0</v>
      </c>
      <c r="AE2783" s="2">
        <v>0</v>
      </c>
      <c r="AF2783" s="6">
        <f t="shared" si="440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23"/>
        <v>0</v>
      </c>
      <c r="AM2783" s="85"/>
    </row>
    <row r="2784" spans="1:39" hidden="1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37"/>
        <v>8.9999999909196049E-3</v>
      </c>
      <c r="X2784" s="6">
        <f t="shared" si="438"/>
        <v>0</v>
      </c>
      <c r="Y2784" s="13">
        <f t="shared" si="421"/>
        <v>0</v>
      </c>
      <c r="Z2784" s="14">
        <v>0</v>
      </c>
      <c r="AA2784" s="6">
        <v>0</v>
      </c>
      <c r="AB2784" s="4">
        <f t="shared" si="422"/>
        <v>0</v>
      </c>
      <c r="AC2784" s="4">
        <f t="shared" si="439"/>
        <v>0</v>
      </c>
      <c r="AD2784" s="6">
        <f t="shared" si="441"/>
        <v>0</v>
      </c>
      <c r="AE2784" s="2">
        <v>0</v>
      </c>
      <c r="AF2784" s="6">
        <f t="shared" si="440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23"/>
        <v>0</v>
      </c>
      <c r="AM2784" s="85"/>
    </row>
    <row r="2785" spans="1:39" hidden="1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37"/>
        <v>14695.009999999998</v>
      </c>
      <c r="X2785" s="6">
        <f t="shared" si="438"/>
        <v>0</v>
      </c>
      <c r="Y2785" s="13">
        <f t="shared" si="421"/>
        <v>0</v>
      </c>
      <c r="Z2785" s="14">
        <v>0</v>
      </c>
      <c r="AA2785" s="6">
        <v>0</v>
      </c>
      <c r="AB2785" s="4">
        <f t="shared" si="422"/>
        <v>0</v>
      </c>
      <c r="AC2785" s="4">
        <f t="shared" si="439"/>
        <v>0</v>
      </c>
      <c r="AD2785" s="6">
        <f t="shared" si="441"/>
        <v>0</v>
      </c>
      <c r="AE2785" s="2">
        <v>0</v>
      </c>
      <c r="AF2785" s="6">
        <f t="shared" si="440"/>
        <v>0</v>
      </c>
      <c r="AG2785" s="14">
        <v>0</v>
      </c>
      <c r="AH2785" s="64">
        <f t="shared" ref="AH2785:AH2788" si="442">AD2785</f>
        <v>0</v>
      </c>
      <c r="AI2785" s="47"/>
      <c r="AJ2785" s="126" t="e">
        <v>#N/A</v>
      </c>
      <c r="AK2785" s="80">
        <f t="shared" si="423"/>
        <v>0</v>
      </c>
      <c r="AM2785" s="85"/>
    </row>
    <row r="2786" spans="1:39" hidden="1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37"/>
        <v>5946.98</v>
      </c>
      <c r="X2786" s="6">
        <f t="shared" si="438"/>
        <v>0</v>
      </c>
      <c r="Y2786" s="13">
        <f t="shared" si="421"/>
        <v>0</v>
      </c>
      <c r="Z2786" s="14">
        <v>0</v>
      </c>
      <c r="AA2786" s="6">
        <v>0</v>
      </c>
      <c r="AB2786" s="4">
        <f t="shared" si="422"/>
        <v>0</v>
      </c>
      <c r="AC2786" s="4">
        <f t="shared" si="439"/>
        <v>0</v>
      </c>
      <c r="AD2786" s="6">
        <f t="shared" si="441"/>
        <v>0</v>
      </c>
      <c r="AE2786" s="2">
        <v>0</v>
      </c>
      <c r="AF2786" s="6">
        <f t="shared" si="440"/>
        <v>0</v>
      </c>
      <c r="AG2786" s="14">
        <v>0</v>
      </c>
      <c r="AH2786" s="64">
        <f t="shared" si="442"/>
        <v>0</v>
      </c>
      <c r="AI2786" s="47"/>
      <c r="AJ2786" s="126" t="e">
        <v>#N/A</v>
      </c>
      <c r="AK2786" s="80">
        <f t="shared" si="423"/>
        <v>0</v>
      </c>
      <c r="AM2786" s="85"/>
    </row>
    <row r="2787" spans="1:39" hidden="1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37"/>
        <v>5126.3500000000004</v>
      </c>
      <c r="X2787" s="6">
        <f t="shared" si="438"/>
        <v>0</v>
      </c>
      <c r="Y2787" s="13">
        <f t="shared" si="421"/>
        <v>0</v>
      </c>
      <c r="Z2787" s="14">
        <v>0</v>
      </c>
      <c r="AA2787" s="6">
        <v>0</v>
      </c>
      <c r="AB2787" s="4">
        <f t="shared" si="422"/>
        <v>0</v>
      </c>
      <c r="AC2787" s="4">
        <f t="shared" si="439"/>
        <v>0</v>
      </c>
      <c r="AD2787" s="6">
        <f t="shared" si="441"/>
        <v>0</v>
      </c>
      <c r="AE2787" s="2">
        <v>0</v>
      </c>
      <c r="AF2787" s="6">
        <f t="shared" si="440"/>
        <v>0</v>
      </c>
      <c r="AG2787" s="14">
        <v>0</v>
      </c>
      <c r="AH2787" s="64">
        <f t="shared" si="442"/>
        <v>0</v>
      </c>
      <c r="AI2787" s="47"/>
      <c r="AJ2787" s="126" t="e">
        <v>#N/A</v>
      </c>
      <c r="AK2787" s="80">
        <f t="shared" si="423"/>
        <v>0</v>
      </c>
      <c r="AM2787" s="85"/>
    </row>
    <row r="2788" spans="1:39" hidden="1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37"/>
        <v>6831.73</v>
      </c>
      <c r="X2788" s="6">
        <f t="shared" si="438"/>
        <v>0</v>
      </c>
      <c r="Y2788" s="13">
        <f t="shared" si="421"/>
        <v>0</v>
      </c>
      <c r="Z2788" s="14">
        <v>0</v>
      </c>
      <c r="AA2788" s="6">
        <v>0</v>
      </c>
      <c r="AB2788" s="4">
        <f t="shared" si="422"/>
        <v>0</v>
      </c>
      <c r="AC2788" s="4">
        <f t="shared" si="439"/>
        <v>0</v>
      </c>
      <c r="AD2788" s="6">
        <f t="shared" si="441"/>
        <v>0</v>
      </c>
      <c r="AE2788" s="2">
        <v>0</v>
      </c>
      <c r="AF2788" s="6">
        <f t="shared" si="440"/>
        <v>0</v>
      </c>
      <c r="AG2788" s="14">
        <v>0</v>
      </c>
      <c r="AH2788" s="64">
        <f t="shared" si="442"/>
        <v>0</v>
      </c>
      <c r="AI2788" s="47"/>
      <c r="AJ2788" s="126" t="e">
        <v>#N/A</v>
      </c>
      <c r="AK2788" s="80">
        <f t="shared" si="423"/>
        <v>0</v>
      </c>
      <c r="AM2788" s="85"/>
    </row>
    <row r="2789" spans="1:39" hidden="1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21"/>
        <v>0</v>
      </c>
      <c r="Z2789" s="14">
        <v>0</v>
      </c>
      <c r="AA2789" s="6">
        <v>0</v>
      </c>
      <c r="AB2789" s="4">
        <f t="shared" si="422"/>
        <v>21614.87</v>
      </c>
      <c r="AC2789" s="4">
        <f t="shared" si="439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40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23"/>
        <v>0</v>
      </c>
      <c r="AM2789" s="85"/>
    </row>
    <row r="2790" spans="1:39" hidden="1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43">T2790+U2790-V2790</f>
        <v>41905.920000000027</v>
      </c>
      <c r="X2790" s="6">
        <f t="shared" ref="X2790:X2853" si="444">IF(P2790="折扣",V2790*Q2790,IF(P2790="返现",V2790,V2790/(1+Q2790)))</f>
        <v>8094.0799999999726</v>
      </c>
      <c r="Y2790" s="13">
        <f t="shared" si="421"/>
        <v>0</v>
      </c>
      <c r="Z2790" s="14">
        <v>0</v>
      </c>
      <c r="AA2790" s="6">
        <v>0</v>
      </c>
      <c r="AB2790" s="4">
        <f t="shared" si="422"/>
        <v>8094.0799999999726</v>
      </c>
      <c r="AC2790" s="4">
        <f t="shared" si="439"/>
        <v>0</v>
      </c>
      <c r="AD2790" s="6">
        <f t="shared" ref="AD2790:AD2853" si="445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40"/>
        <v>1375.9935999999955</v>
      </c>
      <c r="AG2790" s="14">
        <v>0</v>
      </c>
      <c r="AH2790" s="64">
        <f t="shared" ref="AH2790:AH2853" si="446">V2790</f>
        <v>8094.0799999999726</v>
      </c>
      <c r="AI2790" s="47"/>
      <c r="AJ2790" s="126" t="e">
        <v>#N/A</v>
      </c>
      <c r="AK2790" s="80">
        <f t="shared" si="423"/>
        <v>0</v>
      </c>
      <c r="AM2790" s="85"/>
    </row>
    <row r="2791" spans="1:39" hidden="1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43"/>
        <v>-6897.0500000000029</v>
      </c>
      <c r="X2791" s="6">
        <f t="shared" si="444"/>
        <v>92823.61</v>
      </c>
      <c r="Y2791" s="13">
        <f t="shared" si="421"/>
        <v>0</v>
      </c>
      <c r="Z2791" s="14">
        <v>0</v>
      </c>
      <c r="AA2791" s="6">
        <v>0</v>
      </c>
      <c r="AB2791" s="4">
        <f t="shared" si="422"/>
        <v>92823.61</v>
      </c>
      <c r="AC2791" s="4">
        <f t="shared" si="439"/>
        <v>0</v>
      </c>
      <c r="AD2791" s="6">
        <f t="shared" si="445"/>
        <v>92823.61</v>
      </c>
      <c r="AE2791" s="2">
        <f>VLOOKUP(I2791,[1]媒体政策预估表!A:N,MATCH(O2791,[1]媒体政策预估表!$A$2:$M$2,0),0)</f>
        <v>0.17</v>
      </c>
      <c r="AF2791" s="6">
        <f t="shared" si="440"/>
        <v>15780.013700000001</v>
      </c>
      <c r="AG2791" s="14">
        <v>0</v>
      </c>
      <c r="AH2791" s="64">
        <f t="shared" si="446"/>
        <v>92823.61</v>
      </c>
      <c r="AI2791" s="47"/>
      <c r="AJ2791" s="126" t="e">
        <v>#N/A</v>
      </c>
      <c r="AK2791" s="80">
        <f t="shared" si="423"/>
        <v>0</v>
      </c>
      <c r="AM2791" s="85"/>
    </row>
    <row r="2792" spans="1:39" hidden="1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43"/>
        <v>14731.910000000011</v>
      </c>
      <c r="X2792" s="6">
        <f t="shared" si="444"/>
        <v>23588.5</v>
      </c>
      <c r="Y2792" s="13">
        <f t="shared" si="421"/>
        <v>0</v>
      </c>
      <c r="Z2792" s="14">
        <v>0</v>
      </c>
      <c r="AA2792" s="6">
        <v>0</v>
      </c>
      <c r="AB2792" s="4">
        <f t="shared" si="422"/>
        <v>23588.5</v>
      </c>
      <c r="AC2792" s="4">
        <f t="shared" si="439"/>
        <v>0</v>
      </c>
      <c r="AD2792" s="6">
        <f t="shared" si="445"/>
        <v>23588.5</v>
      </c>
      <c r="AE2792" s="2">
        <f>VLOOKUP(I2792,[1]媒体政策预估表!A:N,MATCH(O2792,[1]媒体政策预估表!$A$2:$M$2,0),0)</f>
        <v>0.17</v>
      </c>
      <c r="AF2792" s="6">
        <f t="shared" si="440"/>
        <v>4010.0450000000001</v>
      </c>
      <c r="AG2792" s="14">
        <v>0</v>
      </c>
      <c r="AH2792" s="64">
        <f t="shared" si="446"/>
        <v>23588.5</v>
      </c>
      <c r="AI2792" s="47"/>
      <c r="AJ2792" s="126" t="e">
        <v>#N/A</v>
      </c>
      <c r="AK2792" s="80">
        <f t="shared" si="423"/>
        <v>0</v>
      </c>
      <c r="AM2792" s="85"/>
    </row>
    <row r="2793" spans="1:39" hidden="1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43"/>
        <v>7333.6600000000017</v>
      </c>
      <c r="X2793" s="6">
        <f t="shared" si="444"/>
        <v>10915.715686274511</v>
      </c>
      <c r="Y2793" s="13">
        <f t="shared" si="421"/>
        <v>0</v>
      </c>
      <c r="Z2793" s="14">
        <v>0</v>
      </c>
      <c r="AA2793" s="6">
        <v>0</v>
      </c>
      <c r="AB2793" s="4">
        <f t="shared" si="422"/>
        <v>10915.715686274511</v>
      </c>
      <c r="AC2793" s="4">
        <f t="shared" si="439"/>
        <v>218.31431372549014</v>
      </c>
      <c r="AD2793" s="6">
        <f t="shared" si="445"/>
        <v>11134.03</v>
      </c>
      <c r="AE2793" s="2">
        <f>VLOOKUP(I2793,[1]媒体政策预估表!A:N,MATCH(O2793,[1]媒体政策预估表!$A$2:$M$2,0),0)</f>
        <v>0.17</v>
      </c>
      <c r="AF2793" s="6">
        <f t="shared" si="440"/>
        <v>1892.7851000000003</v>
      </c>
      <c r="AG2793" s="14">
        <v>0</v>
      </c>
      <c r="AH2793" s="64">
        <f t="shared" si="446"/>
        <v>11134.03</v>
      </c>
      <c r="AI2793" s="47"/>
      <c r="AJ2793" s="126" t="e">
        <v>#N/A</v>
      </c>
      <c r="AK2793" s="80">
        <f t="shared" si="423"/>
        <v>0</v>
      </c>
      <c r="AM2793" s="85"/>
    </row>
    <row r="2794" spans="1:39" hidden="1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43"/>
        <v>103034.79000000001</v>
      </c>
      <c r="X2794" s="6">
        <f t="shared" si="444"/>
        <v>84289</v>
      </c>
      <c r="Y2794" s="13">
        <f t="shared" si="421"/>
        <v>0</v>
      </c>
      <c r="Z2794" s="14">
        <v>0</v>
      </c>
      <c r="AA2794" s="6">
        <v>0</v>
      </c>
      <c r="AB2794" s="4">
        <f t="shared" si="422"/>
        <v>84289</v>
      </c>
      <c r="AC2794" s="4">
        <f t="shared" si="439"/>
        <v>0</v>
      </c>
      <c r="AD2794" s="6">
        <f t="shared" si="445"/>
        <v>84289</v>
      </c>
      <c r="AE2794" s="2">
        <f>VLOOKUP(I2794,[1]媒体政策预估表!A:N,MATCH(O2794,[1]媒体政策预估表!$A$2:$M$2,0),0)</f>
        <v>0.17</v>
      </c>
      <c r="AF2794" s="6">
        <f t="shared" si="440"/>
        <v>14329.130000000001</v>
      </c>
      <c r="AG2794" s="14">
        <v>0</v>
      </c>
      <c r="AH2794" s="64">
        <f t="shared" si="446"/>
        <v>84289</v>
      </c>
      <c r="AI2794" s="47"/>
      <c r="AJ2794" s="126" t="e">
        <v>#N/A</v>
      </c>
      <c r="AK2794" s="80">
        <f t="shared" si="423"/>
        <v>0</v>
      </c>
      <c r="AM2794" s="85"/>
    </row>
    <row r="2795" spans="1:39" hidden="1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43"/>
        <v>35586.069999999985</v>
      </c>
      <c r="X2795" s="6">
        <f t="shared" si="444"/>
        <v>39920.76470588235</v>
      </c>
      <c r="Y2795" s="13">
        <f t="shared" si="421"/>
        <v>0</v>
      </c>
      <c r="Z2795" s="14">
        <v>0</v>
      </c>
      <c r="AA2795" s="6">
        <v>0</v>
      </c>
      <c r="AB2795" s="4">
        <f t="shared" si="422"/>
        <v>39920.76470588235</v>
      </c>
      <c r="AC2795" s="4">
        <f t="shared" si="439"/>
        <v>798.41529411765077</v>
      </c>
      <c r="AD2795" s="6">
        <f t="shared" si="445"/>
        <v>40719.18</v>
      </c>
      <c r="AE2795" s="2">
        <f>VLOOKUP(I2795,[1]媒体政策预估表!A:N,MATCH(O2795,[1]媒体政策预估表!$A$2:$M$2,0),0)</f>
        <v>0.17</v>
      </c>
      <c r="AF2795" s="6">
        <f t="shared" si="440"/>
        <v>6922.2606000000005</v>
      </c>
      <c r="AG2795" s="14">
        <v>0</v>
      </c>
      <c r="AH2795" s="64">
        <f t="shared" si="446"/>
        <v>40719.18</v>
      </c>
      <c r="AI2795" s="47"/>
      <c r="AJ2795" s="126" t="e">
        <v>#N/A</v>
      </c>
      <c r="AK2795" s="80">
        <f t="shared" si="423"/>
        <v>0</v>
      </c>
      <c r="AM2795" s="85"/>
    </row>
    <row r="2796" spans="1:39" hidden="1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43"/>
        <v>35700</v>
      </c>
      <c r="X2796" s="6">
        <f t="shared" si="444"/>
        <v>0</v>
      </c>
      <c r="Y2796" s="13">
        <f t="shared" si="421"/>
        <v>0</v>
      </c>
      <c r="Z2796" s="14">
        <v>0</v>
      </c>
      <c r="AA2796" s="6">
        <v>0</v>
      </c>
      <c r="AB2796" s="4">
        <f t="shared" si="422"/>
        <v>0</v>
      </c>
      <c r="AC2796" s="4">
        <f t="shared" si="439"/>
        <v>0</v>
      </c>
      <c r="AD2796" s="6">
        <f t="shared" si="445"/>
        <v>0</v>
      </c>
      <c r="AE2796" s="2">
        <f>VLOOKUP(I2796,[1]媒体政策预估表!A:N,MATCH(O2796,[1]媒体政策预估表!$A$2:$M$2,0),0)</f>
        <v>0.17</v>
      </c>
      <c r="AF2796" s="6">
        <f t="shared" si="440"/>
        <v>0</v>
      </c>
      <c r="AG2796" s="14">
        <v>0</v>
      </c>
      <c r="AH2796" s="64">
        <f t="shared" si="446"/>
        <v>0</v>
      </c>
      <c r="AI2796" s="47"/>
      <c r="AJ2796" s="126" t="e">
        <v>#N/A</v>
      </c>
      <c r="AK2796" s="80">
        <f t="shared" si="423"/>
        <v>0</v>
      </c>
      <c r="AM2796" s="85"/>
    </row>
    <row r="2797" spans="1:39" hidden="1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43"/>
        <v>4435.2699999999895</v>
      </c>
      <c r="X2797" s="6">
        <f t="shared" si="444"/>
        <v>150938.26</v>
      </c>
      <c r="Y2797" s="13">
        <f t="shared" si="421"/>
        <v>0</v>
      </c>
      <c r="Z2797" s="14">
        <v>0</v>
      </c>
      <c r="AA2797" s="6">
        <v>0</v>
      </c>
      <c r="AB2797" s="4">
        <f t="shared" si="422"/>
        <v>150938.26</v>
      </c>
      <c r="AC2797" s="4">
        <f t="shared" si="439"/>
        <v>0</v>
      </c>
      <c r="AD2797" s="6">
        <f t="shared" si="445"/>
        <v>150938.26</v>
      </c>
      <c r="AE2797" s="2">
        <f>VLOOKUP(I2797,[1]媒体政策预估表!A:N,MATCH(O2797,[1]媒体政策预估表!$A$2:$M$2,0),0)</f>
        <v>0.17</v>
      </c>
      <c r="AF2797" s="6">
        <f t="shared" si="440"/>
        <v>25659.504200000003</v>
      </c>
      <c r="AG2797" s="14">
        <v>0</v>
      </c>
      <c r="AH2797" s="64">
        <f t="shared" si="446"/>
        <v>150938.26</v>
      </c>
      <c r="AI2797" s="47"/>
      <c r="AJ2797" s="126" t="e">
        <v>#N/A</v>
      </c>
      <c r="AK2797" s="80">
        <f t="shared" si="423"/>
        <v>0</v>
      </c>
      <c r="AM2797" s="85"/>
    </row>
    <row r="2798" spans="1:39" hidden="1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43"/>
        <v>24942.960000000079</v>
      </c>
      <c r="X2798" s="6">
        <f t="shared" si="444"/>
        <v>42020.25</v>
      </c>
      <c r="Y2798" s="13">
        <f t="shared" si="421"/>
        <v>0</v>
      </c>
      <c r="Z2798" s="14">
        <v>0</v>
      </c>
      <c r="AA2798" s="6">
        <v>0</v>
      </c>
      <c r="AB2798" s="4">
        <f t="shared" si="422"/>
        <v>42020.25</v>
      </c>
      <c r="AC2798" s="4">
        <f t="shared" si="439"/>
        <v>0</v>
      </c>
      <c r="AD2798" s="6">
        <f t="shared" si="445"/>
        <v>42020.25</v>
      </c>
      <c r="AE2798" s="2">
        <f>VLOOKUP(I2798,[1]媒体政策预估表!A:N,MATCH(O2798,[1]媒体政策预估表!$A$2:$M$2,0),0)</f>
        <v>0.17</v>
      </c>
      <c r="AF2798" s="6">
        <f t="shared" si="440"/>
        <v>7143.4425000000001</v>
      </c>
      <c r="AG2798" s="14">
        <v>0</v>
      </c>
      <c r="AH2798" s="64">
        <f t="shared" si="446"/>
        <v>42020.25</v>
      </c>
      <c r="AI2798" s="47"/>
      <c r="AJ2798" s="126" t="e">
        <v>#N/A</v>
      </c>
      <c r="AK2798" s="80">
        <f t="shared" si="423"/>
        <v>0</v>
      </c>
      <c r="AM2798" s="85"/>
    </row>
    <row r="2799" spans="1:39" hidden="1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43"/>
        <v>29906.770300000018</v>
      </c>
      <c r="X2799" s="6">
        <f t="shared" si="444"/>
        <v>76921.811881188114</v>
      </c>
      <c r="Y2799" s="13">
        <f t="shared" si="421"/>
        <v>0</v>
      </c>
      <c r="Z2799" s="14">
        <v>0</v>
      </c>
      <c r="AA2799" s="6">
        <v>0</v>
      </c>
      <c r="AB2799" s="4">
        <f t="shared" si="422"/>
        <v>76921.811881188114</v>
      </c>
      <c r="AC2799" s="4">
        <f t="shared" si="439"/>
        <v>769.21811881188478</v>
      </c>
      <c r="AD2799" s="6">
        <f t="shared" si="445"/>
        <v>77691.03</v>
      </c>
      <c r="AE2799" s="2">
        <f>VLOOKUP(I2799,[1]媒体政策预估表!A:N,MATCH(O2799,[1]媒体政策预估表!$A$2:$M$2,0),0)</f>
        <v>0.17</v>
      </c>
      <c r="AF2799" s="6">
        <f t="shared" si="440"/>
        <v>13207.475100000001</v>
      </c>
      <c r="AG2799" s="14">
        <v>0</v>
      </c>
      <c r="AH2799" s="64">
        <f t="shared" si="446"/>
        <v>77691.03</v>
      </c>
      <c r="AI2799" s="47"/>
      <c r="AJ2799" s="126" t="e">
        <v>#N/A</v>
      </c>
      <c r="AK2799" s="80">
        <f t="shared" si="423"/>
        <v>0</v>
      </c>
      <c r="AM2799" s="85"/>
    </row>
    <row r="2800" spans="1:39" hidden="1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43"/>
        <v>0</v>
      </c>
      <c r="X2800" s="6">
        <f t="shared" si="444"/>
        <v>0</v>
      </c>
      <c r="Y2800" s="13">
        <f t="shared" si="421"/>
        <v>0</v>
      </c>
      <c r="Z2800" s="14">
        <v>0</v>
      </c>
      <c r="AA2800" s="6">
        <v>0</v>
      </c>
      <c r="AB2800" s="4">
        <f t="shared" si="422"/>
        <v>0</v>
      </c>
      <c r="AC2800" s="4">
        <f t="shared" si="439"/>
        <v>0</v>
      </c>
      <c r="AD2800" s="6">
        <f t="shared" si="445"/>
        <v>0</v>
      </c>
      <c r="AE2800" s="2">
        <f>VLOOKUP(I2800,[1]媒体政策预估表!A:N,MATCH(O2800,[1]媒体政策预估表!$A$2:$M$2,0),0)</f>
        <v>0.17</v>
      </c>
      <c r="AF2800" s="6">
        <f t="shared" si="440"/>
        <v>0</v>
      </c>
      <c r="AG2800" s="14">
        <v>0</v>
      </c>
      <c r="AH2800" s="64">
        <f t="shared" si="446"/>
        <v>0</v>
      </c>
      <c r="AI2800" s="47"/>
      <c r="AJ2800" s="126" t="e">
        <v>#N/A</v>
      </c>
      <c r="AK2800" s="80">
        <f t="shared" si="423"/>
        <v>0</v>
      </c>
      <c r="AM2800" s="85"/>
    </row>
    <row r="2801" spans="1:39" hidden="1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43"/>
        <v>32840.900000000081</v>
      </c>
      <c r="X2801" s="6">
        <f t="shared" si="444"/>
        <v>406885.7</v>
      </c>
      <c r="Y2801" s="13">
        <f t="shared" si="421"/>
        <v>0</v>
      </c>
      <c r="Z2801" s="14">
        <v>0</v>
      </c>
      <c r="AA2801" s="6">
        <v>0</v>
      </c>
      <c r="AB2801" s="4">
        <f t="shared" si="422"/>
        <v>406885.7</v>
      </c>
      <c r="AC2801" s="4">
        <f t="shared" si="439"/>
        <v>0</v>
      </c>
      <c r="AD2801" s="6">
        <f t="shared" si="445"/>
        <v>406885.7</v>
      </c>
      <c r="AE2801" s="2">
        <f>VLOOKUP(I2801,[1]媒体政策预估表!A:N,MATCH(O2801,[1]媒体政策预估表!$A$2:$M$2,0),0)</f>
        <v>0.17</v>
      </c>
      <c r="AF2801" s="6">
        <f t="shared" si="440"/>
        <v>69170.569000000003</v>
      </c>
      <c r="AG2801" s="14">
        <v>0</v>
      </c>
      <c r="AH2801" s="64">
        <f t="shared" si="446"/>
        <v>406885.7</v>
      </c>
      <c r="AI2801" s="47"/>
      <c r="AJ2801" s="126" t="e">
        <v>#N/A</v>
      </c>
      <c r="AK2801" s="80">
        <f t="shared" si="423"/>
        <v>0</v>
      </c>
      <c r="AM2801" s="85"/>
    </row>
    <row r="2802" spans="1:39" hidden="1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43"/>
        <v>32818.69</v>
      </c>
      <c r="X2802" s="6">
        <f t="shared" si="444"/>
        <v>13917.87</v>
      </c>
      <c r="Y2802" s="13">
        <f t="shared" si="421"/>
        <v>0</v>
      </c>
      <c r="Z2802" s="14">
        <v>0</v>
      </c>
      <c r="AA2802" s="6">
        <v>0</v>
      </c>
      <c r="AB2802" s="4">
        <f t="shared" si="422"/>
        <v>13917.87</v>
      </c>
      <c r="AC2802" s="4">
        <f t="shared" si="439"/>
        <v>1546.4300000000003</v>
      </c>
      <c r="AD2802" s="6">
        <f t="shared" si="445"/>
        <v>15464.300000000001</v>
      </c>
      <c r="AE2802" s="2">
        <f>VLOOKUP(I2802,[1]媒体政策预估表!A:N,MATCH(O2802,[1]媒体政策预估表!$A$2:$M$2,0),0)</f>
        <v>0.17</v>
      </c>
      <c r="AF2802" s="6">
        <f t="shared" si="440"/>
        <v>2628.9310000000005</v>
      </c>
      <c r="AG2802" s="14">
        <v>0</v>
      </c>
      <c r="AH2802" s="64">
        <f t="shared" si="446"/>
        <v>15464.300000000001</v>
      </c>
      <c r="AI2802" s="47"/>
      <c r="AJ2802" s="126" t="e">
        <v>#N/A</v>
      </c>
      <c r="AK2802" s="80">
        <f t="shared" si="423"/>
        <v>0</v>
      </c>
      <c r="AM2802" s="85"/>
    </row>
    <row r="2803" spans="1:39" hidden="1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43"/>
        <v>4610.42</v>
      </c>
      <c r="X2803" s="6">
        <f t="shared" si="444"/>
        <v>13850.621999999999</v>
      </c>
      <c r="Y2803" s="13">
        <f t="shared" si="421"/>
        <v>0</v>
      </c>
      <c r="Z2803" s="14">
        <v>0</v>
      </c>
      <c r="AA2803" s="6">
        <v>0</v>
      </c>
      <c r="AB2803" s="4">
        <f t="shared" si="422"/>
        <v>13850.621999999999</v>
      </c>
      <c r="AC2803" s="4">
        <f t="shared" si="439"/>
        <v>1538.9580000000005</v>
      </c>
      <c r="AD2803" s="6">
        <f t="shared" si="445"/>
        <v>15389.58</v>
      </c>
      <c r="AE2803" s="2">
        <f>VLOOKUP(I2803,[1]媒体政策预估表!A:N,MATCH(O2803,[1]媒体政策预估表!$A$2:$M$2,0),0)</f>
        <v>0.17</v>
      </c>
      <c r="AF2803" s="6">
        <f t="shared" si="440"/>
        <v>2616.2286000000004</v>
      </c>
      <c r="AG2803" s="14">
        <v>0</v>
      </c>
      <c r="AH2803" s="64">
        <f t="shared" si="446"/>
        <v>15389.58</v>
      </c>
      <c r="AI2803" s="47"/>
      <c r="AJ2803" s="126" t="e">
        <v>#N/A</v>
      </c>
      <c r="AK2803" s="80">
        <f t="shared" si="423"/>
        <v>0</v>
      </c>
      <c r="AM2803" s="85"/>
    </row>
    <row r="2804" spans="1:39" hidden="1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43"/>
        <v>3183.2799999999961</v>
      </c>
      <c r="X2804" s="6">
        <f t="shared" si="444"/>
        <v>3394.35</v>
      </c>
      <c r="Y2804" s="13">
        <f t="shared" si="421"/>
        <v>0</v>
      </c>
      <c r="Z2804" s="14">
        <v>0</v>
      </c>
      <c r="AA2804" s="6">
        <v>0</v>
      </c>
      <c r="AB2804" s="4">
        <f t="shared" si="422"/>
        <v>3394.35</v>
      </c>
      <c r="AC2804" s="4">
        <f t="shared" si="439"/>
        <v>377.15000000000009</v>
      </c>
      <c r="AD2804" s="6">
        <f t="shared" si="445"/>
        <v>3771.5</v>
      </c>
      <c r="AE2804" s="2">
        <f>VLOOKUP(I2804,[1]媒体政策预估表!A:N,MATCH(O2804,[1]媒体政策预估表!$A$2:$M$2,0),0)</f>
        <v>0.17</v>
      </c>
      <c r="AF2804" s="6">
        <f t="shared" si="440"/>
        <v>641.15500000000009</v>
      </c>
      <c r="AG2804" s="14">
        <v>0</v>
      </c>
      <c r="AH2804" s="64">
        <f t="shared" si="446"/>
        <v>3771.5</v>
      </c>
      <c r="AI2804" s="47"/>
      <c r="AJ2804" s="126" t="e">
        <v>#N/A</v>
      </c>
      <c r="AK2804" s="80">
        <f t="shared" si="423"/>
        <v>0</v>
      </c>
      <c r="AM2804" s="85"/>
    </row>
    <row r="2805" spans="1:39" hidden="1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43"/>
        <v>3150.7300000000014</v>
      </c>
      <c r="X2805" s="6">
        <f t="shared" si="444"/>
        <v>8200.8809999999994</v>
      </c>
      <c r="Y2805" s="13">
        <f t="shared" si="421"/>
        <v>0</v>
      </c>
      <c r="Z2805" s="14">
        <v>0</v>
      </c>
      <c r="AA2805" s="6">
        <v>0</v>
      </c>
      <c r="AB2805" s="4">
        <f t="shared" si="422"/>
        <v>8200.8809999999994</v>
      </c>
      <c r="AC2805" s="4">
        <f t="shared" si="439"/>
        <v>911.20899999999892</v>
      </c>
      <c r="AD2805" s="6">
        <f t="shared" si="445"/>
        <v>9112.0899999999983</v>
      </c>
      <c r="AE2805" s="2">
        <f>VLOOKUP(I2805,[1]媒体政策预估表!A:N,MATCH(O2805,[1]媒体政策预估表!$A$2:$M$2,0),0)</f>
        <v>0.17</v>
      </c>
      <c r="AF2805" s="6">
        <f t="shared" si="440"/>
        <v>1549.0552999999998</v>
      </c>
      <c r="AG2805" s="14">
        <v>0</v>
      </c>
      <c r="AH2805" s="64">
        <f t="shared" si="446"/>
        <v>9112.0899999999983</v>
      </c>
      <c r="AI2805" s="47"/>
      <c r="AJ2805" s="126" t="e">
        <v>#N/A</v>
      </c>
      <c r="AK2805" s="80">
        <f t="shared" si="423"/>
        <v>0</v>
      </c>
      <c r="AM2805" s="85"/>
    </row>
    <row r="2806" spans="1:39" hidden="1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43"/>
        <v>5341.1199999999953</v>
      </c>
      <c r="X2806" s="6">
        <f t="shared" si="444"/>
        <v>15188.049000000001</v>
      </c>
      <c r="Y2806" s="13">
        <f t="shared" si="421"/>
        <v>0</v>
      </c>
      <c r="Z2806" s="14">
        <v>0</v>
      </c>
      <c r="AA2806" s="6">
        <v>0</v>
      </c>
      <c r="AB2806" s="4">
        <f t="shared" si="422"/>
        <v>15188.049000000001</v>
      </c>
      <c r="AC2806" s="4">
        <f t="shared" si="439"/>
        <v>1687.5609999999997</v>
      </c>
      <c r="AD2806" s="6">
        <f t="shared" si="445"/>
        <v>16875.61</v>
      </c>
      <c r="AE2806" s="2">
        <f>VLOOKUP(I2806,[1]媒体政策预估表!A:N,MATCH(O2806,[1]媒体政策预估表!$A$2:$M$2,0),0)</f>
        <v>0.17</v>
      </c>
      <c r="AF2806" s="6">
        <f t="shared" si="440"/>
        <v>2868.8537000000001</v>
      </c>
      <c r="AG2806" s="14">
        <v>0</v>
      </c>
      <c r="AH2806" s="64">
        <f t="shared" si="446"/>
        <v>16875.61</v>
      </c>
      <c r="AI2806" s="47"/>
      <c r="AJ2806" s="126" t="e">
        <v>#N/A</v>
      </c>
      <c r="AK2806" s="80">
        <f t="shared" si="423"/>
        <v>0</v>
      </c>
      <c r="AM2806" s="85"/>
    </row>
    <row r="2807" spans="1:39" hidden="1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43"/>
        <v>4506.5999999999985</v>
      </c>
      <c r="X2807" s="6">
        <f t="shared" si="444"/>
        <v>27412.2</v>
      </c>
      <c r="Y2807" s="13">
        <f t="shared" si="421"/>
        <v>0</v>
      </c>
      <c r="Z2807" s="14">
        <v>0</v>
      </c>
      <c r="AA2807" s="6">
        <v>0</v>
      </c>
      <c r="AB2807" s="4">
        <f t="shared" si="422"/>
        <v>27412.2</v>
      </c>
      <c r="AC2807" s="4">
        <f t="shared" si="439"/>
        <v>3045.7999999999993</v>
      </c>
      <c r="AD2807" s="6">
        <f t="shared" si="445"/>
        <v>30458</v>
      </c>
      <c r="AE2807" s="2">
        <f>VLOOKUP(I2807,[1]媒体政策预估表!A:N,MATCH(O2807,[1]媒体政策预估表!$A$2:$M$2,0),0)</f>
        <v>0.17</v>
      </c>
      <c r="AF2807" s="6">
        <f t="shared" si="440"/>
        <v>5177.8600000000006</v>
      </c>
      <c r="AG2807" s="14">
        <v>0</v>
      </c>
      <c r="AH2807" s="64">
        <f t="shared" si="446"/>
        <v>30458</v>
      </c>
      <c r="AI2807" s="47"/>
      <c r="AJ2807" s="126" t="e">
        <v>#N/A</v>
      </c>
      <c r="AK2807" s="80">
        <f t="shared" si="423"/>
        <v>0</v>
      </c>
      <c r="AM2807" s="85"/>
    </row>
    <row r="2808" spans="1:39" hidden="1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43"/>
        <v>14011.76</v>
      </c>
      <c r="X2808" s="6">
        <f t="shared" si="444"/>
        <v>1791.6659999999999</v>
      </c>
      <c r="Y2808" s="13">
        <f t="shared" si="421"/>
        <v>0</v>
      </c>
      <c r="Z2808" s="14">
        <v>0</v>
      </c>
      <c r="AA2808" s="6">
        <v>0</v>
      </c>
      <c r="AB2808" s="4">
        <f t="shared" si="422"/>
        <v>1791.6659999999999</v>
      </c>
      <c r="AC2808" s="4">
        <f t="shared" si="439"/>
        <v>199.07400000000007</v>
      </c>
      <c r="AD2808" s="6">
        <f t="shared" si="445"/>
        <v>1990.74</v>
      </c>
      <c r="AE2808" s="2">
        <f>VLOOKUP(I2808,[1]媒体政策预估表!A:N,MATCH(O2808,[1]媒体政策预估表!$A$2:$M$2,0),0)</f>
        <v>0.17</v>
      </c>
      <c r="AF2808" s="6">
        <f t="shared" si="440"/>
        <v>338.42580000000004</v>
      </c>
      <c r="AG2808" s="14">
        <v>0</v>
      </c>
      <c r="AH2808" s="64">
        <f t="shared" si="446"/>
        <v>1990.74</v>
      </c>
      <c r="AI2808" s="47"/>
      <c r="AJ2808" s="126" t="e">
        <v>#N/A</v>
      </c>
      <c r="AK2808" s="80">
        <f t="shared" si="423"/>
        <v>0</v>
      </c>
      <c r="AM2808" s="85"/>
    </row>
    <row r="2809" spans="1:39" hidden="1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43"/>
        <v>4239.2300000000005</v>
      </c>
      <c r="X2809" s="6">
        <f t="shared" si="444"/>
        <v>3634.605</v>
      </c>
      <c r="Y2809" s="13">
        <f t="shared" si="421"/>
        <v>0</v>
      </c>
      <c r="Z2809" s="14">
        <v>0</v>
      </c>
      <c r="AA2809" s="6">
        <v>0</v>
      </c>
      <c r="AB2809" s="4">
        <f t="shared" si="422"/>
        <v>3634.605</v>
      </c>
      <c r="AC2809" s="4">
        <f t="shared" si="439"/>
        <v>403.8449999999998</v>
      </c>
      <c r="AD2809" s="6">
        <f t="shared" si="445"/>
        <v>4038.45</v>
      </c>
      <c r="AE2809" s="2">
        <f>VLOOKUP(I2809,[1]媒体政策预估表!A:N,MATCH(O2809,[1]媒体政策预估表!$A$2:$M$2,0),0)</f>
        <v>0.17</v>
      </c>
      <c r="AF2809" s="6">
        <f t="shared" si="440"/>
        <v>686.53650000000005</v>
      </c>
      <c r="AG2809" s="14">
        <v>0</v>
      </c>
      <c r="AH2809" s="64">
        <f t="shared" si="446"/>
        <v>4038.45</v>
      </c>
      <c r="AI2809" s="47"/>
      <c r="AJ2809" s="126" t="e">
        <v>#N/A</v>
      </c>
      <c r="AK2809" s="80">
        <f t="shared" si="423"/>
        <v>0</v>
      </c>
      <c r="AM2809" s="85"/>
    </row>
    <row r="2810" spans="1:39" hidden="1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43"/>
        <v>10110.660000000003</v>
      </c>
      <c r="X2810" s="6">
        <f t="shared" si="444"/>
        <v>540</v>
      </c>
      <c r="Y2810" s="13">
        <f t="shared" si="421"/>
        <v>0</v>
      </c>
      <c r="Z2810" s="14">
        <v>0</v>
      </c>
      <c r="AA2810" s="6">
        <v>0</v>
      </c>
      <c r="AB2810" s="4">
        <f t="shared" si="422"/>
        <v>540</v>
      </c>
      <c r="AC2810" s="4">
        <f t="shared" si="439"/>
        <v>60</v>
      </c>
      <c r="AD2810" s="6">
        <f t="shared" si="445"/>
        <v>600</v>
      </c>
      <c r="AE2810" s="2">
        <f>VLOOKUP(I2810,[1]媒体政策预估表!A:N,MATCH(O2810,[1]媒体政策预估表!$A$2:$M$2,0),0)</f>
        <v>0.17</v>
      </c>
      <c r="AF2810" s="6">
        <f t="shared" si="440"/>
        <v>102.00000000000001</v>
      </c>
      <c r="AG2810" s="14">
        <v>0</v>
      </c>
      <c r="AH2810" s="64">
        <f t="shared" si="446"/>
        <v>600</v>
      </c>
      <c r="AI2810" s="47"/>
      <c r="AJ2810" s="126" t="e">
        <v>#N/A</v>
      </c>
      <c r="AK2810" s="80">
        <f t="shared" si="423"/>
        <v>0</v>
      </c>
      <c r="AM2810" s="85"/>
    </row>
    <row r="2811" spans="1:39" hidden="1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43"/>
        <v>776412.10000000009</v>
      </c>
      <c r="X2811" s="6">
        <f t="shared" si="444"/>
        <v>1131587.8999999999</v>
      </c>
      <c r="Y2811" s="13">
        <f t="shared" si="421"/>
        <v>0</v>
      </c>
      <c r="Z2811" s="14">
        <v>0</v>
      </c>
      <c r="AA2811" s="6">
        <v>0</v>
      </c>
      <c r="AB2811" s="4">
        <f t="shared" si="422"/>
        <v>1131587.8999999999</v>
      </c>
      <c r="AC2811" s="4">
        <f t="shared" si="439"/>
        <v>113158.79</v>
      </c>
      <c r="AD2811" s="6">
        <f t="shared" si="445"/>
        <v>1131587.8999999999</v>
      </c>
      <c r="AE2811" s="2">
        <f>VLOOKUP(I2811,[1]媒体政策预估表!A:N,MATCH(O2811,[1]媒体政策预估表!$A$2:$M$2,0),0)</f>
        <v>0.17</v>
      </c>
      <c r="AF2811" s="6">
        <f t="shared" si="440"/>
        <v>192369.943</v>
      </c>
      <c r="AG2811" s="14">
        <v>0</v>
      </c>
      <c r="AH2811" s="64">
        <f t="shared" si="446"/>
        <v>1131587.8999999999</v>
      </c>
      <c r="AI2811" s="47"/>
      <c r="AJ2811" s="126" t="e">
        <v>#N/A</v>
      </c>
      <c r="AK2811" s="80">
        <f t="shared" si="423"/>
        <v>0</v>
      </c>
      <c r="AM2811" s="85"/>
    </row>
    <row r="2812" spans="1:39" hidden="1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43"/>
        <v>0</v>
      </c>
      <c r="X2812" s="6">
        <f t="shared" si="444"/>
        <v>0</v>
      </c>
      <c r="Y2812" s="13">
        <f t="shared" si="421"/>
        <v>0</v>
      </c>
      <c r="Z2812" s="14">
        <v>0</v>
      </c>
      <c r="AA2812" s="6">
        <v>0</v>
      </c>
      <c r="AB2812" s="4">
        <f t="shared" si="422"/>
        <v>0</v>
      </c>
      <c r="AC2812" s="4">
        <f t="shared" si="439"/>
        <v>0</v>
      </c>
      <c r="AD2812" s="6">
        <f t="shared" si="445"/>
        <v>0</v>
      </c>
      <c r="AE2812" s="2">
        <f>VLOOKUP(I2812,[1]媒体政策预估表!A:N,MATCH(O2812,[1]媒体政策预估表!$A$2:$M$2,0),0)</f>
        <v>0.17</v>
      </c>
      <c r="AF2812" s="6">
        <f t="shared" si="440"/>
        <v>0</v>
      </c>
      <c r="AG2812" s="14">
        <v>0</v>
      </c>
      <c r="AH2812" s="64">
        <f t="shared" si="446"/>
        <v>0</v>
      </c>
      <c r="AI2812" s="47"/>
      <c r="AJ2812" s="126" t="e">
        <v>#N/A</v>
      </c>
      <c r="AK2812" s="80">
        <f t="shared" si="423"/>
        <v>0</v>
      </c>
      <c r="AM2812" s="85"/>
    </row>
    <row r="2813" spans="1:39" hidden="1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43"/>
        <v>9316.34</v>
      </c>
      <c r="X2813" s="6">
        <f t="shared" si="444"/>
        <v>5995.37</v>
      </c>
      <c r="Y2813" s="13">
        <f t="shared" si="421"/>
        <v>0</v>
      </c>
      <c r="Z2813" s="14">
        <v>0</v>
      </c>
      <c r="AA2813" s="6">
        <v>0</v>
      </c>
      <c r="AB2813" s="4">
        <f t="shared" si="422"/>
        <v>5995.37</v>
      </c>
      <c r="AC2813" s="4">
        <f t="shared" si="439"/>
        <v>0</v>
      </c>
      <c r="AD2813" s="6">
        <f t="shared" si="445"/>
        <v>5995.37</v>
      </c>
      <c r="AE2813" s="2">
        <f>VLOOKUP(I2813,[1]媒体政策预估表!A:N,MATCH(O2813,[1]媒体政策预估表!$A$2:$M$2,0),0)</f>
        <v>0.17</v>
      </c>
      <c r="AF2813" s="6">
        <f t="shared" si="440"/>
        <v>1019.2129000000001</v>
      </c>
      <c r="AG2813" s="14">
        <v>0</v>
      </c>
      <c r="AH2813" s="64">
        <f t="shared" si="446"/>
        <v>5995.37</v>
      </c>
      <c r="AI2813" s="47"/>
      <c r="AJ2813" s="126" t="e">
        <v>#N/A</v>
      </c>
      <c r="AK2813" s="80">
        <f t="shared" si="423"/>
        <v>0</v>
      </c>
      <c r="AM2813" s="85"/>
    </row>
    <row r="2814" spans="1:39" hidden="1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43"/>
        <v>3243.7000000000016</v>
      </c>
      <c r="X2814" s="6">
        <f t="shared" si="444"/>
        <v>5374.7</v>
      </c>
      <c r="Y2814" s="13">
        <f t="shared" si="421"/>
        <v>0</v>
      </c>
      <c r="Z2814" s="14">
        <v>0</v>
      </c>
      <c r="AA2814" s="6">
        <v>0</v>
      </c>
      <c r="AB2814" s="4">
        <f t="shared" si="422"/>
        <v>5374.7</v>
      </c>
      <c r="AC2814" s="4">
        <f t="shared" si="439"/>
        <v>0</v>
      </c>
      <c r="AD2814" s="6">
        <f t="shared" si="445"/>
        <v>5374.7</v>
      </c>
      <c r="AE2814" s="2">
        <f>VLOOKUP(I2814,[1]媒体政策预估表!A:N,MATCH(O2814,[1]媒体政策预估表!$A$2:$M$2,0),0)</f>
        <v>0.17</v>
      </c>
      <c r="AF2814" s="6">
        <f t="shared" si="440"/>
        <v>913.69900000000007</v>
      </c>
      <c r="AG2814" s="14">
        <v>0</v>
      </c>
      <c r="AH2814" s="64">
        <f t="shared" si="446"/>
        <v>5374.7</v>
      </c>
      <c r="AI2814" s="47"/>
      <c r="AJ2814" s="126" t="e">
        <v>#N/A</v>
      </c>
      <c r="AK2814" s="80">
        <f t="shared" si="423"/>
        <v>0</v>
      </c>
      <c r="AM2814" s="85"/>
    </row>
    <row r="2815" spans="1:39" hidden="1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43"/>
        <v>0</v>
      </c>
      <c r="X2815" s="6">
        <f t="shared" si="444"/>
        <v>-30383.137254901936</v>
      </c>
      <c r="Y2815" s="13">
        <f t="shared" si="421"/>
        <v>607.6627450980377</v>
      </c>
      <c r="Z2815" s="14">
        <v>0</v>
      </c>
      <c r="AA2815" s="6">
        <v>0</v>
      </c>
      <c r="AB2815" s="4">
        <f t="shared" si="422"/>
        <v>-30383.137254901936</v>
      </c>
      <c r="AC2815" s="4">
        <f t="shared" si="439"/>
        <v>-607.6627450980377</v>
      </c>
      <c r="AD2815" s="6">
        <f t="shared" si="445"/>
        <v>-30990.799999999974</v>
      </c>
      <c r="AE2815" s="2">
        <f>VLOOKUP(I2815,[1]媒体政策预估表!A:N,MATCH(O2815,[1]媒体政策预估表!$A$2:$M$2,0),0)</f>
        <v>0.17</v>
      </c>
      <c r="AF2815" s="6">
        <f t="shared" si="440"/>
        <v>-5268.4359999999961</v>
      </c>
      <c r="AG2815" s="14">
        <v>0</v>
      </c>
      <c r="AH2815" s="64">
        <f t="shared" si="446"/>
        <v>-30990.799999999974</v>
      </c>
      <c r="AI2815" s="47"/>
      <c r="AJ2815" s="126" t="e">
        <v>#N/A</v>
      </c>
      <c r="AK2815" s="80">
        <f t="shared" si="423"/>
        <v>0</v>
      </c>
      <c r="AM2815" s="85"/>
    </row>
    <row r="2816" spans="1:39" hidden="1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43"/>
        <v>117395.12000000002</v>
      </c>
      <c r="X2816" s="6">
        <f t="shared" si="444"/>
        <v>57233.699999999975</v>
      </c>
      <c r="Y2816" s="13">
        <f t="shared" si="421"/>
        <v>0</v>
      </c>
      <c r="Z2816" s="14">
        <v>0</v>
      </c>
      <c r="AA2816" s="6">
        <v>0</v>
      </c>
      <c r="AB2816" s="4">
        <f t="shared" si="422"/>
        <v>57233.699999999975</v>
      </c>
      <c r="AC2816" s="4">
        <f t="shared" si="439"/>
        <v>0</v>
      </c>
      <c r="AD2816" s="6">
        <f t="shared" si="445"/>
        <v>57233.699999999975</v>
      </c>
      <c r="AE2816" s="2">
        <f>VLOOKUP(I2816,[1]媒体政策预估表!A:N,MATCH(O2816,[1]媒体政策预估表!$A$2:$M$2,0),0)</f>
        <v>0.17</v>
      </c>
      <c r="AF2816" s="6">
        <f t="shared" si="440"/>
        <v>9729.7289999999957</v>
      </c>
      <c r="AG2816" s="14">
        <v>0</v>
      </c>
      <c r="AH2816" s="64">
        <f t="shared" si="446"/>
        <v>57233.699999999975</v>
      </c>
      <c r="AI2816" s="47"/>
      <c r="AJ2816" s="126" t="e">
        <v>#N/A</v>
      </c>
      <c r="AK2816" s="80">
        <f t="shared" si="423"/>
        <v>0</v>
      </c>
      <c r="AM2816" s="85"/>
    </row>
    <row r="2817" spans="1:39" hidden="1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43"/>
        <v>48392.75999999998</v>
      </c>
      <c r="X2817" s="6">
        <f t="shared" si="444"/>
        <v>87886.44</v>
      </c>
      <c r="Y2817" s="13">
        <f t="shared" si="421"/>
        <v>0</v>
      </c>
      <c r="Z2817" s="14">
        <v>0</v>
      </c>
      <c r="AA2817" s="6">
        <v>0</v>
      </c>
      <c r="AB2817" s="4">
        <f t="shared" si="422"/>
        <v>87886.44</v>
      </c>
      <c r="AC2817" s="4">
        <f t="shared" si="439"/>
        <v>0</v>
      </c>
      <c r="AD2817" s="6">
        <f t="shared" si="445"/>
        <v>87886.44</v>
      </c>
      <c r="AE2817" s="2">
        <f>VLOOKUP(I2817,[1]媒体政策预估表!A:N,MATCH(O2817,[1]媒体政策预估表!$A$2:$M$2,0),0)</f>
        <v>0.17</v>
      </c>
      <c r="AF2817" s="6">
        <f t="shared" si="440"/>
        <v>14940.694800000001</v>
      </c>
      <c r="AG2817" s="14">
        <v>0</v>
      </c>
      <c r="AH2817" s="64">
        <f t="shared" si="446"/>
        <v>87886.44</v>
      </c>
      <c r="AI2817" s="47"/>
      <c r="AJ2817" s="126" t="e">
        <v>#N/A</v>
      </c>
      <c r="AK2817" s="80">
        <f t="shared" si="423"/>
        <v>0</v>
      </c>
      <c r="AM2817" s="85"/>
    </row>
    <row r="2818" spans="1:39" hidden="1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43"/>
        <v>89637.050000000076</v>
      </c>
      <c r="X2818" s="6">
        <f t="shared" si="444"/>
        <v>166169.86000000002</v>
      </c>
      <c r="Y2818" s="13">
        <f t="shared" si="421"/>
        <v>0</v>
      </c>
      <c r="Z2818" s="14">
        <v>0</v>
      </c>
      <c r="AA2818" s="6">
        <v>0</v>
      </c>
      <c r="AB2818" s="4">
        <f t="shared" si="422"/>
        <v>166169.86000000002</v>
      </c>
      <c r="AC2818" s="4">
        <f t="shared" si="439"/>
        <v>0</v>
      </c>
      <c r="AD2818" s="6">
        <f t="shared" si="445"/>
        <v>166169.86000000002</v>
      </c>
      <c r="AE2818" s="2">
        <f>VLOOKUP(I2818,[1]媒体政策预估表!A:N,MATCH(O2818,[1]媒体政策预估表!$A$2:$M$2,0),0)</f>
        <v>0.17</v>
      </c>
      <c r="AF2818" s="6">
        <f t="shared" si="440"/>
        <v>28248.876200000006</v>
      </c>
      <c r="AG2818" s="14">
        <v>0</v>
      </c>
      <c r="AH2818" s="64">
        <f t="shared" si="446"/>
        <v>166169.86000000002</v>
      </c>
      <c r="AI2818" s="47"/>
      <c r="AJ2818" s="126" t="e">
        <v>#N/A</v>
      </c>
      <c r="AK2818" s="80">
        <f t="shared" si="423"/>
        <v>0</v>
      </c>
      <c r="AM2818" s="85"/>
    </row>
    <row r="2819" spans="1:39" hidden="1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43"/>
        <v>20862.059999999998</v>
      </c>
      <c r="X2819" s="6">
        <f t="shared" si="444"/>
        <v>13761.65</v>
      </c>
      <c r="Y2819" s="13">
        <f t="shared" ref="Y2819:Y2882" si="447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48">X2819+AA2819</f>
        <v>13761.65</v>
      </c>
      <c r="AC2819" s="4">
        <f t="shared" si="439"/>
        <v>0</v>
      </c>
      <c r="AD2819" s="6">
        <f t="shared" si="445"/>
        <v>13761.65</v>
      </c>
      <c r="AE2819" s="2">
        <f>VLOOKUP(I2819,[1]媒体政策预估表!A:N,MATCH(O2819,[1]媒体政策预估表!$A$2:$M$2,0),0)</f>
        <v>0.17</v>
      </c>
      <c r="AF2819" s="6">
        <f t="shared" si="440"/>
        <v>2339.4805000000001</v>
      </c>
      <c r="AG2819" s="14">
        <v>0</v>
      </c>
      <c r="AH2819" s="64">
        <f t="shared" si="446"/>
        <v>13761.65</v>
      </c>
      <c r="AI2819" s="47"/>
      <c r="AJ2819" s="126" t="e">
        <v>#N/A</v>
      </c>
      <c r="AK2819" s="80">
        <f t="shared" ref="AK2819:AK2882" si="449">X2819+AA2819-AB2819</f>
        <v>0</v>
      </c>
      <c r="AM2819" s="85"/>
    </row>
    <row r="2820" spans="1:39" hidden="1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43"/>
        <v>678091.68</v>
      </c>
      <c r="X2820" s="6">
        <f t="shared" si="444"/>
        <v>154206.87</v>
      </c>
      <c r="Y2820" s="13">
        <f t="shared" si="447"/>
        <v>0</v>
      </c>
      <c r="Z2820" s="14">
        <v>0</v>
      </c>
      <c r="AA2820" s="6">
        <v>0</v>
      </c>
      <c r="AB2820" s="4">
        <f t="shared" si="448"/>
        <v>154206.87</v>
      </c>
      <c r="AC2820" s="4">
        <f t="shared" si="439"/>
        <v>0</v>
      </c>
      <c r="AD2820" s="6">
        <f t="shared" si="445"/>
        <v>154206.87</v>
      </c>
      <c r="AE2820" s="2">
        <f>VLOOKUP(I2820,[1]媒体政策预估表!A:N,MATCH(O2820,[1]媒体政策预估表!$A$2:$M$2,0),0)</f>
        <v>0.17</v>
      </c>
      <c r="AF2820" s="6">
        <f t="shared" si="440"/>
        <v>26215.1679</v>
      </c>
      <c r="AG2820" s="14">
        <v>0</v>
      </c>
      <c r="AH2820" s="64">
        <f t="shared" si="446"/>
        <v>154206.87</v>
      </c>
      <c r="AI2820" s="47"/>
      <c r="AJ2820" s="126" t="e">
        <v>#N/A</v>
      </c>
      <c r="AK2820" s="80">
        <f t="shared" si="449"/>
        <v>0</v>
      </c>
      <c r="AM2820" s="85"/>
    </row>
    <row r="2821" spans="1:39" hidden="1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43"/>
        <v>9957.7999999999884</v>
      </c>
      <c r="X2821" s="6">
        <f t="shared" si="444"/>
        <v>88326.200000000012</v>
      </c>
      <c r="Y2821" s="13">
        <f t="shared" si="447"/>
        <v>0</v>
      </c>
      <c r="Z2821" s="14">
        <v>0</v>
      </c>
      <c r="AA2821" s="6">
        <v>0</v>
      </c>
      <c r="AB2821" s="4">
        <f t="shared" si="448"/>
        <v>88326.200000000012</v>
      </c>
      <c r="AC2821" s="4">
        <f t="shared" si="439"/>
        <v>0</v>
      </c>
      <c r="AD2821" s="6">
        <f t="shared" si="445"/>
        <v>88326.200000000012</v>
      </c>
      <c r="AE2821" s="2">
        <f>VLOOKUP(I2821,[1]媒体政策预估表!A:N,MATCH(O2821,[1]媒体政策预估表!$A$2:$M$2,0),0)</f>
        <v>0.17</v>
      </c>
      <c r="AF2821" s="6">
        <f t="shared" si="440"/>
        <v>15015.454000000003</v>
      </c>
      <c r="AG2821" s="14">
        <v>0</v>
      </c>
      <c r="AH2821" s="64">
        <f t="shared" si="446"/>
        <v>88326.200000000012</v>
      </c>
      <c r="AI2821" s="47"/>
      <c r="AJ2821" s="126" t="e">
        <v>#N/A</v>
      </c>
      <c r="AK2821" s="80">
        <f t="shared" si="449"/>
        <v>0</v>
      </c>
      <c r="AM2821" s="85"/>
    </row>
    <row r="2822" spans="1:39" hidden="1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43"/>
        <v>6790.7002999999968</v>
      </c>
      <c r="X2822" s="6">
        <f t="shared" si="444"/>
        <v>54430.77669902912</v>
      </c>
      <c r="Y2822" s="13">
        <f t="shared" si="447"/>
        <v>0</v>
      </c>
      <c r="Z2822" s="14">
        <v>0</v>
      </c>
      <c r="AA2822" s="6">
        <v>0</v>
      </c>
      <c r="AB2822" s="4">
        <f t="shared" si="448"/>
        <v>54430.77669902912</v>
      </c>
      <c r="AC2822" s="4">
        <f t="shared" si="439"/>
        <v>1632.9233009708769</v>
      </c>
      <c r="AD2822" s="6">
        <f t="shared" si="445"/>
        <v>56063.7</v>
      </c>
      <c r="AE2822" s="2">
        <f>VLOOKUP(I2822,[1]媒体政策预估表!A:N,MATCH(O2822,[1]媒体政策预估表!$A$2:$M$2,0),0)</f>
        <v>0.17</v>
      </c>
      <c r="AF2822" s="6">
        <f t="shared" si="440"/>
        <v>9530.8289999999997</v>
      </c>
      <c r="AG2822" s="14">
        <v>0</v>
      </c>
      <c r="AH2822" s="64">
        <f t="shared" si="446"/>
        <v>56063.7</v>
      </c>
      <c r="AI2822" s="47"/>
      <c r="AJ2822" s="126" t="e">
        <v>#N/A</v>
      </c>
      <c r="AK2822" s="80">
        <f t="shared" si="449"/>
        <v>0</v>
      </c>
      <c r="AM2822" s="85"/>
    </row>
    <row r="2823" spans="1:39" hidden="1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43"/>
        <v>17314.479999999974</v>
      </c>
      <c r="X2823" s="6">
        <f t="shared" si="444"/>
        <v>33416.564356435636</v>
      </c>
      <c r="Y2823" s="13">
        <f t="shared" si="447"/>
        <v>0</v>
      </c>
      <c r="Z2823" s="14">
        <v>0</v>
      </c>
      <c r="AA2823" s="6">
        <v>0</v>
      </c>
      <c r="AB2823" s="4">
        <f t="shared" si="448"/>
        <v>33416.564356435636</v>
      </c>
      <c r="AC2823" s="4">
        <f t="shared" si="439"/>
        <v>334.16564356435993</v>
      </c>
      <c r="AD2823" s="6">
        <f t="shared" si="445"/>
        <v>33750.729999999996</v>
      </c>
      <c r="AE2823" s="2">
        <f>VLOOKUP(I2823,[1]媒体政策预估表!A:N,MATCH(O2823,[1]媒体政策预估表!$A$2:$M$2,0),0)</f>
        <v>0.17</v>
      </c>
      <c r="AF2823" s="6">
        <f t="shared" si="440"/>
        <v>5737.6241</v>
      </c>
      <c r="AG2823" s="14">
        <v>0</v>
      </c>
      <c r="AH2823" s="64">
        <f t="shared" si="446"/>
        <v>33750.729999999996</v>
      </c>
      <c r="AI2823" s="47"/>
      <c r="AJ2823" s="126" t="e">
        <v>#N/A</v>
      </c>
      <c r="AK2823" s="80">
        <f t="shared" si="449"/>
        <v>0</v>
      </c>
      <c r="AM2823" s="85"/>
    </row>
    <row r="2824" spans="1:39" hidden="1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43"/>
        <v>10054</v>
      </c>
      <c r="X2824" s="6">
        <f t="shared" si="444"/>
        <v>39946</v>
      </c>
      <c r="Y2824" s="13">
        <f t="shared" si="447"/>
        <v>0</v>
      </c>
      <c r="Z2824" s="14">
        <v>0</v>
      </c>
      <c r="AA2824" s="6">
        <v>0</v>
      </c>
      <c r="AB2824" s="4"/>
      <c r="AC2824" s="4">
        <f t="shared" si="439"/>
        <v>0</v>
      </c>
      <c r="AD2824" s="6">
        <f t="shared" si="445"/>
        <v>39946</v>
      </c>
      <c r="AE2824" s="2">
        <f>VLOOKUP(I2824,[1]媒体政策预估表!A:N,MATCH(O2824,[1]媒体政策预估表!$A$2:$M$2,0),0)</f>
        <v>0.17</v>
      </c>
      <c r="AF2824" s="6">
        <f t="shared" si="440"/>
        <v>6790.8200000000006</v>
      </c>
      <c r="AG2824" s="14">
        <v>0</v>
      </c>
      <c r="AH2824" s="64">
        <f t="shared" si="446"/>
        <v>39946</v>
      </c>
      <c r="AI2824" s="47"/>
      <c r="AJ2824" s="126">
        <v>116</v>
      </c>
      <c r="AK2824" s="80">
        <f t="shared" si="449"/>
        <v>39946</v>
      </c>
      <c r="AM2824" s="85"/>
    </row>
    <row r="2825" spans="1:39" hidden="1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43"/>
        <v>14112.099999999999</v>
      </c>
      <c r="X2825" s="6">
        <f t="shared" si="444"/>
        <v>9305.2000000000007</v>
      </c>
      <c r="Y2825" s="13">
        <f t="shared" si="447"/>
        <v>0</v>
      </c>
      <c r="Z2825" s="14">
        <v>0</v>
      </c>
      <c r="AA2825" s="6">
        <v>0</v>
      </c>
      <c r="AB2825" s="4">
        <f t="shared" si="448"/>
        <v>9305.2000000000007</v>
      </c>
      <c r="AC2825" s="4">
        <f t="shared" si="439"/>
        <v>0</v>
      </c>
      <c r="AD2825" s="6">
        <f t="shared" si="445"/>
        <v>9305.2000000000007</v>
      </c>
      <c r="AE2825" s="2">
        <f>VLOOKUP(I2825,[1]媒体政策预估表!A:N,MATCH(O2825,[1]媒体政策预估表!$A$2:$M$2,0),0)</f>
        <v>0.17</v>
      </c>
      <c r="AF2825" s="6">
        <f t="shared" si="440"/>
        <v>1581.8840000000002</v>
      </c>
      <c r="AG2825" s="14">
        <v>0</v>
      </c>
      <c r="AH2825" s="64">
        <f t="shared" si="446"/>
        <v>9305.2000000000007</v>
      </c>
      <c r="AI2825" s="47"/>
      <c r="AJ2825" s="126" t="e">
        <v>#N/A</v>
      </c>
      <c r="AK2825" s="80">
        <f t="shared" si="449"/>
        <v>0</v>
      </c>
      <c r="AM2825" s="85"/>
    </row>
    <row r="2826" spans="1:39" hidden="1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43"/>
        <v>10000</v>
      </c>
      <c r="X2826" s="6">
        <f t="shared" si="444"/>
        <v>0</v>
      </c>
      <c r="Y2826" s="13">
        <f t="shared" si="447"/>
        <v>0</v>
      </c>
      <c r="Z2826" s="14">
        <v>0</v>
      </c>
      <c r="AA2826" s="6">
        <v>0</v>
      </c>
      <c r="AB2826" s="4">
        <f t="shared" si="448"/>
        <v>0</v>
      </c>
      <c r="AC2826" s="4">
        <f t="shared" si="439"/>
        <v>0</v>
      </c>
      <c r="AD2826" s="6">
        <f t="shared" si="445"/>
        <v>0</v>
      </c>
      <c r="AE2826" s="2">
        <f>VLOOKUP(I2826,[1]媒体政策预估表!A:N,MATCH(O2826,[1]媒体政策预估表!$A$2:$M$2,0),0)</f>
        <v>0.17</v>
      </c>
      <c r="AF2826" s="6">
        <f t="shared" si="440"/>
        <v>0</v>
      </c>
      <c r="AG2826" s="14">
        <v>0</v>
      </c>
      <c r="AH2826" s="64">
        <f t="shared" si="446"/>
        <v>0</v>
      </c>
      <c r="AI2826" s="47"/>
      <c r="AJ2826" s="126" t="e">
        <v>#N/A</v>
      </c>
      <c r="AK2826" s="80">
        <f t="shared" si="449"/>
        <v>0</v>
      </c>
      <c r="AM2826" s="85"/>
    </row>
    <row r="2827" spans="1:39" hidden="1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43"/>
        <v>17908.59</v>
      </c>
      <c r="X2827" s="6">
        <f t="shared" si="444"/>
        <v>17091.41</v>
      </c>
      <c r="Y2827" s="13">
        <f t="shared" si="447"/>
        <v>0</v>
      </c>
      <c r="Z2827" s="14">
        <v>0</v>
      </c>
      <c r="AA2827" s="6">
        <v>0</v>
      </c>
      <c r="AB2827" s="4">
        <f t="shared" si="448"/>
        <v>17091.41</v>
      </c>
      <c r="AC2827" s="4">
        <f t="shared" si="439"/>
        <v>0</v>
      </c>
      <c r="AD2827" s="6">
        <f t="shared" si="445"/>
        <v>17091.41</v>
      </c>
      <c r="AE2827" s="2">
        <f>VLOOKUP(I2827,[1]媒体政策预估表!A:N,MATCH(O2827,[1]媒体政策预估表!$A$2:$M$2,0),0)</f>
        <v>0.17</v>
      </c>
      <c r="AF2827" s="6">
        <f t="shared" si="440"/>
        <v>2905.5397000000003</v>
      </c>
      <c r="AG2827" s="14">
        <v>0</v>
      </c>
      <c r="AH2827" s="64">
        <f t="shared" si="446"/>
        <v>17091.41</v>
      </c>
      <c r="AI2827" s="47"/>
      <c r="AJ2827" s="126" t="e">
        <v>#N/A</v>
      </c>
      <c r="AK2827" s="80">
        <f t="shared" si="449"/>
        <v>0</v>
      </c>
      <c r="AM2827" s="85"/>
    </row>
    <row r="2828" spans="1:39" hidden="1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43"/>
        <v>23908.240000000002</v>
      </c>
      <c r="X2828" s="6">
        <f t="shared" si="444"/>
        <v>26091.759999999998</v>
      </c>
      <c r="Y2828" s="13">
        <f t="shared" si="447"/>
        <v>0</v>
      </c>
      <c r="Z2828" s="14">
        <v>0</v>
      </c>
      <c r="AA2828" s="6">
        <v>0</v>
      </c>
      <c r="AB2828" s="4">
        <f t="shared" si="448"/>
        <v>26091.759999999998</v>
      </c>
      <c r="AC2828" s="4">
        <f t="shared" ref="AC2828:AC2891" si="450">IF(P2828="返现",X2828*Q2828,V2828-X2828)</f>
        <v>0</v>
      </c>
      <c r="AD2828" s="6">
        <f t="shared" si="445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51">AD2828*AE2828</f>
        <v>4435.5991999999997</v>
      </c>
      <c r="AG2828" s="14">
        <v>0</v>
      </c>
      <c r="AH2828" s="64">
        <f t="shared" si="446"/>
        <v>26091.759999999998</v>
      </c>
      <c r="AI2828" s="47"/>
      <c r="AJ2828" s="126" t="e">
        <v>#N/A</v>
      </c>
      <c r="AK2828" s="80">
        <f t="shared" si="449"/>
        <v>0</v>
      </c>
      <c r="AM2828" s="85"/>
    </row>
    <row r="2829" spans="1:39" hidden="1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43"/>
        <v>15424.230100000004</v>
      </c>
      <c r="X2829" s="6">
        <f t="shared" si="444"/>
        <v>21375.77</v>
      </c>
      <c r="Y2829" s="13">
        <f t="shared" si="447"/>
        <v>0</v>
      </c>
      <c r="Z2829" s="14">
        <v>0</v>
      </c>
      <c r="AA2829" s="6">
        <v>0</v>
      </c>
      <c r="AB2829" s="4">
        <f t="shared" si="448"/>
        <v>21375.77</v>
      </c>
      <c r="AC2829" s="4">
        <f t="shared" si="450"/>
        <v>0</v>
      </c>
      <c r="AD2829" s="6">
        <f t="shared" si="445"/>
        <v>21375.77</v>
      </c>
      <c r="AE2829" s="2">
        <f>VLOOKUP(I2829,[1]媒体政策预估表!A:N,MATCH(O2829,[1]媒体政策预估表!$A$2:$M$2,0),0)</f>
        <v>0.17</v>
      </c>
      <c r="AF2829" s="6">
        <f t="shared" si="451"/>
        <v>3633.8809000000001</v>
      </c>
      <c r="AG2829" s="14">
        <v>0</v>
      </c>
      <c r="AH2829" s="64">
        <f t="shared" si="446"/>
        <v>21375.77</v>
      </c>
      <c r="AI2829" s="47"/>
      <c r="AJ2829" s="126" t="e">
        <v>#N/A</v>
      </c>
      <c r="AK2829" s="80">
        <f t="shared" si="449"/>
        <v>0</v>
      </c>
      <c r="AM2829" s="85"/>
    </row>
    <row r="2830" spans="1:39" hidden="1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43"/>
        <v>4278.9000000000015</v>
      </c>
      <c r="X2830" s="6">
        <f t="shared" si="444"/>
        <v>19617.7</v>
      </c>
      <c r="Y2830" s="13">
        <f t="shared" si="447"/>
        <v>0</v>
      </c>
      <c r="Z2830" s="14">
        <v>0</v>
      </c>
      <c r="AA2830" s="6">
        <v>0</v>
      </c>
      <c r="AB2830" s="4">
        <f t="shared" si="448"/>
        <v>19617.7</v>
      </c>
      <c r="AC2830" s="4">
        <f t="shared" si="450"/>
        <v>0</v>
      </c>
      <c r="AD2830" s="6">
        <f t="shared" si="445"/>
        <v>19617.7</v>
      </c>
      <c r="AE2830" s="2">
        <f>VLOOKUP(I2830,[1]媒体政策预估表!A:N,MATCH(O2830,[1]媒体政策预估表!$A$2:$M$2,0),0)</f>
        <v>0.17</v>
      </c>
      <c r="AF2830" s="6">
        <f t="shared" si="451"/>
        <v>3335.0090000000005</v>
      </c>
      <c r="AG2830" s="14">
        <v>0</v>
      </c>
      <c r="AH2830" s="64">
        <f t="shared" si="446"/>
        <v>19617.7</v>
      </c>
      <c r="AI2830" s="47"/>
      <c r="AJ2830" s="126" t="e">
        <v>#N/A</v>
      </c>
      <c r="AK2830" s="80">
        <f t="shared" si="449"/>
        <v>0</v>
      </c>
      <c r="AM2830" s="85"/>
    </row>
    <row r="2831" spans="1:39" hidden="1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43"/>
        <v>7026.8000000000011</v>
      </c>
      <c r="X2831" s="6">
        <f t="shared" si="444"/>
        <v>2914.9019607843125</v>
      </c>
      <c r="Y2831" s="13">
        <f t="shared" si="447"/>
        <v>0</v>
      </c>
      <c r="Z2831" s="14">
        <v>0</v>
      </c>
      <c r="AA2831" s="6">
        <v>0</v>
      </c>
      <c r="AB2831" s="4">
        <f t="shared" si="448"/>
        <v>2914.9019607843125</v>
      </c>
      <c r="AC2831" s="4">
        <f t="shared" si="450"/>
        <v>58.298039215686458</v>
      </c>
      <c r="AD2831" s="6">
        <f t="shared" si="445"/>
        <v>2973.1999999999989</v>
      </c>
      <c r="AE2831" s="2">
        <f>VLOOKUP(I2831,[1]媒体政策预估表!A:N,MATCH(O2831,[1]媒体政策预估表!$A$2:$M$2,0),0)</f>
        <v>0.17</v>
      </c>
      <c r="AF2831" s="6">
        <f t="shared" si="451"/>
        <v>505.44399999999985</v>
      </c>
      <c r="AG2831" s="14">
        <v>0</v>
      </c>
      <c r="AH2831" s="64">
        <f t="shared" si="446"/>
        <v>2973.1999999999989</v>
      </c>
      <c r="AI2831" s="47"/>
      <c r="AJ2831" s="126" t="e">
        <v>#N/A</v>
      </c>
      <c r="AK2831" s="80">
        <f t="shared" si="449"/>
        <v>0</v>
      </c>
      <c r="AM2831" s="85"/>
    </row>
    <row r="2832" spans="1:39" hidden="1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43"/>
        <v>82539.12</v>
      </c>
      <c r="X2832" s="6">
        <f t="shared" si="444"/>
        <v>18684.18</v>
      </c>
      <c r="Y2832" s="13">
        <f t="shared" si="447"/>
        <v>0</v>
      </c>
      <c r="Z2832" s="14">
        <v>0</v>
      </c>
      <c r="AA2832" s="6">
        <v>0</v>
      </c>
      <c r="AB2832" s="4">
        <f t="shared" si="448"/>
        <v>18684.18</v>
      </c>
      <c r="AC2832" s="4">
        <f t="shared" si="450"/>
        <v>0</v>
      </c>
      <c r="AD2832" s="6">
        <f t="shared" si="445"/>
        <v>18684.18</v>
      </c>
      <c r="AE2832" s="2">
        <f>VLOOKUP(I2832,[1]媒体政策预估表!A:N,MATCH(O2832,[1]媒体政策预估表!$A$2:$M$2,0),0)</f>
        <v>0.17</v>
      </c>
      <c r="AF2832" s="6">
        <f t="shared" si="451"/>
        <v>3176.3106000000002</v>
      </c>
      <c r="AG2832" s="14">
        <v>0</v>
      </c>
      <c r="AH2832" s="64">
        <f t="shared" si="446"/>
        <v>18684.18</v>
      </c>
      <c r="AI2832" s="47"/>
      <c r="AJ2832" s="126" t="e">
        <v>#N/A</v>
      </c>
      <c r="AK2832" s="80">
        <f t="shared" si="449"/>
        <v>0</v>
      </c>
      <c r="AM2832" s="85"/>
    </row>
    <row r="2833" spans="1:39" hidden="1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43"/>
        <v>1.0000000020227162E-4</v>
      </c>
      <c r="X2833" s="6">
        <f t="shared" si="444"/>
        <v>5546.7</v>
      </c>
      <c r="Y2833" s="13">
        <f t="shared" si="447"/>
        <v>0</v>
      </c>
      <c r="Z2833" s="14">
        <v>0</v>
      </c>
      <c r="AA2833" s="6">
        <v>0</v>
      </c>
      <c r="AB2833" s="4">
        <f t="shared" si="448"/>
        <v>5546.7</v>
      </c>
      <c r="AC2833" s="4">
        <f t="shared" si="450"/>
        <v>0</v>
      </c>
      <c r="AD2833" s="6">
        <f t="shared" si="445"/>
        <v>5546.7</v>
      </c>
      <c r="AE2833" s="2">
        <f>VLOOKUP(I2833,[1]媒体政策预估表!A:N,MATCH(O2833,[1]媒体政策预估表!$A$2:$M$2,0),0)</f>
        <v>0.17</v>
      </c>
      <c r="AF2833" s="6">
        <f t="shared" si="451"/>
        <v>942.93900000000008</v>
      </c>
      <c r="AG2833" s="14">
        <v>0</v>
      </c>
      <c r="AH2833" s="64">
        <f t="shared" si="446"/>
        <v>5546.7</v>
      </c>
      <c r="AI2833" s="47"/>
      <c r="AJ2833" s="126" t="e">
        <v>#N/A</v>
      </c>
      <c r="AK2833" s="80">
        <f t="shared" si="449"/>
        <v>0</v>
      </c>
      <c r="AM2833" s="85"/>
    </row>
    <row r="2834" spans="1:39" hidden="1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43"/>
        <v>7104.5999999999967</v>
      </c>
      <c r="X2834" s="6">
        <f t="shared" si="444"/>
        <v>4508.6000000000004</v>
      </c>
      <c r="Y2834" s="13">
        <f t="shared" si="447"/>
        <v>0</v>
      </c>
      <c r="Z2834" s="14">
        <v>0</v>
      </c>
      <c r="AA2834" s="6">
        <v>0</v>
      </c>
      <c r="AB2834" s="4">
        <f t="shared" si="448"/>
        <v>4508.6000000000004</v>
      </c>
      <c r="AC2834" s="4">
        <f t="shared" si="450"/>
        <v>0</v>
      </c>
      <c r="AD2834" s="6">
        <f t="shared" si="445"/>
        <v>4508.6000000000004</v>
      </c>
      <c r="AE2834" s="2">
        <f>VLOOKUP(I2834,[1]媒体政策预估表!A:N,MATCH(O2834,[1]媒体政策预估表!$A$2:$M$2,0),0)</f>
        <v>0.17</v>
      </c>
      <c r="AF2834" s="6">
        <f t="shared" si="451"/>
        <v>766.4620000000001</v>
      </c>
      <c r="AG2834" s="14">
        <v>0</v>
      </c>
      <c r="AH2834" s="64">
        <f t="shared" si="446"/>
        <v>4508.6000000000004</v>
      </c>
      <c r="AI2834" s="47"/>
      <c r="AJ2834" s="126" t="e">
        <v>#N/A</v>
      </c>
      <c r="AK2834" s="80">
        <f t="shared" si="449"/>
        <v>0</v>
      </c>
      <c r="AM2834" s="85"/>
    </row>
    <row r="2835" spans="1:39" hidden="1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43"/>
        <v>22212.599999999991</v>
      </c>
      <c r="X2835" s="6">
        <f t="shared" si="444"/>
        <v>92900.800000000003</v>
      </c>
      <c r="Y2835" s="13">
        <f t="shared" si="447"/>
        <v>0</v>
      </c>
      <c r="Z2835" s="14">
        <v>0</v>
      </c>
      <c r="AA2835" s="6">
        <v>0</v>
      </c>
      <c r="AB2835" s="4">
        <f t="shared" si="448"/>
        <v>92900.800000000003</v>
      </c>
      <c r="AC2835" s="4">
        <f t="shared" si="450"/>
        <v>0</v>
      </c>
      <c r="AD2835" s="6">
        <f t="shared" si="445"/>
        <v>92900.800000000003</v>
      </c>
      <c r="AE2835" s="2">
        <f>VLOOKUP(I2835,[1]媒体政策预估表!A:N,MATCH(O2835,[1]媒体政策预估表!$A$2:$M$2,0),0)</f>
        <v>0.17</v>
      </c>
      <c r="AF2835" s="6">
        <f t="shared" si="451"/>
        <v>15793.136000000002</v>
      </c>
      <c r="AG2835" s="14">
        <v>0</v>
      </c>
      <c r="AH2835" s="64">
        <f t="shared" si="446"/>
        <v>92900.800000000003</v>
      </c>
      <c r="AI2835" s="47"/>
      <c r="AJ2835" s="126" t="e">
        <v>#N/A</v>
      </c>
      <c r="AK2835" s="80">
        <f t="shared" si="449"/>
        <v>0</v>
      </c>
      <c r="AM2835" s="85"/>
    </row>
    <row r="2836" spans="1:39" hidden="1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43"/>
        <v>0</v>
      </c>
      <c r="X2836" s="6">
        <f t="shared" si="444"/>
        <v>0</v>
      </c>
      <c r="Y2836" s="13">
        <f t="shared" si="447"/>
        <v>0</v>
      </c>
      <c r="Z2836" s="14">
        <v>0</v>
      </c>
      <c r="AA2836" s="6">
        <v>0</v>
      </c>
      <c r="AB2836" s="4">
        <f t="shared" si="448"/>
        <v>0</v>
      </c>
      <c r="AC2836" s="4">
        <f t="shared" si="450"/>
        <v>0</v>
      </c>
      <c r="AD2836" s="6">
        <f t="shared" si="445"/>
        <v>0</v>
      </c>
      <c r="AE2836" s="2">
        <f>VLOOKUP(I2836,[1]媒体政策预估表!A:N,MATCH(O2836,[1]媒体政策预估表!$A$2:$M$2,0),0)</f>
        <v>0.17</v>
      </c>
      <c r="AF2836" s="6">
        <f t="shared" si="451"/>
        <v>0</v>
      </c>
      <c r="AG2836" s="14">
        <v>0</v>
      </c>
      <c r="AH2836" s="64">
        <f t="shared" si="446"/>
        <v>0</v>
      </c>
      <c r="AI2836" s="47"/>
      <c r="AJ2836" s="126" t="e">
        <v>#N/A</v>
      </c>
      <c r="AK2836" s="80">
        <f t="shared" si="449"/>
        <v>0</v>
      </c>
      <c r="AM2836" s="85"/>
    </row>
    <row r="2837" spans="1:39" hidden="1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43"/>
        <v>57257.939999999915</v>
      </c>
      <c r="X2837" s="6">
        <f t="shared" si="444"/>
        <v>90752.76999999999</v>
      </c>
      <c r="Y2837" s="13">
        <f t="shared" si="447"/>
        <v>0</v>
      </c>
      <c r="Z2837" s="14">
        <v>0</v>
      </c>
      <c r="AA2837" s="6">
        <v>0</v>
      </c>
      <c r="AB2837" s="4">
        <f t="shared" si="448"/>
        <v>90752.76999999999</v>
      </c>
      <c r="AC2837" s="4">
        <f t="shared" si="450"/>
        <v>0</v>
      </c>
      <c r="AD2837" s="6">
        <f t="shared" si="445"/>
        <v>90752.76999999999</v>
      </c>
      <c r="AE2837" s="2">
        <f>VLOOKUP(I2837,[1]媒体政策预估表!A:N,MATCH(O2837,[1]媒体政策预估表!$A$2:$M$2,0),0)</f>
        <v>0.17</v>
      </c>
      <c r="AF2837" s="6">
        <f t="shared" si="451"/>
        <v>15427.970899999998</v>
      </c>
      <c r="AG2837" s="14">
        <v>0</v>
      </c>
      <c r="AH2837" s="64">
        <f t="shared" si="446"/>
        <v>90752.76999999999</v>
      </c>
      <c r="AI2837" s="47"/>
      <c r="AJ2837" s="126" t="e">
        <v>#N/A</v>
      </c>
      <c r="AK2837" s="80">
        <f t="shared" si="449"/>
        <v>0</v>
      </c>
      <c r="AM2837" s="85"/>
    </row>
    <row r="2838" spans="1:39" hidden="1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43"/>
        <v>4737.0799999998562</v>
      </c>
      <c r="X2838" s="6">
        <f t="shared" si="444"/>
        <v>68999.839999999997</v>
      </c>
      <c r="Y2838" s="13">
        <f t="shared" si="447"/>
        <v>0</v>
      </c>
      <c r="Z2838" s="14">
        <v>0</v>
      </c>
      <c r="AA2838" s="6">
        <v>0</v>
      </c>
      <c r="AB2838" s="4">
        <f t="shared" si="448"/>
        <v>68999.839999999997</v>
      </c>
      <c r="AC2838" s="4">
        <f t="shared" si="450"/>
        <v>0</v>
      </c>
      <c r="AD2838" s="6">
        <f t="shared" si="445"/>
        <v>68999.839999999997</v>
      </c>
      <c r="AE2838" s="2">
        <f>VLOOKUP(I2838,[1]媒体政策预估表!A:N,MATCH(O2838,[1]媒体政策预估表!$A$2:$M$2,0),0)</f>
        <v>0.17</v>
      </c>
      <c r="AF2838" s="6">
        <f t="shared" si="451"/>
        <v>11729.9728</v>
      </c>
      <c r="AG2838" s="14">
        <v>0</v>
      </c>
      <c r="AH2838" s="64">
        <f t="shared" si="446"/>
        <v>68999.839999999997</v>
      </c>
      <c r="AI2838" s="47"/>
      <c r="AJ2838" s="126" t="e">
        <v>#N/A</v>
      </c>
      <c r="AK2838" s="80">
        <f t="shared" si="449"/>
        <v>0</v>
      </c>
      <c r="AM2838" s="85"/>
    </row>
    <row r="2839" spans="1:39" hidden="1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43"/>
        <v>-31640.199999999983</v>
      </c>
      <c r="X2839" s="13">
        <f t="shared" si="444"/>
        <v>0</v>
      </c>
      <c r="Y2839" s="13">
        <f t="shared" si="447"/>
        <v>0</v>
      </c>
      <c r="Z2839" s="14">
        <v>0</v>
      </c>
      <c r="AA2839" s="6">
        <v>0</v>
      </c>
      <c r="AB2839" s="4">
        <f t="shared" si="448"/>
        <v>0</v>
      </c>
      <c r="AC2839" s="4">
        <f t="shared" si="450"/>
        <v>0</v>
      </c>
      <c r="AD2839" s="6">
        <f t="shared" si="445"/>
        <v>0</v>
      </c>
      <c r="AE2839" s="2">
        <f>VLOOKUP(I2839,[1]媒体政策预估表!A:N,MATCH(O2839,[1]媒体政策预估表!$A$2:$M$2,0),0)</f>
        <v>0.17</v>
      </c>
      <c r="AF2839" s="6">
        <f t="shared" si="451"/>
        <v>0</v>
      </c>
      <c r="AG2839" s="14">
        <v>0</v>
      </c>
      <c r="AH2839" s="64">
        <f t="shared" si="446"/>
        <v>0</v>
      </c>
      <c r="AI2839" s="47"/>
      <c r="AJ2839" s="126" t="e">
        <v>#N/A</v>
      </c>
      <c r="AK2839" s="80">
        <f t="shared" si="449"/>
        <v>0</v>
      </c>
      <c r="AM2839" s="85"/>
    </row>
    <row r="2840" spans="1:39" hidden="1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43"/>
        <v>0</v>
      </c>
      <c r="X2840" s="6">
        <f t="shared" si="444"/>
        <v>0</v>
      </c>
      <c r="Y2840" s="13">
        <f t="shared" si="447"/>
        <v>0</v>
      </c>
      <c r="Z2840" s="14">
        <v>0</v>
      </c>
      <c r="AA2840" s="6">
        <v>0</v>
      </c>
      <c r="AB2840" s="4">
        <f t="shared" si="448"/>
        <v>0</v>
      </c>
      <c r="AC2840" s="4">
        <f t="shared" si="450"/>
        <v>0</v>
      </c>
      <c r="AD2840" s="6">
        <f t="shared" si="445"/>
        <v>0</v>
      </c>
      <c r="AE2840" s="2">
        <f>VLOOKUP(I2840,[1]媒体政策预估表!A:N,MATCH(O2840,[1]媒体政策预估表!$A$2:$M$2,0),0)</f>
        <v>0.17</v>
      </c>
      <c r="AF2840" s="6">
        <f t="shared" si="451"/>
        <v>0</v>
      </c>
      <c r="AG2840" s="14">
        <v>0</v>
      </c>
      <c r="AH2840" s="64">
        <f t="shared" si="446"/>
        <v>0</v>
      </c>
      <c r="AI2840" s="47"/>
      <c r="AJ2840" s="126" t="e">
        <v>#N/A</v>
      </c>
      <c r="AK2840" s="80">
        <f t="shared" si="449"/>
        <v>0</v>
      </c>
      <c r="AM2840" s="85"/>
    </row>
    <row r="2841" spans="1:39" hidden="1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43"/>
        <v>17200.900000000009</v>
      </c>
      <c r="X2841" s="6">
        <f t="shared" si="444"/>
        <v>0</v>
      </c>
      <c r="Y2841" s="13">
        <f t="shared" si="447"/>
        <v>0</v>
      </c>
      <c r="Z2841" s="14">
        <v>0</v>
      </c>
      <c r="AA2841" s="6">
        <v>0</v>
      </c>
      <c r="AB2841" s="4">
        <f t="shared" si="448"/>
        <v>0</v>
      </c>
      <c r="AC2841" s="4">
        <f t="shared" si="450"/>
        <v>0</v>
      </c>
      <c r="AD2841" s="6">
        <f t="shared" si="445"/>
        <v>0</v>
      </c>
      <c r="AE2841" s="2">
        <f>VLOOKUP(I2841,[1]媒体政策预估表!A:N,MATCH(O2841,[1]媒体政策预估表!$A$2:$M$2,0),0)</f>
        <v>0.17</v>
      </c>
      <c r="AF2841" s="6">
        <f t="shared" si="451"/>
        <v>0</v>
      </c>
      <c r="AG2841" s="14">
        <v>0</v>
      </c>
      <c r="AH2841" s="64">
        <f t="shared" si="446"/>
        <v>0</v>
      </c>
      <c r="AI2841" s="47"/>
      <c r="AJ2841" s="126" t="e">
        <v>#N/A</v>
      </c>
      <c r="AK2841" s="80">
        <f t="shared" si="449"/>
        <v>0</v>
      </c>
      <c r="AM2841" s="85"/>
    </row>
    <row r="2842" spans="1:39" hidden="1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43"/>
        <v>-27863.860000000019</v>
      </c>
      <c r="X2842" s="6">
        <f t="shared" si="444"/>
        <v>0</v>
      </c>
      <c r="Y2842" s="13">
        <f t="shared" si="447"/>
        <v>0</v>
      </c>
      <c r="Z2842" s="14">
        <v>0</v>
      </c>
      <c r="AA2842" s="6">
        <v>0</v>
      </c>
      <c r="AB2842" s="4">
        <f t="shared" si="448"/>
        <v>0</v>
      </c>
      <c r="AC2842" s="4">
        <f t="shared" si="450"/>
        <v>0</v>
      </c>
      <c r="AD2842" s="6">
        <f t="shared" si="445"/>
        <v>0</v>
      </c>
      <c r="AE2842" s="2">
        <f>VLOOKUP(I2842,[1]媒体政策预估表!A:N,MATCH(O2842,[1]媒体政策预估表!$A$2:$M$2,0),0)</f>
        <v>0.17</v>
      </c>
      <c r="AF2842" s="6">
        <f t="shared" si="451"/>
        <v>0</v>
      </c>
      <c r="AG2842" s="14">
        <v>0</v>
      </c>
      <c r="AH2842" s="64">
        <f t="shared" si="446"/>
        <v>0</v>
      </c>
      <c r="AI2842" s="47"/>
      <c r="AJ2842" s="126" t="e">
        <v>#N/A</v>
      </c>
      <c r="AK2842" s="80">
        <f t="shared" si="449"/>
        <v>0</v>
      </c>
      <c r="AM2842" s="85"/>
    </row>
    <row r="2843" spans="1:39" hidden="1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43"/>
        <v>5100</v>
      </c>
      <c r="X2843" s="6">
        <f t="shared" si="444"/>
        <v>0</v>
      </c>
      <c r="Y2843" s="13">
        <f t="shared" si="447"/>
        <v>0</v>
      </c>
      <c r="Z2843" s="14">
        <v>0</v>
      </c>
      <c r="AA2843" s="6">
        <v>0</v>
      </c>
      <c r="AB2843" s="4">
        <f t="shared" si="448"/>
        <v>0</v>
      </c>
      <c r="AC2843" s="4">
        <f t="shared" si="450"/>
        <v>0</v>
      </c>
      <c r="AD2843" s="6">
        <f t="shared" si="445"/>
        <v>0</v>
      </c>
      <c r="AE2843" s="2">
        <f>VLOOKUP(I2843,[1]媒体政策预估表!A:N,MATCH(O2843,[1]媒体政策预估表!$A$2:$M$2,0),0)</f>
        <v>0.17</v>
      </c>
      <c r="AF2843" s="6">
        <f t="shared" si="451"/>
        <v>0</v>
      </c>
      <c r="AG2843" s="14">
        <v>0</v>
      </c>
      <c r="AH2843" s="64">
        <f t="shared" si="446"/>
        <v>0</v>
      </c>
      <c r="AI2843" s="47"/>
      <c r="AJ2843" s="126" t="e">
        <v>#N/A</v>
      </c>
      <c r="AK2843" s="80">
        <f t="shared" si="449"/>
        <v>0</v>
      </c>
      <c r="AM2843" s="85"/>
    </row>
    <row r="2844" spans="1:39" hidden="1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43"/>
        <v>0</v>
      </c>
      <c r="X2844" s="6">
        <f t="shared" si="444"/>
        <v>-4159.7000000000071</v>
      </c>
      <c r="Y2844" s="13">
        <f t="shared" si="447"/>
        <v>0</v>
      </c>
      <c r="Z2844" s="14">
        <v>0</v>
      </c>
      <c r="AA2844" s="6">
        <v>0</v>
      </c>
      <c r="AB2844" s="4">
        <f t="shared" si="448"/>
        <v>-4159.7000000000071</v>
      </c>
      <c r="AC2844" s="4">
        <f t="shared" si="450"/>
        <v>0</v>
      </c>
      <c r="AD2844" s="6">
        <f t="shared" si="445"/>
        <v>-4159.7000000000071</v>
      </c>
      <c r="AE2844" s="2">
        <f>VLOOKUP(I2844,[1]媒体政策预估表!A:N,MATCH(O2844,[1]媒体政策预估表!$A$2:$M$2,0),0)</f>
        <v>0.17</v>
      </c>
      <c r="AF2844" s="6">
        <f t="shared" si="451"/>
        <v>-707.14900000000125</v>
      </c>
      <c r="AG2844" s="14">
        <v>0</v>
      </c>
      <c r="AH2844" s="64">
        <f t="shared" si="446"/>
        <v>-4159.7000000000071</v>
      </c>
      <c r="AI2844" s="47"/>
      <c r="AJ2844" s="126" t="e">
        <v>#N/A</v>
      </c>
      <c r="AK2844" s="80">
        <f t="shared" si="449"/>
        <v>0</v>
      </c>
      <c r="AM2844" s="85"/>
    </row>
    <row r="2845" spans="1:39" hidden="1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43"/>
        <v>18837.900000000001</v>
      </c>
      <c r="X2845" s="6">
        <f t="shared" si="444"/>
        <v>10533.9</v>
      </c>
      <c r="Y2845" s="13">
        <f t="shared" si="447"/>
        <v>0</v>
      </c>
      <c r="Z2845" s="14">
        <v>0</v>
      </c>
      <c r="AA2845" s="6">
        <v>0</v>
      </c>
      <c r="AB2845" s="4">
        <f t="shared" si="448"/>
        <v>10533.9</v>
      </c>
      <c r="AC2845" s="4">
        <f t="shared" si="450"/>
        <v>0</v>
      </c>
      <c r="AD2845" s="6">
        <f t="shared" si="445"/>
        <v>10533.9</v>
      </c>
      <c r="AE2845" s="2">
        <f>VLOOKUP(I2845,[1]媒体政策预估表!A:N,MATCH(O2845,[1]媒体政策预估表!$A$2:$M$2,0),0)</f>
        <v>0.17</v>
      </c>
      <c r="AF2845" s="6">
        <f t="shared" si="451"/>
        <v>1790.7630000000001</v>
      </c>
      <c r="AG2845" s="14">
        <v>0</v>
      </c>
      <c r="AH2845" s="64">
        <f t="shared" si="446"/>
        <v>10533.9</v>
      </c>
      <c r="AI2845" s="47"/>
      <c r="AJ2845" s="126" t="e">
        <v>#N/A</v>
      </c>
      <c r="AK2845" s="80">
        <f t="shared" si="449"/>
        <v>0</v>
      </c>
      <c r="AM2845" s="85"/>
    </row>
    <row r="2846" spans="1:39" hidden="1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43"/>
        <v>9537</v>
      </c>
      <c r="X2846" s="6">
        <f t="shared" si="444"/>
        <v>25991</v>
      </c>
      <c r="Y2846" s="13">
        <f t="shared" si="447"/>
        <v>0</v>
      </c>
      <c r="Z2846" s="14">
        <v>0</v>
      </c>
      <c r="AA2846" s="6">
        <v>0</v>
      </c>
      <c r="AB2846" s="4">
        <f t="shared" si="448"/>
        <v>25991</v>
      </c>
      <c r="AC2846" s="4">
        <f t="shared" si="450"/>
        <v>0</v>
      </c>
      <c r="AD2846" s="6">
        <f t="shared" si="445"/>
        <v>25991</v>
      </c>
      <c r="AE2846" s="2">
        <f>VLOOKUP(I2846,[1]媒体政策预估表!A:N,MATCH(O2846,[1]媒体政策预估表!$A$2:$M$2,0),0)</f>
        <v>0.17</v>
      </c>
      <c r="AF2846" s="6">
        <f t="shared" si="451"/>
        <v>4418.47</v>
      </c>
      <c r="AG2846" s="14">
        <v>0</v>
      </c>
      <c r="AH2846" s="64">
        <f t="shared" si="446"/>
        <v>25991</v>
      </c>
      <c r="AI2846" s="47"/>
      <c r="AJ2846" s="126" t="e">
        <v>#N/A</v>
      </c>
      <c r="AK2846" s="80">
        <f t="shared" si="449"/>
        <v>0</v>
      </c>
      <c r="AM2846" s="85"/>
    </row>
    <row r="2847" spans="1:39" hidden="1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43"/>
        <v>3472.6999999999971</v>
      </c>
      <c r="X2847" s="6">
        <f t="shared" si="444"/>
        <v>23980.300000000003</v>
      </c>
      <c r="Y2847" s="13">
        <f t="shared" si="447"/>
        <v>0</v>
      </c>
      <c r="Z2847" s="14">
        <v>0</v>
      </c>
      <c r="AA2847" s="6">
        <v>0</v>
      </c>
      <c r="AB2847" s="4">
        <f t="shared" si="448"/>
        <v>23980.300000000003</v>
      </c>
      <c r="AC2847" s="4">
        <f t="shared" si="450"/>
        <v>0</v>
      </c>
      <c r="AD2847" s="6">
        <f t="shared" si="445"/>
        <v>23980.300000000003</v>
      </c>
      <c r="AE2847" s="2">
        <f>VLOOKUP(I2847,[1]媒体政策预估表!A:N,MATCH(O2847,[1]媒体政策预估表!$A$2:$M$2,0),0)</f>
        <v>0.17</v>
      </c>
      <c r="AF2847" s="6">
        <f t="shared" si="451"/>
        <v>4076.6510000000007</v>
      </c>
      <c r="AG2847" s="14">
        <v>0</v>
      </c>
      <c r="AH2847" s="64">
        <f t="shared" si="446"/>
        <v>23980.300000000003</v>
      </c>
      <c r="AI2847" s="47"/>
      <c r="AJ2847" s="126" t="e">
        <v>#N/A</v>
      </c>
      <c r="AK2847" s="80">
        <f t="shared" si="449"/>
        <v>0</v>
      </c>
      <c r="AM2847" s="85"/>
    </row>
    <row r="2848" spans="1:39" hidden="1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43"/>
        <v>30007.090000000004</v>
      </c>
      <c r="X2848" s="6">
        <f t="shared" si="444"/>
        <v>4427.93</v>
      </c>
      <c r="Y2848" s="13">
        <f t="shared" si="447"/>
        <v>0</v>
      </c>
      <c r="Z2848" s="14">
        <v>0</v>
      </c>
      <c r="AA2848" s="6">
        <v>0</v>
      </c>
      <c r="AB2848" s="4">
        <f t="shared" si="448"/>
        <v>4427.93</v>
      </c>
      <c r="AC2848" s="4">
        <f t="shared" si="450"/>
        <v>0</v>
      </c>
      <c r="AD2848" s="6">
        <f t="shared" si="445"/>
        <v>4427.93</v>
      </c>
      <c r="AE2848" s="2">
        <f>VLOOKUP(I2848,[1]媒体政策预估表!A:N,MATCH(O2848,[1]媒体政策预估表!$A$2:$M$2,0),0)</f>
        <v>0.17</v>
      </c>
      <c r="AF2848" s="6">
        <f t="shared" si="451"/>
        <v>752.74810000000014</v>
      </c>
      <c r="AG2848" s="14">
        <v>0</v>
      </c>
      <c r="AH2848" s="64">
        <f t="shared" si="446"/>
        <v>4427.93</v>
      </c>
      <c r="AI2848" s="47"/>
      <c r="AJ2848" s="126" t="e">
        <v>#N/A</v>
      </c>
      <c r="AK2848" s="80">
        <f t="shared" si="449"/>
        <v>0</v>
      </c>
      <c r="AM2848" s="85"/>
    </row>
    <row r="2849" spans="1:39" hidden="1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43"/>
        <v>0</v>
      </c>
      <c r="X2849" s="6">
        <f t="shared" si="444"/>
        <v>0</v>
      </c>
      <c r="Y2849" s="13">
        <f t="shared" si="447"/>
        <v>0</v>
      </c>
      <c r="Z2849" s="14">
        <v>0</v>
      </c>
      <c r="AA2849" s="6">
        <v>0</v>
      </c>
      <c r="AB2849" s="4">
        <f t="shared" si="448"/>
        <v>0</v>
      </c>
      <c r="AC2849" s="4">
        <f t="shared" si="450"/>
        <v>0</v>
      </c>
      <c r="AD2849" s="6">
        <f t="shared" si="445"/>
        <v>0</v>
      </c>
      <c r="AE2849" s="2">
        <f>VLOOKUP(I2849,[1]媒体政策预估表!A:N,MATCH(O2849,[1]媒体政策预估表!$A$2:$M$2,0),0)</f>
        <v>0.17</v>
      </c>
      <c r="AF2849" s="6">
        <f t="shared" si="451"/>
        <v>0</v>
      </c>
      <c r="AG2849" s="14">
        <v>0</v>
      </c>
      <c r="AH2849" s="64">
        <f t="shared" si="446"/>
        <v>0</v>
      </c>
      <c r="AI2849" s="47"/>
      <c r="AJ2849" s="126" t="e">
        <v>#N/A</v>
      </c>
      <c r="AK2849" s="80">
        <f t="shared" si="449"/>
        <v>0</v>
      </c>
      <c r="AM2849" s="85"/>
    </row>
    <row r="2850" spans="1:39" hidden="1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43"/>
        <v>10245.899999999998</v>
      </c>
      <c r="X2850" s="6">
        <f t="shared" si="444"/>
        <v>9092.5000000000036</v>
      </c>
      <c r="Y2850" s="13">
        <f t="shared" si="447"/>
        <v>0</v>
      </c>
      <c r="Z2850" s="14">
        <v>0</v>
      </c>
      <c r="AA2850" s="6">
        <v>0</v>
      </c>
      <c r="AB2850" s="4">
        <f t="shared" si="448"/>
        <v>9092.5000000000036</v>
      </c>
      <c r="AC2850" s="4">
        <f t="shared" si="450"/>
        <v>0</v>
      </c>
      <c r="AD2850" s="6">
        <f t="shared" si="445"/>
        <v>9092.5000000000036</v>
      </c>
      <c r="AE2850" s="2">
        <f>VLOOKUP(I2850,[1]媒体政策预估表!A:N,MATCH(O2850,[1]媒体政策预估表!$A$2:$M$2,0),0)</f>
        <v>0.17</v>
      </c>
      <c r="AF2850" s="6">
        <f t="shared" si="451"/>
        <v>1545.7250000000008</v>
      </c>
      <c r="AG2850" s="14">
        <v>0</v>
      </c>
      <c r="AH2850" s="64">
        <f t="shared" si="446"/>
        <v>9092.5000000000036</v>
      </c>
      <c r="AI2850" s="47"/>
      <c r="AJ2850" s="126" t="e">
        <v>#N/A</v>
      </c>
      <c r="AK2850" s="80">
        <f t="shared" si="449"/>
        <v>0</v>
      </c>
      <c r="AM2850" s="85"/>
    </row>
    <row r="2851" spans="1:39" hidden="1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43"/>
        <v>0</v>
      </c>
      <c r="X2851" s="6">
        <f t="shared" si="444"/>
        <v>0</v>
      </c>
      <c r="Y2851" s="13">
        <f t="shared" si="447"/>
        <v>0</v>
      </c>
      <c r="Z2851" s="14">
        <v>0</v>
      </c>
      <c r="AA2851" s="6">
        <v>0</v>
      </c>
      <c r="AB2851" s="4">
        <f t="shared" si="448"/>
        <v>0</v>
      </c>
      <c r="AC2851" s="4">
        <f t="shared" si="450"/>
        <v>0</v>
      </c>
      <c r="AD2851" s="6">
        <f t="shared" si="445"/>
        <v>0</v>
      </c>
      <c r="AE2851" s="2">
        <f>VLOOKUP(I2851,[1]媒体政策预估表!A:N,MATCH(O2851,[1]媒体政策预估表!$A$2:$M$2,0),0)</f>
        <v>0.17</v>
      </c>
      <c r="AF2851" s="6">
        <f t="shared" si="451"/>
        <v>0</v>
      </c>
      <c r="AG2851" s="14">
        <v>0</v>
      </c>
      <c r="AH2851" s="64">
        <f t="shared" si="446"/>
        <v>0</v>
      </c>
      <c r="AI2851" s="47"/>
      <c r="AJ2851" s="126" t="e">
        <v>#N/A</v>
      </c>
      <c r="AK2851" s="80">
        <f t="shared" si="449"/>
        <v>0</v>
      </c>
      <c r="AM2851" s="85"/>
    </row>
    <row r="2852" spans="1:39" hidden="1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43"/>
        <v>95379</v>
      </c>
      <c r="X2852" s="6">
        <f t="shared" si="444"/>
        <v>54054</v>
      </c>
      <c r="Y2852" s="13">
        <f t="shared" si="447"/>
        <v>0</v>
      </c>
      <c r="Z2852" s="14">
        <v>0</v>
      </c>
      <c r="AA2852" s="6">
        <v>0</v>
      </c>
      <c r="AB2852" s="4">
        <f t="shared" si="448"/>
        <v>54054</v>
      </c>
      <c r="AC2852" s="4">
        <f t="shared" si="450"/>
        <v>0</v>
      </c>
      <c r="AD2852" s="6">
        <f t="shared" si="445"/>
        <v>54054</v>
      </c>
      <c r="AE2852" s="2">
        <f>VLOOKUP(I2852,[1]媒体政策预估表!A:N,MATCH(O2852,[1]媒体政策预估表!$A$2:$M$2,0),0)</f>
        <v>0.17</v>
      </c>
      <c r="AF2852" s="6">
        <f t="shared" si="451"/>
        <v>9189.18</v>
      </c>
      <c r="AG2852" s="14">
        <v>0</v>
      </c>
      <c r="AH2852" s="64">
        <f t="shared" si="446"/>
        <v>54054</v>
      </c>
      <c r="AI2852" s="47"/>
      <c r="AJ2852" s="126" t="e">
        <v>#N/A</v>
      </c>
      <c r="AK2852" s="80">
        <f t="shared" si="449"/>
        <v>0</v>
      </c>
      <c r="AM2852" s="85"/>
    </row>
    <row r="2853" spans="1:39" hidden="1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43"/>
        <v>0</v>
      </c>
      <c r="X2853" s="6">
        <f t="shared" si="444"/>
        <v>0</v>
      </c>
      <c r="Y2853" s="13">
        <f t="shared" si="447"/>
        <v>0</v>
      </c>
      <c r="Z2853" s="14">
        <v>0</v>
      </c>
      <c r="AA2853" s="6">
        <v>0</v>
      </c>
      <c r="AB2853" s="4">
        <f t="shared" si="448"/>
        <v>0</v>
      </c>
      <c r="AC2853" s="4">
        <f t="shared" si="450"/>
        <v>0</v>
      </c>
      <c r="AD2853" s="6">
        <f t="shared" si="445"/>
        <v>0</v>
      </c>
      <c r="AE2853" s="2">
        <f>VLOOKUP(I2853,[1]媒体政策预估表!A:N,MATCH(O2853,[1]媒体政策预估表!$A$2:$M$2,0),0)</f>
        <v>0.17</v>
      </c>
      <c r="AF2853" s="6">
        <f t="shared" si="451"/>
        <v>0</v>
      </c>
      <c r="AG2853" s="14">
        <v>0</v>
      </c>
      <c r="AH2853" s="64">
        <f t="shared" si="446"/>
        <v>0</v>
      </c>
      <c r="AI2853" s="47"/>
      <c r="AJ2853" s="126" t="e">
        <v>#N/A</v>
      </c>
      <c r="AK2853" s="80">
        <f t="shared" si="449"/>
        <v>0</v>
      </c>
      <c r="AM2853" s="85"/>
    </row>
    <row r="2854" spans="1:39" hidden="1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52">T2854+U2854-V2854</f>
        <v>37297.899999999994</v>
      </c>
      <c r="X2854" s="6">
        <f t="shared" ref="X2854:X2917" si="453">IF(P2854="折扣",V2854*Q2854,IF(P2854="返现",V2854,V2854/(1+Q2854)))</f>
        <v>30409.5</v>
      </c>
      <c r="Y2854" s="13">
        <f t="shared" si="447"/>
        <v>0</v>
      </c>
      <c r="Z2854" s="14">
        <v>0</v>
      </c>
      <c r="AA2854" s="6">
        <v>0</v>
      </c>
      <c r="AB2854" s="4">
        <f t="shared" si="448"/>
        <v>30409.5</v>
      </c>
      <c r="AC2854" s="4">
        <f t="shared" si="450"/>
        <v>0</v>
      </c>
      <c r="AD2854" s="6">
        <f t="shared" ref="AD2854:AD2917" si="454">V2854</f>
        <v>30409.5</v>
      </c>
      <c r="AE2854" s="2">
        <f>VLOOKUP(I2854,[1]媒体政策预估表!A:N,MATCH(O2854,[1]媒体政策预估表!$A$2:$M$2,0),0)</f>
        <v>0.17</v>
      </c>
      <c r="AF2854" s="6">
        <f t="shared" si="451"/>
        <v>5169.6150000000007</v>
      </c>
      <c r="AG2854" s="14">
        <v>0</v>
      </c>
      <c r="AH2854" s="64">
        <f t="shared" ref="AH2854:AH2917" si="455">V2854</f>
        <v>30409.5</v>
      </c>
      <c r="AI2854" s="47"/>
      <c r="AJ2854" s="126" t="e">
        <v>#N/A</v>
      </c>
      <c r="AK2854" s="80">
        <f t="shared" si="449"/>
        <v>0</v>
      </c>
      <c r="AM2854" s="85"/>
    </row>
    <row r="2855" spans="1:39" hidden="1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52"/>
        <v>3734.7</v>
      </c>
      <c r="X2855" s="6">
        <f t="shared" si="453"/>
        <v>1338.5294117647059</v>
      </c>
      <c r="Y2855" s="13">
        <f t="shared" si="447"/>
        <v>0</v>
      </c>
      <c r="Z2855" s="14">
        <v>0</v>
      </c>
      <c r="AA2855" s="6">
        <v>0</v>
      </c>
      <c r="AB2855" s="4">
        <f t="shared" si="448"/>
        <v>1338.5294117647059</v>
      </c>
      <c r="AC2855" s="4">
        <f t="shared" si="450"/>
        <v>26.770588235294099</v>
      </c>
      <c r="AD2855" s="6">
        <f t="shared" si="454"/>
        <v>1365.3</v>
      </c>
      <c r="AE2855" s="2">
        <f>VLOOKUP(I2855,[1]媒体政策预估表!A:N,MATCH(O2855,[1]媒体政策预估表!$A$2:$M$2,0),0)</f>
        <v>0.17</v>
      </c>
      <c r="AF2855" s="6">
        <f t="shared" si="451"/>
        <v>232.101</v>
      </c>
      <c r="AG2855" s="14">
        <v>0</v>
      </c>
      <c r="AH2855" s="64">
        <f t="shared" si="455"/>
        <v>1365.3</v>
      </c>
      <c r="AI2855" s="47"/>
      <c r="AJ2855" s="126" t="e">
        <v>#N/A</v>
      </c>
      <c r="AK2855" s="80">
        <f t="shared" si="449"/>
        <v>0</v>
      </c>
      <c r="AM2855" s="85"/>
    </row>
    <row r="2856" spans="1:39" hidden="1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52"/>
        <v>11111.2</v>
      </c>
      <c r="X2856" s="6">
        <f t="shared" si="453"/>
        <v>8116.6355140186906</v>
      </c>
      <c r="Y2856" s="13">
        <f t="shared" si="447"/>
        <v>0</v>
      </c>
      <c r="Z2856" s="14">
        <v>0</v>
      </c>
      <c r="AA2856" s="6">
        <v>0</v>
      </c>
      <c r="AB2856" s="4">
        <f t="shared" si="448"/>
        <v>8116.6355140186906</v>
      </c>
      <c r="AC2856" s="4">
        <f t="shared" si="450"/>
        <v>568.16448598130864</v>
      </c>
      <c r="AD2856" s="6">
        <f t="shared" si="454"/>
        <v>8684.7999999999993</v>
      </c>
      <c r="AE2856" s="2">
        <f>VLOOKUP(I2856,[1]媒体政策预估表!A:N,MATCH(O2856,[1]媒体政策预估表!$A$2:$M$2,0),0)</f>
        <v>0.17</v>
      </c>
      <c r="AF2856" s="6">
        <f t="shared" si="451"/>
        <v>1476.4159999999999</v>
      </c>
      <c r="AG2856" s="14">
        <v>0</v>
      </c>
      <c r="AH2856" s="64">
        <f t="shared" si="455"/>
        <v>8684.7999999999993</v>
      </c>
      <c r="AI2856" s="47"/>
      <c r="AJ2856" s="126" t="e">
        <v>#N/A</v>
      </c>
      <c r="AK2856" s="80">
        <f t="shared" si="449"/>
        <v>0</v>
      </c>
      <c r="AM2856" s="85"/>
    </row>
    <row r="2857" spans="1:39" hidden="1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52"/>
        <v>53340.570000000007</v>
      </c>
      <c r="X2857" s="6">
        <f t="shared" si="453"/>
        <v>13817</v>
      </c>
      <c r="Y2857" s="13">
        <f t="shared" si="447"/>
        <v>0</v>
      </c>
      <c r="Z2857" s="14">
        <v>0</v>
      </c>
      <c r="AA2857" s="6">
        <v>0</v>
      </c>
      <c r="AB2857" s="4">
        <f t="shared" si="448"/>
        <v>13817</v>
      </c>
      <c r="AC2857" s="4">
        <f t="shared" si="450"/>
        <v>0</v>
      </c>
      <c r="AD2857" s="6">
        <f t="shared" si="454"/>
        <v>13817</v>
      </c>
      <c r="AE2857" s="2">
        <f>VLOOKUP(I2857,[1]媒体政策预估表!A:N,MATCH(O2857,[1]媒体政策预估表!$A$2:$M$2,0),0)</f>
        <v>0.17</v>
      </c>
      <c r="AF2857" s="6">
        <f t="shared" si="451"/>
        <v>2348.8900000000003</v>
      </c>
      <c r="AG2857" s="14">
        <v>0</v>
      </c>
      <c r="AH2857" s="64">
        <f t="shared" si="455"/>
        <v>13817</v>
      </c>
      <c r="AI2857" s="47"/>
      <c r="AJ2857" s="126" t="e">
        <v>#N/A</v>
      </c>
      <c r="AK2857" s="80">
        <f t="shared" si="449"/>
        <v>0</v>
      </c>
      <c r="AM2857" s="85"/>
    </row>
    <row r="2858" spans="1:39" hidden="1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52"/>
        <v>122334.79999999999</v>
      </c>
      <c r="X2858" s="6">
        <f t="shared" si="453"/>
        <v>260184.11214953268</v>
      </c>
      <c r="Y2858" s="13">
        <f t="shared" si="447"/>
        <v>0</v>
      </c>
      <c r="Z2858" s="14">
        <v>0</v>
      </c>
      <c r="AA2858" s="6">
        <v>0</v>
      </c>
      <c r="AB2858" s="4">
        <f t="shared" si="448"/>
        <v>260184.11214953268</v>
      </c>
      <c r="AC2858" s="4">
        <f t="shared" si="450"/>
        <v>18212.887850467319</v>
      </c>
      <c r="AD2858" s="6">
        <f t="shared" si="454"/>
        <v>278397</v>
      </c>
      <c r="AE2858" s="2">
        <f>VLOOKUP(I2858,[1]媒体政策预估表!A:N,MATCH(O2858,[1]媒体政策预估表!$A$2:$M$2,0),0)</f>
        <v>0.17</v>
      </c>
      <c r="AF2858" s="6">
        <f t="shared" si="451"/>
        <v>47327.490000000005</v>
      </c>
      <c r="AG2858" s="14">
        <v>0</v>
      </c>
      <c r="AH2858" s="64">
        <f t="shared" si="455"/>
        <v>278397</v>
      </c>
      <c r="AI2858" s="47"/>
      <c r="AJ2858" s="126" t="e">
        <v>#N/A</v>
      </c>
      <c r="AK2858" s="80">
        <f t="shared" si="449"/>
        <v>0</v>
      </c>
      <c r="AM2858" s="85"/>
    </row>
    <row r="2859" spans="1:39" hidden="1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52"/>
        <v>206188.06000000006</v>
      </c>
      <c r="X2859" s="6">
        <f t="shared" si="453"/>
        <v>562145.3925233644</v>
      </c>
      <c r="Y2859" s="13">
        <f t="shared" si="447"/>
        <v>0</v>
      </c>
      <c r="Z2859" s="14">
        <v>0</v>
      </c>
      <c r="AA2859" s="6">
        <v>0</v>
      </c>
      <c r="AB2859" s="4">
        <f t="shared" si="448"/>
        <v>562145.3925233644</v>
      </c>
      <c r="AC2859" s="4">
        <f t="shared" si="450"/>
        <v>39350.177476635552</v>
      </c>
      <c r="AD2859" s="6">
        <f t="shared" si="454"/>
        <v>601495.56999999995</v>
      </c>
      <c r="AE2859" s="2">
        <f>VLOOKUP(I2859,[1]媒体政策预估表!A:N,MATCH(O2859,[1]媒体政策预估表!$A$2:$M$2,0),0)</f>
        <v>0.17</v>
      </c>
      <c r="AF2859" s="6">
        <f t="shared" si="451"/>
        <v>102254.2469</v>
      </c>
      <c r="AG2859" s="14">
        <v>0</v>
      </c>
      <c r="AH2859" s="64">
        <f t="shared" si="455"/>
        <v>601495.56999999995</v>
      </c>
      <c r="AI2859" s="47"/>
      <c r="AJ2859" s="126" t="e">
        <v>#N/A</v>
      </c>
      <c r="AK2859" s="80">
        <f t="shared" si="449"/>
        <v>0</v>
      </c>
      <c r="AM2859" s="85"/>
    </row>
    <row r="2860" spans="1:39" hidden="1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52"/>
        <v>107510.07000000007</v>
      </c>
      <c r="X2860" s="6">
        <f t="shared" si="453"/>
        <v>259678.84112149529</v>
      </c>
      <c r="Y2860" s="13">
        <f t="shared" si="447"/>
        <v>0</v>
      </c>
      <c r="Z2860" s="14">
        <v>0</v>
      </c>
      <c r="AA2860" s="6">
        <v>0</v>
      </c>
      <c r="AB2860" s="4">
        <f t="shared" si="448"/>
        <v>259678.84112149529</v>
      </c>
      <c r="AC2860" s="4">
        <f t="shared" si="450"/>
        <v>18177.518878504692</v>
      </c>
      <c r="AD2860" s="6">
        <f t="shared" si="454"/>
        <v>277856.36</v>
      </c>
      <c r="AE2860" s="2">
        <f>VLOOKUP(I2860,[1]媒体政策预估表!A:N,MATCH(O2860,[1]媒体政策预估表!$A$2:$M$2,0),0)</f>
        <v>0.17</v>
      </c>
      <c r="AF2860" s="6">
        <f t="shared" si="451"/>
        <v>47235.581200000001</v>
      </c>
      <c r="AG2860" s="14">
        <v>0</v>
      </c>
      <c r="AH2860" s="64">
        <f t="shared" si="455"/>
        <v>277856.36</v>
      </c>
      <c r="AI2860" s="47"/>
      <c r="AJ2860" s="126" t="e">
        <v>#N/A</v>
      </c>
      <c r="AK2860" s="80">
        <f t="shared" si="449"/>
        <v>0</v>
      </c>
      <c r="AM2860" s="85"/>
    </row>
    <row r="2861" spans="1:39" hidden="1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52"/>
        <v>58739.849999999984</v>
      </c>
      <c r="X2861" s="6">
        <f t="shared" si="453"/>
        <v>42973.401869158879</v>
      </c>
      <c r="Y2861" s="13">
        <f t="shared" si="447"/>
        <v>0</v>
      </c>
      <c r="Z2861" s="14">
        <v>0</v>
      </c>
      <c r="AA2861" s="6">
        <v>0</v>
      </c>
      <c r="AB2861" s="4">
        <f t="shared" si="448"/>
        <v>42973.401869158879</v>
      </c>
      <c r="AC2861" s="4">
        <f t="shared" si="450"/>
        <v>3008.1381308411219</v>
      </c>
      <c r="AD2861" s="6">
        <f t="shared" si="454"/>
        <v>45981.54</v>
      </c>
      <c r="AE2861" s="2">
        <f>VLOOKUP(I2861,[1]媒体政策预估表!A:N,MATCH(O2861,[1]媒体政策预估表!$A$2:$M$2,0),0)</f>
        <v>0.17</v>
      </c>
      <c r="AF2861" s="6">
        <f t="shared" si="451"/>
        <v>7816.8618000000006</v>
      </c>
      <c r="AG2861" s="14">
        <v>0</v>
      </c>
      <c r="AH2861" s="64">
        <f t="shared" si="455"/>
        <v>45981.54</v>
      </c>
      <c r="AI2861" s="47"/>
      <c r="AJ2861" s="126" t="e">
        <v>#N/A</v>
      </c>
      <c r="AK2861" s="80">
        <f t="shared" si="449"/>
        <v>0</v>
      </c>
      <c r="AM2861" s="85"/>
    </row>
    <row r="2862" spans="1:39" hidden="1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52"/>
        <v>3948007.4400000004</v>
      </c>
      <c r="X2862" s="6">
        <f t="shared" si="453"/>
        <v>2737031.4766355134</v>
      </c>
      <c r="Y2862" s="13">
        <f t="shared" si="447"/>
        <v>0</v>
      </c>
      <c r="Z2862" s="14">
        <v>0</v>
      </c>
      <c r="AA2862" s="6">
        <v>0</v>
      </c>
      <c r="AB2862" s="4">
        <f t="shared" si="448"/>
        <v>2737031.4766355134</v>
      </c>
      <c r="AC2862" s="4">
        <f t="shared" si="450"/>
        <v>191592.20336448634</v>
      </c>
      <c r="AD2862" s="6">
        <f t="shared" si="454"/>
        <v>2928623.6799999997</v>
      </c>
      <c r="AE2862" s="2">
        <f>VLOOKUP(I2862,[1]媒体政策预估表!A:N,MATCH(O2862,[1]媒体政策预估表!$A$2:$M$2,0),0)</f>
        <v>0.17</v>
      </c>
      <c r="AF2862" s="6">
        <f t="shared" si="451"/>
        <v>497866.02559999999</v>
      </c>
      <c r="AG2862" s="14">
        <v>0</v>
      </c>
      <c r="AH2862" s="64">
        <f t="shared" si="455"/>
        <v>2928623.6799999997</v>
      </c>
      <c r="AI2862" s="47"/>
      <c r="AJ2862" s="126" t="e">
        <v>#N/A</v>
      </c>
      <c r="AK2862" s="80">
        <f t="shared" si="449"/>
        <v>0</v>
      </c>
      <c r="AM2862" s="85"/>
    </row>
    <row r="2863" spans="1:39" hidden="1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52"/>
        <v>378198.6399999999</v>
      </c>
      <c r="X2863" s="6">
        <f t="shared" si="453"/>
        <v>358205.43925233651</v>
      </c>
      <c r="Y2863" s="13">
        <f t="shared" si="447"/>
        <v>0</v>
      </c>
      <c r="Z2863" s="14">
        <v>0</v>
      </c>
      <c r="AA2863" s="6">
        <v>0</v>
      </c>
      <c r="AB2863" s="4">
        <f t="shared" si="448"/>
        <v>358205.43925233651</v>
      </c>
      <c r="AC2863" s="4">
        <f t="shared" si="450"/>
        <v>25074.380747663556</v>
      </c>
      <c r="AD2863" s="6">
        <f t="shared" si="454"/>
        <v>383279.82000000007</v>
      </c>
      <c r="AE2863" s="2">
        <f>VLOOKUP(I2863,[1]媒体政策预估表!A:N,MATCH(O2863,[1]媒体政策预估表!$A$2:$M$2,0),0)</f>
        <v>0.17</v>
      </c>
      <c r="AF2863" s="6">
        <f t="shared" si="451"/>
        <v>65157.569400000015</v>
      </c>
      <c r="AG2863" s="14">
        <v>0</v>
      </c>
      <c r="AH2863" s="64">
        <f t="shared" si="455"/>
        <v>383279.82000000007</v>
      </c>
      <c r="AI2863" s="47"/>
      <c r="AJ2863" s="126" t="e">
        <v>#N/A</v>
      </c>
      <c r="AK2863" s="80">
        <f t="shared" si="449"/>
        <v>0</v>
      </c>
      <c r="AM2863" s="85"/>
    </row>
    <row r="2864" spans="1:39" hidden="1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52"/>
        <v>949724.89</v>
      </c>
      <c r="X2864" s="6">
        <f t="shared" si="453"/>
        <v>561197.11214953265</v>
      </c>
      <c r="Y2864" s="13">
        <f t="shared" si="447"/>
        <v>0</v>
      </c>
      <c r="Z2864" s="14">
        <v>0</v>
      </c>
      <c r="AA2864" s="6">
        <v>0</v>
      </c>
      <c r="AB2864" s="4">
        <f t="shared" si="448"/>
        <v>561197.11214953265</v>
      </c>
      <c r="AC2864" s="4">
        <f t="shared" si="450"/>
        <v>39283.797850467381</v>
      </c>
      <c r="AD2864" s="6">
        <f t="shared" si="454"/>
        <v>600480.91</v>
      </c>
      <c r="AE2864" s="2">
        <f>VLOOKUP(I2864,[1]媒体政策预估表!A:N,MATCH(O2864,[1]媒体政策预估表!$A$2:$M$2,0),0)</f>
        <v>0.17</v>
      </c>
      <c r="AF2864" s="6">
        <f t="shared" si="451"/>
        <v>102081.75470000002</v>
      </c>
      <c r="AG2864" s="14">
        <v>0</v>
      </c>
      <c r="AH2864" s="64">
        <f t="shared" si="455"/>
        <v>600480.91</v>
      </c>
      <c r="AI2864" s="47"/>
      <c r="AJ2864" s="126" t="e">
        <v>#N/A</v>
      </c>
      <c r="AK2864" s="80">
        <f t="shared" si="449"/>
        <v>0</v>
      </c>
      <c r="AM2864" s="85"/>
    </row>
    <row r="2865" spans="1:39" hidden="1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52"/>
        <v>35204.410000000003</v>
      </c>
      <c r="X2865" s="6">
        <f t="shared" si="453"/>
        <v>16127.17</v>
      </c>
      <c r="Y2865" s="13">
        <f t="shared" si="447"/>
        <v>0</v>
      </c>
      <c r="Z2865" s="14">
        <v>0</v>
      </c>
      <c r="AA2865" s="6">
        <v>0</v>
      </c>
      <c r="AB2865" s="4">
        <f t="shared" si="448"/>
        <v>16127.17</v>
      </c>
      <c r="AC2865" s="4">
        <f t="shared" si="450"/>
        <v>0</v>
      </c>
      <c r="AD2865" s="6">
        <f t="shared" si="454"/>
        <v>16127.17</v>
      </c>
      <c r="AE2865" s="2">
        <f>VLOOKUP(I2865,[1]媒体政策预估表!A:N,MATCH(O2865,[1]媒体政策预估表!$A$2:$M$2,0),0)</f>
        <v>0.17</v>
      </c>
      <c r="AF2865" s="6">
        <f t="shared" si="451"/>
        <v>2741.6189000000004</v>
      </c>
      <c r="AG2865" s="14">
        <v>0</v>
      </c>
      <c r="AH2865" s="64">
        <f t="shared" si="455"/>
        <v>16127.17</v>
      </c>
      <c r="AI2865" s="47"/>
      <c r="AJ2865" s="126" t="e">
        <v>#N/A</v>
      </c>
      <c r="AK2865" s="80">
        <f t="shared" si="449"/>
        <v>0</v>
      </c>
      <c r="AM2865" s="85"/>
    </row>
    <row r="2866" spans="1:39" hidden="1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52"/>
        <v>27129.599999999999</v>
      </c>
      <c r="X2866" s="6">
        <f t="shared" si="453"/>
        <v>2870.4</v>
      </c>
      <c r="Y2866" s="13">
        <f t="shared" si="447"/>
        <v>0</v>
      </c>
      <c r="Z2866" s="14">
        <v>0</v>
      </c>
      <c r="AA2866" s="6">
        <v>0</v>
      </c>
      <c r="AB2866" s="4">
        <f t="shared" si="448"/>
        <v>2870.4</v>
      </c>
      <c r="AC2866" s="4">
        <f t="shared" si="450"/>
        <v>0</v>
      </c>
      <c r="AD2866" s="6">
        <f t="shared" si="454"/>
        <v>2870.4</v>
      </c>
      <c r="AE2866" s="2">
        <f>VLOOKUP(I2866,[1]媒体政策预估表!A:N,MATCH(O2866,[1]媒体政策预估表!$A$2:$M$2,0),0)</f>
        <v>0.17</v>
      </c>
      <c r="AF2866" s="6">
        <f t="shared" si="451"/>
        <v>487.96800000000007</v>
      </c>
      <c r="AG2866" s="14">
        <v>0</v>
      </c>
      <c r="AH2866" s="64">
        <f t="shared" si="455"/>
        <v>2870.4</v>
      </c>
      <c r="AI2866" s="47"/>
      <c r="AJ2866" s="126" t="e">
        <v>#N/A</v>
      </c>
      <c r="AK2866" s="80">
        <f t="shared" si="449"/>
        <v>0</v>
      </c>
      <c r="AM2866" s="85"/>
    </row>
    <row r="2867" spans="1:39" hidden="1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52"/>
        <v>169221.60010000004</v>
      </c>
      <c r="X2867" s="6">
        <f t="shared" si="453"/>
        <v>62087.378640776697</v>
      </c>
      <c r="Y2867" s="13">
        <f t="shared" si="447"/>
        <v>0</v>
      </c>
      <c r="Z2867" s="14">
        <v>0</v>
      </c>
      <c r="AA2867" s="6">
        <v>0</v>
      </c>
      <c r="AB2867" s="4">
        <f t="shared" si="448"/>
        <v>62087.378640776697</v>
      </c>
      <c r="AC2867" s="4">
        <f t="shared" si="450"/>
        <v>1862.6213592233034</v>
      </c>
      <c r="AD2867" s="6">
        <f t="shared" si="454"/>
        <v>63950</v>
      </c>
      <c r="AE2867" s="2">
        <f>VLOOKUP(I2867,[1]媒体政策预估表!A:N,MATCH(O2867,[1]媒体政策预估表!$A$2:$M$2,0),0)</f>
        <v>0.17</v>
      </c>
      <c r="AF2867" s="6">
        <f t="shared" si="451"/>
        <v>10871.5</v>
      </c>
      <c r="AG2867" s="14">
        <v>0</v>
      </c>
      <c r="AH2867" s="64">
        <f t="shared" si="455"/>
        <v>63950</v>
      </c>
      <c r="AI2867" s="47"/>
      <c r="AJ2867" s="126" t="e">
        <v>#N/A</v>
      </c>
      <c r="AK2867" s="80">
        <f t="shared" si="449"/>
        <v>0</v>
      </c>
      <c r="AM2867" s="85"/>
    </row>
    <row r="2868" spans="1:39" hidden="1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52"/>
        <v>-1715.1999999999971</v>
      </c>
      <c r="X2868" s="6">
        <f t="shared" si="453"/>
        <v>37050</v>
      </c>
      <c r="Y2868" s="13">
        <f t="shared" si="447"/>
        <v>0</v>
      </c>
      <c r="Z2868" s="14">
        <v>0</v>
      </c>
      <c r="AA2868" s="6">
        <v>0</v>
      </c>
      <c r="AB2868" s="4">
        <f t="shared" si="448"/>
        <v>37050</v>
      </c>
      <c r="AC2868" s="4">
        <f t="shared" si="450"/>
        <v>2223</v>
      </c>
      <c r="AD2868" s="6">
        <f t="shared" si="454"/>
        <v>39273</v>
      </c>
      <c r="AE2868" s="2">
        <f>VLOOKUP(I2868,[1]媒体政策预估表!A:N,MATCH(O2868,[1]媒体政策预估表!$A$2:$M$2,0),0)</f>
        <v>0.17</v>
      </c>
      <c r="AF2868" s="6">
        <f t="shared" si="451"/>
        <v>6676.4100000000008</v>
      </c>
      <c r="AG2868" s="14">
        <v>0</v>
      </c>
      <c r="AH2868" s="64">
        <f t="shared" si="455"/>
        <v>39273</v>
      </c>
      <c r="AI2868" s="47"/>
      <c r="AJ2868" s="126" t="e">
        <v>#N/A</v>
      </c>
      <c r="AK2868" s="80">
        <f t="shared" si="449"/>
        <v>0</v>
      </c>
      <c r="AM2868" s="85"/>
    </row>
    <row r="2869" spans="1:39" hidden="1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52"/>
        <v>118501.27000000003</v>
      </c>
      <c r="X2869" s="6">
        <f t="shared" si="453"/>
        <v>114326.12999999999</v>
      </c>
      <c r="Y2869" s="13">
        <f t="shared" si="447"/>
        <v>0</v>
      </c>
      <c r="Z2869" s="14">
        <v>0</v>
      </c>
      <c r="AA2869" s="6">
        <v>0</v>
      </c>
      <c r="AB2869" s="4">
        <f t="shared" si="448"/>
        <v>114326.12999999999</v>
      </c>
      <c r="AC2869" s="4">
        <f t="shared" si="450"/>
        <v>0</v>
      </c>
      <c r="AD2869" s="6">
        <f t="shared" si="454"/>
        <v>114326.12999999999</v>
      </c>
      <c r="AE2869" s="2">
        <f>VLOOKUP(I2869,[1]媒体政策预估表!A:N,MATCH(O2869,[1]媒体政策预估表!$A$2:$M$2,0),0)</f>
        <v>0.17</v>
      </c>
      <c r="AF2869" s="6">
        <f t="shared" si="451"/>
        <v>19435.4421</v>
      </c>
      <c r="AG2869" s="14">
        <v>0</v>
      </c>
      <c r="AH2869" s="64">
        <f t="shared" si="455"/>
        <v>114326.12999999999</v>
      </c>
      <c r="AI2869" s="47"/>
      <c r="AJ2869" s="126" t="e">
        <v>#N/A</v>
      </c>
      <c r="AK2869" s="80">
        <f t="shared" si="449"/>
        <v>0</v>
      </c>
      <c r="AM2869" s="85"/>
    </row>
    <row r="2870" spans="1:39" hidden="1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52"/>
        <v>8823.3500000000022</v>
      </c>
      <c r="X2870" s="6">
        <f t="shared" si="453"/>
        <v>17612.7</v>
      </c>
      <c r="Y2870" s="13">
        <f t="shared" si="447"/>
        <v>0</v>
      </c>
      <c r="Z2870" s="14">
        <v>0</v>
      </c>
      <c r="AA2870" s="6">
        <v>0</v>
      </c>
      <c r="AB2870" s="4"/>
      <c r="AC2870" s="4">
        <f t="shared" si="450"/>
        <v>0</v>
      </c>
      <c r="AD2870" s="6">
        <f t="shared" si="454"/>
        <v>17612.7</v>
      </c>
      <c r="AE2870" s="2">
        <f>VLOOKUP(I2870,[1]媒体政策预估表!A:N,MATCH(O2870,[1]媒体政策预估表!$A$2:$M$2,0),0)</f>
        <v>0.17</v>
      </c>
      <c r="AF2870" s="6">
        <f t="shared" si="451"/>
        <v>2994.1590000000006</v>
      </c>
      <c r="AG2870" s="14">
        <v>0</v>
      </c>
      <c r="AH2870" s="64">
        <f t="shared" si="455"/>
        <v>17612.7</v>
      </c>
      <c r="AI2870" s="47"/>
      <c r="AJ2870" s="126">
        <v>107</v>
      </c>
      <c r="AK2870" s="80">
        <f t="shared" si="449"/>
        <v>17612.7</v>
      </c>
      <c r="AM2870" s="85"/>
    </row>
    <row r="2871" spans="1:39" hidden="1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52"/>
        <v>670</v>
      </c>
      <c r="X2871" s="6">
        <f t="shared" si="453"/>
        <v>10475.9</v>
      </c>
      <c r="Y2871" s="13">
        <f t="shared" si="447"/>
        <v>0</v>
      </c>
      <c r="Z2871" s="14">
        <v>0</v>
      </c>
      <c r="AA2871" s="6">
        <v>0</v>
      </c>
      <c r="AB2871" s="4"/>
      <c r="AC2871" s="4">
        <f t="shared" si="450"/>
        <v>0</v>
      </c>
      <c r="AD2871" s="6">
        <f t="shared" si="454"/>
        <v>10475.9</v>
      </c>
      <c r="AE2871" s="2">
        <f>VLOOKUP(I2871,[1]媒体政策预估表!A:N,MATCH(O2871,[1]媒体政策预估表!$A$2:$M$2,0),0)</f>
        <v>0.17</v>
      </c>
      <c r="AF2871" s="6">
        <f t="shared" si="451"/>
        <v>1780.903</v>
      </c>
      <c r="AG2871" s="14">
        <v>0</v>
      </c>
      <c r="AH2871" s="64">
        <f t="shared" si="455"/>
        <v>10475.9</v>
      </c>
      <c r="AI2871" s="47"/>
      <c r="AJ2871" s="126">
        <v>93</v>
      </c>
      <c r="AK2871" s="80">
        <f t="shared" si="449"/>
        <v>10475.9</v>
      </c>
      <c r="AM2871" s="85"/>
    </row>
    <row r="2872" spans="1:39" hidden="1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52"/>
        <v>1322.2000000000007</v>
      </c>
      <c r="X2872" s="6">
        <f t="shared" si="453"/>
        <v>2433.1999999999998</v>
      </c>
      <c r="Y2872" s="13">
        <f t="shared" si="447"/>
        <v>0</v>
      </c>
      <c r="Z2872" s="14">
        <v>0</v>
      </c>
      <c r="AA2872" s="6">
        <v>0</v>
      </c>
      <c r="AB2872" s="4"/>
      <c r="AC2872" s="4">
        <f t="shared" si="450"/>
        <v>0</v>
      </c>
      <c r="AD2872" s="6">
        <f t="shared" si="454"/>
        <v>2433.1999999999998</v>
      </c>
      <c r="AE2872" s="2">
        <f>VLOOKUP(I2872,[1]媒体政策预估表!A:N,MATCH(O2872,[1]媒体政策预估表!$A$2:$M$2,0),0)</f>
        <v>0.17</v>
      </c>
      <c r="AF2872" s="6">
        <f t="shared" si="451"/>
        <v>413.64400000000001</v>
      </c>
      <c r="AG2872" s="14">
        <v>0</v>
      </c>
      <c r="AH2872" s="64">
        <f t="shared" si="455"/>
        <v>2433.1999999999998</v>
      </c>
      <c r="AI2872" s="47"/>
      <c r="AJ2872" s="126">
        <v>93</v>
      </c>
      <c r="AK2872" s="80">
        <f t="shared" si="449"/>
        <v>2433.1999999999998</v>
      </c>
      <c r="AM2872" s="85"/>
    </row>
    <row r="2873" spans="1:39" hidden="1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52"/>
        <v>13308.630000000003</v>
      </c>
      <c r="X2873" s="6">
        <f t="shared" si="453"/>
        <v>8498.4117647058811</v>
      </c>
      <c r="Y2873" s="13">
        <f t="shared" si="447"/>
        <v>0</v>
      </c>
      <c r="Z2873" s="14">
        <v>0</v>
      </c>
      <c r="AA2873" s="6">
        <v>0</v>
      </c>
      <c r="AB2873" s="4">
        <f t="shared" si="448"/>
        <v>8498.4117647058811</v>
      </c>
      <c r="AC2873" s="4">
        <f t="shared" si="450"/>
        <v>169.96823529411813</v>
      </c>
      <c r="AD2873" s="6">
        <f t="shared" si="454"/>
        <v>8668.3799999999992</v>
      </c>
      <c r="AE2873" s="2">
        <f>VLOOKUP(I2873,[1]媒体政策预估表!A:N,MATCH(O2873,[1]媒体政策预估表!$A$2:$M$2,0),0)</f>
        <v>0.17</v>
      </c>
      <c r="AF2873" s="6">
        <f t="shared" si="451"/>
        <v>1473.6245999999999</v>
      </c>
      <c r="AG2873" s="14">
        <v>0</v>
      </c>
      <c r="AH2873" s="64">
        <f t="shared" si="455"/>
        <v>8668.3799999999992</v>
      </c>
      <c r="AI2873" s="47"/>
      <c r="AJ2873" s="126" t="e">
        <v>#N/A</v>
      </c>
      <c r="AK2873" s="80">
        <f t="shared" si="449"/>
        <v>0</v>
      </c>
      <c r="AM2873" s="85"/>
    </row>
    <row r="2874" spans="1:39" hidden="1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52"/>
        <v>8608.1</v>
      </c>
      <c r="X2874" s="6">
        <f t="shared" si="453"/>
        <v>1391.9</v>
      </c>
      <c r="Y2874" s="13">
        <f t="shared" si="447"/>
        <v>0</v>
      </c>
      <c r="Z2874" s="14">
        <v>0</v>
      </c>
      <c r="AA2874" s="6">
        <v>0</v>
      </c>
      <c r="AB2874" s="4">
        <f t="shared" si="448"/>
        <v>1391.9</v>
      </c>
      <c r="AC2874" s="4">
        <f t="shared" si="450"/>
        <v>0</v>
      </c>
      <c r="AD2874" s="6">
        <f t="shared" si="454"/>
        <v>1391.9</v>
      </c>
      <c r="AE2874" s="2">
        <f>VLOOKUP(I2874,[1]媒体政策预估表!A:N,MATCH(O2874,[1]媒体政策预估表!$A$2:$M$2,0),0)</f>
        <v>0.17</v>
      </c>
      <c r="AF2874" s="6">
        <f t="shared" si="451"/>
        <v>236.62300000000002</v>
      </c>
      <c r="AG2874" s="14">
        <v>0</v>
      </c>
      <c r="AH2874" s="64">
        <f t="shared" si="455"/>
        <v>1391.9</v>
      </c>
      <c r="AI2874" s="47"/>
      <c r="AJ2874" s="126" t="e">
        <v>#N/A</v>
      </c>
      <c r="AK2874" s="80">
        <f t="shared" si="449"/>
        <v>0</v>
      </c>
      <c r="AM2874" s="85"/>
    </row>
    <row r="2875" spans="1:39" hidden="1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52"/>
        <v>20796.2</v>
      </c>
      <c r="X2875" s="6">
        <f t="shared" si="453"/>
        <v>7954</v>
      </c>
      <c r="Y2875" s="13">
        <f t="shared" si="447"/>
        <v>0</v>
      </c>
      <c r="Z2875" s="14">
        <v>0</v>
      </c>
      <c r="AA2875" s="6">
        <v>0</v>
      </c>
      <c r="AB2875" s="4">
        <f t="shared" si="448"/>
        <v>7954</v>
      </c>
      <c r="AC2875" s="4">
        <f t="shared" si="450"/>
        <v>0</v>
      </c>
      <c r="AD2875" s="6">
        <f t="shared" si="454"/>
        <v>7954</v>
      </c>
      <c r="AE2875" s="2">
        <f>VLOOKUP(I2875,[1]媒体政策预估表!A:N,MATCH(O2875,[1]媒体政策预估表!$A$2:$M$2,0),0)</f>
        <v>0.17</v>
      </c>
      <c r="AF2875" s="6">
        <f t="shared" si="451"/>
        <v>1352.18</v>
      </c>
      <c r="AG2875" s="14">
        <v>0</v>
      </c>
      <c r="AH2875" s="64">
        <f t="shared" si="455"/>
        <v>7954</v>
      </c>
      <c r="AI2875" s="47"/>
      <c r="AJ2875" s="126" t="e">
        <v>#N/A</v>
      </c>
      <c r="AK2875" s="80">
        <f t="shared" si="449"/>
        <v>0</v>
      </c>
      <c r="AM2875" s="85"/>
    </row>
    <row r="2876" spans="1:39" hidden="1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52"/>
        <v>16426.180000000004</v>
      </c>
      <c r="X2876" s="6">
        <f t="shared" si="453"/>
        <v>11113.86</v>
      </c>
      <c r="Y2876" s="13">
        <f t="shared" si="447"/>
        <v>0</v>
      </c>
      <c r="Z2876" s="14">
        <v>0</v>
      </c>
      <c r="AA2876" s="6">
        <v>0</v>
      </c>
      <c r="AB2876" s="4">
        <f t="shared" si="448"/>
        <v>11113.86</v>
      </c>
      <c r="AC2876" s="4">
        <f t="shared" si="450"/>
        <v>0</v>
      </c>
      <c r="AD2876" s="6">
        <f t="shared" si="454"/>
        <v>11113.86</v>
      </c>
      <c r="AE2876" s="2">
        <f>VLOOKUP(I2876,[1]媒体政策预估表!A:N,MATCH(O2876,[1]媒体政策预估表!$A$2:$M$2,0),0)</f>
        <v>0.17</v>
      </c>
      <c r="AF2876" s="6">
        <f t="shared" si="451"/>
        <v>1889.3562000000002</v>
      </c>
      <c r="AG2876" s="14">
        <v>0</v>
      </c>
      <c r="AH2876" s="64">
        <f t="shared" si="455"/>
        <v>11113.86</v>
      </c>
      <c r="AI2876" s="47"/>
      <c r="AJ2876" s="126" t="e">
        <v>#N/A</v>
      </c>
      <c r="AK2876" s="80">
        <f t="shared" si="449"/>
        <v>0</v>
      </c>
      <c r="AM2876" s="85"/>
    </row>
    <row r="2877" spans="1:39" hidden="1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52"/>
        <v>4090.51</v>
      </c>
      <c r="X2877" s="6">
        <f t="shared" si="453"/>
        <v>7860.24</v>
      </c>
      <c r="Y2877" s="13">
        <f t="shared" si="447"/>
        <v>0</v>
      </c>
      <c r="Z2877" s="14">
        <v>0</v>
      </c>
      <c r="AA2877" s="6">
        <v>0</v>
      </c>
      <c r="AB2877" s="4">
        <f t="shared" si="448"/>
        <v>7860.24</v>
      </c>
      <c r="AC2877" s="4">
        <f t="shared" si="450"/>
        <v>0</v>
      </c>
      <c r="AD2877" s="6">
        <f t="shared" si="454"/>
        <v>7860.24</v>
      </c>
      <c r="AE2877" s="2">
        <f>VLOOKUP(I2877,[1]媒体政策预估表!A:N,MATCH(O2877,[1]媒体政策预估表!$A$2:$M$2,0),0)</f>
        <v>0.17</v>
      </c>
      <c r="AF2877" s="6">
        <f t="shared" si="451"/>
        <v>1336.2408</v>
      </c>
      <c r="AG2877" s="14">
        <v>0</v>
      </c>
      <c r="AH2877" s="64">
        <f t="shared" si="455"/>
        <v>7860.24</v>
      </c>
      <c r="AI2877" s="47"/>
      <c r="AJ2877" s="126" t="e">
        <v>#N/A</v>
      </c>
      <c r="AK2877" s="80">
        <f t="shared" si="449"/>
        <v>0</v>
      </c>
      <c r="AM2877" s="85"/>
    </row>
    <row r="2878" spans="1:39" hidden="1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52"/>
        <v>4547.9999999999991</v>
      </c>
      <c r="X2878" s="6">
        <f t="shared" si="453"/>
        <v>4614.8</v>
      </c>
      <c r="Y2878" s="13">
        <f t="shared" si="447"/>
        <v>0</v>
      </c>
      <c r="Z2878" s="14">
        <v>0</v>
      </c>
      <c r="AA2878" s="6">
        <v>0</v>
      </c>
      <c r="AB2878" s="4">
        <f t="shared" si="448"/>
        <v>4614.8</v>
      </c>
      <c r="AC2878" s="4">
        <f t="shared" si="450"/>
        <v>0</v>
      </c>
      <c r="AD2878" s="6">
        <f t="shared" si="454"/>
        <v>4614.8</v>
      </c>
      <c r="AE2878" s="2">
        <f>VLOOKUP(I2878,[1]媒体政策预估表!A:N,MATCH(O2878,[1]媒体政策预估表!$A$2:$M$2,0),0)</f>
        <v>0.17</v>
      </c>
      <c r="AF2878" s="6">
        <f t="shared" si="451"/>
        <v>784.51600000000008</v>
      </c>
      <c r="AG2878" s="14">
        <v>0</v>
      </c>
      <c r="AH2878" s="64">
        <f t="shared" si="455"/>
        <v>4614.8</v>
      </c>
      <c r="AI2878" s="47"/>
      <c r="AJ2878" s="126" t="e">
        <v>#N/A</v>
      </c>
      <c r="AK2878" s="80">
        <f t="shared" si="449"/>
        <v>0</v>
      </c>
      <c r="AM2878" s="85"/>
    </row>
    <row r="2879" spans="1:39" hidden="1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52"/>
        <v>3309.9400000000023</v>
      </c>
      <c r="X2879" s="6">
        <f t="shared" si="453"/>
        <v>45898.36</v>
      </c>
      <c r="Y2879" s="13">
        <f t="shared" si="447"/>
        <v>0</v>
      </c>
      <c r="Z2879" s="14">
        <v>0</v>
      </c>
      <c r="AA2879" s="6">
        <v>0</v>
      </c>
      <c r="AB2879" s="4">
        <f t="shared" si="448"/>
        <v>45898.36</v>
      </c>
      <c r="AC2879" s="4">
        <f t="shared" si="450"/>
        <v>0</v>
      </c>
      <c r="AD2879" s="6">
        <f t="shared" si="454"/>
        <v>45898.36</v>
      </c>
      <c r="AE2879" s="2">
        <f>VLOOKUP(I2879,[1]媒体政策预估表!A:N,MATCH(O2879,[1]媒体政策预估表!$A$2:$M$2,0),0)</f>
        <v>0.17</v>
      </c>
      <c r="AF2879" s="6">
        <f t="shared" si="451"/>
        <v>7802.7212000000009</v>
      </c>
      <c r="AG2879" s="14">
        <v>0</v>
      </c>
      <c r="AH2879" s="64">
        <f t="shared" si="455"/>
        <v>45898.36</v>
      </c>
      <c r="AI2879" s="47"/>
      <c r="AJ2879" s="126" t="e">
        <v>#N/A</v>
      </c>
      <c r="AK2879" s="80">
        <f t="shared" si="449"/>
        <v>0</v>
      </c>
      <c r="AM2879" s="85"/>
    </row>
    <row r="2880" spans="1:39" hidden="1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52"/>
        <v>15423.460000000006</v>
      </c>
      <c r="X2880" s="6">
        <f t="shared" si="453"/>
        <v>25165.841584158417</v>
      </c>
      <c r="Y2880" s="13">
        <f t="shared" si="447"/>
        <v>0</v>
      </c>
      <c r="Z2880" s="14">
        <v>0</v>
      </c>
      <c r="AA2880" s="6">
        <v>0</v>
      </c>
      <c r="AB2880" s="4">
        <f t="shared" si="448"/>
        <v>25165.841584158417</v>
      </c>
      <c r="AC2880" s="4">
        <f t="shared" si="450"/>
        <v>251.65841584158261</v>
      </c>
      <c r="AD2880" s="6">
        <f t="shared" si="454"/>
        <v>25417.5</v>
      </c>
      <c r="AE2880" s="2">
        <f>VLOOKUP(I2880,[1]媒体政策预估表!A:N,MATCH(O2880,[1]媒体政策预估表!$A$2:$M$2,0),0)</f>
        <v>0.17</v>
      </c>
      <c r="AF2880" s="6">
        <f t="shared" si="451"/>
        <v>4320.9750000000004</v>
      </c>
      <c r="AG2880" s="14">
        <v>0</v>
      </c>
      <c r="AH2880" s="64">
        <f t="shared" si="455"/>
        <v>25417.5</v>
      </c>
      <c r="AI2880" s="47"/>
      <c r="AJ2880" s="126" t="e">
        <v>#N/A</v>
      </c>
      <c r="AK2880" s="80">
        <f t="shared" si="449"/>
        <v>0</v>
      </c>
      <c r="AM2880" s="85"/>
    </row>
    <row r="2881" spans="1:39" hidden="1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52"/>
        <v>3623.2000000000007</v>
      </c>
      <c r="X2881" s="6">
        <f t="shared" si="453"/>
        <v>5487.9</v>
      </c>
      <c r="Y2881" s="13">
        <f t="shared" si="447"/>
        <v>0</v>
      </c>
      <c r="Z2881" s="14">
        <v>0</v>
      </c>
      <c r="AA2881" s="6">
        <v>0</v>
      </c>
      <c r="AB2881" s="4">
        <f t="shared" si="448"/>
        <v>5487.9</v>
      </c>
      <c r="AC2881" s="4">
        <f t="shared" si="450"/>
        <v>0</v>
      </c>
      <c r="AD2881" s="6">
        <f t="shared" si="454"/>
        <v>5487.9</v>
      </c>
      <c r="AE2881" s="2">
        <f>VLOOKUP(I2881,[1]媒体政策预估表!A:N,MATCH(O2881,[1]媒体政策预估表!$A$2:$M$2,0),0)</f>
        <v>0.17</v>
      </c>
      <c r="AF2881" s="6">
        <f t="shared" si="451"/>
        <v>932.94299999999998</v>
      </c>
      <c r="AG2881" s="14">
        <v>0</v>
      </c>
      <c r="AH2881" s="64">
        <f t="shared" si="455"/>
        <v>5487.9</v>
      </c>
      <c r="AI2881" s="47"/>
      <c r="AJ2881" s="126" t="e">
        <v>#N/A</v>
      </c>
      <c r="AK2881" s="80">
        <f t="shared" si="449"/>
        <v>0</v>
      </c>
      <c r="AM2881" s="85"/>
    </row>
    <row r="2882" spans="1:39" hidden="1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52"/>
        <v>161139.29999999999</v>
      </c>
      <c r="X2882" s="6">
        <f t="shared" si="453"/>
        <v>50617.647058823532</v>
      </c>
      <c r="Y2882" s="13">
        <f t="shared" si="447"/>
        <v>0</v>
      </c>
      <c r="Z2882" s="14">
        <v>0</v>
      </c>
      <c r="AA2882" s="6">
        <v>0</v>
      </c>
      <c r="AB2882" s="4">
        <f t="shared" si="448"/>
        <v>50617.647058823532</v>
      </c>
      <c r="AC2882" s="4">
        <f t="shared" si="450"/>
        <v>1012.3529411764684</v>
      </c>
      <c r="AD2882" s="6">
        <f t="shared" si="454"/>
        <v>51630</v>
      </c>
      <c r="AE2882" s="2">
        <f>VLOOKUP(I2882,[1]媒体政策预估表!A:N,MATCH(O2882,[1]媒体政策预估表!$A$2:$M$2,0),0)</f>
        <v>0.17</v>
      </c>
      <c r="AF2882" s="6">
        <f t="shared" si="451"/>
        <v>8777.1</v>
      </c>
      <c r="AG2882" s="14">
        <v>0</v>
      </c>
      <c r="AH2882" s="64">
        <f t="shared" si="455"/>
        <v>51630</v>
      </c>
      <c r="AI2882" s="47"/>
      <c r="AJ2882" s="126" t="e">
        <v>#N/A</v>
      </c>
      <c r="AK2882" s="80">
        <f t="shared" si="449"/>
        <v>0</v>
      </c>
      <c r="AM2882" s="85"/>
    </row>
    <row r="2883" spans="1:39" hidden="1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52"/>
        <v>12048.099999999995</v>
      </c>
      <c r="X2883" s="6">
        <f t="shared" si="453"/>
        <v>14816.899999999998</v>
      </c>
      <c r="Y2883" s="13">
        <f t="shared" ref="Y2883:Y2946" si="456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57">X2883+AA2883</f>
        <v>14816.899999999998</v>
      </c>
      <c r="AC2883" s="4">
        <f t="shared" si="450"/>
        <v>0</v>
      </c>
      <c r="AD2883" s="6">
        <f t="shared" si="454"/>
        <v>14816.899999999998</v>
      </c>
      <c r="AE2883" s="2">
        <f>VLOOKUP(I2883,[1]媒体政策预估表!A:N,MATCH(O2883,[1]媒体政策预估表!$A$2:$M$2,0),0)</f>
        <v>0.17</v>
      </c>
      <c r="AF2883" s="6">
        <f t="shared" si="451"/>
        <v>2518.8729999999996</v>
      </c>
      <c r="AG2883" s="14">
        <v>0</v>
      </c>
      <c r="AH2883" s="64">
        <f t="shared" si="455"/>
        <v>14816.899999999998</v>
      </c>
      <c r="AI2883" s="47"/>
      <c r="AJ2883" s="126" t="e">
        <v>#N/A</v>
      </c>
      <c r="AK2883" s="80">
        <f t="shared" ref="AK2883:AK2946" si="458">X2883+AA2883-AB2883</f>
        <v>0</v>
      </c>
      <c r="AM2883" s="85"/>
    </row>
    <row r="2884" spans="1:39" hidden="1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52"/>
        <v>15246.199999999997</v>
      </c>
      <c r="X2884" s="6">
        <f t="shared" si="453"/>
        <v>45300.792079207924</v>
      </c>
      <c r="Y2884" s="13">
        <f t="shared" si="456"/>
        <v>0</v>
      </c>
      <c r="Z2884" s="14">
        <v>0</v>
      </c>
      <c r="AA2884" s="6">
        <v>0</v>
      </c>
      <c r="AB2884" s="4">
        <f t="shared" si="457"/>
        <v>45300.792079207924</v>
      </c>
      <c r="AC2884" s="4">
        <f t="shared" si="450"/>
        <v>453.00792079207895</v>
      </c>
      <c r="AD2884" s="6">
        <f t="shared" si="454"/>
        <v>45753.8</v>
      </c>
      <c r="AE2884" s="2">
        <f>VLOOKUP(I2884,[1]媒体政策预估表!A:N,MATCH(O2884,[1]媒体政策预估表!$A$2:$M$2,0),0)</f>
        <v>0.17</v>
      </c>
      <c r="AF2884" s="6">
        <f t="shared" si="451"/>
        <v>7778.1460000000006</v>
      </c>
      <c r="AG2884" s="14">
        <v>0</v>
      </c>
      <c r="AH2884" s="64">
        <f t="shared" si="455"/>
        <v>45753.8</v>
      </c>
      <c r="AI2884" s="47"/>
      <c r="AJ2884" s="126" t="e">
        <v>#N/A</v>
      </c>
      <c r="AK2884" s="80">
        <f t="shared" si="458"/>
        <v>0</v>
      </c>
      <c r="AM2884" s="85"/>
    </row>
    <row r="2885" spans="1:39" hidden="1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52"/>
        <v>0</v>
      </c>
      <c r="X2885" s="6">
        <f t="shared" si="453"/>
        <v>0</v>
      </c>
      <c r="Y2885" s="13">
        <f t="shared" si="456"/>
        <v>0</v>
      </c>
      <c r="Z2885" s="14">
        <v>0</v>
      </c>
      <c r="AA2885" s="6">
        <v>0</v>
      </c>
      <c r="AB2885" s="4">
        <f t="shared" si="457"/>
        <v>0</v>
      </c>
      <c r="AC2885" s="4">
        <f t="shared" si="450"/>
        <v>0</v>
      </c>
      <c r="AD2885" s="6">
        <f t="shared" si="454"/>
        <v>0</v>
      </c>
      <c r="AE2885" s="2">
        <f>VLOOKUP(I2885,[1]媒体政策预估表!A:N,MATCH(O2885,[1]媒体政策预估表!$A$2:$M$2,0),0)</f>
        <v>0.17</v>
      </c>
      <c r="AF2885" s="6">
        <f t="shared" si="451"/>
        <v>0</v>
      </c>
      <c r="AG2885" s="14">
        <v>0</v>
      </c>
      <c r="AH2885" s="64">
        <f t="shared" si="455"/>
        <v>0</v>
      </c>
      <c r="AI2885" s="47"/>
      <c r="AJ2885" s="126" t="e">
        <v>#N/A</v>
      </c>
      <c r="AK2885" s="80">
        <f t="shared" si="458"/>
        <v>0</v>
      </c>
      <c r="AM2885" s="85"/>
    </row>
    <row r="2886" spans="1:39" hidden="1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52"/>
        <v>5460.5299999999988</v>
      </c>
      <c r="X2886" s="6">
        <f t="shared" si="453"/>
        <v>13368.66</v>
      </c>
      <c r="Y2886" s="13">
        <f t="shared" si="456"/>
        <v>0</v>
      </c>
      <c r="Z2886" s="14">
        <v>0</v>
      </c>
      <c r="AA2886" s="6">
        <v>0</v>
      </c>
      <c r="AB2886" s="4">
        <f t="shared" si="457"/>
        <v>13368.66</v>
      </c>
      <c r="AC2886" s="4">
        <f t="shared" si="450"/>
        <v>0</v>
      </c>
      <c r="AD2886" s="6">
        <f t="shared" si="454"/>
        <v>13368.66</v>
      </c>
      <c r="AE2886" s="2">
        <f>VLOOKUP(I2886,[1]媒体政策预估表!A:N,MATCH(O2886,[1]媒体政策预估表!$A$2:$M$2,0),0)</f>
        <v>0.17</v>
      </c>
      <c r="AF2886" s="6">
        <f t="shared" si="451"/>
        <v>2272.6722</v>
      </c>
      <c r="AG2886" s="14">
        <v>0</v>
      </c>
      <c r="AH2886" s="64">
        <f t="shared" si="455"/>
        <v>13368.66</v>
      </c>
      <c r="AI2886" s="47"/>
      <c r="AJ2886" s="126" t="e">
        <v>#N/A</v>
      </c>
      <c r="AK2886" s="80">
        <f t="shared" si="458"/>
        <v>0</v>
      </c>
      <c r="AM2886" s="85"/>
    </row>
    <row r="2887" spans="1:39" hidden="1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52"/>
        <v>43779.550000000017</v>
      </c>
      <c r="X2887" s="6">
        <f t="shared" si="453"/>
        <v>104171.1</v>
      </c>
      <c r="Y2887" s="13">
        <f t="shared" si="456"/>
        <v>0</v>
      </c>
      <c r="Z2887" s="14">
        <v>0</v>
      </c>
      <c r="AA2887" s="6">
        <v>0</v>
      </c>
      <c r="AB2887" s="4">
        <f t="shared" si="457"/>
        <v>104171.1</v>
      </c>
      <c r="AC2887" s="4">
        <f t="shared" si="450"/>
        <v>0</v>
      </c>
      <c r="AD2887" s="6">
        <f t="shared" si="454"/>
        <v>104171.1</v>
      </c>
      <c r="AE2887" s="2">
        <f>VLOOKUP(I2887,[1]媒体政策预估表!A:N,MATCH(O2887,[1]媒体政策预估表!$A$2:$M$2,0),0)</f>
        <v>0.17</v>
      </c>
      <c r="AF2887" s="6">
        <f t="shared" si="451"/>
        <v>17709.087000000003</v>
      </c>
      <c r="AG2887" s="14">
        <v>0</v>
      </c>
      <c r="AH2887" s="64">
        <f t="shared" si="455"/>
        <v>104171.1</v>
      </c>
      <c r="AI2887" s="47"/>
      <c r="AJ2887" s="126" t="e">
        <v>#N/A</v>
      </c>
      <c r="AK2887" s="80">
        <f t="shared" si="458"/>
        <v>0</v>
      </c>
      <c r="AM2887" s="85"/>
    </row>
    <row r="2888" spans="1:39" hidden="1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52"/>
        <v>44473.93</v>
      </c>
      <c r="X2888" s="6">
        <f t="shared" si="453"/>
        <v>5526.07</v>
      </c>
      <c r="Y2888" s="13">
        <f t="shared" si="456"/>
        <v>0</v>
      </c>
      <c r="Z2888" s="14">
        <v>0</v>
      </c>
      <c r="AA2888" s="6">
        <v>0</v>
      </c>
      <c r="AB2888" s="4">
        <f t="shared" si="457"/>
        <v>5526.07</v>
      </c>
      <c r="AC2888" s="4">
        <f t="shared" si="450"/>
        <v>0</v>
      </c>
      <c r="AD2888" s="6">
        <f t="shared" si="454"/>
        <v>5526.07</v>
      </c>
      <c r="AE2888" s="2">
        <f>VLOOKUP(I2888,[1]媒体政策预估表!A:N,MATCH(O2888,[1]媒体政策预估表!$A$2:$M$2,0),0)</f>
        <v>0.17</v>
      </c>
      <c r="AF2888" s="6">
        <f t="shared" si="451"/>
        <v>939.43190000000004</v>
      </c>
      <c r="AG2888" s="14">
        <v>0</v>
      </c>
      <c r="AH2888" s="64">
        <f t="shared" si="455"/>
        <v>5526.07</v>
      </c>
      <c r="AI2888" s="47"/>
      <c r="AJ2888" s="126" t="e">
        <v>#N/A</v>
      </c>
      <c r="AK2888" s="80">
        <f t="shared" si="458"/>
        <v>0</v>
      </c>
      <c r="AM2888" s="85"/>
    </row>
    <row r="2889" spans="1:39" hidden="1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52"/>
        <v>5306.6099999999988</v>
      </c>
      <c r="X2889" s="6">
        <f t="shared" si="453"/>
        <v>5266.6900000000005</v>
      </c>
      <c r="Y2889" s="13">
        <f t="shared" si="456"/>
        <v>0</v>
      </c>
      <c r="Z2889" s="14">
        <v>0</v>
      </c>
      <c r="AA2889" s="6">
        <v>0</v>
      </c>
      <c r="AB2889" s="4">
        <f t="shared" si="457"/>
        <v>5266.6900000000005</v>
      </c>
      <c r="AC2889" s="4">
        <f t="shared" si="450"/>
        <v>0</v>
      </c>
      <c r="AD2889" s="6">
        <f t="shared" si="454"/>
        <v>5266.6900000000005</v>
      </c>
      <c r="AE2889" s="2">
        <f>VLOOKUP(I2889,[1]媒体政策预估表!A:N,MATCH(O2889,[1]媒体政策预估表!$A$2:$M$2,0),0)</f>
        <v>0.17</v>
      </c>
      <c r="AF2889" s="6">
        <f t="shared" si="451"/>
        <v>895.33730000000014</v>
      </c>
      <c r="AG2889" s="14">
        <v>0</v>
      </c>
      <c r="AH2889" s="64">
        <f t="shared" si="455"/>
        <v>5266.6900000000005</v>
      </c>
      <c r="AI2889" s="47"/>
      <c r="AJ2889" s="126" t="e">
        <v>#N/A</v>
      </c>
      <c r="AK2889" s="80">
        <f t="shared" si="458"/>
        <v>0</v>
      </c>
      <c r="AM2889" s="85"/>
    </row>
    <row r="2890" spans="1:39" hidden="1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52"/>
        <v>8921.7599999999984</v>
      </c>
      <c r="X2890" s="6">
        <f t="shared" si="453"/>
        <v>11387.5</v>
      </c>
      <c r="Y2890" s="13">
        <f t="shared" si="456"/>
        <v>0</v>
      </c>
      <c r="Z2890" s="14">
        <v>0</v>
      </c>
      <c r="AA2890" s="6">
        <v>0</v>
      </c>
      <c r="AB2890" s="4">
        <f t="shared" si="457"/>
        <v>11387.5</v>
      </c>
      <c r="AC2890" s="4">
        <f t="shared" si="450"/>
        <v>0</v>
      </c>
      <c r="AD2890" s="6">
        <f t="shared" si="454"/>
        <v>11387.5</v>
      </c>
      <c r="AE2890" s="2">
        <f>VLOOKUP(I2890,[1]媒体政策预估表!A:N,MATCH(O2890,[1]媒体政策预估表!$A$2:$M$2,0),0)</f>
        <v>0.17</v>
      </c>
      <c r="AF2890" s="6">
        <f t="shared" si="451"/>
        <v>1935.8750000000002</v>
      </c>
      <c r="AG2890" s="14">
        <v>0</v>
      </c>
      <c r="AH2890" s="64">
        <f t="shared" si="455"/>
        <v>11387.5</v>
      </c>
      <c r="AI2890" s="47"/>
      <c r="AJ2890" s="126" t="e">
        <v>#N/A</v>
      </c>
      <c r="AK2890" s="80">
        <f t="shared" si="458"/>
        <v>0</v>
      </c>
      <c r="AM2890" s="85"/>
    </row>
    <row r="2891" spans="1:39" hidden="1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52"/>
        <v>2680.0000000000018</v>
      </c>
      <c r="X2891" s="6">
        <f t="shared" si="453"/>
        <v>8464.98</v>
      </c>
      <c r="Y2891" s="13">
        <f t="shared" si="456"/>
        <v>0</v>
      </c>
      <c r="Z2891" s="14">
        <v>0</v>
      </c>
      <c r="AA2891" s="6">
        <v>0</v>
      </c>
      <c r="AB2891" s="4">
        <f t="shared" si="457"/>
        <v>8464.98</v>
      </c>
      <c r="AC2891" s="4">
        <f t="shared" si="450"/>
        <v>0</v>
      </c>
      <c r="AD2891" s="6">
        <f t="shared" si="454"/>
        <v>8464.98</v>
      </c>
      <c r="AE2891" s="2">
        <f>VLOOKUP(I2891,[1]媒体政策预估表!A:N,MATCH(O2891,[1]媒体政策预估表!$A$2:$M$2,0),0)</f>
        <v>0.17</v>
      </c>
      <c r="AF2891" s="6">
        <f t="shared" si="451"/>
        <v>1439.0466000000001</v>
      </c>
      <c r="AG2891" s="14">
        <v>0</v>
      </c>
      <c r="AH2891" s="64">
        <f t="shared" si="455"/>
        <v>8464.98</v>
      </c>
      <c r="AI2891" s="47"/>
      <c r="AJ2891" s="126" t="e">
        <v>#N/A</v>
      </c>
      <c r="AK2891" s="80">
        <f t="shared" si="458"/>
        <v>0</v>
      </c>
      <c r="AM2891" s="85"/>
    </row>
    <row r="2892" spans="1:39" hidden="1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52"/>
        <v>3495.9999999999986</v>
      </c>
      <c r="X2892" s="6">
        <f t="shared" si="453"/>
        <v>2315.1</v>
      </c>
      <c r="Y2892" s="13">
        <f t="shared" si="456"/>
        <v>0</v>
      </c>
      <c r="Z2892" s="14">
        <v>0</v>
      </c>
      <c r="AA2892" s="6">
        <v>0</v>
      </c>
      <c r="AB2892" s="4">
        <f t="shared" si="457"/>
        <v>2315.1</v>
      </c>
      <c r="AC2892" s="4">
        <f t="shared" ref="AC2892:AC2955" si="459">IF(P2892="返现",X2892*Q2892,V2892-X2892)</f>
        <v>0</v>
      </c>
      <c r="AD2892" s="6">
        <f t="shared" si="454"/>
        <v>2315.1</v>
      </c>
      <c r="AE2892" s="2">
        <f>VLOOKUP(I2892,[1]媒体政策预估表!A:N,MATCH(O2892,[1]媒体政策预估表!$A$2:$M$2,0),0)</f>
        <v>0.17</v>
      </c>
      <c r="AF2892" s="6">
        <f t="shared" ref="AF2892:AF2955" si="460">AD2892*AE2892</f>
        <v>393.56700000000001</v>
      </c>
      <c r="AG2892" s="14">
        <v>0</v>
      </c>
      <c r="AH2892" s="64">
        <f t="shared" si="455"/>
        <v>2315.1</v>
      </c>
      <c r="AI2892" s="47"/>
      <c r="AJ2892" s="126" t="e">
        <v>#N/A</v>
      </c>
      <c r="AK2892" s="80">
        <f t="shared" si="458"/>
        <v>0</v>
      </c>
      <c r="AM2892" s="85"/>
    </row>
    <row r="2893" spans="1:39" hidden="1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52"/>
        <v>11054.970000000001</v>
      </c>
      <c r="X2893" s="6">
        <f t="shared" si="453"/>
        <v>2726.2745098039218</v>
      </c>
      <c r="Y2893" s="13">
        <f t="shared" si="456"/>
        <v>0</v>
      </c>
      <c r="Z2893" s="14">
        <v>0</v>
      </c>
      <c r="AA2893" s="6">
        <v>0</v>
      </c>
      <c r="AB2893" s="4">
        <f t="shared" si="457"/>
        <v>2726.2745098039218</v>
      </c>
      <c r="AC2893" s="4">
        <f t="shared" si="459"/>
        <v>54.525490196078408</v>
      </c>
      <c r="AD2893" s="6">
        <f t="shared" si="454"/>
        <v>2780.8</v>
      </c>
      <c r="AE2893" s="2">
        <f>VLOOKUP(I2893,[1]媒体政策预估表!A:N,MATCH(O2893,[1]媒体政策预估表!$A$2:$M$2,0),0)</f>
        <v>0.17</v>
      </c>
      <c r="AF2893" s="6">
        <f t="shared" si="460"/>
        <v>472.73600000000005</v>
      </c>
      <c r="AG2893" s="14">
        <v>0</v>
      </c>
      <c r="AH2893" s="64">
        <f t="shared" si="455"/>
        <v>2780.8</v>
      </c>
      <c r="AI2893" s="47"/>
      <c r="AJ2893" s="126" t="e">
        <v>#N/A</v>
      </c>
      <c r="AK2893" s="80">
        <f t="shared" si="458"/>
        <v>0</v>
      </c>
      <c r="AM2893" s="85"/>
    </row>
    <row r="2894" spans="1:39" hidden="1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52"/>
        <v>5406.2000000000007</v>
      </c>
      <c r="X2894" s="6">
        <f t="shared" si="453"/>
        <v>13698</v>
      </c>
      <c r="Y2894" s="13">
        <f t="shared" si="456"/>
        <v>0</v>
      </c>
      <c r="Z2894" s="14">
        <v>0</v>
      </c>
      <c r="AA2894" s="6">
        <v>0</v>
      </c>
      <c r="AB2894" s="4">
        <v>13698</v>
      </c>
      <c r="AC2894" s="4">
        <f t="shared" si="459"/>
        <v>0</v>
      </c>
      <c r="AD2894" s="6">
        <f t="shared" si="454"/>
        <v>13698</v>
      </c>
      <c r="AE2894" s="2">
        <f>VLOOKUP(I2894,[1]媒体政策预估表!A:N,MATCH(O2894,[1]媒体政策预估表!$A$2:$M$2,0),0)</f>
        <v>0.17</v>
      </c>
      <c r="AF2894" s="6">
        <f t="shared" si="460"/>
        <v>2328.6600000000003</v>
      </c>
      <c r="AG2894" s="14">
        <v>0</v>
      </c>
      <c r="AH2894" s="64">
        <f t="shared" si="455"/>
        <v>13698</v>
      </c>
      <c r="AI2894" s="47"/>
      <c r="AJ2894" s="126" t="s">
        <v>4217</v>
      </c>
      <c r="AK2894" s="80">
        <f t="shared" si="458"/>
        <v>0</v>
      </c>
      <c r="AM2894" s="85"/>
    </row>
    <row r="2895" spans="1:39" hidden="1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52"/>
        <v>4762.4999999999982</v>
      </c>
      <c r="X2895" s="6">
        <f t="shared" si="453"/>
        <v>8188.1</v>
      </c>
      <c r="Y2895" s="13">
        <f t="shared" si="456"/>
        <v>0</v>
      </c>
      <c r="Z2895" s="14">
        <v>0</v>
      </c>
      <c r="AA2895" s="6">
        <v>0</v>
      </c>
      <c r="AB2895" s="4">
        <v>8188.1</v>
      </c>
      <c r="AC2895" s="4">
        <f t="shared" si="459"/>
        <v>0</v>
      </c>
      <c r="AD2895" s="6">
        <f t="shared" si="454"/>
        <v>8188.1</v>
      </c>
      <c r="AE2895" s="2">
        <f>VLOOKUP(I2895,[1]媒体政策预估表!A:N,MATCH(O2895,[1]媒体政策预估表!$A$2:$M$2,0),0)</f>
        <v>0.17</v>
      </c>
      <c r="AF2895" s="6">
        <f t="shared" si="460"/>
        <v>1391.9770000000001</v>
      </c>
      <c r="AG2895" s="14">
        <v>0</v>
      </c>
      <c r="AH2895" s="64">
        <f t="shared" si="455"/>
        <v>8188.1</v>
      </c>
      <c r="AI2895" s="47"/>
      <c r="AJ2895" s="126" t="s">
        <v>4217</v>
      </c>
      <c r="AK2895" s="80">
        <f t="shared" si="458"/>
        <v>0</v>
      </c>
      <c r="AM2895" s="85"/>
    </row>
    <row r="2896" spans="1:39" hidden="1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52"/>
        <v>70.529999999998836</v>
      </c>
      <c r="X2896" s="6">
        <f t="shared" si="453"/>
        <v>0</v>
      </c>
      <c r="Y2896" s="13">
        <f t="shared" si="456"/>
        <v>0</v>
      </c>
      <c r="Z2896" s="14">
        <v>0</v>
      </c>
      <c r="AA2896" s="6">
        <v>0</v>
      </c>
      <c r="AB2896" s="4">
        <f t="shared" si="457"/>
        <v>0</v>
      </c>
      <c r="AC2896" s="4">
        <f t="shared" si="459"/>
        <v>0</v>
      </c>
      <c r="AD2896" s="6">
        <f t="shared" si="454"/>
        <v>0</v>
      </c>
      <c r="AE2896" s="2">
        <f>VLOOKUP(I2896,[1]媒体政策预估表!A:N,MATCH(O2896,[1]媒体政策预估表!$A$2:$M$2,0),0)</f>
        <v>0.17</v>
      </c>
      <c r="AF2896" s="6">
        <f t="shared" si="460"/>
        <v>0</v>
      </c>
      <c r="AG2896" s="14">
        <v>0</v>
      </c>
      <c r="AH2896" s="64">
        <f t="shared" si="455"/>
        <v>0</v>
      </c>
      <c r="AI2896" s="47"/>
      <c r="AJ2896" s="126" t="e">
        <v>#N/A</v>
      </c>
      <c r="AK2896" s="80">
        <f t="shared" si="458"/>
        <v>0</v>
      </c>
      <c r="AM2896" s="85"/>
    </row>
    <row r="2897" spans="1:39" hidden="1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52"/>
        <v>10401.270000000011</v>
      </c>
      <c r="X2897" s="6">
        <f t="shared" si="453"/>
        <v>52949.549999999996</v>
      </c>
      <c r="Y2897" s="13">
        <f t="shared" si="456"/>
        <v>0</v>
      </c>
      <c r="Z2897" s="14">
        <v>0</v>
      </c>
      <c r="AA2897" s="6">
        <v>0</v>
      </c>
      <c r="AB2897" s="4">
        <f t="shared" si="457"/>
        <v>52949.549999999996</v>
      </c>
      <c r="AC2897" s="4">
        <f t="shared" si="459"/>
        <v>0</v>
      </c>
      <c r="AD2897" s="6">
        <f t="shared" si="454"/>
        <v>52949.549999999996</v>
      </c>
      <c r="AE2897" s="2">
        <f>VLOOKUP(I2897,[1]媒体政策预估表!A:N,MATCH(O2897,[1]媒体政策预估表!$A$2:$M$2,0),0)</f>
        <v>0.17</v>
      </c>
      <c r="AF2897" s="6">
        <f t="shared" si="460"/>
        <v>9001.4235000000008</v>
      </c>
      <c r="AG2897" s="14">
        <v>0</v>
      </c>
      <c r="AH2897" s="64">
        <f t="shared" si="455"/>
        <v>52949.549999999996</v>
      </c>
      <c r="AI2897" s="47"/>
      <c r="AJ2897" s="126" t="e">
        <v>#N/A</v>
      </c>
      <c r="AK2897" s="80">
        <f t="shared" si="458"/>
        <v>0</v>
      </c>
      <c r="AM2897" s="85"/>
    </row>
    <row r="2898" spans="1:39" hidden="1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52"/>
        <v>39478.92000000002</v>
      </c>
      <c r="X2898" s="6">
        <f t="shared" si="453"/>
        <v>61301.834951456316</v>
      </c>
      <c r="Y2898" s="13">
        <f t="shared" si="456"/>
        <v>0</v>
      </c>
      <c r="Z2898" s="14">
        <v>0</v>
      </c>
      <c r="AA2898" s="6">
        <v>0</v>
      </c>
      <c r="AB2898" s="4">
        <f t="shared" si="457"/>
        <v>61301.834951456316</v>
      </c>
      <c r="AC2898" s="4">
        <f t="shared" si="459"/>
        <v>1839.0550485436906</v>
      </c>
      <c r="AD2898" s="6">
        <f t="shared" si="454"/>
        <v>63140.890000000007</v>
      </c>
      <c r="AE2898" s="2">
        <f>VLOOKUP(I2898,[1]媒体政策预估表!A:N,MATCH(O2898,[1]媒体政策预估表!$A$2:$M$2,0),0)</f>
        <v>0.17</v>
      </c>
      <c r="AF2898" s="6">
        <f t="shared" si="460"/>
        <v>10733.951300000002</v>
      </c>
      <c r="AG2898" s="14">
        <v>0</v>
      </c>
      <c r="AH2898" s="64">
        <f t="shared" si="455"/>
        <v>63140.890000000007</v>
      </c>
      <c r="AI2898" s="47"/>
      <c r="AJ2898" s="126" t="e">
        <v>#N/A</v>
      </c>
      <c r="AK2898" s="80">
        <f t="shared" si="458"/>
        <v>0</v>
      </c>
      <c r="AM2898" s="85"/>
    </row>
    <row r="2899" spans="1:39" hidden="1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52"/>
        <v>4835.29</v>
      </c>
      <c r="X2899" s="6">
        <f t="shared" si="453"/>
        <v>137.56</v>
      </c>
      <c r="Y2899" s="13">
        <f t="shared" si="456"/>
        <v>0</v>
      </c>
      <c r="Z2899" s="14">
        <v>0</v>
      </c>
      <c r="AA2899" s="6">
        <v>0</v>
      </c>
      <c r="AB2899" s="4">
        <f t="shared" si="457"/>
        <v>137.56</v>
      </c>
      <c r="AC2899" s="4">
        <f t="shared" si="459"/>
        <v>0</v>
      </c>
      <c r="AD2899" s="6">
        <f t="shared" si="454"/>
        <v>137.56</v>
      </c>
      <c r="AE2899" s="2">
        <f>VLOOKUP(I2899,[1]媒体政策预估表!A:N,MATCH(O2899,[1]媒体政策预估表!$A$2:$M$2,0),0)</f>
        <v>0.17</v>
      </c>
      <c r="AF2899" s="6">
        <f t="shared" si="460"/>
        <v>23.385200000000001</v>
      </c>
      <c r="AG2899" s="14">
        <v>0</v>
      </c>
      <c r="AH2899" s="64">
        <f t="shared" si="455"/>
        <v>137.56</v>
      </c>
      <c r="AI2899" s="47"/>
      <c r="AJ2899" s="126" t="e">
        <v>#N/A</v>
      </c>
      <c r="AK2899" s="80">
        <f t="shared" si="458"/>
        <v>0</v>
      </c>
      <c r="AM2899" s="85"/>
    </row>
    <row r="2900" spans="1:39" hidden="1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52"/>
        <v>6866.8100000000013</v>
      </c>
      <c r="X2900" s="6">
        <f t="shared" si="453"/>
        <v>1848.48</v>
      </c>
      <c r="Y2900" s="13">
        <f t="shared" si="456"/>
        <v>0</v>
      </c>
      <c r="Z2900" s="14">
        <v>0</v>
      </c>
      <c r="AA2900" s="6">
        <v>0</v>
      </c>
      <c r="AB2900" s="4">
        <f t="shared" si="457"/>
        <v>1848.48</v>
      </c>
      <c r="AC2900" s="4">
        <f t="shared" si="459"/>
        <v>0</v>
      </c>
      <c r="AD2900" s="6">
        <f t="shared" si="454"/>
        <v>1848.48</v>
      </c>
      <c r="AE2900" s="2">
        <f>VLOOKUP(I2900,[1]媒体政策预估表!A:N,MATCH(O2900,[1]媒体政策预估表!$A$2:$M$2,0),0)</f>
        <v>0.17</v>
      </c>
      <c r="AF2900" s="6">
        <f t="shared" si="460"/>
        <v>314.24160000000001</v>
      </c>
      <c r="AG2900" s="14">
        <v>0</v>
      </c>
      <c r="AH2900" s="64">
        <f t="shared" si="455"/>
        <v>1848.48</v>
      </c>
      <c r="AI2900" s="47"/>
      <c r="AJ2900" s="126" t="e">
        <v>#N/A</v>
      </c>
      <c r="AK2900" s="80">
        <f t="shared" si="458"/>
        <v>0</v>
      </c>
      <c r="AM2900" s="85"/>
    </row>
    <row r="2901" spans="1:39" hidden="1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52"/>
        <v>2645.4199999999992</v>
      </c>
      <c r="X2901" s="6">
        <f t="shared" si="453"/>
        <v>1696.6999999999998</v>
      </c>
      <c r="Y2901" s="13">
        <f t="shared" si="456"/>
        <v>0</v>
      </c>
      <c r="Z2901" s="14">
        <v>0</v>
      </c>
      <c r="AA2901" s="6">
        <v>0</v>
      </c>
      <c r="AB2901" s="4">
        <f t="shared" si="457"/>
        <v>1696.6999999999998</v>
      </c>
      <c r="AC2901" s="4">
        <f t="shared" si="459"/>
        <v>0</v>
      </c>
      <c r="AD2901" s="6">
        <f t="shared" si="454"/>
        <v>1696.6999999999998</v>
      </c>
      <c r="AE2901" s="2">
        <f>VLOOKUP(I2901,[1]媒体政策预估表!A:N,MATCH(O2901,[1]媒体政策预估表!$A$2:$M$2,0),0)</f>
        <v>0.17</v>
      </c>
      <c r="AF2901" s="6">
        <f t="shared" si="460"/>
        <v>288.43899999999996</v>
      </c>
      <c r="AG2901" s="14">
        <v>0</v>
      </c>
      <c r="AH2901" s="64">
        <f t="shared" si="455"/>
        <v>1696.6999999999998</v>
      </c>
      <c r="AI2901" s="47"/>
      <c r="AJ2901" s="126" t="e">
        <v>#N/A</v>
      </c>
      <c r="AK2901" s="80">
        <f t="shared" si="458"/>
        <v>0</v>
      </c>
      <c r="AM2901" s="85"/>
    </row>
    <row r="2902" spans="1:39" hidden="1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52"/>
        <v>38367.900000000038</v>
      </c>
      <c r="X2902" s="6">
        <f t="shared" si="453"/>
        <v>33445.199999999997</v>
      </c>
      <c r="Y2902" s="13">
        <f t="shared" si="456"/>
        <v>0</v>
      </c>
      <c r="Z2902" s="14">
        <v>0</v>
      </c>
      <c r="AA2902" s="6">
        <v>0</v>
      </c>
      <c r="AB2902" s="4">
        <f t="shared" si="457"/>
        <v>33445.199999999997</v>
      </c>
      <c r="AC2902" s="4">
        <f t="shared" si="459"/>
        <v>0</v>
      </c>
      <c r="AD2902" s="6">
        <f t="shared" si="454"/>
        <v>33445.199999999997</v>
      </c>
      <c r="AE2902" s="2">
        <f>VLOOKUP(I2902,[1]媒体政策预估表!A:N,MATCH(O2902,[1]媒体政策预估表!$A$2:$M$2,0),0)</f>
        <v>0.17</v>
      </c>
      <c r="AF2902" s="6">
        <f t="shared" si="460"/>
        <v>5685.6840000000002</v>
      </c>
      <c r="AG2902" s="14">
        <v>0</v>
      </c>
      <c r="AH2902" s="64">
        <f t="shared" si="455"/>
        <v>33445.199999999997</v>
      </c>
      <c r="AI2902" s="47"/>
      <c r="AJ2902" s="126" t="e">
        <v>#N/A</v>
      </c>
      <c r="AK2902" s="80">
        <f t="shared" si="458"/>
        <v>0</v>
      </c>
      <c r="AM2902" s="85"/>
    </row>
    <row r="2903" spans="1:39" hidden="1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52"/>
        <v>0</v>
      </c>
      <c r="X2903" s="6">
        <f t="shared" si="453"/>
        <v>3343.8834951456565</v>
      </c>
      <c r="Y2903" s="13">
        <f t="shared" si="456"/>
        <v>0</v>
      </c>
      <c r="Z2903" s="14">
        <v>0</v>
      </c>
      <c r="AA2903" s="6">
        <v>0</v>
      </c>
      <c r="AB2903" s="4">
        <f t="shared" si="457"/>
        <v>3343.8834951456565</v>
      </c>
      <c r="AC2903" s="4">
        <f t="shared" si="459"/>
        <v>100.31650485436967</v>
      </c>
      <c r="AD2903" s="6">
        <f t="shared" si="454"/>
        <v>3444.2000000000262</v>
      </c>
      <c r="AE2903" s="2">
        <f>VLOOKUP(I2903,[1]媒体政策预估表!A:N,MATCH(O2903,[1]媒体政策预估表!$A$2:$M$2,0),0)</f>
        <v>0.17</v>
      </c>
      <c r="AF2903" s="6">
        <f t="shared" si="460"/>
        <v>585.51400000000444</v>
      </c>
      <c r="AG2903" s="14">
        <v>0</v>
      </c>
      <c r="AH2903" s="64">
        <f t="shared" si="455"/>
        <v>3444.2000000000262</v>
      </c>
      <c r="AI2903" s="47"/>
      <c r="AJ2903" s="126" t="e">
        <v>#N/A</v>
      </c>
      <c r="AK2903" s="80">
        <f t="shared" si="458"/>
        <v>0</v>
      </c>
      <c r="AM2903" s="85"/>
    </row>
    <row r="2904" spans="1:39" hidden="1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52"/>
        <v>24812.700000000026</v>
      </c>
      <c r="X2904" s="6">
        <f t="shared" si="453"/>
        <v>25187.299999999974</v>
      </c>
      <c r="Y2904" s="13">
        <f t="shared" si="456"/>
        <v>0</v>
      </c>
      <c r="Z2904" s="14">
        <v>0</v>
      </c>
      <c r="AA2904" s="6">
        <v>0</v>
      </c>
      <c r="AB2904" s="4">
        <f t="shared" si="457"/>
        <v>25187.299999999974</v>
      </c>
      <c r="AC2904" s="4">
        <f t="shared" si="459"/>
        <v>0</v>
      </c>
      <c r="AD2904" s="6">
        <f t="shared" si="454"/>
        <v>25187.299999999974</v>
      </c>
      <c r="AE2904" s="2">
        <f>VLOOKUP(I2904,[1]媒体政策预估表!A:N,MATCH(O2904,[1]媒体政策预估表!$A$2:$M$2,0),0)</f>
        <v>0.17</v>
      </c>
      <c r="AF2904" s="6">
        <f t="shared" si="460"/>
        <v>4281.8409999999958</v>
      </c>
      <c r="AG2904" s="14">
        <v>0</v>
      </c>
      <c r="AH2904" s="64">
        <f t="shared" si="455"/>
        <v>25187.299999999974</v>
      </c>
      <c r="AI2904" s="47"/>
      <c r="AJ2904" s="126" t="e">
        <v>#N/A</v>
      </c>
      <c r="AK2904" s="80">
        <f t="shared" si="458"/>
        <v>0</v>
      </c>
      <c r="AM2904" s="85"/>
    </row>
    <row r="2905" spans="1:39" hidden="1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52"/>
        <v>540.20000000001255</v>
      </c>
      <c r="X2905" s="6">
        <f t="shared" si="453"/>
        <v>8164.4000000000005</v>
      </c>
      <c r="Y2905" s="13">
        <f t="shared" si="456"/>
        <v>0</v>
      </c>
      <c r="Z2905" s="14">
        <v>0.02</v>
      </c>
      <c r="AA2905" s="6">
        <f>X2905/(1-Z2905)*Z2905</f>
        <v>166.62040816326532</v>
      </c>
      <c r="AB2905" s="4">
        <f t="shared" si="457"/>
        <v>8331.0204081632655</v>
      </c>
      <c r="AC2905" s="4">
        <f t="shared" si="459"/>
        <v>0</v>
      </c>
      <c r="AD2905" s="6">
        <f t="shared" si="454"/>
        <v>8164.4000000000005</v>
      </c>
      <c r="AE2905" s="2">
        <f>VLOOKUP(I2905,[1]媒体政策预估表!A:N,MATCH(O2905,[1]媒体政策预估表!$A$2:$M$2,0),0)</f>
        <v>0.17</v>
      </c>
      <c r="AF2905" s="6">
        <f t="shared" si="460"/>
        <v>1387.9480000000001</v>
      </c>
      <c r="AG2905" s="14">
        <v>0</v>
      </c>
      <c r="AH2905" s="64">
        <f t="shared" si="455"/>
        <v>8164.4000000000005</v>
      </c>
      <c r="AI2905" s="47"/>
      <c r="AJ2905" s="126" t="e">
        <v>#N/A</v>
      </c>
      <c r="AK2905" s="80">
        <f t="shared" si="458"/>
        <v>0</v>
      </c>
      <c r="AM2905" s="85"/>
    </row>
    <row r="2906" spans="1:39" hidden="1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52"/>
        <v>35656.98000000001</v>
      </c>
      <c r="X2906" s="6">
        <f t="shared" si="453"/>
        <v>30989.607843137252</v>
      </c>
      <c r="Y2906" s="13">
        <f t="shared" si="456"/>
        <v>0</v>
      </c>
      <c r="Z2906" s="14">
        <v>0</v>
      </c>
      <c r="AA2906" s="6">
        <v>0</v>
      </c>
      <c r="AB2906" s="4">
        <f t="shared" si="457"/>
        <v>30989.607843137252</v>
      </c>
      <c r="AC2906" s="4">
        <f t="shared" si="459"/>
        <v>619.7921568627462</v>
      </c>
      <c r="AD2906" s="6">
        <f t="shared" si="454"/>
        <v>31609.399999999998</v>
      </c>
      <c r="AE2906" s="2">
        <f>VLOOKUP(I2906,[1]媒体政策预估表!A:N,MATCH(O2906,[1]媒体政策预估表!$A$2:$M$2,0),0)</f>
        <v>0.17</v>
      </c>
      <c r="AF2906" s="6">
        <f t="shared" si="460"/>
        <v>5373.598</v>
      </c>
      <c r="AG2906" s="14">
        <v>0</v>
      </c>
      <c r="AH2906" s="64">
        <f t="shared" si="455"/>
        <v>31609.399999999998</v>
      </c>
      <c r="AI2906" s="47"/>
      <c r="AJ2906" s="126" t="e">
        <v>#N/A</v>
      </c>
      <c r="AK2906" s="80">
        <f t="shared" si="458"/>
        <v>0</v>
      </c>
      <c r="AM2906" s="85"/>
    </row>
    <row r="2907" spans="1:39" hidden="1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52"/>
        <v>19543.11</v>
      </c>
      <c r="X2907" s="6">
        <f t="shared" si="453"/>
        <v>25.05</v>
      </c>
      <c r="Y2907" s="13">
        <f t="shared" si="456"/>
        <v>0</v>
      </c>
      <c r="Z2907" s="14">
        <v>0</v>
      </c>
      <c r="AA2907" s="6">
        <v>0</v>
      </c>
      <c r="AB2907" s="4">
        <f t="shared" si="457"/>
        <v>25.05</v>
      </c>
      <c r="AC2907" s="4">
        <f t="shared" si="459"/>
        <v>0</v>
      </c>
      <c r="AD2907" s="6">
        <f t="shared" si="454"/>
        <v>25.05</v>
      </c>
      <c r="AE2907" s="2">
        <f>VLOOKUP(I2907,[1]媒体政策预估表!A:N,MATCH(O2907,[1]媒体政策预估表!$A$2:$M$2,0),0)</f>
        <v>0.17</v>
      </c>
      <c r="AF2907" s="6">
        <f t="shared" si="460"/>
        <v>4.2585000000000006</v>
      </c>
      <c r="AG2907" s="14">
        <v>0</v>
      </c>
      <c r="AH2907" s="64">
        <f t="shared" si="455"/>
        <v>25.05</v>
      </c>
      <c r="AI2907" s="47"/>
      <c r="AJ2907" s="126" t="e">
        <v>#N/A</v>
      </c>
      <c r="AK2907" s="80">
        <f t="shared" si="458"/>
        <v>0</v>
      </c>
      <c r="AM2907" s="85"/>
    </row>
    <row r="2908" spans="1:39" hidden="1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52"/>
        <v>6990.3000999999995</v>
      </c>
      <c r="X2908" s="6">
        <f t="shared" si="453"/>
        <v>2599.1999999999998</v>
      </c>
      <c r="Y2908" s="13">
        <f t="shared" si="456"/>
        <v>0</v>
      </c>
      <c r="Z2908" s="14">
        <v>0</v>
      </c>
      <c r="AA2908" s="6">
        <v>0</v>
      </c>
      <c r="AB2908" s="4">
        <f t="shared" si="457"/>
        <v>2599.1999999999998</v>
      </c>
      <c r="AC2908" s="4">
        <f t="shared" si="459"/>
        <v>0</v>
      </c>
      <c r="AD2908" s="6">
        <f t="shared" si="454"/>
        <v>2599.1999999999998</v>
      </c>
      <c r="AE2908" s="2">
        <f>VLOOKUP(I2908,[1]媒体政策预估表!A:N,MATCH(O2908,[1]媒体政策预估表!$A$2:$M$2,0),0)</f>
        <v>0.17</v>
      </c>
      <c r="AF2908" s="6">
        <f t="shared" si="460"/>
        <v>441.86399999999998</v>
      </c>
      <c r="AG2908" s="14">
        <v>0</v>
      </c>
      <c r="AH2908" s="64">
        <f t="shared" si="455"/>
        <v>2599.1999999999998</v>
      </c>
      <c r="AI2908" s="47"/>
      <c r="AJ2908" s="126" t="e">
        <v>#N/A</v>
      </c>
      <c r="AK2908" s="80">
        <f t="shared" si="458"/>
        <v>0</v>
      </c>
      <c r="AM2908" s="85"/>
    </row>
    <row r="2909" spans="1:39" hidden="1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52"/>
        <v>27841.600000000013</v>
      </c>
      <c r="X2909" s="6">
        <f t="shared" si="453"/>
        <v>13978.4</v>
      </c>
      <c r="Y2909" s="13">
        <f t="shared" si="456"/>
        <v>0</v>
      </c>
      <c r="Z2909" s="14">
        <v>0</v>
      </c>
      <c r="AA2909" s="6">
        <v>0</v>
      </c>
      <c r="AB2909" s="4">
        <f t="shared" si="457"/>
        <v>13978.4</v>
      </c>
      <c r="AC2909" s="4">
        <f t="shared" si="459"/>
        <v>0</v>
      </c>
      <c r="AD2909" s="6">
        <f t="shared" si="454"/>
        <v>13978.4</v>
      </c>
      <c r="AE2909" s="2">
        <f>VLOOKUP(I2909,[1]媒体政策预估表!A:N,MATCH(O2909,[1]媒体政策预估表!$A$2:$M$2,0),0)</f>
        <v>0.17</v>
      </c>
      <c r="AF2909" s="6">
        <f t="shared" si="460"/>
        <v>2376.328</v>
      </c>
      <c r="AG2909" s="14">
        <v>0</v>
      </c>
      <c r="AH2909" s="64">
        <f t="shared" si="455"/>
        <v>13978.4</v>
      </c>
      <c r="AI2909" s="47"/>
      <c r="AJ2909" s="126" t="e">
        <v>#N/A</v>
      </c>
      <c r="AK2909" s="80">
        <f t="shared" si="458"/>
        <v>0</v>
      </c>
      <c r="AM2909" s="85"/>
    </row>
    <row r="2910" spans="1:39" hidden="1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52"/>
        <v>49355.8</v>
      </c>
      <c r="X2910" s="6">
        <f t="shared" si="453"/>
        <v>0</v>
      </c>
      <c r="Y2910" s="13">
        <f t="shared" si="456"/>
        <v>0</v>
      </c>
      <c r="Z2910" s="14">
        <v>0</v>
      </c>
      <c r="AA2910" s="6">
        <v>0</v>
      </c>
      <c r="AB2910" s="4">
        <f t="shared" si="457"/>
        <v>0</v>
      </c>
      <c r="AC2910" s="4">
        <f t="shared" si="459"/>
        <v>0</v>
      </c>
      <c r="AD2910" s="6">
        <f t="shared" si="454"/>
        <v>0</v>
      </c>
      <c r="AE2910" s="2">
        <f>VLOOKUP(I2910,[1]媒体政策预估表!A:N,MATCH(O2910,[1]媒体政策预估表!$A$2:$M$2,0),0)</f>
        <v>0.17</v>
      </c>
      <c r="AF2910" s="6">
        <f t="shared" si="460"/>
        <v>0</v>
      </c>
      <c r="AG2910" s="14">
        <v>0</v>
      </c>
      <c r="AH2910" s="64">
        <f t="shared" si="455"/>
        <v>0</v>
      </c>
      <c r="AI2910" s="47"/>
      <c r="AJ2910" s="126" t="e">
        <v>#N/A</v>
      </c>
      <c r="AK2910" s="80">
        <f t="shared" si="458"/>
        <v>0</v>
      </c>
      <c r="AM2910" s="85"/>
    </row>
    <row r="2911" spans="1:39" hidden="1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52"/>
        <v>14128.400000000001</v>
      </c>
      <c r="X2911" s="6">
        <f t="shared" si="453"/>
        <v>3861</v>
      </c>
      <c r="Y2911" s="13">
        <f t="shared" si="456"/>
        <v>0</v>
      </c>
      <c r="Z2911" s="14">
        <v>0</v>
      </c>
      <c r="AA2911" s="6">
        <v>0</v>
      </c>
      <c r="AB2911" s="4">
        <f t="shared" si="457"/>
        <v>3861</v>
      </c>
      <c r="AC2911" s="4">
        <f t="shared" si="459"/>
        <v>0</v>
      </c>
      <c r="AD2911" s="6">
        <f t="shared" si="454"/>
        <v>3861</v>
      </c>
      <c r="AE2911" s="2">
        <f>VLOOKUP(I2911,[1]媒体政策预估表!A:N,MATCH(O2911,[1]媒体政策预估表!$A$2:$M$2,0),0)</f>
        <v>0.17</v>
      </c>
      <c r="AF2911" s="6">
        <f t="shared" si="460"/>
        <v>656.37</v>
      </c>
      <c r="AG2911" s="14">
        <v>0</v>
      </c>
      <c r="AH2911" s="64">
        <f t="shared" si="455"/>
        <v>3861</v>
      </c>
      <c r="AI2911" s="47"/>
      <c r="AJ2911" s="126" t="e">
        <v>#N/A</v>
      </c>
      <c r="AK2911" s="80">
        <f t="shared" si="458"/>
        <v>0</v>
      </c>
      <c r="AM2911" s="85"/>
    </row>
    <row r="2912" spans="1:39" hidden="1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52"/>
        <v>16261.699999999999</v>
      </c>
      <c r="X2912" s="6">
        <f t="shared" si="453"/>
        <v>2210.1</v>
      </c>
      <c r="Y2912" s="13">
        <f t="shared" si="456"/>
        <v>0</v>
      </c>
      <c r="Z2912" s="14">
        <v>0</v>
      </c>
      <c r="AA2912" s="6">
        <v>0</v>
      </c>
      <c r="AB2912" s="4">
        <f t="shared" si="457"/>
        <v>2210.1</v>
      </c>
      <c r="AC2912" s="4">
        <f t="shared" si="459"/>
        <v>0</v>
      </c>
      <c r="AD2912" s="6">
        <f t="shared" si="454"/>
        <v>2210.1</v>
      </c>
      <c r="AE2912" s="2">
        <f>VLOOKUP(I2912,[1]媒体政策预估表!A:N,MATCH(O2912,[1]媒体政策预估表!$A$2:$M$2,0),0)</f>
        <v>0.17</v>
      </c>
      <c r="AF2912" s="6">
        <f t="shared" si="460"/>
        <v>375.71699999999998</v>
      </c>
      <c r="AG2912" s="14">
        <v>0</v>
      </c>
      <c r="AH2912" s="64">
        <f t="shared" si="455"/>
        <v>2210.1</v>
      </c>
      <c r="AI2912" s="47"/>
      <c r="AJ2912" s="126" t="e">
        <v>#N/A</v>
      </c>
      <c r="AK2912" s="80">
        <f t="shared" si="458"/>
        <v>0</v>
      </c>
      <c r="AM2912" s="85"/>
    </row>
    <row r="2913" spans="1:39" hidden="1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52"/>
        <v>164848.75</v>
      </c>
      <c r="X2913" s="6">
        <f t="shared" si="453"/>
        <v>0</v>
      </c>
      <c r="Y2913" s="13">
        <f t="shared" si="456"/>
        <v>0</v>
      </c>
      <c r="Z2913" s="14">
        <v>0</v>
      </c>
      <c r="AA2913" s="6">
        <v>0</v>
      </c>
      <c r="AB2913" s="4">
        <f t="shared" si="457"/>
        <v>0</v>
      </c>
      <c r="AC2913" s="4">
        <f t="shared" si="459"/>
        <v>0</v>
      </c>
      <c r="AD2913" s="6">
        <f t="shared" si="454"/>
        <v>0</v>
      </c>
      <c r="AE2913" s="2">
        <f>VLOOKUP(I2913,[1]媒体政策预估表!A:N,MATCH(O2913,[1]媒体政策预估表!$A$2:$M$2,0),0)</f>
        <v>0.17</v>
      </c>
      <c r="AF2913" s="6">
        <f t="shared" si="460"/>
        <v>0</v>
      </c>
      <c r="AG2913" s="14">
        <v>0</v>
      </c>
      <c r="AH2913" s="64">
        <f t="shared" si="455"/>
        <v>0</v>
      </c>
      <c r="AI2913" s="47"/>
      <c r="AJ2913" s="126" t="e">
        <v>#N/A</v>
      </c>
      <c r="AK2913" s="80">
        <f t="shared" si="458"/>
        <v>0</v>
      </c>
      <c r="AM2913" s="85"/>
    </row>
    <row r="2914" spans="1:39" hidden="1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52"/>
        <v>49827.88</v>
      </c>
      <c r="X2914" s="6">
        <f t="shared" si="453"/>
        <v>172.12</v>
      </c>
      <c r="Y2914" s="13">
        <f t="shared" si="456"/>
        <v>0</v>
      </c>
      <c r="Z2914" s="14">
        <v>0</v>
      </c>
      <c r="AA2914" s="6">
        <v>0</v>
      </c>
      <c r="AB2914" s="4">
        <f t="shared" si="457"/>
        <v>172.12</v>
      </c>
      <c r="AC2914" s="4">
        <f t="shared" si="459"/>
        <v>0</v>
      </c>
      <c r="AD2914" s="6">
        <f t="shared" si="454"/>
        <v>172.12</v>
      </c>
      <c r="AE2914" s="2">
        <f>VLOOKUP(I2914,[1]媒体政策预估表!A:N,MATCH(O2914,[1]媒体政策预估表!$A$2:$M$2,0),0)</f>
        <v>0.17</v>
      </c>
      <c r="AF2914" s="6">
        <f t="shared" si="460"/>
        <v>29.260400000000004</v>
      </c>
      <c r="AG2914" s="14">
        <v>0</v>
      </c>
      <c r="AH2914" s="64">
        <f t="shared" si="455"/>
        <v>172.12</v>
      </c>
      <c r="AI2914" s="47"/>
      <c r="AJ2914" s="126" t="e">
        <v>#N/A</v>
      </c>
      <c r="AK2914" s="80">
        <f t="shared" si="458"/>
        <v>0</v>
      </c>
      <c r="AM2914" s="85"/>
    </row>
    <row r="2915" spans="1:39" hidden="1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52"/>
        <v>40381.1</v>
      </c>
      <c r="X2915" s="6">
        <f t="shared" si="453"/>
        <v>8442.9000000000015</v>
      </c>
      <c r="Y2915" s="13">
        <f t="shared" si="456"/>
        <v>0</v>
      </c>
      <c r="Z2915" s="14">
        <v>0</v>
      </c>
      <c r="AA2915" s="6">
        <v>0</v>
      </c>
      <c r="AB2915" s="4">
        <f t="shared" si="457"/>
        <v>8442.9000000000015</v>
      </c>
      <c r="AC2915" s="4">
        <f t="shared" si="459"/>
        <v>0</v>
      </c>
      <c r="AD2915" s="6">
        <f t="shared" si="454"/>
        <v>8442.9000000000015</v>
      </c>
      <c r="AE2915" s="2">
        <f>VLOOKUP(I2915,[1]媒体政策预估表!A:N,MATCH(O2915,[1]媒体政策预估表!$A$2:$M$2,0),0)</f>
        <v>0.17</v>
      </c>
      <c r="AF2915" s="6">
        <f t="shared" si="460"/>
        <v>1435.2930000000003</v>
      </c>
      <c r="AG2915" s="14">
        <v>0</v>
      </c>
      <c r="AH2915" s="64">
        <f t="shared" si="455"/>
        <v>8442.9000000000015</v>
      </c>
      <c r="AI2915" s="47"/>
      <c r="AJ2915" s="126" t="e">
        <v>#N/A</v>
      </c>
      <c r="AK2915" s="80">
        <f t="shared" si="458"/>
        <v>0</v>
      </c>
      <c r="AM2915" s="85"/>
    </row>
    <row r="2916" spans="1:39" hidden="1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52"/>
        <v>228277.60000000003</v>
      </c>
      <c r="X2916" s="6">
        <f t="shared" si="453"/>
        <v>280990.42000000004</v>
      </c>
      <c r="Y2916" s="13">
        <f t="shared" si="456"/>
        <v>0</v>
      </c>
      <c r="Z2916" s="14">
        <v>0</v>
      </c>
      <c r="AA2916" s="6">
        <v>0</v>
      </c>
      <c r="AB2916" s="4">
        <f t="shared" si="457"/>
        <v>280990.42000000004</v>
      </c>
      <c r="AC2916" s="4">
        <f t="shared" si="459"/>
        <v>0</v>
      </c>
      <c r="AD2916" s="6">
        <f t="shared" si="454"/>
        <v>280990.42000000004</v>
      </c>
      <c r="AE2916" s="2">
        <f>VLOOKUP(I2916,[1]媒体政策预估表!A:N,MATCH(O2916,[1]媒体政策预估表!$A$2:$M$2,0),0)</f>
        <v>0.17</v>
      </c>
      <c r="AF2916" s="6">
        <f t="shared" si="460"/>
        <v>47768.371400000011</v>
      </c>
      <c r="AG2916" s="14">
        <v>0</v>
      </c>
      <c r="AH2916" s="64">
        <f t="shared" si="455"/>
        <v>280990.42000000004</v>
      </c>
      <c r="AI2916" s="47"/>
      <c r="AJ2916" s="126" t="e">
        <v>#N/A</v>
      </c>
      <c r="AK2916" s="80">
        <f t="shared" si="458"/>
        <v>0</v>
      </c>
      <c r="AM2916" s="85"/>
    </row>
    <row r="2917" spans="1:39" hidden="1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52"/>
        <v>498.79999999999973</v>
      </c>
      <c r="X2917" s="6">
        <f t="shared" si="453"/>
        <v>2044.5</v>
      </c>
      <c r="Y2917" s="13">
        <f t="shared" si="456"/>
        <v>0</v>
      </c>
      <c r="Z2917" s="14">
        <v>0</v>
      </c>
      <c r="AA2917" s="6">
        <v>0</v>
      </c>
      <c r="AB2917" s="4"/>
      <c r="AC2917" s="4">
        <f t="shared" si="459"/>
        <v>0</v>
      </c>
      <c r="AD2917" s="6">
        <f t="shared" si="454"/>
        <v>2044.5</v>
      </c>
      <c r="AE2917" s="2">
        <f>VLOOKUP(I2917,[1]媒体政策预估表!A:N,MATCH(O2917,[1]媒体政策预估表!$A$2:$M$2,0),0)</f>
        <v>0.17</v>
      </c>
      <c r="AF2917" s="6">
        <f t="shared" si="460"/>
        <v>347.565</v>
      </c>
      <c r="AG2917" s="14">
        <v>0</v>
      </c>
      <c r="AH2917" s="64">
        <f t="shared" si="455"/>
        <v>2044.5</v>
      </c>
      <c r="AI2917" s="47"/>
      <c r="AJ2917" s="126">
        <v>93</v>
      </c>
      <c r="AK2917" s="80">
        <f t="shared" si="458"/>
        <v>2044.5</v>
      </c>
      <c r="AM2917" s="85"/>
    </row>
    <row r="2918" spans="1:39" hidden="1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461">T2918+U2918-V2918</f>
        <v>1904.5999999999995</v>
      </c>
      <c r="X2918" s="6">
        <f t="shared" ref="X2918:X2981" si="462">IF(P2918="折扣",V2918*Q2918,IF(P2918="返现",V2918,V2918/(1+Q2918)))</f>
        <v>3491.3</v>
      </c>
      <c r="Y2918" s="13">
        <f t="shared" si="456"/>
        <v>0</v>
      </c>
      <c r="Z2918" s="14">
        <v>0</v>
      </c>
      <c r="AA2918" s="6">
        <v>0</v>
      </c>
      <c r="AB2918" s="4">
        <f t="shared" si="457"/>
        <v>3491.3</v>
      </c>
      <c r="AC2918" s="4">
        <f t="shared" si="459"/>
        <v>0</v>
      </c>
      <c r="AD2918" s="6">
        <f t="shared" ref="AD2918:AD2981" si="463">V2918</f>
        <v>3491.3</v>
      </c>
      <c r="AE2918" s="2">
        <f>VLOOKUP(I2918,[1]媒体政策预估表!A:N,MATCH(O2918,[1]媒体政策预估表!$A$2:$M$2,0),0)</f>
        <v>0.17</v>
      </c>
      <c r="AF2918" s="6">
        <f t="shared" si="460"/>
        <v>593.52100000000007</v>
      </c>
      <c r="AG2918" s="14">
        <v>0</v>
      </c>
      <c r="AH2918" s="64">
        <f t="shared" ref="AH2918:AH2981" si="464">V2918</f>
        <v>3491.3</v>
      </c>
      <c r="AI2918" s="47"/>
      <c r="AJ2918" s="126" t="e">
        <v>#N/A</v>
      </c>
      <c r="AK2918" s="80">
        <f t="shared" si="458"/>
        <v>0</v>
      </c>
      <c r="AM2918" s="85"/>
    </row>
    <row r="2919" spans="1:39" hidden="1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461"/>
        <v>6315.3600000000042</v>
      </c>
      <c r="X2919" s="6">
        <f t="shared" si="462"/>
        <v>27962.3</v>
      </c>
      <c r="Y2919" s="13">
        <f t="shared" si="456"/>
        <v>0</v>
      </c>
      <c r="Z2919" s="14">
        <v>0</v>
      </c>
      <c r="AA2919" s="6">
        <v>0</v>
      </c>
      <c r="AB2919" s="4">
        <f t="shared" si="457"/>
        <v>27962.3</v>
      </c>
      <c r="AC2919" s="4">
        <f t="shared" si="459"/>
        <v>0</v>
      </c>
      <c r="AD2919" s="6">
        <f t="shared" si="463"/>
        <v>27962.3</v>
      </c>
      <c r="AE2919" s="2">
        <f>VLOOKUP(I2919,[1]媒体政策预估表!A:N,MATCH(O2919,[1]媒体政策预估表!$A$2:$M$2,0),0)</f>
        <v>0.17</v>
      </c>
      <c r="AF2919" s="6">
        <f t="shared" si="460"/>
        <v>4753.5910000000003</v>
      </c>
      <c r="AG2919" s="14">
        <v>0</v>
      </c>
      <c r="AH2919" s="64">
        <f t="shared" si="464"/>
        <v>27962.3</v>
      </c>
      <c r="AI2919" s="47"/>
      <c r="AJ2919" s="126" t="e">
        <v>#N/A</v>
      </c>
      <c r="AK2919" s="80">
        <f t="shared" si="458"/>
        <v>0</v>
      </c>
      <c r="AM2919" s="85"/>
    </row>
    <row r="2920" spans="1:39" hidden="1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461"/>
        <v>4565.8999999999996</v>
      </c>
      <c r="X2920" s="6">
        <f t="shared" si="462"/>
        <v>291.60000000000002</v>
      </c>
      <c r="Y2920" s="13">
        <f t="shared" si="456"/>
        <v>0</v>
      </c>
      <c r="Z2920" s="14">
        <v>0</v>
      </c>
      <c r="AA2920" s="6">
        <v>0</v>
      </c>
      <c r="AB2920" s="4">
        <f t="shared" si="457"/>
        <v>291.60000000000002</v>
      </c>
      <c r="AC2920" s="4">
        <f t="shared" si="459"/>
        <v>0</v>
      </c>
      <c r="AD2920" s="6">
        <f t="shared" si="463"/>
        <v>291.60000000000002</v>
      </c>
      <c r="AE2920" s="2">
        <f>VLOOKUP(I2920,[1]媒体政策预估表!A:N,MATCH(O2920,[1]媒体政策预估表!$A$2:$M$2,0),0)</f>
        <v>0.17</v>
      </c>
      <c r="AF2920" s="6">
        <f t="shared" si="460"/>
        <v>49.57200000000001</v>
      </c>
      <c r="AG2920" s="14">
        <v>0</v>
      </c>
      <c r="AH2920" s="64">
        <f t="shared" si="464"/>
        <v>291.60000000000002</v>
      </c>
      <c r="AI2920" s="47"/>
      <c r="AJ2920" s="126" t="e">
        <v>#N/A</v>
      </c>
      <c r="AK2920" s="80">
        <f t="shared" si="458"/>
        <v>0</v>
      </c>
      <c r="AM2920" s="85"/>
    </row>
    <row r="2921" spans="1:39" hidden="1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461"/>
        <v>0</v>
      </c>
      <c r="X2921" s="6">
        <f t="shared" si="462"/>
        <v>1806.3899999999999</v>
      </c>
      <c r="Y2921" s="13">
        <f t="shared" si="456"/>
        <v>0</v>
      </c>
      <c r="Z2921" s="14">
        <v>0</v>
      </c>
      <c r="AA2921" s="6">
        <v>0</v>
      </c>
      <c r="AB2921" s="4">
        <f t="shared" si="457"/>
        <v>1806.3899999999999</v>
      </c>
      <c r="AC2921" s="4">
        <f t="shared" si="459"/>
        <v>0</v>
      </c>
      <c r="AD2921" s="6">
        <f t="shared" si="463"/>
        <v>1806.3899999999999</v>
      </c>
      <c r="AE2921" s="2">
        <f>VLOOKUP(I2921,[1]媒体政策预估表!A:N,MATCH(O2921,[1]媒体政策预估表!$A$2:$M$2,0),0)</f>
        <v>0.17</v>
      </c>
      <c r="AF2921" s="6">
        <f t="shared" si="460"/>
        <v>307.08629999999999</v>
      </c>
      <c r="AG2921" s="14">
        <v>0</v>
      </c>
      <c r="AH2921" s="64">
        <f t="shared" si="464"/>
        <v>1806.3899999999999</v>
      </c>
      <c r="AI2921" s="47"/>
      <c r="AJ2921" s="126" t="e">
        <v>#N/A</v>
      </c>
      <c r="AK2921" s="80">
        <f t="shared" si="458"/>
        <v>0</v>
      </c>
      <c r="AM2921" s="85"/>
    </row>
    <row r="2922" spans="1:39" hidden="1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461"/>
        <v>7158.9500000000007</v>
      </c>
      <c r="X2922" s="6">
        <f t="shared" si="462"/>
        <v>0</v>
      </c>
      <c r="Y2922" s="13">
        <f t="shared" si="456"/>
        <v>0</v>
      </c>
      <c r="Z2922" s="14">
        <v>0</v>
      </c>
      <c r="AA2922" s="6">
        <v>0</v>
      </c>
      <c r="AB2922" s="4">
        <f t="shared" si="457"/>
        <v>0</v>
      </c>
      <c r="AC2922" s="4">
        <f t="shared" si="459"/>
        <v>0</v>
      </c>
      <c r="AD2922" s="6">
        <f t="shared" si="463"/>
        <v>0</v>
      </c>
      <c r="AE2922" s="2">
        <f>VLOOKUP(I2922,[1]媒体政策预估表!A:N,MATCH(O2922,[1]媒体政策预估表!$A$2:$M$2,0),0)</f>
        <v>0.17</v>
      </c>
      <c r="AF2922" s="6">
        <f t="shared" si="460"/>
        <v>0</v>
      </c>
      <c r="AG2922" s="14">
        <v>0</v>
      </c>
      <c r="AH2922" s="64">
        <f t="shared" si="464"/>
        <v>0</v>
      </c>
      <c r="AI2922" s="47"/>
      <c r="AJ2922" s="126" t="e">
        <v>#N/A</v>
      </c>
      <c r="AK2922" s="80">
        <f t="shared" si="458"/>
        <v>0</v>
      </c>
      <c r="AM2922" s="85"/>
    </row>
    <row r="2923" spans="1:39" hidden="1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461"/>
        <v>12223.839999999995</v>
      </c>
      <c r="X2923" s="6">
        <f t="shared" si="462"/>
        <v>7776.1600000000053</v>
      </c>
      <c r="Y2923" s="13">
        <f t="shared" si="456"/>
        <v>0</v>
      </c>
      <c r="Z2923" s="14">
        <v>0</v>
      </c>
      <c r="AA2923" s="6">
        <v>0</v>
      </c>
      <c r="AB2923" s="4">
        <f t="shared" si="457"/>
        <v>7776.1600000000053</v>
      </c>
      <c r="AC2923" s="4">
        <f t="shared" si="459"/>
        <v>0</v>
      </c>
      <c r="AD2923" s="6">
        <f t="shared" si="463"/>
        <v>7776.1600000000053</v>
      </c>
      <c r="AE2923" s="2">
        <f>VLOOKUP(I2923,[1]媒体政策预估表!A:N,MATCH(O2923,[1]媒体政策预估表!$A$2:$M$2,0),0)</f>
        <v>0.17</v>
      </c>
      <c r="AF2923" s="6">
        <f t="shared" si="460"/>
        <v>1321.947200000001</v>
      </c>
      <c r="AG2923" s="14">
        <v>0</v>
      </c>
      <c r="AH2923" s="64">
        <f t="shared" si="464"/>
        <v>7776.1600000000053</v>
      </c>
      <c r="AI2923" s="47"/>
      <c r="AJ2923" s="126" t="e">
        <v>#N/A</v>
      </c>
      <c r="AK2923" s="80">
        <f t="shared" si="458"/>
        <v>0</v>
      </c>
      <c r="AM2923" s="85"/>
    </row>
    <row r="2924" spans="1:39" hidden="1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461"/>
        <v>3382.5400000000009</v>
      </c>
      <c r="X2924" s="6">
        <f t="shared" si="462"/>
        <v>5070.57</v>
      </c>
      <c r="Y2924" s="13">
        <f t="shared" si="456"/>
        <v>0</v>
      </c>
      <c r="Z2924" s="14">
        <v>0</v>
      </c>
      <c r="AA2924" s="6">
        <v>0</v>
      </c>
      <c r="AB2924" s="4">
        <f t="shared" si="457"/>
        <v>5070.57</v>
      </c>
      <c r="AC2924" s="4">
        <f t="shared" si="459"/>
        <v>0</v>
      </c>
      <c r="AD2924" s="6">
        <f t="shared" si="463"/>
        <v>5070.57</v>
      </c>
      <c r="AE2924" s="2">
        <f>VLOOKUP(I2924,[1]媒体政策预估表!A:N,MATCH(O2924,[1]媒体政策预估表!$A$2:$M$2,0),0)</f>
        <v>0.17</v>
      </c>
      <c r="AF2924" s="6">
        <f t="shared" si="460"/>
        <v>861.99689999999998</v>
      </c>
      <c r="AG2924" s="14">
        <v>0</v>
      </c>
      <c r="AH2924" s="64">
        <f t="shared" si="464"/>
        <v>5070.57</v>
      </c>
      <c r="AI2924" s="47"/>
      <c r="AJ2924" s="126" t="e">
        <v>#N/A</v>
      </c>
      <c r="AK2924" s="80">
        <f t="shared" si="458"/>
        <v>0</v>
      </c>
      <c r="AM2924" s="85"/>
    </row>
    <row r="2925" spans="1:39" hidden="1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461"/>
        <v>22106.110000000015</v>
      </c>
      <c r="X2925" s="6">
        <f t="shared" si="462"/>
        <v>5498.65</v>
      </c>
      <c r="Y2925" s="13">
        <f t="shared" si="456"/>
        <v>0</v>
      </c>
      <c r="Z2925" s="14">
        <v>0</v>
      </c>
      <c r="AA2925" s="6">
        <v>0</v>
      </c>
      <c r="AB2925" s="4">
        <f t="shared" si="457"/>
        <v>5498.65</v>
      </c>
      <c r="AC2925" s="4">
        <f t="shared" si="459"/>
        <v>0</v>
      </c>
      <c r="AD2925" s="6">
        <f t="shared" si="463"/>
        <v>5498.65</v>
      </c>
      <c r="AE2925" s="2">
        <f>VLOOKUP(I2925,[1]媒体政策预估表!A:N,MATCH(O2925,[1]媒体政策预估表!$A$2:$M$2,0),0)</f>
        <v>0.17</v>
      </c>
      <c r="AF2925" s="6">
        <f t="shared" si="460"/>
        <v>934.77049999999997</v>
      </c>
      <c r="AG2925" s="14">
        <v>0</v>
      </c>
      <c r="AH2925" s="64">
        <f t="shared" si="464"/>
        <v>5498.65</v>
      </c>
      <c r="AI2925" s="47"/>
      <c r="AJ2925" s="126" t="e">
        <v>#N/A</v>
      </c>
      <c r="AK2925" s="80">
        <f t="shared" si="458"/>
        <v>0</v>
      </c>
      <c r="AM2925" s="85"/>
    </row>
    <row r="2926" spans="1:39" hidden="1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461"/>
        <v>14996.689999999995</v>
      </c>
      <c r="X2926" s="6">
        <f t="shared" si="462"/>
        <v>16827.21</v>
      </c>
      <c r="Y2926" s="13">
        <f t="shared" si="456"/>
        <v>0</v>
      </c>
      <c r="Z2926" s="14">
        <v>0</v>
      </c>
      <c r="AA2926" s="6">
        <v>0</v>
      </c>
      <c r="AB2926" s="4">
        <f t="shared" si="457"/>
        <v>16827.21</v>
      </c>
      <c r="AC2926" s="4">
        <f t="shared" si="459"/>
        <v>0</v>
      </c>
      <c r="AD2926" s="6">
        <f t="shared" si="463"/>
        <v>16827.21</v>
      </c>
      <c r="AE2926" s="2">
        <f>VLOOKUP(I2926,[1]媒体政策预估表!A:N,MATCH(O2926,[1]媒体政策预估表!$A$2:$M$2,0),0)</f>
        <v>0.17</v>
      </c>
      <c r="AF2926" s="6">
        <f t="shared" si="460"/>
        <v>2860.6257000000001</v>
      </c>
      <c r="AG2926" s="14">
        <v>0</v>
      </c>
      <c r="AH2926" s="64">
        <f t="shared" si="464"/>
        <v>16827.21</v>
      </c>
      <c r="AI2926" s="47"/>
      <c r="AJ2926" s="126" t="e">
        <v>#N/A</v>
      </c>
      <c r="AK2926" s="80">
        <f t="shared" si="458"/>
        <v>0</v>
      </c>
      <c r="AM2926" s="85"/>
    </row>
    <row r="2927" spans="1:39" hidden="1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461"/>
        <v>35663.439999999995</v>
      </c>
      <c r="X2927" s="6">
        <f t="shared" si="462"/>
        <v>0</v>
      </c>
      <c r="Y2927" s="13">
        <f t="shared" si="456"/>
        <v>0</v>
      </c>
      <c r="Z2927" s="14">
        <v>0</v>
      </c>
      <c r="AA2927" s="6">
        <v>0</v>
      </c>
      <c r="AB2927" s="4">
        <f t="shared" si="457"/>
        <v>0</v>
      </c>
      <c r="AC2927" s="4">
        <f t="shared" si="459"/>
        <v>0</v>
      </c>
      <c r="AD2927" s="6">
        <f t="shared" si="463"/>
        <v>0</v>
      </c>
      <c r="AE2927" s="2">
        <f>VLOOKUP(I2927,[1]媒体政策预估表!A:N,MATCH(O2927,[1]媒体政策预估表!$A$2:$M$2,0),0)</f>
        <v>0.17</v>
      </c>
      <c r="AF2927" s="6">
        <f t="shared" si="460"/>
        <v>0</v>
      </c>
      <c r="AG2927" s="14">
        <v>0</v>
      </c>
      <c r="AH2927" s="64">
        <f t="shared" si="464"/>
        <v>0</v>
      </c>
      <c r="AI2927" s="47"/>
      <c r="AJ2927" s="126" t="e">
        <v>#N/A</v>
      </c>
      <c r="AK2927" s="80">
        <f t="shared" si="458"/>
        <v>0</v>
      </c>
      <c r="AM2927" s="85"/>
    </row>
    <row r="2928" spans="1:39" hidden="1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461"/>
        <v>0</v>
      </c>
      <c r="X2928" s="6">
        <f t="shared" si="462"/>
        <v>55436.915887850359</v>
      </c>
      <c r="Y2928" s="13">
        <f t="shared" si="456"/>
        <v>0</v>
      </c>
      <c r="Z2928" s="14">
        <v>0</v>
      </c>
      <c r="AA2928" s="6">
        <v>0</v>
      </c>
      <c r="AB2928" s="4">
        <f t="shared" si="457"/>
        <v>55436.915887850359</v>
      </c>
      <c r="AC2928" s="4">
        <f t="shared" si="459"/>
        <v>3880.584112149525</v>
      </c>
      <c r="AD2928" s="6">
        <f t="shared" si="463"/>
        <v>59317.499999999884</v>
      </c>
      <c r="AE2928" s="2">
        <f>VLOOKUP(I2928,[1]媒体政策预估表!A:N,MATCH(O2928,[1]媒体政策预估表!$A$2:$M$2,0),0)</f>
        <v>0.17</v>
      </c>
      <c r="AF2928" s="6">
        <f t="shared" si="460"/>
        <v>10083.97499999998</v>
      </c>
      <c r="AG2928" s="14">
        <v>0</v>
      </c>
      <c r="AH2928" s="64">
        <f t="shared" si="464"/>
        <v>59317.499999999884</v>
      </c>
      <c r="AI2928" s="47"/>
      <c r="AJ2928" s="126" t="e">
        <v>#N/A</v>
      </c>
      <c r="AK2928" s="80">
        <f t="shared" si="458"/>
        <v>0</v>
      </c>
      <c r="AM2928" s="85"/>
    </row>
    <row r="2929" spans="1:39" hidden="1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461"/>
        <v>2001.6499999999996</v>
      </c>
      <c r="X2929" s="6">
        <f t="shared" si="462"/>
        <v>3541.2</v>
      </c>
      <c r="Y2929" s="13">
        <f t="shared" si="456"/>
        <v>0</v>
      </c>
      <c r="Z2929" s="14">
        <v>0</v>
      </c>
      <c r="AA2929" s="6">
        <v>0</v>
      </c>
      <c r="AB2929" s="4">
        <f t="shared" si="457"/>
        <v>3541.2</v>
      </c>
      <c r="AC2929" s="4">
        <f t="shared" si="459"/>
        <v>0</v>
      </c>
      <c r="AD2929" s="6">
        <f t="shared" si="463"/>
        <v>3541.2</v>
      </c>
      <c r="AE2929" s="2">
        <f>VLOOKUP(I2929,[1]媒体政策预估表!A:N,MATCH(O2929,[1]媒体政策预估表!$A$2:$M$2,0),0)</f>
        <v>0.17</v>
      </c>
      <c r="AF2929" s="6">
        <f t="shared" si="460"/>
        <v>602.00400000000002</v>
      </c>
      <c r="AG2929" s="14">
        <v>0</v>
      </c>
      <c r="AH2929" s="64">
        <f t="shared" si="464"/>
        <v>3541.2</v>
      </c>
      <c r="AI2929" s="47"/>
      <c r="AJ2929" s="126" t="e">
        <v>#N/A</v>
      </c>
      <c r="AK2929" s="80">
        <f t="shared" si="458"/>
        <v>0</v>
      </c>
      <c r="AM2929" s="85"/>
    </row>
    <row r="2930" spans="1:39" hidden="1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461"/>
        <v>4404.21</v>
      </c>
      <c r="X2930" s="6">
        <f t="shared" si="462"/>
        <v>1160.1400000000001</v>
      </c>
      <c r="Y2930" s="13">
        <f t="shared" si="456"/>
        <v>0</v>
      </c>
      <c r="Z2930" s="14">
        <v>0</v>
      </c>
      <c r="AA2930" s="6">
        <v>0</v>
      </c>
      <c r="AB2930" s="4">
        <f t="shared" si="457"/>
        <v>1160.1400000000001</v>
      </c>
      <c r="AC2930" s="4">
        <f t="shared" si="459"/>
        <v>0</v>
      </c>
      <c r="AD2930" s="6">
        <f t="shared" si="463"/>
        <v>1160.1400000000001</v>
      </c>
      <c r="AE2930" s="2">
        <f>VLOOKUP(I2930,[1]媒体政策预估表!A:N,MATCH(O2930,[1]媒体政策预估表!$A$2:$M$2,0),0)</f>
        <v>0.17</v>
      </c>
      <c r="AF2930" s="6">
        <f t="shared" si="460"/>
        <v>197.22380000000004</v>
      </c>
      <c r="AG2930" s="14">
        <v>0</v>
      </c>
      <c r="AH2930" s="64">
        <f t="shared" si="464"/>
        <v>1160.1400000000001</v>
      </c>
      <c r="AI2930" s="47"/>
      <c r="AJ2930" s="126" t="e">
        <v>#N/A</v>
      </c>
      <c r="AK2930" s="80">
        <f t="shared" si="458"/>
        <v>0</v>
      </c>
      <c r="AM2930" s="85"/>
    </row>
    <row r="2931" spans="1:39" hidden="1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461"/>
        <v>137.5</v>
      </c>
      <c r="X2931" s="6">
        <f t="shared" si="462"/>
        <v>15636.900000000001</v>
      </c>
      <c r="Y2931" s="13">
        <f t="shared" si="456"/>
        <v>0</v>
      </c>
      <c r="Z2931" s="14">
        <v>0</v>
      </c>
      <c r="AA2931" s="6">
        <v>0</v>
      </c>
      <c r="AB2931" s="4">
        <f t="shared" si="457"/>
        <v>15636.900000000001</v>
      </c>
      <c r="AC2931" s="4">
        <f t="shared" si="459"/>
        <v>0</v>
      </c>
      <c r="AD2931" s="6">
        <f t="shared" si="463"/>
        <v>15636.900000000001</v>
      </c>
      <c r="AE2931" s="2">
        <f>VLOOKUP(I2931,[1]媒体政策预估表!A:N,MATCH(O2931,[1]媒体政策预估表!$A$2:$M$2,0),0)</f>
        <v>0.17</v>
      </c>
      <c r="AF2931" s="6">
        <f t="shared" si="460"/>
        <v>2658.2730000000006</v>
      </c>
      <c r="AG2931" s="14">
        <v>0</v>
      </c>
      <c r="AH2931" s="64">
        <f t="shared" si="464"/>
        <v>15636.900000000001</v>
      </c>
      <c r="AI2931" s="47"/>
      <c r="AJ2931" s="126" t="e">
        <v>#N/A</v>
      </c>
      <c r="AK2931" s="80">
        <f t="shared" si="458"/>
        <v>0</v>
      </c>
      <c r="AM2931" s="85"/>
    </row>
    <row r="2932" spans="1:39" hidden="1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461"/>
        <v>55587.57</v>
      </c>
      <c r="X2932" s="6">
        <f t="shared" si="462"/>
        <v>24496.15</v>
      </c>
      <c r="Y2932" s="13">
        <f t="shared" si="456"/>
        <v>0</v>
      </c>
      <c r="Z2932" s="14">
        <v>0</v>
      </c>
      <c r="AA2932" s="6">
        <v>0</v>
      </c>
      <c r="AB2932" s="4">
        <f t="shared" si="457"/>
        <v>24496.15</v>
      </c>
      <c r="AC2932" s="4">
        <f t="shared" si="459"/>
        <v>0</v>
      </c>
      <c r="AD2932" s="6">
        <f t="shared" si="463"/>
        <v>24496.15</v>
      </c>
      <c r="AE2932" s="2">
        <f>VLOOKUP(I2932,[1]媒体政策预估表!A:N,MATCH(O2932,[1]媒体政策预估表!$A$2:$M$2,0),0)</f>
        <v>0.17</v>
      </c>
      <c r="AF2932" s="6">
        <f t="shared" si="460"/>
        <v>4164.3455000000004</v>
      </c>
      <c r="AG2932" s="14">
        <v>0</v>
      </c>
      <c r="AH2932" s="64">
        <f t="shared" si="464"/>
        <v>24496.15</v>
      </c>
      <c r="AI2932" s="47"/>
      <c r="AJ2932" s="126" t="e">
        <v>#N/A</v>
      </c>
      <c r="AK2932" s="80">
        <f t="shared" si="458"/>
        <v>0</v>
      </c>
      <c r="AM2932" s="85"/>
    </row>
    <row r="2933" spans="1:39" hidden="1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461"/>
        <v>25105.22</v>
      </c>
      <c r="X2933" s="6">
        <f t="shared" si="462"/>
        <v>0</v>
      </c>
      <c r="Y2933" s="13">
        <f t="shared" si="456"/>
        <v>0</v>
      </c>
      <c r="Z2933" s="14">
        <v>0</v>
      </c>
      <c r="AA2933" s="6">
        <v>0</v>
      </c>
      <c r="AB2933" s="4">
        <f t="shared" si="457"/>
        <v>0</v>
      </c>
      <c r="AC2933" s="4">
        <f t="shared" si="459"/>
        <v>0</v>
      </c>
      <c r="AD2933" s="6">
        <f t="shared" si="463"/>
        <v>0</v>
      </c>
      <c r="AE2933" s="2">
        <f>VLOOKUP(I2933,[1]媒体政策预估表!A:N,MATCH(O2933,[1]媒体政策预估表!$A$2:$M$2,0),0)</f>
        <v>0.17</v>
      </c>
      <c r="AF2933" s="6">
        <f t="shared" si="460"/>
        <v>0</v>
      </c>
      <c r="AG2933" s="14">
        <v>0</v>
      </c>
      <c r="AH2933" s="64">
        <f t="shared" si="464"/>
        <v>0</v>
      </c>
      <c r="AI2933" s="47"/>
      <c r="AJ2933" s="126" t="e">
        <v>#N/A</v>
      </c>
      <c r="AK2933" s="80">
        <f t="shared" si="458"/>
        <v>0</v>
      </c>
      <c r="AM2933" s="85"/>
    </row>
    <row r="2934" spans="1:39" hidden="1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461"/>
        <v>28853.400000000009</v>
      </c>
      <c r="X2934" s="6">
        <f t="shared" si="462"/>
        <v>0</v>
      </c>
      <c r="Y2934" s="13">
        <f t="shared" si="456"/>
        <v>0</v>
      </c>
      <c r="Z2934" s="14">
        <v>0</v>
      </c>
      <c r="AA2934" s="6">
        <v>0</v>
      </c>
      <c r="AB2934" s="4">
        <f t="shared" si="457"/>
        <v>0</v>
      </c>
      <c r="AC2934" s="4">
        <f t="shared" si="459"/>
        <v>0</v>
      </c>
      <c r="AD2934" s="6">
        <f t="shared" si="463"/>
        <v>0</v>
      </c>
      <c r="AE2934" s="2">
        <f>VLOOKUP(I2934,[1]媒体政策预估表!A:N,MATCH(O2934,[1]媒体政策预估表!$A$2:$M$2,0),0)</f>
        <v>0.17</v>
      </c>
      <c r="AF2934" s="6">
        <f t="shared" si="460"/>
        <v>0</v>
      </c>
      <c r="AG2934" s="14">
        <v>0</v>
      </c>
      <c r="AH2934" s="64">
        <f t="shared" si="464"/>
        <v>0</v>
      </c>
      <c r="AI2934" s="47"/>
      <c r="AJ2934" s="126" t="e">
        <v>#N/A</v>
      </c>
      <c r="AK2934" s="80">
        <f t="shared" si="458"/>
        <v>0</v>
      </c>
      <c r="AM2934" s="85"/>
    </row>
    <row r="2935" spans="1:39" hidden="1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461"/>
        <v>0</v>
      </c>
      <c r="X2935" s="6">
        <f t="shared" si="462"/>
        <v>4078.1372549019675</v>
      </c>
      <c r="Y2935" s="13">
        <f t="shared" si="456"/>
        <v>0</v>
      </c>
      <c r="Z2935" s="14">
        <v>0</v>
      </c>
      <c r="AA2935" s="6">
        <v>0</v>
      </c>
      <c r="AB2935" s="4">
        <f t="shared" si="457"/>
        <v>4078.1372549019675</v>
      </c>
      <c r="AC2935" s="4">
        <f t="shared" si="459"/>
        <v>81.562745098039613</v>
      </c>
      <c r="AD2935" s="6">
        <f t="shared" si="463"/>
        <v>4159.7000000000071</v>
      </c>
      <c r="AE2935" s="2">
        <f>VLOOKUP(I2935,[1]媒体政策预估表!A:N,MATCH(O2935,[1]媒体政策预估表!$A$2:$M$2,0),0)</f>
        <v>0.17</v>
      </c>
      <c r="AF2935" s="6">
        <f t="shared" si="460"/>
        <v>707.14900000000125</v>
      </c>
      <c r="AG2935" s="14">
        <v>0</v>
      </c>
      <c r="AH2935" s="64">
        <f t="shared" si="464"/>
        <v>4159.7000000000071</v>
      </c>
      <c r="AI2935" s="47"/>
      <c r="AJ2935" s="126" t="e">
        <v>#N/A</v>
      </c>
      <c r="AK2935" s="80">
        <f t="shared" si="458"/>
        <v>0</v>
      </c>
      <c r="AM2935" s="85"/>
    </row>
    <row r="2936" spans="1:39" hidden="1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461"/>
        <v>3631.6000000000004</v>
      </c>
      <c r="X2936" s="6">
        <f t="shared" si="462"/>
        <v>637</v>
      </c>
      <c r="Y2936" s="13">
        <f t="shared" si="456"/>
        <v>0</v>
      </c>
      <c r="Z2936" s="14">
        <v>0</v>
      </c>
      <c r="AA2936" s="6">
        <v>0</v>
      </c>
      <c r="AB2936" s="4">
        <f t="shared" si="457"/>
        <v>637</v>
      </c>
      <c r="AC2936" s="4">
        <f t="shared" si="459"/>
        <v>0</v>
      </c>
      <c r="AD2936" s="6">
        <f t="shared" si="463"/>
        <v>637</v>
      </c>
      <c r="AE2936" s="2">
        <f>VLOOKUP(I2936,[1]媒体政策预估表!A:N,MATCH(O2936,[1]媒体政策预估表!$A$2:$M$2,0),0)</f>
        <v>0.17</v>
      </c>
      <c r="AF2936" s="6">
        <f t="shared" si="460"/>
        <v>108.29</v>
      </c>
      <c r="AG2936" s="14">
        <v>0</v>
      </c>
      <c r="AH2936" s="64">
        <f t="shared" si="464"/>
        <v>637</v>
      </c>
      <c r="AI2936" s="47"/>
      <c r="AJ2936" s="126" t="e">
        <v>#N/A</v>
      </c>
      <c r="AK2936" s="80">
        <f t="shared" si="458"/>
        <v>0</v>
      </c>
      <c r="AM2936" s="85"/>
    </row>
    <row r="2937" spans="1:39" hidden="1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461"/>
        <v>15692.499999999978</v>
      </c>
      <c r="X2937" s="6">
        <f t="shared" si="462"/>
        <v>4661.7647058823532</v>
      </c>
      <c r="Y2937" s="13">
        <f t="shared" si="456"/>
        <v>0</v>
      </c>
      <c r="Z2937" s="14">
        <v>0</v>
      </c>
      <c r="AA2937" s="6">
        <v>0</v>
      </c>
      <c r="AB2937" s="4">
        <f t="shared" si="457"/>
        <v>4661.7647058823532</v>
      </c>
      <c r="AC2937" s="4">
        <f t="shared" si="459"/>
        <v>93.235294117646845</v>
      </c>
      <c r="AD2937" s="6">
        <f t="shared" si="463"/>
        <v>4755</v>
      </c>
      <c r="AE2937" s="2">
        <f>VLOOKUP(I2937,[1]媒体政策预估表!A:N,MATCH(O2937,[1]媒体政策预估表!$A$2:$M$2,0),0)</f>
        <v>0.17</v>
      </c>
      <c r="AF2937" s="6">
        <f t="shared" si="460"/>
        <v>808.35</v>
      </c>
      <c r="AG2937" s="14">
        <v>0</v>
      </c>
      <c r="AH2937" s="64">
        <f t="shared" si="464"/>
        <v>4755</v>
      </c>
      <c r="AI2937" s="47"/>
      <c r="AJ2937" s="126" t="e">
        <v>#N/A</v>
      </c>
      <c r="AK2937" s="80">
        <f t="shared" si="458"/>
        <v>0</v>
      </c>
      <c r="AM2937" s="85"/>
    </row>
    <row r="2938" spans="1:39" hidden="1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461"/>
        <v>14953.259999999998</v>
      </c>
      <c r="X2938" s="6">
        <f t="shared" si="462"/>
        <v>2812</v>
      </c>
      <c r="Y2938" s="13">
        <f t="shared" si="456"/>
        <v>0</v>
      </c>
      <c r="Z2938" s="14">
        <v>0</v>
      </c>
      <c r="AA2938" s="6">
        <v>0</v>
      </c>
      <c r="AB2938" s="4">
        <f t="shared" si="457"/>
        <v>2812</v>
      </c>
      <c r="AC2938" s="4">
        <f t="shared" si="459"/>
        <v>0</v>
      </c>
      <c r="AD2938" s="6">
        <f t="shared" si="463"/>
        <v>2812</v>
      </c>
      <c r="AE2938" s="2">
        <f>VLOOKUP(I2938,[1]媒体政策预估表!A:N,MATCH(O2938,[1]媒体政策预估表!$A$2:$M$2,0),0)</f>
        <v>0.17</v>
      </c>
      <c r="AF2938" s="6">
        <f t="shared" si="460"/>
        <v>478.04</v>
      </c>
      <c r="AG2938" s="14">
        <v>0</v>
      </c>
      <c r="AH2938" s="64">
        <f t="shared" si="464"/>
        <v>2812</v>
      </c>
      <c r="AI2938" s="47"/>
      <c r="AJ2938" s="126" t="e">
        <v>#N/A</v>
      </c>
      <c r="AK2938" s="80">
        <f t="shared" si="458"/>
        <v>0</v>
      </c>
      <c r="AM2938" s="85"/>
    </row>
    <row r="2939" spans="1:39" hidden="1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461"/>
        <v>2114.3999999999996</v>
      </c>
      <c r="X2939" s="6">
        <f t="shared" si="462"/>
        <v>505.04854368932041</v>
      </c>
      <c r="Y2939" s="13">
        <f t="shared" si="456"/>
        <v>0</v>
      </c>
      <c r="Z2939" s="14">
        <v>0</v>
      </c>
      <c r="AA2939" s="6">
        <v>0</v>
      </c>
      <c r="AB2939" s="4">
        <f t="shared" si="457"/>
        <v>505.04854368932041</v>
      </c>
      <c r="AC2939" s="4">
        <f t="shared" si="459"/>
        <v>15.151456310679634</v>
      </c>
      <c r="AD2939" s="6">
        <f t="shared" si="463"/>
        <v>520.20000000000005</v>
      </c>
      <c r="AE2939" s="2">
        <f>VLOOKUP(I2939,[1]媒体政策预估表!A:N,MATCH(O2939,[1]媒体政策预估表!$A$2:$M$2,0),0)</f>
        <v>0.17</v>
      </c>
      <c r="AF2939" s="6">
        <f t="shared" si="460"/>
        <v>88.434000000000012</v>
      </c>
      <c r="AG2939" s="14">
        <v>0</v>
      </c>
      <c r="AH2939" s="64">
        <f t="shared" si="464"/>
        <v>520.20000000000005</v>
      </c>
      <c r="AI2939" s="47"/>
      <c r="AJ2939" s="126" t="e">
        <v>#N/A</v>
      </c>
      <c r="AK2939" s="80">
        <f t="shared" si="458"/>
        <v>0</v>
      </c>
      <c r="AM2939" s="85"/>
    </row>
    <row r="2940" spans="1:39" hidden="1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461"/>
        <v>0</v>
      </c>
      <c r="X2940" s="6">
        <f t="shared" si="462"/>
        <v>6933.4607843137264</v>
      </c>
      <c r="Y2940" s="13">
        <f t="shared" si="456"/>
        <v>0</v>
      </c>
      <c r="Z2940" s="14">
        <v>0</v>
      </c>
      <c r="AA2940" s="6">
        <v>0</v>
      </c>
      <c r="AB2940" s="4">
        <f t="shared" si="457"/>
        <v>6933.4607843137264</v>
      </c>
      <c r="AC2940" s="4">
        <f t="shared" si="459"/>
        <v>138.66921568627458</v>
      </c>
      <c r="AD2940" s="6">
        <f t="shared" si="463"/>
        <v>7072.130000000001</v>
      </c>
      <c r="AE2940" s="2">
        <f>VLOOKUP(I2940,[1]媒体政策预估表!A:N,MATCH(O2940,[1]媒体政策预估表!$A$2:$M$2,0),0)</f>
        <v>0.17</v>
      </c>
      <c r="AF2940" s="6">
        <f t="shared" si="460"/>
        <v>1202.2621000000004</v>
      </c>
      <c r="AG2940" s="14">
        <v>0</v>
      </c>
      <c r="AH2940" s="64">
        <f t="shared" si="464"/>
        <v>7072.130000000001</v>
      </c>
      <c r="AI2940" s="47"/>
      <c r="AJ2940" s="126" t="e">
        <v>#N/A</v>
      </c>
      <c r="AK2940" s="80">
        <f t="shared" si="458"/>
        <v>0</v>
      </c>
      <c r="AM2940" s="85"/>
    </row>
    <row r="2941" spans="1:39" hidden="1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461"/>
        <v>3787.7999999999993</v>
      </c>
      <c r="X2941" s="6">
        <f t="shared" si="462"/>
        <v>0</v>
      </c>
      <c r="Y2941" s="13">
        <f t="shared" si="456"/>
        <v>0</v>
      </c>
      <c r="Z2941" s="14">
        <v>0</v>
      </c>
      <c r="AA2941" s="6">
        <v>0</v>
      </c>
      <c r="AB2941" s="4">
        <f t="shared" si="457"/>
        <v>0</v>
      </c>
      <c r="AC2941" s="4">
        <f t="shared" si="459"/>
        <v>0</v>
      </c>
      <c r="AD2941" s="6">
        <f t="shared" si="463"/>
        <v>0</v>
      </c>
      <c r="AE2941" s="2">
        <f>VLOOKUP(I2941,[1]媒体政策预估表!A:N,MATCH(O2941,[1]媒体政策预估表!$A$2:$M$2,0),0)</f>
        <v>0.17</v>
      </c>
      <c r="AF2941" s="6">
        <f t="shared" si="460"/>
        <v>0</v>
      </c>
      <c r="AG2941" s="14">
        <v>0</v>
      </c>
      <c r="AH2941" s="64">
        <f t="shared" si="464"/>
        <v>0</v>
      </c>
      <c r="AI2941" s="47"/>
      <c r="AJ2941" s="126" t="e">
        <v>#N/A</v>
      </c>
      <c r="AK2941" s="80">
        <f t="shared" si="458"/>
        <v>0</v>
      </c>
      <c r="AM2941" s="85"/>
    </row>
    <row r="2942" spans="1:39" hidden="1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461"/>
        <v>4927.25</v>
      </c>
      <c r="X2942" s="6">
        <f t="shared" si="462"/>
        <v>0</v>
      </c>
      <c r="Y2942" s="13">
        <f t="shared" si="456"/>
        <v>0</v>
      </c>
      <c r="Z2942" s="14">
        <v>0</v>
      </c>
      <c r="AA2942" s="6">
        <v>0</v>
      </c>
      <c r="AB2942" s="4">
        <f t="shared" si="457"/>
        <v>0</v>
      </c>
      <c r="AC2942" s="4">
        <f t="shared" si="459"/>
        <v>0</v>
      </c>
      <c r="AD2942" s="6">
        <f t="shared" si="463"/>
        <v>0</v>
      </c>
      <c r="AE2942" s="2">
        <f>VLOOKUP(I2942,[1]媒体政策预估表!A:N,MATCH(O2942,[1]媒体政策预估表!$A$2:$M$2,0),0)</f>
        <v>0.17</v>
      </c>
      <c r="AF2942" s="6">
        <f t="shared" si="460"/>
        <v>0</v>
      </c>
      <c r="AG2942" s="14">
        <v>0</v>
      </c>
      <c r="AH2942" s="64">
        <f t="shared" si="464"/>
        <v>0</v>
      </c>
      <c r="AI2942" s="47"/>
      <c r="AJ2942" s="126" t="e">
        <v>#N/A</v>
      </c>
      <c r="AK2942" s="80">
        <f t="shared" si="458"/>
        <v>0</v>
      </c>
      <c r="AM2942" s="85"/>
    </row>
    <row r="2943" spans="1:39" hidden="1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461"/>
        <v>0</v>
      </c>
      <c r="X2943" s="6">
        <f t="shared" si="462"/>
        <v>2666.1176470588184</v>
      </c>
      <c r="Y2943" s="13">
        <f t="shared" si="456"/>
        <v>0</v>
      </c>
      <c r="Z2943" s="14">
        <v>0</v>
      </c>
      <c r="AA2943" s="6">
        <v>0</v>
      </c>
      <c r="AB2943" s="4">
        <f t="shared" si="457"/>
        <v>2666.1176470588184</v>
      </c>
      <c r="AC2943" s="4">
        <f t="shared" si="459"/>
        <v>53.322352941176632</v>
      </c>
      <c r="AD2943" s="6">
        <f t="shared" si="463"/>
        <v>2719.4399999999951</v>
      </c>
      <c r="AE2943" s="2">
        <f>VLOOKUP(I2943,[1]媒体政策预估表!A:N,MATCH(O2943,[1]媒体政策预估表!$A$2:$M$2,0),0)</f>
        <v>0.17</v>
      </c>
      <c r="AF2943" s="6">
        <f t="shared" si="460"/>
        <v>462.3047999999992</v>
      </c>
      <c r="AG2943" s="14">
        <v>0</v>
      </c>
      <c r="AH2943" s="64">
        <f t="shared" si="464"/>
        <v>2719.4399999999951</v>
      </c>
      <c r="AI2943" s="47"/>
      <c r="AJ2943" s="126" t="e">
        <v>#N/A</v>
      </c>
      <c r="AK2943" s="80">
        <f t="shared" si="458"/>
        <v>0</v>
      </c>
      <c r="AM2943" s="85"/>
    </row>
    <row r="2944" spans="1:39" hidden="1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461"/>
        <v>0</v>
      </c>
      <c r="X2944" s="6">
        <f t="shared" si="462"/>
        <v>18163.194174757307</v>
      </c>
      <c r="Y2944" s="13">
        <f t="shared" si="456"/>
        <v>0</v>
      </c>
      <c r="Z2944" s="14">
        <v>0</v>
      </c>
      <c r="AA2944" s="6">
        <v>0</v>
      </c>
      <c r="AB2944" s="4">
        <f t="shared" si="457"/>
        <v>18163.194174757307</v>
      </c>
      <c r="AC2944" s="4">
        <f t="shared" si="459"/>
        <v>544.89582524271827</v>
      </c>
      <c r="AD2944" s="6">
        <f t="shared" si="463"/>
        <v>18708.090000000026</v>
      </c>
      <c r="AE2944" s="2">
        <f>VLOOKUP(I2944,[1]媒体政策预估表!A:N,MATCH(O2944,[1]媒体政策预估表!$A$2:$M$2,0),0)</f>
        <v>0.17</v>
      </c>
      <c r="AF2944" s="6">
        <f t="shared" si="460"/>
        <v>3180.3753000000047</v>
      </c>
      <c r="AG2944" s="14">
        <v>0</v>
      </c>
      <c r="AH2944" s="64">
        <f t="shared" si="464"/>
        <v>18708.090000000026</v>
      </c>
      <c r="AI2944" s="47"/>
      <c r="AJ2944" s="126" t="e">
        <v>#N/A</v>
      </c>
      <c r="AK2944" s="80">
        <f t="shared" si="458"/>
        <v>0</v>
      </c>
      <c r="AM2944" s="85"/>
    </row>
    <row r="2945" spans="1:39" hidden="1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461"/>
        <v>245467.15</v>
      </c>
      <c r="X2945" s="6">
        <f t="shared" si="462"/>
        <v>27872.579999999998</v>
      </c>
      <c r="Y2945" s="13">
        <f t="shared" si="456"/>
        <v>0</v>
      </c>
      <c r="Z2945" s="14">
        <v>0</v>
      </c>
      <c r="AA2945" s="6">
        <v>0</v>
      </c>
      <c r="AB2945" s="4">
        <f t="shared" si="457"/>
        <v>27872.579999999998</v>
      </c>
      <c r="AC2945" s="4">
        <f t="shared" si="459"/>
        <v>0</v>
      </c>
      <c r="AD2945" s="6">
        <f t="shared" si="463"/>
        <v>27872.579999999998</v>
      </c>
      <c r="AE2945" s="2">
        <f>VLOOKUP(I2945,[1]媒体政策预估表!A:N,MATCH(O2945,[1]媒体政策预估表!$A$2:$M$2,0),0)</f>
        <v>0.17</v>
      </c>
      <c r="AF2945" s="6">
        <f t="shared" si="460"/>
        <v>4738.3386</v>
      </c>
      <c r="AG2945" s="14">
        <v>0</v>
      </c>
      <c r="AH2945" s="64">
        <f t="shared" si="464"/>
        <v>27872.579999999998</v>
      </c>
      <c r="AI2945" s="47"/>
      <c r="AJ2945" s="126" t="e">
        <v>#N/A</v>
      </c>
      <c r="AK2945" s="80">
        <f t="shared" si="458"/>
        <v>0</v>
      </c>
      <c r="AM2945" s="85"/>
    </row>
    <row r="2946" spans="1:39" hidden="1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461"/>
        <v>7764.1100000000024</v>
      </c>
      <c r="X2946" s="6">
        <f t="shared" si="462"/>
        <v>0</v>
      </c>
      <c r="Y2946" s="13">
        <f t="shared" si="456"/>
        <v>0</v>
      </c>
      <c r="Z2946" s="14">
        <v>0</v>
      </c>
      <c r="AA2946" s="6">
        <v>0</v>
      </c>
      <c r="AB2946" s="4">
        <f t="shared" si="457"/>
        <v>0</v>
      </c>
      <c r="AC2946" s="4">
        <f t="shared" si="459"/>
        <v>0</v>
      </c>
      <c r="AD2946" s="6">
        <f t="shared" si="463"/>
        <v>0</v>
      </c>
      <c r="AE2946" s="2">
        <f>VLOOKUP(I2946,[1]媒体政策预估表!A:N,MATCH(O2946,[1]媒体政策预估表!$A$2:$M$2,0),0)</f>
        <v>0.17</v>
      </c>
      <c r="AF2946" s="6">
        <f t="shared" si="460"/>
        <v>0</v>
      </c>
      <c r="AG2946" s="14">
        <v>0</v>
      </c>
      <c r="AH2946" s="64">
        <f t="shared" si="464"/>
        <v>0</v>
      </c>
      <c r="AI2946" s="47"/>
      <c r="AJ2946" s="126" t="e">
        <v>#N/A</v>
      </c>
      <c r="AK2946" s="80">
        <f t="shared" si="458"/>
        <v>0</v>
      </c>
      <c r="AM2946" s="85"/>
    </row>
    <row r="2947" spans="1:39" hidden="1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461"/>
        <v>10952</v>
      </c>
      <c r="X2947" s="6">
        <f t="shared" si="462"/>
        <v>3005.8252427184466</v>
      </c>
      <c r="Y2947" s="13">
        <f t="shared" ref="Y2947:Y3010" si="465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466">X2947+AA2947</f>
        <v>3005.8252427184466</v>
      </c>
      <c r="AC2947" s="4">
        <f t="shared" si="459"/>
        <v>90.174757281553411</v>
      </c>
      <c r="AD2947" s="6">
        <f t="shared" si="463"/>
        <v>3096</v>
      </c>
      <c r="AE2947" s="2">
        <f>VLOOKUP(I2947,[1]媒体政策预估表!A:N,MATCH(O2947,[1]媒体政策预估表!$A$2:$M$2,0),0)</f>
        <v>0.17</v>
      </c>
      <c r="AF2947" s="6">
        <f t="shared" si="460"/>
        <v>526.32000000000005</v>
      </c>
      <c r="AG2947" s="14">
        <v>0</v>
      </c>
      <c r="AH2947" s="64">
        <f t="shared" si="464"/>
        <v>3096</v>
      </c>
      <c r="AI2947" s="47"/>
      <c r="AJ2947" s="126" t="e">
        <v>#N/A</v>
      </c>
      <c r="AK2947" s="80">
        <f t="shared" ref="AK2947:AK3010" si="467">X2947+AA2947-AB2947</f>
        <v>0</v>
      </c>
      <c r="AM2947" s="85"/>
    </row>
    <row r="2948" spans="1:39" hidden="1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461"/>
        <v>15646.410000000003</v>
      </c>
      <c r="X2948" s="6">
        <f t="shared" si="462"/>
        <v>2157.2450980392159</v>
      </c>
      <c r="Y2948" s="13">
        <f t="shared" si="465"/>
        <v>0</v>
      </c>
      <c r="Z2948" s="14">
        <v>0</v>
      </c>
      <c r="AA2948" s="6">
        <v>0</v>
      </c>
      <c r="AB2948" s="4">
        <f t="shared" si="466"/>
        <v>2157.2450980392159</v>
      </c>
      <c r="AC2948" s="4">
        <f t="shared" si="459"/>
        <v>43.144901960784409</v>
      </c>
      <c r="AD2948" s="6">
        <f t="shared" si="463"/>
        <v>2200.3900000000003</v>
      </c>
      <c r="AE2948" s="2">
        <f>VLOOKUP(I2948,[1]媒体政策预估表!A:N,MATCH(O2948,[1]媒体政策预估表!$A$2:$M$2,0),0)</f>
        <v>0.17</v>
      </c>
      <c r="AF2948" s="6">
        <f t="shared" si="460"/>
        <v>374.06630000000007</v>
      </c>
      <c r="AG2948" s="14">
        <v>0</v>
      </c>
      <c r="AH2948" s="64">
        <f t="shared" si="464"/>
        <v>2200.3900000000003</v>
      </c>
      <c r="AI2948" s="47"/>
      <c r="AJ2948" s="126" t="e">
        <v>#N/A</v>
      </c>
      <c r="AK2948" s="80">
        <f t="shared" si="467"/>
        <v>0</v>
      </c>
      <c r="AM2948" s="85"/>
    </row>
    <row r="2949" spans="1:39" hidden="1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461"/>
        <v>8486.4300000000057</v>
      </c>
      <c r="X2949" s="6">
        <f t="shared" si="462"/>
        <v>3876.6470588235293</v>
      </c>
      <c r="Y2949" s="13">
        <f t="shared" si="465"/>
        <v>0</v>
      </c>
      <c r="Z2949" s="14">
        <v>0</v>
      </c>
      <c r="AA2949" s="6">
        <v>0</v>
      </c>
      <c r="AB2949" s="4">
        <f t="shared" si="466"/>
        <v>3876.6470588235293</v>
      </c>
      <c r="AC2949" s="4">
        <f t="shared" si="459"/>
        <v>77.532941176470558</v>
      </c>
      <c r="AD2949" s="6">
        <f t="shared" si="463"/>
        <v>3954.18</v>
      </c>
      <c r="AE2949" s="2">
        <f>VLOOKUP(I2949,[1]媒体政策预估表!A:N,MATCH(O2949,[1]媒体政策预估表!$A$2:$M$2,0),0)</f>
        <v>0.17</v>
      </c>
      <c r="AF2949" s="6">
        <f t="shared" si="460"/>
        <v>672.2106</v>
      </c>
      <c r="AG2949" s="14">
        <v>0</v>
      </c>
      <c r="AH2949" s="64">
        <f t="shared" si="464"/>
        <v>3954.18</v>
      </c>
      <c r="AI2949" s="47"/>
      <c r="AJ2949" s="126" t="e">
        <v>#N/A</v>
      </c>
      <c r="AK2949" s="80">
        <f t="shared" si="467"/>
        <v>0</v>
      </c>
      <c r="AM2949" s="85"/>
    </row>
    <row r="2950" spans="1:39" hidden="1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461"/>
        <v>0</v>
      </c>
      <c r="X2950" s="6">
        <f t="shared" si="462"/>
        <v>2701.4117647058824</v>
      </c>
      <c r="Y2950" s="13">
        <f t="shared" si="465"/>
        <v>0</v>
      </c>
      <c r="Z2950" s="14">
        <v>0</v>
      </c>
      <c r="AA2950" s="6">
        <v>0</v>
      </c>
      <c r="AB2950" s="4">
        <f t="shared" si="466"/>
        <v>2701.4117647058824</v>
      </c>
      <c r="AC2950" s="4">
        <f t="shared" si="459"/>
        <v>54.028235294117621</v>
      </c>
      <c r="AD2950" s="6">
        <f t="shared" si="463"/>
        <v>2755.44</v>
      </c>
      <c r="AE2950" s="2">
        <f>VLOOKUP(I2950,[1]媒体政策预估表!A:N,MATCH(O2950,[1]媒体政策预估表!$A$2:$M$2,0),0)</f>
        <v>0.17</v>
      </c>
      <c r="AF2950" s="6">
        <f t="shared" si="460"/>
        <v>468.42480000000006</v>
      </c>
      <c r="AG2950" s="14">
        <v>0</v>
      </c>
      <c r="AH2950" s="64">
        <f t="shared" si="464"/>
        <v>2755.44</v>
      </c>
      <c r="AI2950" s="47"/>
      <c r="AJ2950" s="126" t="e">
        <v>#N/A</v>
      </c>
      <c r="AK2950" s="80">
        <f t="shared" si="467"/>
        <v>0</v>
      </c>
      <c r="AM2950" s="85"/>
    </row>
    <row r="2951" spans="1:39" hidden="1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461"/>
        <v>20400.000000000004</v>
      </c>
      <c r="X2951" s="6">
        <f t="shared" si="462"/>
        <v>0</v>
      </c>
      <c r="Y2951" s="13">
        <f t="shared" si="465"/>
        <v>0</v>
      </c>
      <c r="Z2951" s="14">
        <v>0</v>
      </c>
      <c r="AA2951" s="6">
        <v>0</v>
      </c>
      <c r="AB2951" s="4">
        <f t="shared" si="466"/>
        <v>0</v>
      </c>
      <c r="AC2951" s="4">
        <f t="shared" si="459"/>
        <v>0</v>
      </c>
      <c r="AD2951" s="6">
        <f t="shared" si="463"/>
        <v>0</v>
      </c>
      <c r="AE2951" s="2">
        <f>VLOOKUP(I2951,[1]媒体政策预估表!A:N,MATCH(O2951,[1]媒体政策预估表!$A$2:$M$2,0),0)</f>
        <v>0.17</v>
      </c>
      <c r="AF2951" s="6">
        <f t="shared" si="460"/>
        <v>0</v>
      </c>
      <c r="AG2951" s="14">
        <v>0</v>
      </c>
      <c r="AH2951" s="64">
        <f t="shared" si="464"/>
        <v>0</v>
      </c>
      <c r="AI2951" s="47"/>
      <c r="AJ2951" s="126" t="e">
        <v>#N/A</v>
      </c>
      <c r="AK2951" s="80">
        <f t="shared" si="467"/>
        <v>0</v>
      </c>
      <c r="AM2951" s="85"/>
    </row>
    <row r="2952" spans="1:39" hidden="1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461"/>
        <v>817</v>
      </c>
      <c r="X2952" s="6">
        <f t="shared" si="462"/>
        <v>0</v>
      </c>
      <c r="Y2952" s="13">
        <f t="shared" si="465"/>
        <v>0</v>
      </c>
      <c r="Z2952" s="14">
        <v>0</v>
      </c>
      <c r="AA2952" s="6">
        <v>0</v>
      </c>
      <c r="AB2952" s="4"/>
      <c r="AC2952" s="4">
        <f t="shared" si="459"/>
        <v>0</v>
      </c>
      <c r="AD2952" s="6">
        <f t="shared" si="463"/>
        <v>0</v>
      </c>
      <c r="AE2952" s="2">
        <f>VLOOKUP(I2952,[1]媒体政策预估表!A:N,MATCH(O2952,[1]媒体政策预估表!$A$2:$M$2,0),0)</f>
        <v>0.17</v>
      </c>
      <c r="AF2952" s="6">
        <f t="shared" si="460"/>
        <v>0</v>
      </c>
      <c r="AG2952" s="14">
        <v>0</v>
      </c>
      <c r="AH2952" s="64">
        <f t="shared" si="464"/>
        <v>0</v>
      </c>
      <c r="AI2952" s="47"/>
      <c r="AJ2952" s="126">
        <v>40</v>
      </c>
      <c r="AK2952" s="80">
        <f t="shared" si="467"/>
        <v>0</v>
      </c>
      <c r="AM2952" s="85"/>
    </row>
    <row r="2953" spans="1:39" hidden="1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461"/>
        <v>121.99999999999955</v>
      </c>
      <c r="X2953" s="6">
        <f t="shared" si="462"/>
        <v>2371.3000000000002</v>
      </c>
      <c r="Y2953" s="13">
        <f t="shared" si="465"/>
        <v>0</v>
      </c>
      <c r="Z2953" s="14">
        <v>0</v>
      </c>
      <c r="AA2953" s="6">
        <v>0</v>
      </c>
      <c r="AB2953" s="4">
        <f t="shared" si="466"/>
        <v>2371.3000000000002</v>
      </c>
      <c r="AC2953" s="4">
        <f t="shared" si="459"/>
        <v>0</v>
      </c>
      <c r="AD2953" s="6">
        <f t="shared" si="463"/>
        <v>2371.3000000000002</v>
      </c>
      <c r="AE2953" s="2">
        <f>VLOOKUP(I2953,[1]媒体政策预估表!A:N,MATCH(O2953,[1]媒体政策预估表!$A$2:$M$2,0),0)</f>
        <v>0.17</v>
      </c>
      <c r="AF2953" s="6">
        <f t="shared" si="460"/>
        <v>403.12100000000004</v>
      </c>
      <c r="AG2953" s="14">
        <v>0</v>
      </c>
      <c r="AH2953" s="64">
        <f t="shared" si="464"/>
        <v>2371.3000000000002</v>
      </c>
      <c r="AI2953" s="47"/>
      <c r="AJ2953" s="126" t="e">
        <v>#N/A</v>
      </c>
      <c r="AK2953" s="80">
        <f t="shared" si="467"/>
        <v>0</v>
      </c>
      <c r="AM2953" s="85"/>
    </row>
    <row r="2954" spans="1:39" hidden="1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461"/>
        <v>0</v>
      </c>
      <c r="X2954" s="6">
        <f t="shared" si="462"/>
        <v>6719.6078431372543</v>
      </c>
      <c r="Y2954" s="13">
        <f t="shared" si="465"/>
        <v>0</v>
      </c>
      <c r="Z2954" s="14">
        <v>0</v>
      </c>
      <c r="AA2954" s="6">
        <v>0</v>
      </c>
      <c r="AB2954" s="4"/>
      <c r="AC2954" s="4">
        <f t="shared" si="459"/>
        <v>134.39215686274565</v>
      </c>
      <c r="AD2954" s="6">
        <f t="shared" si="463"/>
        <v>6854</v>
      </c>
      <c r="AE2954" s="2">
        <f>VLOOKUP(I2954,[1]媒体政策预估表!A:N,MATCH(O2954,[1]媒体政策预估表!$A$2:$M$2,0),0)</f>
        <v>0.17</v>
      </c>
      <c r="AF2954" s="6">
        <f t="shared" si="460"/>
        <v>1165.18</v>
      </c>
      <c r="AG2954" s="14">
        <v>0</v>
      </c>
      <c r="AH2954" s="64">
        <f t="shared" si="464"/>
        <v>6854</v>
      </c>
      <c r="AI2954" s="47"/>
      <c r="AJ2954" s="126">
        <v>104</v>
      </c>
      <c r="AK2954" s="80">
        <f t="shared" si="467"/>
        <v>6719.6078431372543</v>
      </c>
      <c r="AM2954" s="85"/>
    </row>
    <row r="2955" spans="1:39" hidden="1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461"/>
        <v>4446.7000000000007</v>
      </c>
      <c r="X2955" s="6">
        <f t="shared" si="462"/>
        <v>0</v>
      </c>
      <c r="Y2955" s="13">
        <f t="shared" si="465"/>
        <v>0</v>
      </c>
      <c r="Z2955" s="14">
        <v>0</v>
      </c>
      <c r="AA2955" s="6">
        <v>0</v>
      </c>
      <c r="AB2955" s="4">
        <f t="shared" si="466"/>
        <v>0</v>
      </c>
      <c r="AC2955" s="4">
        <f t="shared" si="459"/>
        <v>0</v>
      </c>
      <c r="AD2955" s="6">
        <f t="shared" si="463"/>
        <v>0</v>
      </c>
      <c r="AE2955" s="2">
        <f>VLOOKUP(I2955,[1]媒体政策预估表!A:N,MATCH(O2955,[1]媒体政策预估表!$A$2:$M$2,0),0)</f>
        <v>0.17</v>
      </c>
      <c r="AF2955" s="6">
        <f t="shared" si="460"/>
        <v>0</v>
      </c>
      <c r="AG2955" s="14">
        <v>0</v>
      </c>
      <c r="AH2955" s="64">
        <f t="shared" si="464"/>
        <v>0</v>
      </c>
      <c r="AI2955" s="47"/>
      <c r="AJ2955" s="126" t="e">
        <v>#N/A</v>
      </c>
      <c r="AK2955" s="80">
        <f t="shared" si="467"/>
        <v>0</v>
      </c>
      <c r="AM2955" s="85"/>
    </row>
    <row r="2956" spans="1:39" hidden="1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461"/>
        <v>321.42000000000417</v>
      </c>
      <c r="X2956" s="6">
        <f t="shared" si="462"/>
        <v>0</v>
      </c>
      <c r="Y2956" s="13">
        <f t="shared" si="465"/>
        <v>0</v>
      </c>
      <c r="Z2956" s="14">
        <v>0</v>
      </c>
      <c r="AA2956" s="6">
        <v>0</v>
      </c>
      <c r="AB2956" s="4">
        <f t="shared" si="466"/>
        <v>0</v>
      </c>
      <c r="AC2956" s="4">
        <f t="shared" ref="AC2956:AC3019" si="468">IF(P2956="返现",X2956*Q2956,V2956-X2956)</f>
        <v>0</v>
      </c>
      <c r="AD2956" s="6">
        <f t="shared" si="463"/>
        <v>0</v>
      </c>
      <c r="AE2956" s="2">
        <f>VLOOKUP(I2956,[1]媒体政策预估表!A:N,MATCH(O2956,[1]媒体政策预估表!$A$2:$M$2,0),0)</f>
        <v>0.17</v>
      </c>
      <c r="AF2956" s="6">
        <f t="shared" ref="AF2956:AF3019" si="469">AD2956*AE2956</f>
        <v>0</v>
      </c>
      <c r="AG2956" s="14">
        <v>0</v>
      </c>
      <c r="AH2956" s="64">
        <f t="shared" si="464"/>
        <v>0</v>
      </c>
      <c r="AI2956" s="47"/>
      <c r="AJ2956" s="126" t="e">
        <v>#N/A</v>
      </c>
      <c r="AK2956" s="80">
        <f t="shared" si="467"/>
        <v>0</v>
      </c>
      <c r="AM2956" s="85"/>
    </row>
    <row r="2957" spans="1:39" hidden="1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461"/>
        <v>0</v>
      </c>
      <c r="X2957" s="6">
        <f t="shared" si="462"/>
        <v>5680.2000000000007</v>
      </c>
      <c r="Y2957" s="13">
        <f t="shared" si="465"/>
        <v>0</v>
      </c>
      <c r="Z2957" s="14">
        <v>0</v>
      </c>
      <c r="AA2957" s="6">
        <v>0</v>
      </c>
      <c r="AB2957" s="4">
        <f t="shared" si="466"/>
        <v>5680.2000000000007</v>
      </c>
      <c r="AC2957" s="4">
        <f t="shared" si="468"/>
        <v>0</v>
      </c>
      <c r="AD2957" s="6">
        <f t="shared" si="463"/>
        <v>5680.2000000000007</v>
      </c>
      <c r="AE2957" s="2">
        <f>VLOOKUP(I2957,[1]媒体政策预估表!A:N,MATCH(O2957,[1]媒体政策预估表!$A$2:$M$2,0),0)</f>
        <v>0.17</v>
      </c>
      <c r="AF2957" s="6">
        <f t="shared" si="469"/>
        <v>965.63400000000024</v>
      </c>
      <c r="AG2957" s="14">
        <v>0</v>
      </c>
      <c r="AH2957" s="64">
        <f t="shared" si="464"/>
        <v>5680.2000000000007</v>
      </c>
      <c r="AI2957" s="47"/>
      <c r="AJ2957" s="126" t="e">
        <v>#N/A</v>
      </c>
      <c r="AK2957" s="80">
        <f t="shared" si="467"/>
        <v>0</v>
      </c>
      <c r="AM2957" s="85"/>
    </row>
    <row r="2958" spans="1:39" hidden="1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461"/>
        <v>13322.84</v>
      </c>
      <c r="X2958" s="6">
        <f t="shared" si="462"/>
        <v>0</v>
      </c>
      <c r="Y2958" s="13">
        <f t="shared" si="465"/>
        <v>0</v>
      </c>
      <c r="Z2958" s="14">
        <v>0</v>
      </c>
      <c r="AA2958" s="6">
        <v>0</v>
      </c>
      <c r="AB2958" s="4">
        <f t="shared" si="466"/>
        <v>0</v>
      </c>
      <c r="AC2958" s="4">
        <f t="shared" si="468"/>
        <v>0</v>
      </c>
      <c r="AD2958" s="6">
        <f t="shared" si="463"/>
        <v>0</v>
      </c>
      <c r="AE2958" s="2">
        <f>VLOOKUP(I2958,[1]媒体政策预估表!A:N,MATCH(O2958,[1]媒体政策预估表!$A$2:$M$2,0),0)</f>
        <v>0.17</v>
      </c>
      <c r="AF2958" s="6">
        <f t="shared" si="469"/>
        <v>0</v>
      </c>
      <c r="AG2958" s="14">
        <v>0</v>
      </c>
      <c r="AH2958" s="64">
        <f t="shared" si="464"/>
        <v>0</v>
      </c>
      <c r="AI2958" s="47"/>
      <c r="AJ2958" s="126" t="e">
        <v>#N/A</v>
      </c>
      <c r="AK2958" s="80">
        <f t="shared" si="467"/>
        <v>0</v>
      </c>
      <c r="AM2958" s="85"/>
    </row>
    <row r="2959" spans="1:39" hidden="1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461"/>
        <v>7310.2999999999993</v>
      </c>
      <c r="X2959" s="6">
        <f t="shared" si="462"/>
        <v>0</v>
      </c>
      <c r="Y2959" s="13">
        <f t="shared" si="465"/>
        <v>0</v>
      </c>
      <c r="Z2959" s="14">
        <v>0</v>
      </c>
      <c r="AA2959" s="6">
        <v>0</v>
      </c>
      <c r="AB2959" s="4">
        <f t="shared" si="466"/>
        <v>0</v>
      </c>
      <c r="AC2959" s="4">
        <f t="shared" si="468"/>
        <v>0</v>
      </c>
      <c r="AD2959" s="6">
        <f t="shared" si="463"/>
        <v>0</v>
      </c>
      <c r="AE2959" s="2">
        <f>VLOOKUP(I2959,[1]媒体政策预估表!A:N,MATCH(O2959,[1]媒体政策预估表!$A$2:$M$2,0),0)</f>
        <v>0.17</v>
      </c>
      <c r="AF2959" s="6">
        <f t="shared" si="469"/>
        <v>0</v>
      </c>
      <c r="AG2959" s="14">
        <v>0</v>
      </c>
      <c r="AH2959" s="64">
        <f t="shared" si="464"/>
        <v>0</v>
      </c>
      <c r="AI2959" s="47"/>
      <c r="AJ2959" s="126" t="e">
        <v>#N/A</v>
      </c>
      <c r="AK2959" s="80">
        <f t="shared" si="467"/>
        <v>0</v>
      </c>
      <c r="AM2959" s="85"/>
    </row>
    <row r="2960" spans="1:39" hidden="1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461"/>
        <v>15.720000000000027</v>
      </c>
      <c r="X2960" s="6">
        <f t="shared" si="462"/>
        <v>0</v>
      </c>
      <c r="Y2960" s="13">
        <f t="shared" si="465"/>
        <v>0</v>
      </c>
      <c r="Z2960" s="14">
        <v>0</v>
      </c>
      <c r="AA2960" s="6">
        <v>0</v>
      </c>
      <c r="AB2960" s="4">
        <f t="shared" si="466"/>
        <v>0</v>
      </c>
      <c r="AC2960" s="4">
        <f t="shared" si="468"/>
        <v>0</v>
      </c>
      <c r="AD2960" s="6">
        <f t="shared" si="463"/>
        <v>0</v>
      </c>
      <c r="AE2960" s="2">
        <f>VLOOKUP(I2960,[1]媒体政策预估表!A:N,MATCH(O2960,[1]媒体政策预估表!$A$2:$M$2,0),0)</f>
        <v>0.17</v>
      </c>
      <c r="AF2960" s="6">
        <f t="shared" si="469"/>
        <v>0</v>
      </c>
      <c r="AG2960" s="14">
        <v>0</v>
      </c>
      <c r="AH2960" s="64">
        <f t="shared" si="464"/>
        <v>0</v>
      </c>
      <c r="AI2960" s="47"/>
      <c r="AJ2960" s="126" t="e">
        <v>#N/A</v>
      </c>
      <c r="AK2960" s="80">
        <f t="shared" si="467"/>
        <v>0</v>
      </c>
      <c r="AM2960" s="85"/>
    </row>
    <row r="2961" spans="1:39" hidden="1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461"/>
        <v>6619.5999999999995</v>
      </c>
      <c r="X2961" s="6">
        <f t="shared" si="462"/>
        <v>525.6</v>
      </c>
      <c r="Y2961" s="13">
        <f t="shared" si="465"/>
        <v>0</v>
      </c>
      <c r="Z2961" s="14">
        <v>0</v>
      </c>
      <c r="AA2961" s="6">
        <v>0</v>
      </c>
      <c r="AB2961" s="4">
        <f t="shared" si="466"/>
        <v>525.6</v>
      </c>
      <c r="AC2961" s="4">
        <f t="shared" si="468"/>
        <v>0</v>
      </c>
      <c r="AD2961" s="6">
        <f t="shared" si="463"/>
        <v>525.6</v>
      </c>
      <c r="AE2961" s="2">
        <f>VLOOKUP(I2961,[1]媒体政策预估表!A:N,MATCH(O2961,[1]媒体政策预估表!$A$2:$M$2,0),0)</f>
        <v>0.17</v>
      </c>
      <c r="AF2961" s="6">
        <f t="shared" si="469"/>
        <v>89.352000000000004</v>
      </c>
      <c r="AG2961" s="14">
        <v>0</v>
      </c>
      <c r="AH2961" s="64">
        <f t="shared" si="464"/>
        <v>525.6</v>
      </c>
      <c r="AI2961" s="47"/>
      <c r="AJ2961" s="126" t="e">
        <v>#N/A</v>
      </c>
      <c r="AK2961" s="80">
        <f t="shared" si="467"/>
        <v>0</v>
      </c>
      <c r="AM2961" s="85"/>
    </row>
    <row r="2962" spans="1:39" hidden="1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461"/>
        <v>2.2999999999935881</v>
      </c>
      <c r="X2962" s="6">
        <f t="shared" si="462"/>
        <v>0</v>
      </c>
      <c r="Y2962" s="13">
        <f t="shared" si="465"/>
        <v>0</v>
      </c>
      <c r="Z2962" s="14">
        <v>0</v>
      </c>
      <c r="AA2962" s="6">
        <v>0</v>
      </c>
      <c r="AB2962" s="4">
        <f t="shared" si="466"/>
        <v>0</v>
      </c>
      <c r="AC2962" s="4">
        <f t="shared" si="468"/>
        <v>0</v>
      </c>
      <c r="AD2962" s="6">
        <f t="shared" si="463"/>
        <v>0</v>
      </c>
      <c r="AE2962" s="2">
        <f>VLOOKUP(I2962,[1]媒体政策预估表!A:N,MATCH(O2962,[1]媒体政策预估表!$A$2:$M$2,0),0)</f>
        <v>0.17</v>
      </c>
      <c r="AF2962" s="6">
        <f t="shared" si="469"/>
        <v>0</v>
      </c>
      <c r="AG2962" s="14">
        <v>0</v>
      </c>
      <c r="AH2962" s="64">
        <f t="shared" si="464"/>
        <v>0</v>
      </c>
      <c r="AI2962" s="47"/>
      <c r="AJ2962" s="126" t="e">
        <v>#N/A</v>
      </c>
      <c r="AK2962" s="80">
        <f t="shared" si="467"/>
        <v>0</v>
      </c>
      <c r="AM2962" s="85"/>
    </row>
    <row r="2963" spans="1:39" hidden="1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461"/>
        <v>5033.8</v>
      </c>
      <c r="X2963" s="6">
        <f t="shared" si="462"/>
        <v>0</v>
      </c>
      <c r="Y2963" s="13">
        <f t="shared" si="465"/>
        <v>0</v>
      </c>
      <c r="Z2963" s="14">
        <v>0</v>
      </c>
      <c r="AA2963" s="6">
        <v>0</v>
      </c>
      <c r="AB2963" s="4">
        <f t="shared" si="466"/>
        <v>0</v>
      </c>
      <c r="AC2963" s="4">
        <f t="shared" si="468"/>
        <v>0</v>
      </c>
      <c r="AD2963" s="6">
        <f t="shared" si="463"/>
        <v>0</v>
      </c>
      <c r="AE2963" s="2">
        <f>VLOOKUP(I2963,[1]媒体政策预估表!A:N,MATCH(O2963,[1]媒体政策预估表!$A$2:$M$2,0),0)</f>
        <v>0.17</v>
      </c>
      <c r="AF2963" s="6">
        <f t="shared" si="469"/>
        <v>0</v>
      </c>
      <c r="AG2963" s="14">
        <v>0</v>
      </c>
      <c r="AH2963" s="64">
        <f t="shared" si="464"/>
        <v>0</v>
      </c>
      <c r="AI2963" s="47"/>
      <c r="AJ2963" s="126" t="e">
        <v>#N/A</v>
      </c>
      <c r="AK2963" s="80">
        <f t="shared" si="467"/>
        <v>0</v>
      </c>
      <c r="AM2963" s="85"/>
    </row>
    <row r="2964" spans="1:39" hidden="1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461"/>
        <v>5582.6</v>
      </c>
      <c r="X2964" s="6">
        <f t="shared" si="462"/>
        <v>0</v>
      </c>
      <c r="Y2964" s="13">
        <f t="shared" si="465"/>
        <v>0</v>
      </c>
      <c r="Z2964" s="14">
        <v>0</v>
      </c>
      <c r="AA2964" s="6">
        <v>0</v>
      </c>
      <c r="AB2964" s="4">
        <f t="shared" si="466"/>
        <v>0</v>
      </c>
      <c r="AC2964" s="4">
        <f t="shared" si="468"/>
        <v>0</v>
      </c>
      <c r="AD2964" s="6">
        <f t="shared" si="463"/>
        <v>0</v>
      </c>
      <c r="AE2964" s="2">
        <f>VLOOKUP(I2964,[1]媒体政策预估表!A:N,MATCH(O2964,[1]媒体政策预估表!$A$2:$M$2,0),0)</f>
        <v>0.17</v>
      </c>
      <c r="AF2964" s="6">
        <f t="shared" si="469"/>
        <v>0</v>
      </c>
      <c r="AG2964" s="14">
        <v>0</v>
      </c>
      <c r="AH2964" s="64">
        <f t="shared" si="464"/>
        <v>0</v>
      </c>
      <c r="AI2964" s="47"/>
      <c r="AJ2964" s="126" t="e">
        <v>#N/A</v>
      </c>
      <c r="AK2964" s="80">
        <f t="shared" si="467"/>
        <v>0</v>
      </c>
      <c r="AM2964" s="85"/>
    </row>
    <row r="2965" spans="1:39" hidden="1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461"/>
        <v>18957.150000000001</v>
      </c>
      <c r="X2965" s="6">
        <f t="shared" si="462"/>
        <v>0</v>
      </c>
      <c r="Y2965" s="13">
        <f t="shared" si="465"/>
        <v>0</v>
      </c>
      <c r="Z2965" s="14">
        <v>0</v>
      </c>
      <c r="AA2965" s="6">
        <v>0</v>
      </c>
      <c r="AB2965" s="4">
        <f t="shared" si="466"/>
        <v>0</v>
      </c>
      <c r="AC2965" s="4">
        <f t="shared" si="468"/>
        <v>0</v>
      </c>
      <c r="AD2965" s="6">
        <f t="shared" si="463"/>
        <v>0</v>
      </c>
      <c r="AE2965" s="2">
        <f>VLOOKUP(I2965,[1]媒体政策预估表!A:N,MATCH(O2965,[1]媒体政策预估表!$A$2:$M$2,0),0)</f>
        <v>0.17</v>
      </c>
      <c r="AF2965" s="6">
        <f t="shared" si="469"/>
        <v>0</v>
      </c>
      <c r="AG2965" s="14">
        <v>0</v>
      </c>
      <c r="AH2965" s="64">
        <f t="shared" si="464"/>
        <v>0</v>
      </c>
      <c r="AI2965" s="47"/>
      <c r="AJ2965" s="126" t="e">
        <v>#N/A</v>
      </c>
      <c r="AK2965" s="80">
        <f t="shared" si="467"/>
        <v>0</v>
      </c>
      <c r="AM2965" s="85"/>
    </row>
    <row r="2966" spans="1:39" hidden="1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461"/>
        <v>384.57999999999811</v>
      </c>
      <c r="X2966" s="6">
        <f t="shared" si="462"/>
        <v>0</v>
      </c>
      <c r="Y2966" s="13">
        <f t="shared" si="465"/>
        <v>0</v>
      </c>
      <c r="Z2966" s="14">
        <v>0</v>
      </c>
      <c r="AA2966" s="6">
        <v>0</v>
      </c>
      <c r="AB2966" s="4">
        <f t="shared" si="466"/>
        <v>0</v>
      </c>
      <c r="AC2966" s="4">
        <f t="shared" si="468"/>
        <v>0</v>
      </c>
      <c r="AD2966" s="6">
        <f t="shared" si="463"/>
        <v>0</v>
      </c>
      <c r="AE2966" s="2">
        <f>VLOOKUP(I2966,[1]媒体政策预估表!A:N,MATCH(O2966,[1]媒体政策预估表!$A$2:$M$2,0),0)</f>
        <v>0.17</v>
      </c>
      <c r="AF2966" s="6">
        <f t="shared" si="469"/>
        <v>0</v>
      </c>
      <c r="AG2966" s="14">
        <v>0</v>
      </c>
      <c r="AH2966" s="64">
        <f t="shared" si="464"/>
        <v>0</v>
      </c>
      <c r="AI2966" s="47"/>
      <c r="AJ2966" s="126" t="e">
        <v>#N/A</v>
      </c>
      <c r="AK2966" s="80">
        <f t="shared" si="467"/>
        <v>0</v>
      </c>
      <c r="AM2966" s="85"/>
    </row>
    <row r="2967" spans="1:39" hidden="1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461"/>
        <v>13704.699999999986</v>
      </c>
      <c r="X2967" s="6">
        <f t="shared" si="462"/>
        <v>0</v>
      </c>
      <c r="Y2967" s="13">
        <f t="shared" si="465"/>
        <v>0</v>
      </c>
      <c r="Z2967" s="14">
        <v>0</v>
      </c>
      <c r="AA2967" s="6">
        <v>0</v>
      </c>
      <c r="AB2967" s="4">
        <f t="shared" si="466"/>
        <v>0</v>
      </c>
      <c r="AC2967" s="4">
        <f t="shared" si="468"/>
        <v>0</v>
      </c>
      <c r="AD2967" s="6">
        <f t="shared" si="463"/>
        <v>0</v>
      </c>
      <c r="AE2967" s="2">
        <f>VLOOKUP(I2967,[1]媒体政策预估表!A:N,MATCH(O2967,[1]媒体政策预估表!$A$2:$M$2,0),0)</f>
        <v>0.17</v>
      </c>
      <c r="AF2967" s="6">
        <f t="shared" si="469"/>
        <v>0</v>
      </c>
      <c r="AG2967" s="14">
        <v>0</v>
      </c>
      <c r="AH2967" s="64">
        <f t="shared" si="464"/>
        <v>0</v>
      </c>
      <c r="AI2967" s="47"/>
      <c r="AJ2967" s="126" t="e">
        <v>#N/A</v>
      </c>
      <c r="AK2967" s="80">
        <f t="shared" si="467"/>
        <v>0</v>
      </c>
      <c r="AM2967" s="85"/>
    </row>
    <row r="2968" spans="1:39" hidden="1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461"/>
        <v>738.29999999999973</v>
      </c>
      <c r="X2968" s="6">
        <f t="shared" si="462"/>
        <v>0</v>
      </c>
      <c r="Y2968" s="13">
        <f t="shared" si="465"/>
        <v>0</v>
      </c>
      <c r="Z2968" s="14">
        <v>0</v>
      </c>
      <c r="AA2968" s="6">
        <v>0</v>
      </c>
      <c r="AB2968" s="4">
        <f t="shared" si="466"/>
        <v>0</v>
      </c>
      <c r="AC2968" s="4">
        <f t="shared" si="468"/>
        <v>0</v>
      </c>
      <c r="AD2968" s="6">
        <f t="shared" si="463"/>
        <v>0</v>
      </c>
      <c r="AE2968" s="2">
        <f>VLOOKUP(I2968,[1]媒体政策预估表!A:N,MATCH(O2968,[1]媒体政策预估表!$A$2:$M$2,0),0)</f>
        <v>0.17</v>
      </c>
      <c r="AF2968" s="6">
        <f t="shared" si="469"/>
        <v>0</v>
      </c>
      <c r="AG2968" s="14">
        <v>0</v>
      </c>
      <c r="AH2968" s="64">
        <f t="shared" si="464"/>
        <v>0</v>
      </c>
      <c r="AI2968" s="47"/>
      <c r="AJ2968" s="126" t="e">
        <v>#N/A</v>
      </c>
      <c r="AK2968" s="80">
        <f t="shared" si="467"/>
        <v>0</v>
      </c>
      <c r="AM2968" s="85"/>
    </row>
    <row r="2969" spans="1:39" hidden="1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461"/>
        <v>18701.7</v>
      </c>
      <c r="X2969" s="6">
        <f t="shared" si="462"/>
        <v>0</v>
      </c>
      <c r="Y2969" s="13">
        <f t="shared" si="465"/>
        <v>0</v>
      </c>
      <c r="Z2969" s="14">
        <v>0</v>
      </c>
      <c r="AA2969" s="6">
        <v>0</v>
      </c>
      <c r="AB2969" s="4">
        <f t="shared" si="466"/>
        <v>0</v>
      </c>
      <c r="AC2969" s="4">
        <f t="shared" si="468"/>
        <v>0</v>
      </c>
      <c r="AD2969" s="6">
        <f t="shared" si="463"/>
        <v>0</v>
      </c>
      <c r="AE2969" s="2">
        <f>VLOOKUP(I2969,[1]媒体政策预估表!A:N,MATCH(O2969,[1]媒体政策预估表!$A$2:$M$2,0),0)</f>
        <v>0.17</v>
      </c>
      <c r="AF2969" s="6">
        <f t="shared" si="469"/>
        <v>0</v>
      </c>
      <c r="AG2969" s="14">
        <v>0</v>
      </c>
      <c r="AH2969" s="64">
        <f t="shared" si="464"/>
        <v>0</v>
      </c>
      <c r="AI2969" s="47"/>
      <c r="AJ2969" s="126" t="e">
        <v>#N/A</v>
      </c>
      <c r="AK2969" s="80">
        <f t="shared" si="467"/>
        <v>0</v>
      </c>
      <c r="AM2969" s="85"/>
    </row>
    <row r="2970" spans="1:39" hidden="1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461"/>
        <v>7293.39</v>
      </c>
      <c r="X2970" s="6">
        <f t="shared" si="462"/>
        <v>1123.2</v>
      </c>
      <c r="Y2970" s="13">
        <f t="shared" si="465"/>
        <v>0</v>
      </c>
      <c r="Z2970" s="14">
        <v>0</v>
      </c>
      <c r="AA2970" s="6">
        <v>0</v>
      </c>
      <c r="AB2970" s="4">
        <f t="shared" si="466"/>
        <v>1123.2</v>
      </c>
      <c r="AC2970" s="4">
        <f t="shared" si="468"/>
        <v>0</v>
      </c>
      <c r="AD2970" s="6">
        <f t="shared" si="463"/>
        <v>1123.2</v>
      </c>
      <c r="AE2970" s="2">
        <f>VLOOKUP(I2970,[1]媒体政策预估表!A:N,MATCH(O2970,[1]媒体政策预估表!$A$2:$M$2,0),0)</f>
        <v>0.17</v>
      </c>
      <c r="AF2970" s="6">
        <f t="shared" si="469"/>
        <v>190.94400000000002</v>
      </c>
      <c r="AG2970" s="14">
        <v>0</v>
      </c>
      <c r="AH2970" s="64">
        <f t="shared" si="464"/>
        <v>1123.2</v>
      </c>
      <c r="AI2970" s="47"/>
      <c r="AJ2970" s="126" t="e">
        <v>#N/A</v>
      </c>
      <c r="AK2970" s="80">
        <f t="shared" si="467"/>
        <v>0</v>
      </c>
      <c r="AM2970" s="85"/>
    </row>
    <row r="2971" spans="1:39" hidden="1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461"/>
        <v>12629.5</v>
      </c>
      <c r="X2971" s="6">
        <f t="shared" si="462"/>
        <v>0</v>
      </c>
      <c r="Y2971" s="13">
        <f t="shared" si="465"/>
        <v>0</v>
      </c>
      <c r="Z2971" s="14">
        <v>0</v>
      </c>
      <c r="AA2971" s="6">
        <v>0</v>
      </c>
      <c r="AB2971" s="4"/>
      <c r="AC2971" s="4">
        <f t="shared" si="468"/>
        <v>0</v>
      </c>
      <c r="AD2971" s="6">
        <f t="shared" si="463"/>
        <v>0</v>
      </c>
      <c r="AE2971" s="2">
        <f>VLOOKUP(I2971,[1]媒体政策预估表!A:N,MATCH(O2971,[1]媒体政策预估表!$A$2:$M$2,0),0)</f>
        <v>0.17</v>
      </c>
      <c r="AF2971" s="6">
        <f t="shared" si="469"/>
        <v>0</v>
      </c>
      <c r="AG2971" s="14">
        <v>0</v>
      </c>
      <c r="AH2971" s="64">
        <f t="shared" si="464"/>
        <v>0</v>
      </c>
      <c r="AI2971" s="47"/>
      <c r="AJ2971" s="126" t="s">
        <v>4226</v>
      </c>
      <c r="AK2971" s="80">
        <f t="shared" si="467"/>
        <v>0</v>
      </c>
      <c r="AM2971" s="85"/>
    </row>
    <row r="2972" spans="1:39" hidden="1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461"/>
        <v>3619.8499999999995</v>
      </c>
      <c r="X2972" s="6">
        <f t="shared" si="462"/>
        <v>0</v>
      </c>
      <c r="Y2972" s="13">
        <f t="shared" si="465"/>
        <v>0</v>
      </c>
      <c r="Z2972" s="14">
        <v>0</v>
      </c>
      <c r="AA2972" s="6">
        <v>0</v>
      </c>
      <c r="AB2972" s="4">
        <f t="shared" si="466"/>
        <v>0</v>
      </c>
      <c r="AC2972" s="4">
        <f t="shared" si="468"/>
        <v>0</v>
      </c>
      <c r="AD2972" s="6">
        <f t="shared" si="463"/>
        <v>0</v>
      </c>
      <c r="AE2972" s="2">
        <f>VLOOKUP(I2972,[1]媒体政策预估表!A:N,MATCH(O2972,[1]媒体政策预估表!$A$2:$M$2,0),0)</f>
        <v>0.17</v>
      </c>
      <c r="AF2972" s="6">
        <f t="shared" si="469"/>
        <v>0</v>
      </c>
      <c r="AG2972" s="14">
        <v>0</v>
      </c>
      <c r="AH2972" s="64">
        <f t="shared" si="464"/>
        <v>0</v>
      </c>
      <c r="AI2972" s="47"/>
      <c r="AJ2972" s="126" t="e">
        <v>#N/A</v>
      </c>
      <c r="AK2972" s="80">
        <f t="shared" si="467"/>
        <v>0</v>
      </c>
      <c r="AM2972" s="85"/>
    </row>
    <row r="2973" spans="1:39" hidden="1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461"/>
        <v>42157.11</v>
      </c>
      <c r="X2973" s="6">
        <f t="shared" si="462"/>
        <v>0</v>
      </c>
      <c r="Y2973" s="13">
        <f t="shared" si="465"/>
        <v>0</v>
      </c>
      <c r="Z2973" s="14">
        <v>0</v>
      </c>
      <c r="AA2973" s="6">
        <v>0</v>
      </c>
      <c r="AB2973" s="4">
        <f t="shared" si="466"/>
        <v>0</v>
      </c>
      <c r="AC2973" s="4">
        <f t="shared" si="468"/>
        <v>0</v>
      </c>
      <c r="AD2973" s="6">
        <f t="shared" si="463"/>
        <v>0</v>
      </c>
      <c r="AE2973" s="2">
        <f>VLOOKUP(I2973,[1]媒体政策预估表!A:N,MATCH(O2973,[1]媒体政策预估表!$A$2:$M$2,0),0)</f>
        <v>0.17</v>
      </c>
      <c r="AF2973" s="6">
        <f t="shared" si="469"/>
        <v>0</v>
      </c>
      <c r="AG2973" s="14">
        <v>0</v>
      </c>
      <c r="AH2973" s="64">
        <f t="shared" si="464"/>
        <v>0</v>
      </c>
      <c r="AI2973" s="47"/>
      <c r="AJ2973" s="126" t="e">
        <v>#N/A</v>
      </c>
      <c r="AK2973" s="80">
        <f t="shared" si="467"/>
        <v>0</v>
      </c>
      <c r="AM2973" s="85"/>
    </row>
    <row r="2974" spans="1:39" hidden="1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461"/>
        <v>6563.5</v>
      </c>
      <c r="X2974" s="6">
        <f t="shared" si="462"/>
        <v>0</v>
      </c>
      <c r="Y2974" s="13">
        <f t="shared" si="465"/>
        <v>0</v>
      </c>
      <c r="Z2974" s="14">
        <v>0</v>
      </c>
      <c r="AA2974" s="6">
        <v>0</v>
      </c>
      <c r="AB2974" s="4">
        <f t="shared" si="466"/>
        <v>0</v>
      </c>
      <c r="AC2974" s="4">
        <f t="shared" si="468"/>
        <v>0</v>
      </c>
      <c r="AD2974" s="6">
        <f t="shared" si="463"/>
        <v>0</v>
      </c>
      <c r="AE2974" s="2">
        <f>VLOOKUP(I2974,[1]媒体政策预估表!A:N,MATCH(O2974,[1]媒体政策预估表!$A$2:$M$2,0),0)</f>
        <v>0.17</v>
      </c>
      <c r="AF2974" s="6">
        <f t="shared" si="469"/>
        <v>0</v>
      </c>
      <c r="AG2974" s="14">
        <v>0</v>
      </c>
      <c r="AH2974" s="64">
        <f t="shared" si="464"/>
        <v>0</v>
      </c>
      <c r="AI2974" s="47"/>
      <c r="AJ2974" s="126" t="e">
        <v>#N/A</v>
      </c>
      <c r="AK2974" s="80">
        <f t="shared" si="467"/>
        <v>0</v>
      </c>
      <c r="AM2974" s="85"/>
    </row>
    <row r="2975" spans="1:39" hidden="1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461"/>
        <v>1808.5</v>
      </c>
      <c r="X2975" s="6">
        <f t="shared" si="462"/>
        <v>0</v>
      </c>
      <c r="Y2975" s="13">
        <f t="shared" si="465"/>
        <v>0</v>
      </c>
      <c r="Z2975" s="14">
        <v>0</v>
      </c>
      <c r="AA2975" s="6">
        <v>0</v>
      </c>
      <c r="AB2975" s="4">
        <f t="shared" si="466"/>
        <v>0</v>
      </c>
      <c r="AC2975" s="4">
        <f t="shared" si="468"/>
        <v>0</v>
      </c>
      <c r="AD2975" s="6">
        <f t="shared" si="463"/>
        <v>0</v>
      </c>
      <c r="AE2975" s="2">
        <f>VLOOKUP(I2975,[1]媒体政策预估表!A:N,MATCH(O2975,[1]媒体政策预估表!$A$2:$M$2,0),0)</f>
        <v>0.17</v>
      </c>
      <c r="AF2975" s="6">
        <f t="shared" si="469"/>
        <v>0</v>
      </c>
      <c r="AG2975" s="14">
        <v>0</v>
      </c>
      <c r="AH2975" s="64">
        <f t="shared" si="464"/>
        <v>0</v>
      </c>
      <c r="AI2975" s="47"/>
      <c r="AJ2975" s="126" t="e">
        <v>#N/A</v>
      </c>
      <c r="AK2975" s="80">
        <f t="shared" si="467"/>
        <v>0</v>
      </c>
      <c r="AM2975" s="85"/>
    </row>
    <row r="2976" spans="1:39" hidden="1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461"/>
        <v>6915.4</v>
      </c>
      <c r="X2976" s="6">
        <f t="shared" si="462"/>
        <v>0</v>
      </c>
      <c r="Y2976" s="13">
        <f t="shared" si="465"/>
        <v>0</v>
      </c>
      <c r="Z2976" s="14">
        <v>0</v>
      </c>
      <c r="AA2976" s="6">
        <v>0</v>
      </c>
      <c r="AB2976" s="4"/>
      <c r="AC2976" s="4">
        <f t="shared" si="468"/>
        <v>0</v>
      </c>
      <c r="AD2976" s="6">
        <f t="shared" si="463"/>
        <v>0</v>
      </c>
      <c r="AE2976" s="2">
        <f>VLOOKUP(I2976,[1]媒体政策预估表!A:N,MATCH(O2976,[1]媒体政策预估表!$A$2:$M$2,0),0)</f>
        <v>0.17</v>
      </c>
      <c r="AF2976" s="6">
        <f t="shared" si="469"/>
        <v>0</v>
      </c>
      <c r="AG2976" s="14">
        <v>0</v>
      </c>
      <c r="AH2976" s="64">
        <f t="shared" si="464"/>
        <v>0</v>
      </c>
      <c r="AI2976" s="47"/>
      <c r="AJ2976" s="126">
        <v>93</v>
      </c>
      <c r="AK2976" s="80">
        <f t="shared" si="467"/>
        <v>0</v>
      </c>
      <c r="AM2976" s="85"/>
    </row>
    <row r="2977" spans="1:39" hidden="1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461"/>
        <v>4443.1799999999994</v>
      </c>
      <c r="X2977" s="6">
        <f t="shared" si="462"/>
        <v>0</v>
      </c>
      <c r="Y2977" s="13">
        <f t="shared" si="465"/>
        <v>0</v>
      </c>
      <c r="Z2977" s="14">
        <v>0</v>
      </c>
      <c r="AA2977" s="6">
        <v>0</v>
      </c>
      <c r="AB2977" s="4">
        <f t="shared" si="466"/>
        <v>0</v>
      </c>
      <c r="AC2977" s="4">
        <f t="shared" si="468"/>
        <v>0</v>
      </c>
      <c r="AD2977" s="6">
        <f t="shared" si="463"/>
        <v>0</v>
      </c>
      <c r="AE2977" s="2">
        <f>VLOOKUP(I2977,[1]媒体政策预估表!A:N,MATCH(O2977,[1]媒体政策预估表!$A$2:$M$2,0),0)</f>
        <v>0.17</v>
      </c>
      <c r="AF2977" s="6">
        <f t="shared" si="469"/>
        <v>0</v>
      </c>
      <c r="AG2977" s="14">
        <v>0</v>
      </c>
      <c r="AH2977" s="64">
        <f t="shared" si="464"/>
        <v>0</v>
      </c>
      <c r="AI2977" s="47"/>
      <c r="AJ2977" s="126" t="e">
        <v>#N/A</v>
      </c>
      <c r="AK2977" s="80">
        <f t="shared" si="467"/>
        <v>0</v>
      </c>
      <c r="AM2977" s="85"/>
    </row>
    <row r="2978" spans="1:39" hidden="1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461"/>
        <v>29390.959999999999</v>
      </c>
      <c r="X2978" s="6">
        <f t="shared" si="462"/>
        <v>0</v>
      </c>
      <c r="Y2978" s="13">
        <f t="shared" si="465"/>
        <v>0</v>
      </c>
      <c r="Z2978" s="14">
        <v>0</v>
      </c>
      <c r="AA2978" s="6">
        <v>0</v>
      </c>
      <c r="AB2978" s="4">
        <f t="shared" si="466"/>
        <v>0</v>
      </c>
      <c r="AC2978" s="4">
        <f t="shared" si="468"/>
        <v>0</v>
      </c>
      <c r="AD2978" s="6">
        <f t="shared" si="463"/>
        <v>0</v>
      </c>
      <c r="AE2978" s="2">
        <f>VLOOKUP(I2978,[1]媒体政策预估表!A:N,MATCH(O2978,[1]媒体政策预估表!$A$2:$M$2,0),0)</f>
        <v>0.17</v>
      </c>
      <c r="AF2978" s="6">
        <f t="shared" si="469"/>
        <v>0</v>
      </c>
      <c r="AG2978" s="14">
        <v>0</v>
      </c>
      <c r="AH2978" s="64">
        <f t="shared" si="464"/>
        <v>0</v>
      </c>
      <c r="AI2978" s="47"/>
      <c r="AJ2978" s="126" t="e">
        <v>#N/A</v>
      </c>
      <c r="AK2978" s="80">
        <f t="shared" si="467"/>
        <v>0</v>
      </c>
      <c r="AM2978" s="85"/>
    </row>
    <row r="2979" spans="1:39" hidden="1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461"/>
        <v>2349.0300000000002</v>
      </c>
      <c r="X2979" s="6">
        <f t="shared" si="462"/>
        <v>0</v>
      </c>
      <c r="Y2979" s="13">
        <f t="shared" si="465"/>
        <v>0</v>
      </c>
      <c r="Z2979" s="14">
        <v>0</v>
      </c>
      <c r="AA2979" s="6">
        <v>0</v>
      </c>
      <c r="AB2979" s="4">
        <f t="shared" si="466"/>
        <v>0</v>
      </c>
      <c r="AC2979" s="4">
        <f t="shared" si="468"/>
        <v>0</v>
      </c>
      <c r="AD2979" s="6">
        <f t="shared" si="463"/>
        <v>0</v>
      </c>
      <c r="AE2979" s="2">
        <f>VLOOKUP(I2979,[1]媒体政策预估表!A:N,MATCH(O2979,[1]媒体政策预估表!$A$2:$M$2,0),0)</f>
        <v>0.17</v>
      </c>
      <c r="AF2979" s="6">
        <f t="shared" si="469"/>
        <v>0</v>
      </c>
      <c r="AG2979" s="14">
        <v>0</v>
      </c>
      <c r="AH2979" s="64">
        <f t="shared" si="464"/>
        <v>0</v>
      </c>
      <c r="AI2979" s="47"/>
      <c r="AJ2979" s="126" t="e">
        <v>#N/A</v>
      </c>
      <c r="AK2979" s="80">
        <f t="shared" si="467"/>
        <v>0</v>
      </c>
      <c r="AM2979" s="85"/>
    </row>
    <row r="2980" spans="1:39" hidden="1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461"/>
        <v>5882.26</v>
      </c>
      <c r="X2980" s="6">
        <f t="shared" si="462"/>
        <v>0</v>
      </c>
      <c r="Y2980" s="13">
        <f t="shared" si="465"/>
        <v>0</v>
      </c>
      <c r="Z2980" s="14">
        <v>0</v>
      </c>
      <c r="AA2980" s="6">
        <v>0</v>
      </c>
      <c r="AB2980" s="4">
        <f t="shared" si="466"/>
        <v>0</v>
      </c>
      <c r="AC2980" s="4">
        <f t="shared" si="468"/>
        <v>0</v>
      </c>
      <c r="AD2980" s="6">
        <f t="shared" si="463"/>
        <v>0</v>
      </c>
      <c r="AE2980" s="2">
        <f>VLOOKUP(I2980,[1]媒体政策预估表!A:N,MATCH(O2980,[1]媒体政策预估表!$A$2:$M$2,0),0)</f>
        <v>0.17</v>
      </c>
      <c r="AF2980" s="6">
        <f t="shared" si="469"/>
        <v>0</v>
      </c>
      <c r="AG2980" s="14">
        <v>0</v>
      </c>
      <c r="AH2980" s="64">
        <f t="shared" si="464"/>
        <v>0</v>
      </c>
      <c r="AI2980" s="47"/>
      <c r="AJ2980" s="126" t="e">
        <v>#N/A</v>
      </c>
      <c r="AK2980" s="80">
        <f t="shared" si="467"/>
        <v>0</v>
      </c>
      <c r="AM2980" s="85"/>
    </row>
    <row r="2981" spans="1:39" hidden="1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461"/>
        <v>2878.16</v>
      </c>
      <c r="X2981" s="6">
        <f t="shared" si="462"/>
        <v>0</v>
      </c>
      <c r="Y2981" s="13">
        <f t="shared" si="465"/>
        <v>0</v>
      </c>
      <c r="Z2981" s="14">
        <v>0</v>
      </c>
      <c r="AA2981" s="6">
        <v>0</v>
      </c>
      <c r="AB2981" s="4">
        <f t="shared" si="466"/>
        <v>0</v>
      </c>
      <c r="AC2981" s="4">
        <f t="shared" si="468"/>
        <v>0</v>
      </c>
      <c r="AD2981" s="6">
        <f t="shared" si="463"/>
        <v>0</v>
      </c>
      <c r="AE2981" s="2">
        <f>VLOOKUP(I2981,[1]媒体政策预估表!A:N,MATCH(O2981,[1]媒体政策预估表!$A$2:$M$2,0),0)</f>
        <v>0.17</v>
      </c>
      <c r="AF2981" s="6">
        <f t="shared" si="469"/>
        <v>0</v>
      </c>
      <c r="AG2981" s="14">
        <v>0</v>
      </c>
      <c r="AH2981" s="64">
        <f t="shared" si="464"/>
        <v>0</v>
      </c>
      <c r="AI2981" s="47"/>
      <c r="AJ2981" s="126" t="s">
        <v>4221</v>
      </c>
      <c r="AK2981" s="80">
        <f t="shared" si="467"/>
        <v>0</v>
      </c>
      <c r="AL2981" s="150"/>
      <c r="AM2981" s="85"/>
    </row>
    <row r="2982" spans="1:39" hidden="1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470">T2982+U2982-V2982</f>
        <v>1148.67</v>
      </c>
      <c r="X2982" s="6">
        <f t="shared" ref="X2982:X3017" si="471">IF(P2982="折扣",V2982*Q2982,IF(P2982="返现",V2982,V2982/(1+Q2982)))</f>
        <v>0</v>
      </c>
      <c r="Y2982" s="13">
        <f t="shared" si="465"/>
        <v>0</v>
      </c>
      <c r="Z2982" s="14">
        <v>0</v>
      </c>
      <c r="AA2982" s="6">
        <v>0</v>
      </c>
      <c r="AB2982" s="4">
        <f t="shared" si="466"/>
        <v>0</v>
      </c>
      <c r="AC2982" s="4">
        <f t="shared" si="468"/>
        <v>0</v>
      </c>
      <c r="AD2982" s="6">
        <f t="shared" ref="AD2982:AD3017" si="472">V2982</f>
        <v>0</v>
      </c>
      <c r="AE2982" s="2">
        <f>VLOOKUP(I2982,[1]媒体政策预估表!A:N,MATCH(O2982,[1]媒体政策预估表!$A$2:$M$2,0),0)</f>
        <v>0.17</v>
      </c>
      <c r="AF2982" s="6">
        <f t="shared" si="469"/>
        <v>0</v>
      </c>
      <c r="AG2982" s="14">
        <v>0</v>
      </c>
      <c r="AH2982" s="64">
        <f t="shared" ref="AH2982:AH3017" si="473">V2982</f>
        <v>0</v>
      </c>
      <c r="AI2982" s="47"/>
      <c r="AJ2982" s="126" t="e">
        <v>#N/A</v>
      </c>
      <c r="AK2982" s="80">
        <f t="shared" si="467"/>
        <v>0</v>
      </c>
      <c r="AM2982" s="85"/>
    </row>
    <row r="2983" spans="1:39" hidden="1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470"/>
        <v>84538.4</v>
      </c>
      <c r="X2983" s="6">
        <f t="shared" si="471"/>
        <v>0</v>
      </c>
      <c r="Y2983" s="13">
        <f t="shared" si="465"/>
        <v>0</v>
      </c>
      <c r="Z2983" s="14">
        <v>0</v>
      </c>
      <c r="AA2983" s="6">
        <v>0</v>
      </c>
      <c r="AB2983" s="4">
        <f t="shared" si="466"/>
        <v>0</v>
      </c>
      <c r="AC2983" s="4">
        <f t="shared" si="468"/>
        <v>0</v>
      </c>
      <c r="AD2983" s="6">
        <f t="shared" si="472"/>
        <v>0</v>
      </c>
      <c r="AE2983" s="2">
        <f>VLOOKUP(I2983,[1]媒体政策预估表!A:N,MATCH(O2983,[1]媒体政策预估表!$A$2:$M$2,0),0)</f>
        <v>0.17</v>
      </c>
      <c r="AF2983" s="6">
        <f t="shared" si="469"/>
        <v>0</v>
      </c>
      <c r="AG2983" s="14">
        <v>0</v>
      </c>
      <c r="AH2983" s="64">
        <f t="shared" si="473"/>
        <v>0</v>
      </c>
      <c r="AI2983" s="47"/>
      <c r="AJ2983" s="126" t="e">
        <v>#N/A</v>
      </c>
      <c r="AK2983" s="80">
        <f t="shared" si="467"/>
        <v>0</v>
      </c>
      <c r="AM2983" s="85"/>
    </row>
    <row r="2984" spans="1:39" hidden="1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470"/>
        <v>1661.5</v>
      </c>
      <c r="X2984" s="6">
        <f t="shared" si="471"/>
        <v>0</v>
      </c>
      <c r="Y2984" s="13">
        <f t="shared" si="465"/>
        <v>0</v>
      </c>
      <c r="Z2984" s="14">
        <v>0</v>
      </c>
      <c r="AA2984" s="6">
        <v>0</v>
      </c>
      <c r="AB2984" s="4">
        <f t="shared" si="466"/>
        <v>0</v>
      </c>
      <c r="AC2984" s="4">
        <f t="shared" si="468"/>
        <v>0</v>
      </c>
      <c r="AD2984" s="6">
        <f t="shared" si="472"/>
        <v>0</v>
      </c>
      <c r="AE2984" s="2">
        <f>VLOOKUP(I2984,[1]媒体政策预估表!A:N,MATCH(O2984,[1]媒体政策预估表!$A$2:$M$2,0),0)</f>
        <v>0.17</v>
      </c>
      <c r="AF2984" s="6">
        <f t="shared" si="469"/>
        <v>0</v>
      </c>
      <c r="AG2984" s="14">
        <v>0</v>
      </c>
      <c r="AH2984" s="64">
        <f t="shared" si="473"/>
        <v>0</v>
      </c>
      <c r="AI2984" s="47"/>
      <c r="AJ2984" s="126" t="e">
        <v>#N/A</v>
      </c>
      <c r="AK2984" s="80">
        <f t="shared" si="467"/>
        <v>0</v>
      </c>
      <c r="AM2984" s="85"/>
    </row>
    <row r="2985" spans="1:39" hidden="1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470"/>
        <v>9588.6499999999978</v>
      </c>
      <c r="X2985" s="6">
        <f t="shared" si="471"/>
        <v>0</v>
      </c>
      <c r="Y2985" s="13">
        <f t="shared" si="465"/>
        <v>0</v>
      </c>
      <c r="Z2985" s="14">
        <v>0</v>
      </c>
      <c r="AA2985" s="6">
        <v>0</v>
      </c>
      <c r="AB2985" s="4">
        <f t="shared" si="466"/>
        <v>0</v>
      </c>
      <c r="AC2985" s="4">
        <f t="shared" si="468"/>
        <v>0</v>
      </c>
      <c r="AD2985" s="6">
        <f t="shared" si="472"/>
        <v>0</v>
      </c>
      <c r="AE2985" s="2">
        <f>VLOOKUP(I2985,[1]媒体政策预估表!A:N,MATCH(O2985,[1]媒体政策预估表!$A$2:$M$2,0),0)</f>
        <v>0.17</v>
      </c>
      <c r="AF2985" s="6">
        <f t="shared" si="469"/>
        <v>0</v>
      </c>
      <c r="AG2985" s="14">
        <v>0</v>
      </c>
      <c r="AH2985" s="64">
        <f t="shared" si="473"/>
        <v>0</v>
      </c>
      <c r="AI2985" s="47"/>
      <c r="AJ2985" s="126" t="e">
        <v>#N/A</v>
      </c>
      <c r="AK2985" s="80">
        <f t="shared" si="467"/>
        <v>0</v>
      </c>
      <c r="AM2985" s="85"/>
    </row>
    <row r="2986" spans="1:39" hidden="1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470"/>
        <v>13407.61</v>
      </c>
      <c r="X2986" s="6">
        <f t="shared" si="471"/>
        <v>0</v>
      </c>
      <c r="Y2986" s="13">
        <f t="shared" si="465"/>
        <v>0</v>
      </c>
      <c r="Z2986" s="14">
        <v>0</v>
      </c>
      <c r="AA2986" s="6">
        <v>0</v>
      </c>
      <c r="AB2986" s="4">
        <f t="shared" si="466"/>
        <v>0</v>
      </c>
      <c r="AC2986" s="4">
        <f t="shared" si="468"/>
        <v>0</v>
      </c>
      <c r="AD2986" s="6">
        <f t="shared" si="472"/>
        <v>0</v>
      </c>
      <c r="AE2986" s="2">
        <f>VLOOKUP(I2986,[1]媒体政策预估表!A:N,MATCH(O2986,[1]媒体政策预估表!$A$2:$M$2,0),0)</f>
        <v>0.17</v>
      </c>
      <c r="AF2986" s="6">
        <f t="shared" si="469"/>
        <v>0</v>
      </c>
      <c r="AG2986" s="14">
        <v>0</v>
      </c>
      <c r="AH2986" s="64">
        <f t="shared" si="473"/>
        <v>0</v>
      </c>
      <c r="AI2986" s="47"/>
      <c r="AJ2986" s="126" t="e">
        <v>#N/A</v>
      </c>
      <c r="AK2986" s="80">
        <f t="shared" si="467"/>
        <v>0</v>
      </c>
      <c r="AM2986" s="85"/>
    </row>
    <row r="2987" spans="1:39" hidden="1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470"/>
        <v>-2337</v>
      </c>
      <c r="X2987" s="6">
        <f t="shared" si="471"/>
        <v>1137</v>
      </c>
      <c r="Y2987" s="13">
        <f t="shared" si="465"/>
        <v>0</v>
      </c>
      <c r="Z2987" s="14">
        <v>0</v>
      </c>
      <c r="AA2987" s="6">
        <v>0</v>
      </c>
      <c r="AB2987" s="4">
        <f t="shared" si="466"/>
        <v>1137</v>
      </c>
      <c r="AC2987" s="4">
        <f t="shared" si="468"/>
        <v>0</v>
      </c>
      <c r="AD2987" s="6">
        <f t="shared" si="472"/>
        <v>1137</v>
      </c>
      <c r="AE2987" s="2">
        <f>VLOOKUP(I2987,[1]媒体政策预估表!A:N,MATCH(O2987,[1]媒体政策预估表!$A$2:$M$2,0),0)</f>
        <v>0</v>
      </c>
      <c r="AF2987" s="6">
        <f t="shared" si="469"/>
        <v>0</v>
      </c>
      <c r="AG2987" s="14">
        <v>0</v>
      </c>
      <c r="AH2987" s="64">
        <f t="shared" si="473"/>
        <v>1137</v>
      </c>
      <c r="AI2987" s="47"/>
      <c r="AJ2987" s="126" t="e">
        <v>#N/A</v>
      </c>
      <c r="AK2987" s="80">
        <f t="shared" si="467"/>
        <v>0</v>
      </c>
      <c r="AM2987" s="85"/>
    </row>
    <row r="2988" spans="1:39" hidden="1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470"/>
        <v>-1309</v>
      </c>
      <c r="X2988" s="6">
        <f t="shared" si="471"/>
        <v>0</v>
      </c>
      <c r="Y2988" s="13">
        <f t="shared" si="465"/>
        <v>0</v>
      </c>
      <c r="Z2988" s="14">
        <v>0</v>
      </c>
      <c r="AA2988" s="6">
        <v>0</v>
      </c>
      <c r="AB2988" s="4">
        <f t="shared" si="466"/>
        <v>0</v>
      </c>
      <c r="AC2988" s="4">
        <f t="shared" si="468"/>
        <v>0</v>
      </c>
      <c r="AD2988" s="6">
        <f t="shared" si="472"/>
        <v>0</v>
      </c>
      <c r="AE2988" s="2">
        <f>VLOOKUP(I2988,[1]媒体政策预估表!A:N,MATCH(O2988,[1]媒体政策预估表!$A$2:$M$2,0),0)</f>
        <v>0</v>
      </c>
      <c r="AF2988" s="6">
        <f t="shared" si="469"/>
        <v>0</v>
      </c>
      <c r="AG2988" s="14">
        <v>0</v>
      </c>
      <c r="AH2988" s="64">
        <f t="shared" si="473"/>
        <v>0</v>
      </c>
      <c r="AI2988" s="47"/>
      <c r="AJ2988" s="126" t="e">
        <v>#N/A</v>
      </c>
      <c r="AK2988" s="80">
        <f t="shared" si="467"/>
        <v>0</v>
      </c>
      <c r="AM2988" s="85"/>
    </row>
    <row r="2989" spans="1:39" hidden="1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470"/>
        <v>-6200</v>
      </c>
      <c r="X2989" s="6">
        <f t="shared" si="471"/>
        <v>4200</v>
      </c>
      <c r="Y2989" s="13">
        <f t="shared" si="465"/>
        <v>0</v>
      </c>
      <c r="Z2989" s="14">
        <v>0</v>
      </c>
      <c r="AA2989" s="6">
        <v>0</v>
      </c>
      <c r="AB2989" s="4">
        <f t="shared" si="466"/>
        <v>4200</v>
      </c>
      <c r="AC2989" s="4">
        <f t="shared" si="468"/>
        <v>0</v>
      </c>
      <c r="AD2989" s="6">
        <f t="shared" si="472"/>
        <v>4200</v>
      </c>
      <c r="AE2989" s="2">
        <f>VLOOKUP(I2989,[1]媒体政策预估表!A:N,MATCH(O2989,[1]媒体政策预估表!$A$2:$M$2,0),0)</f>
        <v>0</v>
      </c>
      <c r="AF2989" s="6">
        <f t="shared" si="469"/>
        <v>0</v>
      </c>
      <c r="AG2989" s="14">
        <v>0</v>
      </c>
      <c r="AH2989" s="64">
        <f t="shared" si="473"/>
        <v>4200</v>
      </c>
      <c r="AI2989" s="47"/>
      <c r="AJ2989" s="126" t="e">
        <v>#N/A</v>
      </c>
      <c r="AK2989" s="80">
        <f t="shared" si="467"/>
        <v>0</v>
      </c>
      <c r="AM2989" s="85"/>
    </row>
    <row r="2990" spans="1:39" hidden="1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470"/>
        <v>-18543.88</v>
      </c>
      <c r="X2990" s="6">
        <f t="shared" si="471"/>
        <v>15361.6</v>
      </c>
      <c r="Y2990" s="13">
        <f t="shared" si="465"/>
        <v>0</v>
      </c>
      <c r="Z2990" s="14">
        <v>0</v>
      </c>
      <c r="AA2990" s="6">
        <v>0</v>
      </c>
      <c r="AB2990" s="4">
        <f t="shared" si="466"/>
        <v>15361.6</v>
      </c>
      <c r="AC2990" s="4">
        <f t="shared" si="468"/>
        <v>0</v>
      </c>
      <c r="AD2990" s="6">
        <f t="shared" si="472"/>
        <v>15361.6</v>
      </c>
      <c r="AE2990" s="2">
        <f>VLOOKUP(I2990,[1]媒体政策预估表!A:N,MATCH(O2990,[1]媒体政策预估表!$A$2:$M$2,0),0)</f>
        <v>0</v>
      </c>
      <c r="AF2990" s="6">
        <f t="shared" si="469"/>
        <v>0</v>
      </c>
      <c r="AG2990" s="14">
        <v>0</v>
      </c>
      <c r="AH2990" s="64">
        <f t="shared" si="473"/>
        <v>15361.6</v>
      </c>
      <c r="AI2990" s="47"/>
      <c r="AJ2990" s="126" t="e">
        <v>#N/A</v>
      </c>
      <c r="AK2990" s="80">
        <f t="shared" si="467"/>
        <v>0</v>
      </c>
      <c r="AM2990" s="85"/>
    </row>
    <row r="2991" spans="1:39" hidden="1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470"/>
        <v>-53469.8</v>
      </c>
      <c r="X2991" s="6">
        <f t="shared" si="471"/>
        <v>27821.3</v>
      </c>
      <c r="Y2991" s="13">
        <f t="shared" si="465"/>
        <v>0</v>
      </c>
      <c r="Z2991" s="14">
        <v>0</v>
      </c>
      <c r="AA2991" s="6">
        <v>0</v>
      </c>
      <c r="AB2991" s="4">
        <f t="shared" si="466"/>
        <v>27821.3</v>
      </c>
      <c r="AC2991" s="4">
        <f t="shared" si="468"/>
        <v>0</v>
      </c>
      <c r="AD2991" s="6">
        <f t="shared" si="472"/>
        <v>27821.3</v>
      </c>
      <c r="AE2991" s="2">
        <f>VLOOKUP(I2991,[1]媒体政策预估表!A:N,MATCH(O2991,[1]媒体政策预估表!$A$2:$M$2,0),0)</f>
        <v>0</v>
      </c>
      <c r="AF2991" s="6">
        <f t="shared" si="469"/>
        <v>0</v>
      </c>
      <c r="AG2991" s="14">
        <v>0</v>
      </c>
      <c r="AH2991" s="64">
        <f t="shared" si="473"/>
        <v>27821.3</v>
      </c>
      <c r="AI2991" s="47"/>
      <c r="AJ2991" s="126" t="e">
        <v>#N/A</v>
      </c>
      <c r="AK2991" s="80">
        <f t="shared" si="467"/>
        <v>0</v>
      </c>
      <c r="AM2991" s="85"/>
    </row>
    <row r="2992" spans="1:39" hidden="1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470"/>
        <v>-5048</v>
      </c>
      <c r="X2992" s="6">
        <f t="shared" si="471"/>
        <v>4354</v>
      </c>
      <c r="Y2992" s="13">
        <f t="shared" si="465"/>
        <v>0</v>
      </c>
      <c r="Z2992" s="14">
        <v>0</v>
      </c>
      <c r="AA2992" s="6">
        <v>0</v>
      </c>
      <c r="AB2992" s="4">
        <f t="shared" si="466"/>
        <v>4354</v>
      </c>
      <c r="AC2992" s="4">
        <f t="shared" si="468"/>
        <v>0</v>
      </c>
      <c r="AD2992" s="6">
        <f t="shared" si="472"/>
        <v>4354</v>
      </c>
      <c r="AE2992" s="2">
        <f>VLOOKUP(I2992,[1]媒体政策预估表!A:N,MATCH(O2992,[1]媒体政策预估表!$A$2:$M$2,0),0)</f>
        <v>0</v>
      </c>
      <c r="AF2992" s="6">
        <f t="shared" si="469"/>
        <v>0</v>
      </c>
      <c r="AG2992" s="14">
        <v>0</v>
      </c>
      <c r="AH2992" s="64">
        <f t="shared" si="473"/>
        <v>4354</v>
      </c>
      <c r="AI2992" s="47"/>
      <c r="AJ2992" s="126" t="e">
        <v>#N/A</v>
      </c>
      <c r="AK2992" s="80">
        <f t="shared" si="467"/>
        <v>0</v>
      </c>
      <c r="AM2992" s="85"/>
    </row>
    <row r="2993" spans="1:39" hidden="1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470"/>
        <v>-3717</v>
      </c>
      <c r="X2993" s="6">
        <f t="shared" si="471"/>
        <v>2212</v>
      </c>
      <c r="Y2993" s="13">
        <f t="shared" si="465"/>
        <v>0</v>
      </c>
      <c r="Z2993" s="14">
        <v>0</v>
      </c>
      <c r="AA2993" s="6">
        <v>0</v>
      </c>
      <c r="AB2993" s="4">
        <f t="shared" si="466"/>
        <v>2212</v>
      </c>
      <c r="AC2993" s="4">
        <f t="shared" si="468"/>
        <v>0</v>
      </c>
      <c r="AD2993" s="6">
        <f t="shared" si="472"/>
        <v>2212</v>
      </c>
      <c r="AE2993" s="2">
        <f>VLOOKUP(I2993,[1]媒体政策预估表!A:N,MATCH(O2993,[1]媒体政策预估表!$A$2:$M$2,0),0)</f>
        <v>0</v>
      </c>
      <c r="AF2993" s="6">
        <f t="shared" si="469"/>
        <v>0</v>
      </c>
      <c r="AG2993" s="14">
        <v>0</v>
      </c>
      <c r="AH2993" s="64">
        <f t="shared" si="473"/>
        <v>2212</v>
      </c>
      <c r="AI2993" s="47"/>
      <c r="AJ2993" s="126" t="e">
        <v>#N/A</v>
      </c>
      <c r="AK2993" s="80">
        <f t="shared" si="467"/>
        <v>0</v>
      </c>
      <c r="AM2993" s="85"/>
    </row>
    <row r="2994" spans="1:39" hidden="1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470"/>
        <v>-8320</v>
      </c>
      <c r="X2994" s="6">
        <f t="shared" si="471"/>
        <v>5720</v>
      </c>
      <c r="Y2994" s="13">
        <f t="shared" si="465"/>
        <v>0</v>
      </c>
      <c r="Z2994" s="14">
        <v>0</v>
      </c>
      <c r="AA2994" s="6">
        <v>0</v>
      </c>
      <c r="AB2994" s="4">
        <f t="shared" si="466"/>
        <v>5720</v>
      </c>
      <c r="AC2994" s="4">
        <f t="shared" si="468"/>
        <v>0</v>
      </c>
      <c r="AD2994" s="6">
        <f t="shared" si="472"/>
        <v>5720</v>
      </c>
      <c r="AE2994" s="2">
        <f>VLOOKUP(I2994,[1]媒体政策预估表!A:N,MATCH(O2994,[1]媒体政策预估表!$A$2:$M$2,0),0)</f>
        <v>0</v>
      </c>
      <c r="AF2994" s="6">
        <f t="shared" si="469"/>
        <v>0</v>
      </c>
      <c r="AG2994" s="14">
        <v>0</v>
      </c>
      <c r="AH2994" s="64">
        <f t="shared" si="473"/>
        <v>5720</v>
      </c>
      <c r="AI2994" s="47"/>
      <c r="AJ2994" s="126" t="e">
        <v>#N/A</v>
      </c>
      <c r="AK2994" s="80">
        <f t="shared" si="467"/>
        <v>0</v>
      </c>
      <c r="AM2994" s="85"/>
    </row>
    <row r="2995" spans="1:39" hidden="1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470"/>
        <v>-9948.5</v>
      </c>
      <c r="X2995" s="6">
        <f t="shared" si="471"/>
        <v>0</v>
      </c>
      <c r="Y2995" s="13">
        <f t="shared" si="465"/>
        <v>0</v>
      </c>
      <c r="Z2995" s="14">
        <v>0</v>
      </c>
      <c r="AA2995" s="6">
        <v>0</v>
      </c>
      <c r="AB2995" s="4">
        <f t="shared" si="466"/>
        <v>0</v>
      </c>
      <c r="AC2995" s="4">
        <f t="shared" si="468"/>
        <v>0</v>
      </c>
      <c r="AD2995" s="6">
        <f t="shared" si="472"/>
        <v>0</v>
      </c>
      <c r="AE2995" s="2">
        <f>VLOOKUP(I2995,[1]媒体政策预估表!A:N,MATCH(O2995,[1]媒体政策预估表!$A$2:$M$2,0),0)</f>
        <v>0</v>
      </c>
      <c r="AF2995" s="6">
        <f t="shared" si="469"/>
        <v>0</v>
      </c>
      <c r="AG2995" s="14">
        <v>0</v>
      </c>
      <c r="AH2995" s="64">
        <f t="shared" si="473"/>
        <v>0</v>
      </c>
      <c r="AI2995" s="47"/>
      <c r="AJ2995" s="126" t="e">
        <v>#N/A</v>
      </c>
      <c r="AK2995" s="80">
        <f t="shared" si="467"/>
        <v>0</v>
      </c>
      <c r="AM2995" s="85"/>
    </row>
    <row r="2996" spans="1:39" hidden="1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470"/>
        <v>-11408</v>
      </c>
      <c r="X2996" s="6">
        <f t="shared" si="471"/>
        <v>0</v>
      </c>
      <c r="Y2996" s="13">
        <f t="shared" si="465"/>
        <v>0</v>
      </c>
      <c r="Z2996" s="14">
        <v>0</v>
      </c>
      <c r="AA2996" s="6">
        <v>0</v>
      </c>
      <c r="AB2996" s="4">
        <f t="shared" si="466"/>
        <v>0</v>
      </c>
      <c r="AC2996" s="4">
        <f t="shared" si="468"/>
        <v>0</v>
      </c>
      <c r="AD2996" s="6">
        <f t="shared" si="472"/>
        <v>0</v>
      </c>
      <c r="AE2996" s="2">
        <f>VLOOKUP(I2996,[1]媒体政策预估表!A:N,MATCH(O2996,[1]媒体政策预估表!$A$2:$M$2,0),0)</f>
        <v>0</v>
      </c>
      <c r="AF2996" s="6">
        <f t="shared" si="469"/>
        <v>0</v>
      </c>
      <c r="AG2996" s="14">
        <v>0</v>
      </c>
      <c r="AH2996" s="64">
        <f t="shared" si="473"/>
        <v>0</v>
      </c>
      <c r="AI2996" s="47"/>
      <c r="AJ2996" s="126" t="e">
        <v>#N/A</v>
      </c>
      <c r="AK2996" s="80">
        <f t="shared" si="467"/>
        <v>0</v>
      </c>
      <c r="AM2996" s="85"/>
    </row>
    <row r="2997" spans="1:39" hidden="1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470"/>
        <v>-507</v>
      </c>
      <c r="X2997" s="6">
        <f t="shared" si="471"/>
        <v>0</v>
      </c>
      <c r="Y2997" s="13">
        <f t="shared" si="465"/>
        <v>0</v>
      </c>
      <c r="Z2997" s="14">
        <v>0</v>
      </c>
      <c r="AA2997" s="6">
        <v>0</v>
      </c>
      <c r="AB2997" s="4">
        <f t="shared" si="466"/>
        <v>0</v>
      </c>
      <c r="AC2997" s="4">
        <f t="shared" si="468"/>
        <v>0</v>
      </c>
      <c r="AD2997" s="6">
        <f t="shared" si="472"/>
        <v>0</v>
      </c>
      <c r="AE2997" s="2">
        <f>VLOOKUP(I2997,[1]媒体政策预估表!A:N,MATCH(O2997,[1]媒体政策预估表!$A$2:$M$2,0),0)</f>
        <v>0</v>
      </c>
      <c r="AF2997" s="6">
        <f t="shared" si="469"/>
        <v>0</v>
      </c>
      <c r="AG2997" s="14">
        <v>0</v>
      </c>
      <c r="AH2997" s="64">
        <f t="shared" si="473"/>
        <v>0</v>
      </c>
      <c r="AI2997" s="47"/>
      <c r="AJ2997" s="126" t="e">
        <v>#N/A</v>
      </c>
      <c r="AK2997" s="80">
        <f t="shared" si="467"/>
        <v>0</v>
      </c>
      <c r="AM2997" s="85"/>
    </row>
    <row r="2998" spans="1:39" hidden="1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470"/>
        <v>-56635</v>
      </c>
      <c r="X2998" s="6">
        <f t="shared" si="471"/>
        <v>45588</v>
      </c>
      <c r="Y2998" s="13">
        <f t="shared" si="465"/>
        <v>0</v>
      </c>
      <c r="Z2998" s="14">
        <v>0</v>
      </c>
      <c r="AA2998" s="6">
        <v>0</v>
      </c>
      <c r="AB2998" s="4">
        <f t="shared" si="466"/>
        <v>45588</v>
      </c>
      <c r="AC2998" s="4">
        <f t="shared" si="468"/>
        <v>0</v>
      </c>
      <c r="AD2998" s="6">
        <f t="shared" si="472"/>
        <v>45588</v>
      </c>
      <c r="AE2998" s="2">
        <f>VLOOKUP(I2998,[1]媒体政策预估表!A:N,MATCH(O2998,[1]媒体政策预估表!$A$2:$M$2,0),0)</f>
        <v>0</v>
      </c>
      <c r="AF2998" s="6">
        <f t="shared" si="469"/>
        <v>0</v>
      </c>
      <c r="AG2998" s="14">
        <v>0</v>
      </c>
      <c r="AH2998" s="64">
        <f t="shared" si="473"/>
        <v>45588</v>
      </c>
      <c r="AI2998" s="47"/>
      <c r="AJ2998" s="126" t="e">
        <v>#N/A</v>
      </c>
      <c r="AK2998" s="80">
        <f t="shared" si="467"/>
        <v>0</v>
      </c>
      <c r="AM2998" s="85"/>
    </row>
    <row r="2999" spans="1:39" hidden="1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470"/>
        <v>-989</v>
      </c>
      <c r="X2999" s="6">
        <f t="shared" si="471"/>
        <v>0</v>
      </c>
      <c r="Y2999" s="13">
        <f t="shared" si="465"/>
        <v>0</v>
      </c>
      <c r="Z2999" s="14">
        <v>0</v>
      </c>
      <c r="AA2999" s="6">
        <v>0</v>
      </c>
      <c r="AB2999" s="4">
        <f t="shared" si="466"/>
        <v>0</v>
      </c>
      <c r="AC2999" s="4">
        <f t="shared" si="468"/>
        <v>0</v>
      </c>
      <c r="AD2999" s="6">
        <f t="shared" si="472"/>
        <v>0</v>
      </c>
      <c r="AE2999" s="2">
        <f>VLOOKUP(I2999,[1]媒体政策预估表!A:N,MATCH(O2999,[1]媒体政策预估表!$A$2:$M$2,0),0)</f>
        <v>0</v>
      </c>
      <c r="AF2999" s="6">
        <f t="shared" si="469"/>
        <v>0</v>
      </c>
      <c r="AG2999" s="14">
        <v>0</v>
      </c>
      <c r="AH2999" s="64">
        <f t="shared" si="473"/>
        <v>0</v>
      </c>
      <c r="AI2999" s="47"/>
      <c r="AJ2999" s="126" t="e">
        <v>#N/A</v>
      </c>
      <c r="AK2999" s="80">
        <f t="shared" si="467"/>
        <v>0</v>
      </c>
      <c r="AM2999" s="85"/>
    </row>
    <row r="3000" spans="1:39" hidden="1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470"/>
        <v>-400</v>
      </c>
      <c r="X3000" s="6">
        <f t="shared" si="471"/>
        <v>0</v>
      </c>
      <c r="Y3000" s="13">
        <f t="shared" si="465"/>
        <v>0</v>
      </c>
      <c r="Z3000" s="14">
        <v>0</v>
      </c>
      <c r="AA3000" s="6">
        <v>0</v>
      </c>
      <c r="AB3000" s="4">
        <f t="shared" si="466"/>
        <v>0</v>
      </c>
      <c r="AC3000" s="4">
        <f t="shared" si="468"/>
        <v>0</v>
      </c>
      <c r="AD3000" s="6">
        <f t="shared" si="472"/>
        <v>0</v>
      </c>
      <c r="AE3000" s="2">
        <f>VLOOKUP(I3000,[1]媒体政策预估表!A:N,MATCH(O3000,[1]媒体政策预估表!$A$2:$M$2,0),0)</f>
        <v>0</v>
      </c>
      <c r="AF3000" s="6">
        <f t="shared" si="469"/>
        <v>0</v>
      </c>
      <c r="AG3000" s="14">
        <v>0</v>
      </c>
      <c r="AH3000" s="64">
        <f t="shared" si="473"/>
        <v>0</v>
      </c>
      <c r="AI3000" s="47"/>
      <c r="AJ3000" s="126" t="e">
        <v>#N/A</v>
      </c>
      <c r="AK3000" s="80">
        <f t="shared" si="467"/>
        <v>0</v>
      </c>
      <c r="AM3000" s="85"/>
    </row>
    <row r="3001" spans="1:39" hidden="1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470"/>
        <v>-4507</v>
      </c>
      <c r="X3001" s="6">
        <f t="shared" si="471"/>
        <v>3325</v>
      </c>
      <c r="Y3001" s="13">
        <f t="shared" si="465"/>
        <v>0</v>
      </c>
      <c r="Z3001" s="14">
        <v>0</v>
      </c>
      <c r="AA3001" s="6">
        <v>0</v>
      </c>
      <c r="AB3001" s="4">
        <f t="shared" si="466"/>
        <v>3325</v>
      </c>
      <c r="AC3001" s="4">
        <f t="shared" si="468"/>
        <v>0</v>
      </c>
      <c r="AD3001" s="6">
        <f t="shared" si="472"/>
        <v>3325</v>
      </c>
      <c r="AE3001" s="2">
        <f>VLOOKUP(I3001,[1]媒体政策预估表!A:N,MATCH(O3001,[1]媒体政策预估表!$A$2:$M$2,0),0)</f>
        <v>0</v>
      </c>
      <c r="AF3001" s="6">
        <f t="shared" si="469"/>
        <v>0</v>
      </c>
      <c r="AG3001" s="14">
        <v>0</v>
      </c>
      <c r="AH3001" s="64">
        <f t="shared" si="473"/>
        <v>3325</v>
      </c>
      <c r="AI3001" s="47"/>
      <c r="AJ3001" s="126" t="e">
        <v>#N/A</v>
      </c>
      <c r="AK3001" s="80">
        <f t="shared" si="467"/>
        <v>0</v>
      </c>
      <c r="AM3001" s="85"/>
    </row>
    <row r="3002" spans="1:39" hidden="1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470"/>
        <v>-8292</v>
      </c>
      <c r="X3002" s="6">
        <f t="shared" si="471"/>
        <v>5692</v>
      </c>
      <c r="Y3002" s="13">
        <f t="shared" si="465"/>
        <v>0</v>
      </c>
      <c r="Z3002" s="14">
        <v>0</v>
      </c>
      <c r="AA3002" s="6">
        <v>0</v>
      </c>
      <c r="AB3002" s="4">
        <f t="shared" si="466"/>
        <v>5692</v>
      </c>
      <c r="AC3002" s="4">
        <f t="shared" si="468"/>
        <v>0</v>
      </c>
      <c r="AD3002" s="6">
        <f t="shared" si="472"/>
        <v>5692</v>
      </c>
      <c r="AE3002" s="2">
        <f>VLOOKUP(I3002,[1]媒体政策预估表!A:N,MATCH(O3002,[1]媒体政策预估表!$A$2:$M$2,0),0)</f>
        <v>0</v>
      </c>
      <c r="AF3002" s="6">
        <f t="shared" si="469"/>
        <v>0</v>
      </c>
      <c r="AG3002" s="14">
        <v>0</v>
      </c>
      <c r="AH3002" s="64">
        <f t="shared" si="473"/>
        <v>5692</v>
      </c>
      <c r="AI3002" s="47"/>
      <c r="AJ3002" s="126" t="e">
        <v>#N/A</v>
      </c>
      <c r="AK3002" s="80">
        <f t="shared" si="467"/>
        <v>0</v>
      </c>
      <c r="AM3002" s="85"/>
    </row>
    <row r="3003" spans="1:39" hidden="1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470"/>
        <v>-1800</v>
      </c>
      <c r="X3003" s="6">
        <f t="shared" si="471"/>
        <v>0</v>
      </c>
      <c r="Y3003" s="13">
        <f t="shared" si="465"/>
        <v>0</v>
      </c>
      <c r="Z3003" s="14">
        <v>0</v>
      </c>
      <c r="AA3003" s="6">
        <v>0</v>
      </c>
      <c r="AB3003" s="4">
        <f t="shared" si="466"/>
        <v>0</v>
      </c>
      <c r="AC3003" s="4">
        <f t="shared" si="468"/>
        <v>0</v>
      </c>
      <c r="AD3003" s="6">
        <f t="shared" si="472"/>
        <v>0</v>
      </c>
      <c r="AE3003" s="2">
        <f>VLOOKUP(I3003,[1]媒体政策预估表!A:N,MATCH(O3003,[1]媒体政策预估表!$A$2:$M$2,0),0)</f>
        <v>0</v>
      </c>
      <c r="AF3003" s="6">
        <f t="shared" si="469"/>
        <v>0</v>
      </c>
      <c r="AG3003" s="14">
        <v>0</v>
      </c>
      <c r="AH3003" s="64">
        <f t="shared" si="473"/>
        <v>0</v>
      </c>
      <c r="AI3003" s="47"/>
      <c r="AJ3003" s="126" t="e">
        <v>#N/A</v>
      </c>
      <c r="AK3003" s="80">
        <f t="shared" si="467"/>
        <v>0</v>
      </c>
      <c r="AM3003" s="85"/>
    </row>
    <row r="3004" spans="1:39" hidden="1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470"/>
        <v>-195169</v>
      </c>
      <c r="X3004" s="6">
        <f t="shared" si="471"/>
        <v>0</v>
      </c>
      <c r="Y3004" s="13">
        <f t="shared" si="465"/>
        <v>0</v>
      </c>
      <c r="Z3004" s="14">
        <v>0</v>
      </c>
      <c r="AA3004" s="6">
        <v>0</v>
      </c>
      <c r="AB3004" s="4">
        <f t="shared" si="466"/>
        <v>0</v>
      </c>
      <c r="AC3004" s="4">
        <f t="shared" si="468"/>
        <v>0</v>
      </c>
      <c r="AD3004" s="6">
        <f t="shared" si="472"/>
        <v>0</v>
      </c>
      <c r="AE3004" s="2">
        <f>VLOOKUP(I3004,[1]媒体政策预估表!A:N,MATCH(O3004,[1]媒体政策预估表!$A$2:$M$2,0),0)</f>
        <v>0</v>
      </c>
      <c r="AF3004" s="6">
        <f t="shared" si="469"/>
        <v>0</v>
      </c>
      <c r="AG3004" s="14">
        <v>0</v>
      </c>
      <c r="AH3004" s="64">
        <f t="shared" si="473"/>
        <v>0</v>
      </c>
      <c r="AI3004" s="47"/>
      <c r="AJ3004" s="126" t="e">
        <v>#N/A</v>
      </c>
      <c r="AK3004" s="80">
        <f t="shared" si="467"/>
        <v>0</v>
      </c>
      <c r="AM3004" s="85"/>
    </row>
    <row r="3005" spans="1:39" hidden="1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470"/>
        <v>-400</v>
      </c>
      <c r="X3005" s="6">
        <f t="shared" si="471"/>
        <v>0</v>
      </c>
      <c r="Y3005" s="13">
        <f t="shared" si="465"/>
        <v>0</v>
      </c>
      <c r="Z3005" s="14">
        <v>0</v>
      </c>
      <c r="AA3005" s="6">
        <v>0</v>
      </c>
      <c r="AB3005" s="4"/>
      <c r="AC3005" s="4">
        <f t="shared" si="468"/>
        <v>0</v>
      </c>
      <c r="AD3005" s="6">
        <f t="shared" si="472"/>
        <v>0</v>
      </c>
      <c r="AE3005" s="2">
        <f>VLOOKUP(I3005,[1]媒体政策预估表!A:N,MATCH(O3005,[1]媒体政策预估表!$A$2:$M$2,0),0)</f>
        <v>0</v>
      </c>
      <c r="AF3005" s="6">
        <f t="shared" si="469"/>
        <v>0</v>
      </c>
      <c r="AG3005" s="14">
        <v>0</v>
      </c>
      <c r="AH3005" s="64">
        <f t="shared" si="473"/>
        <v>0</v>
      </c>
      <c r="AI3005" s="47"/>
      <c r="AJ3005" s="126" t="s">
        <v>4217</v>
      </c>
      <c r="AK3005" s="80">
        <f t="shared" si="467"/>
        <v>0</v>
      </c>
      <c r="AM3005" s="85"/>
    </row>
    <row r="3006" spans="1:39" hidden="1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470"/>
        <v>-1586</v>
      </c>
      <c r="X3006" s="6">
        <f t="shared" si="471"/>
        <v>0</v>
      </c>
      <c r="Y3006" s="13">
        <f t="shared" si="465"/>
        <v>0</v>
      </c>
      <c r="Z3006" s="14">
        <v>0</v>
      </c>
      <c r="AA3006" s="6">
        <v>0</v>
      </c>
      <c r="AB3006" s="4">
        <f t="shared" si="466"/>
        <v>0</v>
      </c>
      <c r="AC3006" s="4">
        <f t="shared" si="468"/>
        <v>0</v>
      </c>
      <c r="AD3006" s="6">
        <f t="shared" si="472"/>
        <v>0</v>
      </c>
      <c r="AE3006" s="2">
        <f>VLOOKUP(I3006,[1]媒体政策预估表!A:N,MATCH(O3006,[1]媒体政策预估表!$A$2:$M$2,0),0)</f>
        <v>0</v>
      </c>
      <c r="AF3006" s="6">
        <f t="shared" si="469"/>
        <v>0</v>
      </c>
      <c r="AG3006" s="14">
        <v>0</v>
      </c>
      <c r="AH3006" s="64">
        <f t="shared" si="473"/>
        <v>0</v>
      </c>
      <c r="AI3006" s="47"/>
      <c r="AJ3006" s="126" t="e">
        <v>#N/A</v>
      </c>
      <c r="AK3006" s="80">
        <f t="shared" si="467"/>
        <v>0</v>
      </c>
      <c r="AM3006" s="85"/>
    </row>
    <row r="3007" spans="1:39" hidden="1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470"/>
        <v>-1000</v>
      </c>
      <c r="X3007" s="6">
        <f t="shared" si="471"/>
        <v>0</v>
      </c>
      <c r="Y3007" s="13">
        <f t="shared" si="465"/>
        <v>0</v>
      </c>
      <c r="Z3007" s="14">
        <v>0</v>
      </c>
      <c r="AA3007" s="6">
        <v>0</v>
      </c>
      <c r="AB3007" s="4">
        <f t="shared" si="466"/>
        <v>0</v>
      </c>
      <c r="AC3007" s="4">
        <f t="shared" si="468"/>
        <v>0</v>
      </c>
      <c r="AD3007" s="6">
        <f t="shared" si="472"/>
        <v>0</v>
      </c>
      <c r="AE3007" s="2">
        <f>VLOOKUP(I3007,[1]媒体政策预估表!A:N,MATCH(O3007,[1]媒体政策预估表!$A$2:$M$2,0),0)</f>
        <v>0</v>
      </c>
      <c r="AF3007" s="6">
        <f t="shared" si="469"/>
        <v>0</v>
      </c>
      <c r="AG3007" s="14">
        <v>0</v>
      </c>
      <c r="AH3007" s="64">
        <f t="shared" si="473"/>
        <v>0</v>
      </c>
      <c r="AI3007" s="47"/>
      <c r="AJ3007" s="126" t="e">
        <v>#N/A</v>
      </c>
      <c r="AK3007" s="80">
        <f t="shared" si="467"/>
        <v>0</v>
      </c>
      <c r="AM3007" s="85"/>
    </row>
    <row r="3008" spans="1:39" hidden="1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470"/>
        <v>-5275.1</v>
      </c>
      <c r="X3008" s="6">
        <f t="shared" si="471"/>
        <v>3988.1</v>
      </c>
      <c r="Y3008" s="13">
        <f t="shared" si="465"/>
        <v>0</v>
      </c>
      <c r="Z3008" s="14">
        <v>0</v>
      </c>
      <c r="AA3008" s="6">
        <v>0</v>
      </c>
      <c r="AB3008" s="4">
        <f t="shared" si="466"/>
        <v>3988.1</v>
      </c>
      <c r="AC3008" s="4">
        <f t="shared" si="468"/>
        <v>0</v>
      </c>
      <c r="AD3008" s="6">
        <f t="shared" si="472"/>
        <v>3988.1</v>
      </c>
      <c r="AE3008" s="2">
        <f>VLOOKUP(I3008,[1]媒体政策预估表!A:N,MATCH(O3008,[1]媒体政策预估表!$A$2:$M$2,0),0)</f>
        <v>0</v>
      </c>
      <c r="AF3008" s="6">
        <f t="shared" si="469"/>
        <v>0</v>
      </c>
      <c r="AG3008" s="14">
        <v>0</v>
      </c>
      <c r="AH3008" s="64">
        <f t="shared" si="473"/>
        <v>3988.1</v>
      </c>
      <c r="AI3008" s="47"/>
      <c r="AJ3008" s="126" t="e">
        <v>#N/A</v>
      </c>
      <c r="AK3008" s="80">
        <f t="shared" si="467"/>
        <v>0</v>
      </c>
      <c r="AM3008" s="85"/>
    </row>
    <row r="3009" spans="1:39" hidden="1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470"/>
        <v>-3500</v>
      </c>
      <c r="X3009" s="6">
        <f t="shared" si="471"/>
        <v>0</v>
      </c>
      <c r="Y3009" s="13">
        <f t="shared" si="465"/>
        <v>0</v>
      </c>
      <c r="Z3009" s="14">
        <v>0</v>
      </c>
      <c r="AA3009" s="6">
        <v>0</v>
      </c>
      <c r="AB3009" s="4">
        <f t="shared" si="466"/>
        <v>0</v>
      </c>
      <c r="AC3009" s="4">
        <f t="shared" si="468"/>
        <v>0</v>
      </c>
      <c r="AD3009" s="6">
        <f t="shared" si="472"/>
        <v>0</v>
      </c>
      <c r="AE3009" s="2">
        <f>VLOOKUP(I3009,[1]媒体政策预估表!A:N,MATCH(O3009,[1]媒体政策预估表!$A$2:$M$2,0),0)</f>
        <v>0</v>
      </c>
      <c r="AF3009" s="6">
        <f t="shared" si="469"/>
        <v>0</v>
      </c>
      <c r="AG3009" s="14">
        <v>0</v>
      </c>
      <c r="AH3009" s="64">
        <f t="shared" si="473"/>
        <v>0</v>
      </c>
      <c r="AI3009" s="47"/>
      <c r="AJ3009" s="126" t="e">
        <v>#N/A</v>
      </c>
      <c r="AK3009" s="80">
        <f t="shared" si="467"/>
        <v>0</v>
      </c>
      <c r="AM3009" s="85"/>
    </row>
    <row r="3010" spans="1:39" hidden="1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470"/>
        <v>-1010.5</v>
      </c>
      <c r="X3010" s="6">
        <f t="shared" si="471"/>
        <v>0</v>
      </c>
      <c r="Y3010" s="13">
        <f t="shared" si="465"/>
        <v>0</v>
      </c>
      <c r="Z3010" s="14">
        <v>0</v>
      </c>
      <c r="AA3010" s="6">
        <v>0</v>
      </c>
      <c r="AB3010" s="4">
        <f t="shared" si="466"/>
        <v>0</v>
      </c>
      <c r="AC3010" s="4">
        <f t="shared" si="468"/>
        <v>0</v>
      </c>
      <c r="AD3010" s="6">
        <f t="shared" si="472"/>
        <v>0</v>
      </c>
      <c r="AE3010" s="2">
        <f>VLOOKUP(I3010,[1]媒体政策预估表!A:N,MATCH(O3010,[1]媒体政策预估表!$A$2:$M$2,0),0)</f>
        <v>0</v>
      </c>
      <c r="AF3010" s="6">
        <f t="shared" si="469"/>
        <v>0</v>
      </c>
      <c r="AG3010" s="14">
        <v>0</v>
      </c>
      <c r="AH3010" s="64">
        <f t="shared" si="473"/>
        <v>0</v>
      </c>
      <c r="AI3010" s="47"/>
      <c r="AJ3010" s="126" t="e">
        <v>#N/A</v>
      </c>
      <c r="AK3010" s="80">
        <f t="shared" si="467"/>
        <v>0</v>
      </c>
      <c r="AM3010" s="85"/>
    </row>
    <row r="3011" spans="1:39" hidden="1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470"/>
        <v>-12669</v>
      </c>
      <c r="X3011" s="6">
        <f t="shared" si="471"/>
        <v>0</v>
      </c>
      <c r="Y3011" s="13">
        <f t="shared" ref="Y3011:Y3074" si="474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475">X3011+AA3011</f>
        <v>0</v>
      </c>
      <c r="AC3011" s="4">
        <f t="shared" si="468"/>
        <v>0</v>
      </c>
      <c r="AD3011" s="6">
        <f t="shared" si="472"/>
        <v>0</v>
      </c>
      <c r="AE3011" s="2">
        <f>VLOOKUP(I3011,[1]媒体政策预估表!A:N,MATCH(O3011,[1]媒体政策预估表!$A$2:$M$2,0),0)</f>
        <v>0</v>
      </c>
      <c r="AF3011" s="6">
        <f t="shared" si="469"/>
        <v>0</v>
      </c>
      <c r="AG3011" s="14">
        <v>0</v>
      </c>
      <c r="AH3011" s="64">
        <f t="shared" si="473"/>
        <v>0</v>
      </c>
      <c r="AI3011" s="47"/>
      <c r="AJ3011" s="126" t="e">
        <v>#N/A</v>
      </c>
      <c r="AK3011" s="80">
        <f t="shared" ref="AK3011:AK3074" si="476">X3011+AA3011-AB3011</f>
        <v>0</v>
      </c>
      <c r="AM3011" s="85"/>
    </row>
    <row r="3012" spans="1:39" hidden="1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470"/>
        <v>-159908.83000000002</v>
      </c>
      <c r="X3012" s="6">
        <f t="shared" si="471"/>
        <v>66186.92</v>
      </c>
      <c r="Y3012" s="13">
        <f t="shared" si="474"/>
        <v>0</v>
      </c>
      <c r="Z3012" s="14">
        <v>0</v>
      </c>
      <c r="AA3012" s="6">
        <v>0</v>
      </c>
      <c r="AB3012" s="4">
        <f t="shared" si="475"/>
        <v>66186.92</v>
      </c>
      <c r="AC3012" s="4">
        <f t="shared" si="468"/>
        <v>0</v>
      </c>
      <c r="AD3012" s="6">
        <f t="shared" si="472"/>
        <v>66186.92</v>
      </c>
      <c r="AE3012" s="2">
        <f>VLOOKUP(I3012,[1]媒体政策预估表!A:N,MATCH(O3012,[1]媒体政策预估表!$A$2:$M$2,0),0)</f>
        <v>0</v>
      </c>
      <c r="AF3012" s="6">
        <f t="shared" si="469"/>
        <v>0</v>
      </c>
      <c r="AG3012" s="14">
        <v>0</v>
      </c>
      <c r="AH3012" s="64">
        <f t="shared" si="473"/>
        <v>66186.92</v>
      </c>
      <c r="AI3012" s="47"/>
      <c r="AJ3012" s="126" t="e">
        <v>#N/A</v>
      </c>
      <c r="AK3012" s="80">
        <f t="shared" si="476"/>
        <v>0</v>
      </c>
      <c r="AM3012" s="85"/>
    </row>
    <row r="3013" spans="1:39" hidden="1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470"/>
        <v>-1910</v>
      </c>
      <c r="X3013" s="6">
        <f t="shared" si="471"/>
        <v>0</v>
      </c>
      <c r="Y3013" s="13">
        <f t="shared" si="474"/>
        <v>0</v>
      </c>
      <c r="Z3013" s="14">
        <v>0</v>
      </c>
      <c r="AA3013" s="6">
        <v>0</v>
      </c>
      <c r="AB3013" s="4">
        <f t="shared" si="475"/>
        <v>0</v>
      </c>
      <c r="AC3013" s="4">
        <f t="shared" si="468"/>
        <v>0</v>
      </c>
      <c r="AD3013" s="6">
        <f t="shared" si="472"/>
        <v>0</v>
      </c>
      <c r="AE3013" s="2">
        <f>VLOOKUP(I3013,[1]媒体政策预估表!A:N,MATCH(O3013,[1]媒体政策预估表!$A$2:$M$2,0),0)</f>
        <v>0</v>
      </c>
      <c r="AF3013" s="6">
        <f t="shared" si="469"/>
        <v>0</v>
      </c>
      <c r="AG3013" s="14">
        <v>0</v>
      </c>
      <c r="AH3013" s="64">
        <f t="shared" si="473"/>
        <v>0</v>
      </c>
      <c r="AI3013" s="47"/>
      <c r="AJ3013" s="126" t="e">
        <v>#N/A</v>
      </c>
      <c r="AK3013" s="80">
        <f t="shared" si="476"/>
        <v>0</v>
      </c>
      <c r="AM3013" s="85"/>
    </row>
    <row r="3014" spans="1:39" hidden="1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470"/>
        <v>-200</v>
      </c>
      <c r="X3014" s="6">
        <f t="shared" si="471"/>
        <v>0</v>
      </c>
      <c r="Y3014" s="13">
        <f t="shared" si="474"/>
        <v>0</v>
      </c>
      <c r="Z3014" s="14">
        <v>0</v>
      </c>
      <c r="AA3014" s="6">
        <v>0</v>
      </c>
      <c r="AB3014" s="4">
        <f t="shared" si="475"/>
        <v>0</v>
      </c>
      <c r="AC3014" s="4">
        <f t="shared" si="468"/>
        <v>0</v>
      </c>
      <c r="AD3014" s="6">
        <f t="shared" si="472"/>
        <v>0</v>
      </c>
      <c r="AE3014" s="2">
        <f>VLOOKUP(I3014,[1]媒体政策预估表!A:N,MATCH(O3014,[1]媒体政策预估表!$A$2:$M$2,0),0)</f>
        <v>0</v>
      </c>
      <c r="AF3014" s="6">
        <f t="shared" si="469"/>
        <v>0</v>
      </c>
      <c r="AG3014" s="14">
        <v>0</v>
      </c>
      <c r="AH3014" s="64">
        <f t="shared" si="473"/>
        <v>0</v>
      </c>
      <c r="AI3014" s="47"/>
      <c r="AJ3014" s="126" t="e">
        <v>#N/A</v>
      </c>
      <c r="AK3014" s="80">
        <f t="shared" si="476"/>
        <v>0</v>
      </c>
      <c r="AM3014" s="85"/>
    </row>
    <row r="3015" spans="1:39" hidden="1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470"/>
        <v>-257.41000000000003</v>
      </c>
      <c r="X3015" s="6">
        <f t="shared" si="471"/>
        <v>252.36274509803923</v>
      </c>
      <c r="Y3015" s="13">
        <f t="shared" si="474"/>
        <v>0</v>
      </c>
      <c r="Z3015" s="14">
        <v>0</v>
      </c>
      <c r="AA3015" s="6">
        <v>0</v>
      </c>
      <c r="AB3015" s="4">
        <f t="shared" si="475"/>
        <v>252.36274509803923</v>
      </c>
      <c r="AC3015" s="4">
        <f t="shared" si="468"/>
        <v>5.0472549019607982</v>
      </c>
      <c r="AD3015" s="6">
        <f t="shared" si="472"/>
        <v>257.41000000000003</v>
      </c>
      <c r="AE3015" s="2">
        <f>VLOOKUP(I3015,[1]媒体政策预估表!A:N,MATCH(O3015,[1]媒体政策预估表!$A$2:$M$2,0),0)</f>
        <v>0</v>
      </c>
      <c r="AF3015" s="6">
        <f t="shared" si="469"/>
        <v>0</v>
      </c>
      <c r="AG3015" s="14">
        <v>0</v>
      </c>
      <c r="AH3015" s="64">
        <f t="shared" si="473"/>
        <v>257.41000000000003</v>
      </c>
      <c r="AI3015" s="47"/>
      <c r="AJ3015" s="126" t="e">
        <v>#N/A</v>
      </c>
      <c r="AK3015" s="80">
        <f t="shared" si="476"/>
        <v>0</v>
      </c>
      <c r="AM3015" s="85"/>
    </row>
    <row r="3016" spans="1:39" hidden="1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470"/>
        <v>-1400</v>
      </c>
      <c r="X3016" s="6">
        <f t="shared" si="471"/>
        <v>1400</v>
      </c>
      <c r="Y3016" s="13">
        <f t="shared" si="474"/>
        <v>0</v>
      </c>
      <c r="Z3016" s="14">
        <v>0</v>
      </c>
      <c r="AA3016" s="6">
        <v>0</v>
      </c>
      <c r="AB3016" s="4">
        <f t="shared" si="475"/>
        <v>1400</v>
      </c>
      <c r="AC3016" s="4">
        <f t="shared" si="468"/>
        <v>0</v>
      </c>
      <c r="AD3016" s="6">
        <f t="shared" si="472"/>
        <v>1400</v>
      </c>
      <c r="AE3016" s="2">
        <f>VLOOKUP(I3016,[1]媒体政策预估表!A:N,MATCH(O3016,[1]媒体政策预估表!$A$2:$M$2,0),0)</f>
        <v>0</v>
      </c>
      <c r="AF3016" s="6">
        <f t="shared" si="469"/>
        <v>0</v>
      </c>
      <c r="AG3016" s="14">
        <v>0</v>
      </c>
      <c r="AH3016" s="64">
        <f t="shared" si="473"/>
        <v>1400</v>
      </c>
      <c r="AI3016" s="47"/>
      <c r="AJ3016" s="126" t="e">
        <v>#N/A</v>
      </c>
      <c r="AK3016" s="80">
        <f t="shared" si="476"/>
        <v>0</v>
      </c>
      <c r="AM3016" s="85"/>
    </row>
    <row r="3017" spans="1:39" hidden="1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470"/>
        <v>-2114.4</v>
      </c>
      <c r="X3017" s="6">
        <f t="shared" si="471"/>
        <v>2052.8155339805826</v>
      </c>
      <c r="Y3017" s="13">
        <f t="shared" si="474"/>
        <v>0</v>
      </c>
      <c r="Z3017" s="14">
        <v>0</v>
      </c>
      <c r="AA3017" s="6">
        <v>0</v>
      </c>
      <c r="AB3017" s="4">
        <f t="shared" si="475"/>
        <v>2052.8155339805826</v>
      </c>
      <c r="AC3017" s="4">
        <f t="shared" si="468"/>
        <v>61.584466019417505</v>
      </c>
      <c r="AD3017" s="6">
        <f t="shared" si="472"/>
        <v>2114.4</v>
      </c>
      <c r="AE3017" s="2">
        <f>VLOOKUP(I3017,[1]媒体政策预估表!A:N,MATCH(O3017,[1]媒体政策预估表!$A$2:$M$2,0),0)</f>
        <v>0</v>
      </c>
      <c r="AF3017" s="6">
        <f t="shared" si="469"/>
        <v>0</v>
      </c>
      <c r="AG3017" s="14">
        <v>0</v>
      </c>
      <c r="AH3017" s="64">
        <f t="shared" si="473"/>
        <v>2114.4</v>
      </c>
      <c r="AI3017" s="47"/>
      <c r="AJ3017" s="126" t="e">
        <v>#N/A</v>
      </c>
      <c r="AK3017" s="80">
        <f t="shared" si="476"/>
        <v>0</v>
      </c>
      <c r="AM3017" s="85"/>
    </row>
    <row r="3018" spans="1:39" hidden="1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470"/>
        <v>153976.13</v>
      </c>
      <c r="X3018" s="6">
        <f>IF(P3018="折扣",V3018*Q3018,IF(P3018="返现",V3018,V3018/(1+Q3018+AG3018)))</f>
        <v>71959.37999999999</v>
      </c>
      <c r="Y3018" s="13">
        <f t="shared" si="474"/>
        <v>0</v>
      </c>
      <c r="Z3018" s="14">
        <v>0</v>
      </c>
      <c r="AA3018" s="6">
        <v>0</v>
      </c>
      <c r="AB3018" s="4">
        <f t="shared" si="475"/>
        <v>71959.37999999999</v>
      </c>
      <c r="AC3018" s="4">
        <f t="shared" si="468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469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476"/>
        <v>0</v>
      </c>
      <c r="AM3018" s="85"/>
    </row>
    <row r="3019" spans="1:39" hidden="1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470"/>
        <v>814438.40000000829</v>
      </c>
      <c r="X3019" s="6">
        <f t="shared" ref="X3019:X3082" si="477">IF(P3019="折扣",V3019*Q3019,IF(P3019="返现",V3019,V3019/(1+Q3019+AG3019)))</f>
        <v>2553958.6699999976</v>
      </c>
      <c r="Y3019" s="13">
        <f t="shared" si="474"/>
        <v>0</v>
      </c>
      <c r="Z3019" s="14">
        <v>0</v>
      </c>
      <c r="AA3019" s="6">
        <v>0</v>
      </c>
      <c r="AB3019" s="4">
        <f t="shared" si="475"/>
        <v>2553958.6699999976</v>
      </c>
      <c r="AC3019" s="4">
        <f t="shared" si="468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469"/>
        <v>153237.52019999985</v>
      </c>
      <c r="AG3019" s="14">
        <v>0</v>
      </c>
      <c r="AH3019" s="6">
        <f t="shared" ref="AH3019:AH3082" si="478">V3019/(1+AG3019)</f>
        <v>2553958.6699999976</v>
      </c>
      <c r="AI3019" s="47"/>
      <c r="AJ3019" s="126" t="s">
        <v>4223</v>
      </c>
      <c r="AK3019" s="80">
        <f t="shared" si="476"/>
        <v>0</v>
      </c>
      <c r="AL3019" s="150"/>
      <c r="AM3019" s="85"/>
    </row>
    <row r="3020" spans="1:39" hidden="1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470"/>
        <v>-122.264</v>
      </c>
      <c r="X3020" s="6">
        <f t="shared" si="477"/>
        <v>0</v>
      </c>
      <c r="Y3020" s="13">
        <f t="shared" si="474"/>
        <v>0</v>
      </c>
      <c r="Z3020" s="14">
        <v>0</v>
      </c>
      <c r="AA3020" s="6">
        <v>0</v>
      </c>
      <c r="AB3020" s="4">
        <f t="shared" si="475"/>
        <v>0</v>
      </c>
      <c r="AC3020" s="4">
        <f t="shared" ref="AC3020:AC3083" si="479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480">AD3020*AE3020</f>
        <v>56293.277399999992</v>
      </c>
      <c r="AG3020" s="14">
        <v>0.24</v>
      </c>
      <c r="AH3020" s="6">
        <f t="shared" si="478"/>
        <v>0</v>
      </c>
      <c r="AI3020" s="47"/>
      <c r="AJ3020" s="126" t="e">
        <v>#N/A</v>
      </c>
      <c r="AK3020" s="80">
        <f t="shared" si="476"/>
        <v>0</v>
      </c>
      <c r="AM3020" s="85"/>
    </row>
    <row r="3021" spans="1:39" hidden="1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470"/>
        <v>-526223.29130000004</v>
      </c>
      <c r="X3021" s="6">
        <f t="shared" si="477"/>
        <v>0</v>
      </c>
      <c r="Y3021" s="13">
        <f t="shared" si="474"/>
        <v>0</v>
      </c>
      <c r="Z3021" s="14">
        <v>0</v>
      </c>
      <c r="AA3021" s="6">
        <v>0</v>
      </c>
      <c r="AB3021" s="4">
        <f t="shared" si="475"/>
        <v>0</v>
      </c>
      <c r="AC3021" s="4">
        <f t="shared" si="479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480"/>
        <v>0</v>
      </c>
      <c r="AG3021" s="14">
        <v>0.33</v>
      </c>
      <c r="AH3021" s="6">
        <f t="shared" si="478"/>
        <v>0</v>
      </c>
      <c r="AI3021" s="47"/>
      <c r="AJ3021" s="126" t="e">
        <v>#N/A</v>
      </c>
      <c r="AK3021" s="80">
        <f t="shared" si="476"/>
        <v>0</v>
      </c>
      <c r="AM3021" s="85"/>
    </row>
    <row r="3022" spans="1:39" hidden="1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470"/>
        <v>1221117.98789997</v>
      </c>
      <c r="X3022" s="6">
        <f>IF(P3022="折扣",V3022*Q3022,IF(P3022="返现",V3022,V3022/(1+Q3022+AG3022)))+8706.32</f>
        <v>922191.35597122286</v>
      </c>
      <c r="Y3022" s="13">
        <f t="shared" si="474"/>
        <v>922191.35597122286</v>
      </c>
      <c r="Z3022" s="14">
        <v>0</v>
      </c>
      <c r="AA3022" s="6">
        <v>0</v>
      </c>
      <c r="AB3022" s="4">
        <f t="shared" si="475"/>
        <v>922191.35597122286</v>
      </c>
      <c r="AC3022" s="4">
        <f t="shared" si="479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480"/>
        <v>0</v>
      </c>
      <c r="AG3022" s="14">
        <v>0.35</v>
      </c>
      <c r="AH3022" s="6">
        <f t="shared" si="478"/>
        <v>940551.25925925921</v>
      </c>
      <c r="AI3022" s="47"/>
      <c r="AJ3022" s="126" t="e">
        <v>#N/A</v>
      </c>
      <c r="AK3022" s="80">
        <f t="shared" si="476"/>
        <v>0</v>
      </c>
      <c r="AM3022" s="85"/>
    </row>
    <row r="3023" spans="1:39" hidden="1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470"/>
        <v>-241630.0183999998</v>
      </c>
      <c r="X3023" s="6">
        <f t="shared" si="477"/>
        <v>186423.48437499997</v>
      </c>
      <c r="Y3023" s="13">
        <f t="shared" si="474"/>
        <v>0</v>
      </c>
      <c r="Z3023" s="14">
        <v>0</v>
      </c>
      <c r="AA3023" s="6">
        <v>0</v>
      </c>
      <c r="AB3023" s="4">
        <f t="shared" si="475"/>
        <v>186423.48437499997</v>
      </c>
      <c r="AC3023" s="4">
        <f t="shared" si="479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480"/>
        <v>13466.4355</v>
      </c>
      <c r="AG3023" s="14">
        <v>0.24</v>
      </c>
      <c r="AH3023" s="6">
        <f t="shared" si="478"/>
        <v>192437.1451612903</v>
      </c>
      <c r="AI3023" s="47"/>
      <c r="AJ3023" s="126" t="e">
        <v>#N/A</v>
      </c>
      <c r="AK3023" s="80">
        <f t="shared" si="476"/>
        <v>0</v>
      </c>
      <c r="AM3023" s="85"/>
    </row>
    <row r="3024" spans="1:39" hidden="1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470"/>
        <v>829645.41999999911</v>
      </c>
      <c r="X3024" s="6">
        <f t="shared" si="477"/>
        <v>945759.97000000009</v>
      </c>
      <c r="Y3024" s="13">
        <f t="shared" si="474"/>
        <v>0</v>
      </c>
      <c r="Z3024" s="14">
        <v>0</v>
      </c>
      <c r="AA3024" s="6">
        <v>0</v>
      </c>
      <c r="AB3024" s="4">
        <f t="shared" si="475"/>
        <v>945759.97000000009</v>
      </c>
      <c r="AC3024" s="4">
        <f t="shared" si="479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480"/>
        <v>56745.5982</v>
      </c>
      <c r="AG3024" s="14">
        <v>0</v>
      </c>
      <c r="AH3024" s="6">
        <f t="shared" si="478"/>
        <v>945759.97000000009</v>
      </c>
      <c r="AI3024" s="47"/>
      <c r="AJ3024" s="126" t="e">
        <v>#N/A</v>
      </c>
      <c r="AK3024" s="80">
        <f t="shared" si="476"/>
        <v>0</v>
      </c>
      <c r="AM3024" s="85"/>
    </row>
    <row r="3025" spans="1:39" hidden="1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470"/>
        <v>19360.120000000003</v>
      </c>
      <c r="X3025" s="6">
        <f t="shared" si="477"/>
        <v>10133.219047619046</v>
      </c>
      <c r="Y3025" s="13">
        <f t="shared" si="474"/>
        <v>0</v>
      </c>
      <c r="Z3025" s="14">
        <v>0</v>
      </c>
      <c r="AA3025" s="6">
        <v>0</v>
      </c>
      <c r="AB3025" s="4">
        <f t="shared" si="475"/>
        <v>10133.219047619046</v>
      </c>
      <c r="AC3025" s="4">
        <f t="shared" si="479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480"/>
        <v>638.39279999999997</v>
      </c>
      <c r="AG3025" s="14">
        <v>0</v>
      </c>
      <c r="AH3025" s="6">
        <f t="shared" si="478"/>
        <v>10639.88</v>
      </c>
      <c r="AI3025" s="47"/>
      <c r="AJ3025" s="126" t="e">
        <v>#N/A</v>
      </c>
      <c r="AK3025" s="80">
        <f t="shared" si="476"/>
        <v>0</v>
      </c>
      <c r="AM3025" s="85"/>
    </row>
    <row r="3026" spans="1:39" hidden="1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470"/>
        <v>247725.96999999997</v>
      </c>
      <c r="X3026" s="6">
        <f t="shared" si="477"/>
        <v>206382.63</v>
      </c>
      <c r="Y3026" s="13">
        <f t="shared" si="474"/>
        <v>0</v>
      </c>
      <c r="Z3026" s="14">
        <v>0</v>
      </c>
      <c r="AA3026" s="6">
        <v>0</v>
      </c>
      <c r="AB3026" s="4">
        <f t="shared" si="475"/>
        <v>206382.63</v>
      </c>
      <c r="AC3026" s="4">
        <f t="shared" si="479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480"/>
        <v>12382.9578</v>
      </c>
      <c r="AG3026" s="14">
        <v>0</v>
      </c>
      <c r="AH3026" s="6">
        <f t="shared" si="478"/>
        <v>206382.63</v>
      </c>
      <c r="AI3026" s="47"/>
      <c r="AJ3026" s="126" t="e">
        <v>#N/A</v>
      </c>
      <c r="AK3026" s="80">
        <f t="shared" si="476"/>
        <v>0</v>
      </c>
      <c r="AM3026" s="85"/>
    </row>
    <row r="3027" spans="1:39" hidden="1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470"/>
        <v>80592.86</v>
      </c>
      <c r="X3027" s="6">
        <f t="shared" si="477"/>
        <v>19407.14</v>
      </c>
      <c r="Y3027" s="13">
        <f t="shared" si="474"/>
        <v>0</v>
      </c>
      <c r="Z3027" s="14">
        <v>0</v>
      </c>
      <c r="AA3027" s="6">
        <v>0</v>
      </c>
      <c r="AB3027" s="4">
        <f t="shared" si="475"/>
        <v>19407.14</v>
      </c>
      <c r="AC3027" s="4">
        <f t="shared" si="479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480"/>
        <v>7553.485099999999</v>
      </c>
      <c r="AG3027" s="14">
        <v>0</v>
      </c>
      <c r="AH3027" s="6">
        <f t="shared" si="478"/>
        <v>19407.14</v>
      </c>
      <c r="AI3027" s="47"/>
      <c r="AJ3027" s="126" t="e">
        <v>#N/A</v>
      </c>
      <c r="AK3027" s="80">
        <f t="shared" si="476"/>
        <v>0</v>
      </c>
      <c r="AM3027" s="85"/>
    </row>
    <row r="3028" spans="1:39" hidden="1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14">
        <v>2.5000000000000001E-2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470"/>
        <v>46223.109999999986</v>
      </c>
      <c r="X3028" s="6">
        <f t="shared" si="477"/>
        <v>158913.13170731705</v>
      </c>
      <c r="Y3028" s="13">
        <f t="shared" si="474"/>
        <v>0</v>
      </c>
      <c r="Z3028" s="14">
        <v>0</v>
      </c>
      <c r="AA3028" s="6">
        <v>0</v>
      </c>
      <c r="AB3028" s="4">
        <f t="shared" si="475"/>
        <v>158913.13170731705</v>
      </c>
      <c r="AC3028" s="4">
        <f t="shared" si="479"/>
        <v>3972.8282926829124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480"/>
        <v>9773.1575999999968</v>
      </c>
      <c r="AG3028" s="14">
        <v>0</v>
      </c>
      <c r="AH3028" s="6">
        <f t="shared" si="478"/>
        <v>162885.95999999996</v>
      </c>
      <c r="AI3028" s="47"/>
      <c r="AJ3028" s="126" t="e">
        <v>#N/A</v>
      </c>
      <c r="AK3028" s="80">
        <f t="shared" si="476"/>
        <v>0</v>
      </c>
      <c r="AM3028" s="85"/>
    </row>
    <row r="3029" spans="1:39" hidden="1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470"/>
        <v>46609.739999999976</v>
      </c>
      <c r="X3029" s="6">
        <f t="shared" si="477"/>
        <v>13664.070000000002</v>
      </c>
      <c r="Y3029" s="13">
        <f t="shared" si="474"/>
        <v>26.480000000001382</v>
      </c>
      <c r="Z3029" s="14">
        <v>0</v>
      </c>
      <c r="AA3029" s="6">
        <v>0</v>
      </c>
      <c r="AB3029" s="4">
        <f t="shared" si="475"/>
        <v>13664.070000000002</v>
      </c>
      <c r="AC3029" s="4">
        <f t="shared" si="479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480"/>
        <v>818.25540000000001</v>
      </c>
      <c r="AG3029" s="14">
        <v>0</v>
      </c>
      <c r="AH3029" s="6">
        <f t="shared" si="478"/>
        <v>13664.070000000002</v>
      </c>
      <c r="AI3029" s="47"/>
      <c r="AJ3029" s="126" t="e">
        <v>#N/A</v>
      </c>
      <c r="AK3029" s="80">
        <f t="shared" si="476"/>
        <v>0</v>
      </c>
      <c r="AM3029" s="85"/>
    </row>
    <row r="3030" spans="1:39" hidden="1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470"/>
        <v>17766.36</v>
      </c>
      <c r="X3030" s="6">
        <f t="shared" si="477"/>
        <v>2233.6399999999994</v>
      </c>
      <c r="Y3030" s="13">
        <f t="shared" si="474"/>
        <v>0</v>
      </c>
      <c r="Z3030" s="14">
        <v>0</v>
      </c>
      <c r="AA3030" s="6">
        <v>0</v>
      </c>
      <c r="AB3030" s="4">
        <f t="shared" si="475"/>
        <v>2233.6399999999994</v>
      </c>
      <c r="AC3030" s="4">
        <f t="shared" si="479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480"/>
        <v>134.01839999999996</v>
      </c>
      <c r="AG3030" s="14">
        <v>0</v>
      </c>
      <c r="AH3030" s="6">
        <f t="shared" si="478"/>
        <v>2233.6399999999994</v>
      </c>
      <c r="AI3030" s="47"/>
      <c r="AJ3030" s="126" t="e">
        <v>#N/A</v>
      </c>
      <c r="AK3030" s="80">
        <f t="shared" si="476"/>
        <v>0</v>
      </c>
      <c r="AM3030" s="85"/>
    </row>
    <row r="3031" spans="1:39" hidden="1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470"/>
        <v>17231.46</v>
      </c>
      <c r="X3031" s="6">
        <f t="shared" si="477"/>
        <v>1534.8999999999999</v>
      </c>
      <c r="Y3031" s="13">
        <f t="shared" si="474"/>
        <v>0</v>
      </c>
      <c r="Z3031" s="14">
        <v>0</v>
      </c>
      <c r="AA3031" s="6">
        <v>0</v>
      </c>
      <c r="AB3031" s="4">
        <f t="shared" si="475"/>
        <v>1534.8999999999999</v>
      </c>
      <c r="AC3031" s="4">
        <f t="shared" si="479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480"/>
        <v>107.443</v>
      </c>
      <c r="AG3031" s="14">
        <v>0</v>
      </c>
      <c r="AH3031" s="6">
        <f t="shared" si="478"/>
        <v>1534.8999999999999</v>
      </c>
      <c r="AI3031" s="47"/>
      <c r="AJ3031" s="126" t="e">
        <v>#N/A</v>
      </c>
      <c r="AK3031" s="80">
        <f t="shared" si="476"/>
        <v>0</v>
      </c>
      <c r="AM3031" s="85"/>
    </row>
    <row r="3032" spans="1:39" hidden="1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470"/>
        <v>30332422.943610009</v>
      </c>
      <c r="X3032" s="6">
        <f t="shared" si="477"/>
        <v>13024132.243694318</v>
      </c>
      <c r="Y3032" s="13">
        <f t="shared" si="474"/>
        <v>0</v>
      </c>
      <c r="Z3032" s="14">
        <v>0</v>
      </c>
      <c r="AA3032" s="6">
        <v>0</v>
      </c>
      <c r="AB3032" s="4">
        <f t="shared" si="475"/>
        <v>13024132.243694318</v>
      </c>
      <c r="AC3032" s="4">
        <f t="shared" si="479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480"/>
        <v>966668.08140000061</v>
      </c>
      <c r="AG3032" s="14">
        <v>0.503</v>
      </c>
      <c r="AH3032" s="6">
        <f t="shared" si="478"/>
        <v>13810952.741184298</v>
      </c>
      <c r="AI3032" s="47"/>
      <c r="AJ3032" s="126" t="e">
        <v>#N/A</v>
      </c>
      <c r="AK3032" s="80">
        <f t="shared" si="476"/>
        <v>0</v>
      </c>
      <c r="AM3032" s="85"/>
    </row>
    <row r="3033" spans="1:39" hidden="1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477"/>
        <v>0</v>
      </c>
      <c r="Y3033" s="13">
        <f t="shared" si="474"/>
        <v>0</v>
      </c>
      <c r="Z3033" s="14">
        <v>0</v>
      </c>
      <c r="AA3033" s="6">
        <v>0</v>
      </c>
      <c r="AB3033" s="4">
        <f t="shared" si="475"/>
        <v>0</v>
      </c>
      <c r="AC3033" s="4">
        <f t="shared" si="479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480"/>
        <v>0</v>
      </c>
      <c r="AG3033" s="14">
        <v>0</v>
      </c>
      <c r="AH3033" s="6">
        <f t="shared" si="478"/>
        <v>0</v>
      </c>
      <c r="AI3033" s="47"/>
      <c r="AJ3033" s="126" t="e">
        <v>#N/A</v>
      </c>
      <c r="AK3033" s="80">
        <f t="shared" si="476"/>
        <v>0</v>
      </c>
      <c r="AM3033" s="85"/>
    </row>
    <row r="3034" spans="1:39" hidden="1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470"/>
        <v>6202926.9446200002</v>
      </c>
      <c r="X3034" s="6">
        <f t="shared" si="477"/>
        <v>4077264.4100000015</v>
      </c>
      <c r="Y3034" s="13">
        <f t="shared" si="474"/>
        <v>0</v>
      </c>
      <c r="Z3034" s="14">
        <v>0</v>
      </c>
      <c r="AA3034" s="6">
        <v>0</v>
      </c>
      <c r="AB3034" s="4">
        <f t="shared" si="475"/>
        <v>4077264.4100000015</v>
      </c>
      <c r="AC3034" s="4">
        <f t="shared" si="479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480"/>
        <v>244635.86460000009</v>
      </c>
      <c r="AG3034" s="14">
        <v>0</v>
      </c>
      <c r="AH3034" s="6">
        <f t="shared" si="478"/>
        <v>4077264.4100000015</v>
      </c>
      <c r="AI3034" s="47"/>
      <c r="AJ3034" s="126" t="e">
        <v>#N/A</v>
      </c>
      <c r="AK3034" s="80">
        <f t="shared" si="476"/>
        <v>0</v>
      </c>
      <c r="AM3034" s="85"/>
    </row>
    <row r="3035" spans="1:39" hidden="1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470"/>
        <v>3978578.1099999994</v>
      </c>
      <c r="X3035" s="6">
        <f t="shared" si="477"/>
        <v>1642078.6600000001</v>
      </c>
      <c r="Y3035" s="13">
        <f t="shared" si="474"/>
        <v>0</v>
      </c>
      <c r="Z3035" s="14">
        <v>0</v>
      </c>
      <c r="AA3035" s="6">
        <v>0</v>
      </c>
      <c r="AB3035" s="4">
        <f t="shared" si="475"/>
        <v>1642078.6600000001</v>
      </c>
      <c r="AC3035" s="4">
        <f t="shared" si="479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480"/>
        <v>114945.50620000002</v>
      </c>
      <c r="AG3035" s="14">
        <v>0</v>
      </c>
      <c r="AH3035" s="6">
        <f t="shared" si="478"/>
        <v>1642078.6600000001</v>
      </c>
      <c r="AI3035" s="47"/>
      <c r="AJ3035" s="126" t="e">
        <v>#N/A</v>
      </c>
      <c r="AK3035" s="80">
        <f t="shared" si="476"/>
        <v>0</v>
      </c>
      <c r="AM3035" s="85"/>
    </row>
    <row r="3036" spans="1:39" hidden="1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470"/>
        <v>897724.64445999998</v>
      </c>
      <c r="X3036" s="6">
        <f t="shared" si="477"/>
        <v>344126.96000000008</v>
      </c>
      <c r="Y3036" s="13">
        <f t="shared" si="474"/>
        <v>0</v>
      </c>
      <c r="Z3036" s="14">
        <v>0</v>
      </c>
      <c r="AA3036" s="6">
        <v>0</v>
      </c>
      <c r="AB3036" s="4">
        <f t="shared" si="475"/>
        <v>344126.96000000008</v>
      </c>
      <c r="AC3036" s="4">
        <f t="shared" si="479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480"/>
        <v>24088.887200000008</v>
      </c>
      <c r="AG3036" s="14">
        <v>0</v>
      </c>
      <c r="AH3036" s="6">
        <f t="shared" si="478"/>
        <v>344126.96000000008</v>
      </c>
      <c r="AI3036" s="47"/>
      <c r="AJ3036" s="126" t="e">
        <v>#N/A</v>
      </c>
      <c r="AK3036" s="80">
        <f t="shared" si="476"/>
        <v>0</v>
      </c>
      <c r="AM3036" s="85"/>
    </row>
    <row r="3037" spans="1:39" hidden="1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477"/>
        <v>0</v>
      </c>
      <c r="Y3037" s="13">
        <f t="shared" si="474"/>
        <v>0</v>
      </c>
      <c r="Z3037" s="14">
        <v>0</v>
      </c>
      <c r="AA3037" s="6">
        <v>0</v>
      </c>
      <c r="AB3037" s="4">
        <f t="shared" si="475"/>
        <v>0</v>
      </c>
      <c r="AC3037" s="4">
        <f t="shared" si="479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480"/>
        <v>233762.26139999981</v>
      </c>
      <c r="AG3037" s="14">
        <v>0</v>
      </c>
      <c r="AH3037" s="6">
        <f t="shared" si="478"/>
        <v>0</v>
      </c>
      <c r="AI3037" s="47"/>
      <c r="AJ3037" s="126" t="e">
        <v>#N/A</v>
      </c>
      <c r="AK3037" s="80">
        <f t="shared" si="476"/>
        <v>0</v>
      </c>
      <c r="AM3037" s="85"/>
    </row>
    <row r="3038" spans="1:39" hidden="1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470"/>
        <v>9534327.0476999991</v>
      </c>
      <c r="X3038" s="6">
        <f t="shared" si="477"/>
        <v>3884322.7905138335</v>
      </c>
      <c r="Y3038" s="13">
        <f t="shared" si="474"/>
        <v>0</v>
      </c>
      <c r="Z3038" s="14">
        <v>0</v>
      </c>
      <c r="AA3038" s="6">
        <v>0</v>
      </c>
      <c r="AB3038" s="4">
        <f t="shared" si="475"/>
        <v>3884322.7905138335</v>
      </c>
      <c r="AC3038" s="4">
        <f t="shared" si="479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480"/>
        <v>276475.7183999999</v>
      </c>
      <c r="AG3038" s="14">
        <v>0.21</v>
      </c>
      <c r="AH3038" s="6">
        <f t="shared" si="478"/>
        <v>4060882.9173553712</v>
      </c>
      <c r="AI3038" s="47"/>
      <c r="AJ3038" s="126" t="e">
        <v>#N/A</v>
      </c>
      <c r="AK3038" s="80">
        <f t="shared" si="476"/>
        <v>0</v>
      </c>
      <c r="AM3038" s="85"/>
    </row>
    <row r="3039" spans="1:39" hidden="1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470"/>
        <v>3626358.2863999996</v>
      </c>
      <c r="X3039" s="6">
        <f t="shared" si="477"/>
        <v>1819833.9691119695</v>
      </c>
      <c r="Y3039" s="13">
        <f t="shared" si="474"/>
        <v>0</v>
      </c>
      <c r="Z3039" s="14">
        <v>0</v>
      </c>
      <c r="AA3039" s="6">
        <v>0</v>
      </c>
      <c r="AB3039" s="4">
        <f t="shared" si="475"/>
        <v>1819833.9691119695</v>
      </c>
      <c r="AC3039" s="4">
        <f t="shared" si="479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480"/>
        <v>153329.08219999998</v>
      </c>
      <c r="AG3039" s="14">
        <v>0.24</v>
      </c>
      <c r="AH3039" s="6">
        <f t="shared" si="478"/>
        <v>1900552.4112903227</v>
      </c>
      <c r="AI3039" s="47"/>
      <c r="AJ3039" s="126" t="e">
        <v>#N/A</v>
      </c>
      <c r="AK3039" s="80">
        <f t="shared" si="476"/>
        <v>0</v>
      </c>
      <c r="AM3039" s="85"/>
    </row>
    <row r="3040" spans="1:39" hidden="1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470"/>
        <v>33917.410000000018</v>
      </c>
      <c r="X3040" s="6">
        <f t="shared" si="477"/>
        <v>13850.909952606638</v>
      </c>
      <c r="Y3040" s="13">
        <f t="shared" si="474"/>
        <v>0</v>
      </c>
      <c r="Z3040" s="14">
        <v>0</v>
      </c>
      <c r="AA3040" s="6">
        <v>0</v>
      </c>
      <c r="AB3040" s="4">
        <f t="shared" si="475"/>
        <v>13850.909952606638</v>
      </c>
      <c r="AC3040" s="4">
        <f t="shared" si="479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480"/>
        <v>876.76260000000013</v>
      </c>
      <c r="AG3040" s="14">
        <v>0</v>
      </c>
      <c r="AH3040" s="6">
        <f t="shared" si="478"/>
        <v>14612.710000000003</v>
      </c>
      <c r="AI3040" s="47"/>
      <c r="AJ3040" s="126" t="e">
        <v>#N/A</v>
      </c>
      <c r="AK3040" s="80">
        <f t="shared" si="476"/>
        <v>0</v>
      </c>
      <c r="AM3040" s="85"/>
    </row>
    <row r="3041" spans="1:39" hidden="1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470"/>
        <v>2228704.3599999994</v>
      </c>
      <c r="X3041" s="6">
        <f t="shared" si="477"/>
        <v>518484.01895734656</v>
      </c>
      <c r="Y3041" s="13">
        <f t="shared" si="474"/>
        <v>518484.01895734656</v>
      </c>
      <c r="Z3041" s="14">
        <v>0</v>
      </c>
      <c r="AA3041" s="6">
        <v>0</v>
      </c>
      <c r="AB3041" s="4">
        <f t="shared" si="475"/>
        <v>518484.01895734656</v>
      </c>
      <c r="AC3041" s="4">
        <f t="shared" si="479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480"/>
        <v>0</v>
      </c>
      <c r="AG3041" s="14">
        <v>0</v>
      </c>
      <c r="AH3041" s="6">
        <f t="shared" si="478"/>
        <v>547000.6400000006</v>
      </c>
      <c r="AI3041" s="47"/>
      <c r="AJ3041" s="126" t="e">
        <v>#N/A</v>
      </c>
      <c r="AK3041" s="80">
        <f t="shared" si="476"/>
        <v>0</v>
      </c>
      <c r="AM3041" s="85"/>
    </row>
    <row r="3042" spans="1:39" hidden="1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470"/>
        <v>3993014.79</v>
      </c>
      <c r="X3042" s="6">
        <f t="shared" si="477"/>
        <v>275151.85781990521</v>
      </c>
      <c r="Y3042" s="13">
        <f t="shared" si="474"/>
        <v>275151.85781990521</v>
      </c>
      <c r="Z3042" s="14">
        <v>0</v>
      </c>
      <c r="AA3042" s="6">
        <v>0</v>
      </c>
      <c r="AB3042" s="4">
        <f t="shared" si="475"/>
        <v>275151.85781990521</v>
      </c>
      <c r="AC3042" s="4">
        <f t="shared" si="479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480"/>
        <v>0</v>
      </c>
      <c r="AG3042" s="14">
        <v>0</v>
      </c>
      <c r="AH3042" s="6">
        <f t="shared" si="478"/>
        <v>290285.20999999996</v>
      </c>
      <c r="AI3042" s="47"/>
      <c r="AJ3042" s="126" t="e">
        <v>#N/A</v>
      </c>
      <c r="AK3042" s="80">
        <f t="shared" si="476"/>
        <v>0</v>
      </c>
      <c r="AM3042" s="85"/>
    </row>
    <row r="3043" spans="1:39" hidden="1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470"/>
        <v>73133.549999999974</v>
      </c>
      <c r="X3043" s="6">
        <f t="shared" si="477"/>
        <v>0</v>
      </c>
      <c r="Y3043" s="13">
        <f t="shared" si="474"/>
        <v>0</v>
      </c>
      <c r="Z3043" s="14">
        <v>0</v>
      </c>
      <c r="AA3043" s="6">
        <v>0</v>
      </c>
      <c r="AB3043" s="4">
        <f t="shared" si="475"/>
        <v>0</v>
      </c>
      <c r="AC3043" s="4">
        <f t="shared" si="479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480"/>
        <v>0</v>
      </c>
      <c r="AG3043" s="14">
        <v>0</v>
      </c>
      <c r="AH3043" s="6">
        <f t="shared" si="478"/>
        <v>0</v>
      </c>
      <c r="AI3043" s="47"/>
      <c r="AJ3043" s="126" t="e">
        <v>#N/A</v>
      </c>
      <c r="AK3043" s="80">
        <f t="shared" si="476"/>
        <v>0</v>
      </c>
      <c r="AM3043" s="85"/>
    </row>
    <row r="3044" spans="1:39" hidden="1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470"/>
        <v>420791.50999999983</v>
      </c>
      <c r="X3044" s="6">
        <f t="shared" si="477"/>
        <v>203451.0236966825</v>
      </c>
      <c r="Y3044" s="13">
        <f t="shared" si="474"/>
        <v>0</v>
      </c>
      <c r="Z3044" s="14">
        <v>0</v>
      </c>
      <c r="AA3044" s="6">
        <v>0</v>
      </c>
      <c r="AB3044" s="4">
        <f t="shared" si="475"/>
        <v>203451.0236966825</v>
      </c>
      <c r="AC3044" s="4">
        <f t="shared" si="479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480"/>
        <v>12878.4498</v>
      </c>
      <c r="AG3044" s="14">
        <v>0</v>
      </c>
      <c r="AH3044" s="6">
        <f t="shared" si="478"/>
        <v>214640.83000000002</v>
      </c>
      <c r="AI3044" s="47"/>
      <c r="AJ3044" s="126" t="e">
        <v>#N/A</v>
      </c>
      <c r="AK3044" s="80">
        <f t="shared" si="476"/>
        <v>0</v>
      </c>
      <c r="AM3044" s="85"/>
    </row>
    <row r="3045" spans="1:39" hidden="1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470"/>
        <v>3550016.6199999996</v>
      </c>
      <c r="X3045" s="6">
        <f t="shared" si="477"/>
        <v>583055.33649289131</v>
      </c>
      <c r="Y3045" s="13">
        <f t="shared" si="474"/>
        <v>583055.33649289131</v>
      </c>
      <c r="Z3045" s="14">
        <v>0</v>
      </c>
      <c r="AA3045" s="6">
        <v>0</v>
      </c>
      <c r="AB3045" s="4">
        <f t="shared" si="475"/>
        <v>583055.33649289131</v>
      </c>
      <c r="AC3045" s="4">
        <f t="shared" si="479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480"/>
        <v>0</v>
      </c>
      <c r="AG3045" s="14">
        <v>0</v>
      </c>
      <c r="AH3045" s="6">
        <f t="shared" si="478"/>
        <v>615123.38000000035</v>
      </c>
      <c r="AI3045" s="47"/>
      <c r="AJ3045" s="126" t="e">
        <v>#N/A</v>
      </c>
      <c r="AK3045" s="80">
        <f t="shared" si="476"/>
        <v>0</v>
      </c>
      <c r="AM3045" s="85"/>
    </row>
    <row r="3046" spans="1:39" hidden="1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481">T3046+U3046-V3046</f>
        <v>1675884.13</v>
      </c>
      <c r="X3046" s="6">
        <f t="shared" si="477"/>
        <v>511484.2369668248</v>
      </c>
      <c r="Y3046" s="13">
        <f t="shared" si="474"/>
        <v>0</v>
      </c>
      <c r="Z3046" s="14">
        <v>0</v>
      </c>
      <c r="AA3046" s="6">
        <v>0</v>
      </c>
      <c r="AB3046" s="4">
        <f t="shared" si="475"/>
        <v>511484.2369668248</v>
      </c>
      <c r="AC3046" s="4">
        <f t="shared" si="479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480"/>
        <v>203256.10760000013</v>
      </c>
      <c r="AG3046" s="14">
        <v>0</v>
      </c>
      <c r="AH3046" s="6">
        <f t="shared" si="478"/>
        <v>539615.87000000011</v>
      </c>
      <c r="AI3046" s="47"/>
      <c r="AJ3046" s="126" t="e">
        <v>#N/A</v>
      </c>
      <c r="AK3046" s="80">
        <f t="shared" si="476"/>
        <v>0</v>
      </c>
      <c r="AM3046" s="85"/>
    </row>
    <row r="3047" spans="1:39" hidden="1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481"/>
        <v>1068579.5059999994</v>
      </c>
      <c r="X3047" s="6">
        <f t="shared" si="477"/>
        <v>0</v>
      </c>
      <c r="Y3047" s="13">
        <f t="shared" si="474"/>
        <v>0</v>
      </c>
      <c r="Z3047" s="14">
        <v>0</v>
      </c>
      <c r="AA3047" s="6">
        <v>0</v>
      </c>
      <c r="AB3047" s="4">
        <f t="shared" si="475"/>
        <v>0</v>
      </c>
      <c r="AC3047" s="4">
        <f t="shared" si="479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480"/>
        <v>0</v>
      </c>
      <c r="AG3047" s="14">
        <v>0.1</v>
      </c>
      <c r="AH3047" s="6">
        <f t="shared" si="478"/>
        <v>0</v>
      </c>
      <c r="AI3047" s="47"/>
      <c r="AJ3047" s="126" t="e">
        <v>#N/A</v>
      </c>
      <c r="AK3047" s="80">
        <f t="shared" si="476"/>
        <v>0</v>
      </c>
      <c r="AM3047" s="85"/>
    </row>
    <row r="3048" spans="1:39" hidden="1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477"/>
        <v>1.8075313807531384</v>
      </c>
      <c r="Y3048" s="13">
        <f t="shared" si="474"/>
        <v>1.8075313807531384</v>
      </c>
      <c r="Z3048" s="14">
        <v>0</v>
      </c>
      <c r="AA3048" s="6">
        <v>0</v>
      </c>
      <c r="AB3048" s="4">
        <f t="shared" si="475"/>
        <v>1.8075313807531384</v>
      </c>
      <c r="AC3048" s="4">
        <f t="shared" si="479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480"/>
        <v>0</v>
      </c>
      <c r="AG3048" s="14">
        <v>0.14000000000000001</v>
      </c>
      <c r="AH3048" s="6">
        <f t="shared" si="478"/>
        <v>1.8947368421052631</v>
      </c>
      <c r="AI3048" s="47"/>
      <c r="AJ3048" s="126" t="e">
        <v>#N/A</v>
      </c>
      <c r="AK3048" s="80">
        <f t="shared" si="476"/>
        <v>0</v>
      </c>
      <c r="AM3048" s="85"/>
    </row>
    <row r="3049" spans="1:39" hidden="1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481"/>
        <v>1346892.4267000002</v>
      </c>
      <c r="X3049" s="6">
        <f t="shared" si="477"/>
        <v>3136072.5461847391</v>
      </c>
      <c r="Y3049" s="13">
        <f t="shared" si="474"/>
        <v>3136072.5461847391</v>
      </c>
      <c r="Z3049" s="14">
        <v>0</v>
      </c>
      <c r="AA3049" s="6">
        <v>0</v>
      </c>
      <c r="AB3049" s="4">
        <f t="shared" si="475"/>
        <v>3136072.5461847391</v>
      </c>
      <c r="AC3049" s="4">
        <f t="shared" si="479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480"/>
        <v>0</v>
      </c>
      <c r="AG3049" s="14">
        <v>0.19</v>
      </c>
      <c r="AH3049" s="6">
        <f t="shared" si="478"/>
        <v>3281017.0756302522</v>
      </c>
      <c r="AI3049" s="47"/>
      <c r="AJ3049" s="126" t="e">
        <v>#N/A</v>
      </c>
      <c r="AK3049" s="80">
        <f t="shared" si="476"/>
        <v>0</v>
      </c>
      <c r="AM3049" s="85"/>
    </row>
    <row r="3050" spans="1:39" hidden="1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481"/>
        <v>223134.78800000018</v>
      </c>
      <c r="X3050" s="6">
        <f t="shared" si="477"/>
        <v>0</v>
      </c>
      <c r="Y3050" s="13">
        <f t="shared" si="474"/>
        <v>0</v>
      </c>
      <c r="Z3050" s="14">
        <v>0</v>
      </c>
      <c r="AA3050" s="6">
        <v>0</v>
      </c>
      <c r="AB3050" s="4">
        <f t="shared" si="475"/>
        <v>0</v>
      </c>
      <c r="AC3050" s="4">
        <f t="shared" si="479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480"/>
        <v>0</v>
      </c>
      <c r="AG3050" s="14">
        <v>0.24</v>
      </c>
      <c r="AH3050" s="6">
        <f t="shared" si="478"/>
        <v>0</v>
      </c>
      <c r="AI3050" s="47"/>
      <c r="AJ3050" s="126" t="e">
        <v>#N/A</v>
      </c>
      <c r="AK3050" s="80">
        <f t="shared" si="476"/>
        <v>0</v>
      </c>
      <c r="AM3050" s="85"/>
    </row>
    <row r="3051" spans="1:39" hidden="1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477"/>
        <v>0</v>
      </c>
      <c r="Y3051" s="13">
        <f t="shared" si="474"/>
        <v>0</v>
      </c>
      <c r="Z3051" s="14">
        <v>0</v>
      </c>
      <c r="AA3051" s="6">
        <v>0</v>
      </c>
      <c r="AB3051" s="4">
        <f t="shared" si="475"/>
        <v>0</v>
      </c>
      <c r="AC3051" s="4">
        <f t="shared" si="479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480"/>
        <v>0</v>
      </c>
      <c r="AG3051" s="14">
        <v>0.26</v>
      </c>
      <c r="AH3051" s="6">
        <f t="shared" si="478"/>
        <v>0</v>
      </c>
      <c r="AI3051" s="47"/>
      <c r="AJ3051" s="126" t="e">
        <v>#N/A</v>
      </c>
      <c r="AK3051" s="80">
        <f t="shared" si="476"/>
        <v>0</v>
      </c>
      <c r="AM3051" s="85"/>
    </row>
    <row r="3052" spans="1:39" hidden="1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481"/>
        <v>4009966.8060000003</v>
      </c>
      <c r="X3052" s="6">
        <f t="shared" si="477"/>
        <v>2266472.1498127342</v>
      </c>
      <c r="Y3052" s="13">
        <f t="shared" si="474"/>
        <v>2266472.1498127342</v>
      </c>
      <c r="Z3052" s="14">
        <v>0</v>
      </c>
      <c r="AA3052" s="6">
        <v>0</v>
      </c>
      <c r="AB3052" s="4">
        <f t="shared" si="475"/>
        <v>2266472.1498127342</v>
      </c>
      <c r="AC3052" s="4">
        <f t="shared" si="479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480"/>
        <v>0</v>
      </c>
      <c r="AG3052" s="14">
        <v>0.28000000000000003</v>
      </c>
      <c r="AH3052" s="6">
        <f t="shared" si="478"/>
        <v>2363859.625</v>
      </c>
      <c r="AI3052" s="47"/>
      <c r="AJ3052" s="126" t="e">
        <v>#N/A</v>
      </c>
      <c r="AK3052" s="80">
        <f t="shared" si="476"/>
        <v>0</v>
      </c>
      <c r="AM3052" s="85"/>
    </row>
    <row r="3053" spans="1:39" hidden="1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481"/>
        <v>17549.099999999919</v>
      </c>
      <c r="X3053" s="6">
        <f t="shared" si="477"/>
        <v>53347.393364928925</v>
      </c>
      <c r="Y3053" s="13">
        <f t="shared" si="474"/>
        <v>0</v>
      </c>
      <c r="Z3053" s="14">
        <v>0</v>
      </c>
      <c r="AA3053" s="6">
        <v>0</v>
      </c>
      <c r="AB3053" s="4">
        <f t="shared" si="475"/>
        <v>53347.393364928925</v>
      </c>
      <c r="AC3053" s="4">
        <f t="shared" si="479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480"/>
        <v>3376.8900000000008</v>
      </c>
      <c r="AG3053" s="14">
        <v>0</v>
      </c>
      <c r="AH3053" s="6">
        <f t="shared" si="478"/>
        <v>56281.500000000015</v>
      </c>
      <c r="AI3053" s="47"/>
      <c r="AJ3053" s="126" t="e">
        <v>#N/A</v>
      </c>
      <c r="AK3053" s="80">
        <f t="shared" si="476"/>
        <v>0</v>
      </c>
      <c r="AM3053" s="85"/>
    </row>
    <row r="3054" spans="1:39" hidden="1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481"/>
        <v>0</v>
      </c>
      <c r="X3054" s="6">
        <f t="shared" si="477"/>
        <v>0</v>
      </c>
      <c r="Y3054" s="13">
        <f t="shared" si="474"/>
        <v>0</v>
      </c>
      <c r="Z3054" s="14">
        <v>0</v>
      </c>
      <c r="AA3054" s="6">
        <v>0</v>
      </c>
      <c r="AB3054" s="4">
        <f t="shared" si="475"/>
        <v>0</v>
      </c>
      <c r="AC3054" s="4">
        <f t="shared" si="479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480"/>
        <v>15262.021200000001</v>
      </c>
      <c r="AG3054" s="14">
        <v>0.1</v>
      </c>
      <c r="AH3054" s="6">
        <f t="shared" si="478"/>
        <v>0</v>
      </c>
      <c r="AI3054" s="47"/>
      <c r="AJ3054" s="126" t="e">
        <v>#N/A</v>
      </c>
      <c r="AK3054" s="80">
        <f t="shared" si="476"/>
        <v>0</v>
      </c>
      <c r="AM3054" s="85"/>
    </row>
    <row r="3055" spans="1:39" hidden="1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481"/>
        <v>1075982.6009999998</v>
      </c>
      <c r="X3055" s="6">
        <f t="shared" si="477"/>
        <v>243129.07630522095</v>
      </c>
      <c r="Y3055" s="13">
        <f t="shared" si="474"/>
        <v>243129.07630522095</v>
      </c>
      <c r="Z3055" s="14">
        <v>0</v>
      </c>
      <c r="AA3055" s="6">
        <v>0</v>
      </c>
      <c r="AB3055" s="4">
        <f t="shared" si="475"/>
        <v>243129.07630522095</v>
      </c>
      <c r="AC3055" s="4">
        <f t="shared" si="479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480"/>
        <v>0</v>
      </c>
      <c r="AG3055" s="14">
        <v>0.19</v>
      </c>
      <c r="AH3055" s="6">
        <f t="shared" si="478"/>
        <v>254366.13445378159</v>
      </c>
      <c r="AI3055" s="47"/>
      <c r="AJ3055" s="126" t="e">
        <v>#N/A</v>
      </c>
      <c r="AK3055" s="80">
        <f t="shared" si="476"/>
        <v>0</v>
      </c>
      <c r="AM3055" s="85"/>
    </row>
    <row r="3056" spans="1:39" hidden="1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481"/>
        <v>0</v>
      </c>
      <c r="X3056" s="6">
        <f t="shared" si="477"/>
        <v>0</v>
      </c>
      <c r="Y3056" s="13">
        <f t="shared" si="474"/>
        <v>0</v>
      </c>
      <c r="Z3056" s="14">
        <v>0</v>
      </c>
      <c r="AA3056" s="6">
        <v>0</v>
      </c>
      <c r="AB3056" s="4">
        <f t="shared" si="475"/>
        <v>0</v>
      </c>
      <c r="AC3056" s="4">
        <f t="shared" si="479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480"/>
        <v>8154.3455000000022</v>
      </c>
      <c r="AG3056" s="14">
        <v>0.24</v>
      </c>
      <c r="AH3056" s="6">
        <f t="shared" si="478"/>
        <v>0</v>
      </c>
      <c r="AI3056" s="47"/>
      <c r="AJ3056" s="126" t="e">
        <v>#N/A</v>
      </c>
      <c r="AK3056" s="80">
        <f t="shared" si="476"/>
        <v>0</v>
      </c>
      <c r="AM3056" s="85"/>
    </row>
    <row r="3057" spans="1:39" hidden="1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481"/>
        <v>0</v>
      </c>
      <c r="X3057" s="6">
        <f t="shared" si="477"/>
        <v>0</v>
      </c>
      <c r="Y3057" s="13">
        <f t="shared" si="474"/>
        <v>0</v>
      </c>
      <c r="Z3057" s="14">
        <v>0</v>
      </c>
      <c r="AA3057" s="6">
        <v>0</v>
      </c>
      <c r="AB3057" s="4">
        <f t="shared" si="475"/>
        <v>0</v>
      </c>
      <c r="AC3057" s="4">
        <f t="shared" si="479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480"/>
        <v>0</v>
      </c>
      <c r="AG3057" s="14">
        <v>0</v>
      </c>
      <c r="AH3057" s="6">
        <f t="shared" si="478"/>
        <v>0</v>
      </c>
      <c r="AI3057" s="47"/>
      <c r="AJ3057" s="126" t="e">
        <v>#N/A</v>
      </c>
      <c r="AK3057" s="80">
        <f t="shared" si="476"/>
        <v>0</v>
      </c>
      <c r="AM3057" s="85"/>
    </row>
    <row r="3058" spans="1:39" hidden="1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481"/>
        <v>272064.87999999971</v>
      </c>
      <c r="X3058" s="6">
        <f t="shared" si="477"/>
        <v>301138.12322274898</v>
      </c>
      <c r="Y3058" s="13">
        <f t="shared" si="474"/>
        <v>0</v>
      </c>
      <c r="Z3058" s="14">
        <v>0</v>
      </c>
      <c r="AA3058" s="6">
        <v>0</v>
      </c>
      <c r="AB3058" s="4">
        <f t="shared" si="475"/>
        <v>301138.12322274898</v>
      </c>
      <c r="AC3058" s="4">
        <f t="shared" si="479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480"/>
        <v>19062.043200000007</v>
      </c>
      <c r="AG3058" s="14">
        <v>0</v>
      </c>
      <c r="AH3058" s="6">
        <f t="shared" si="478"/>
        <v>317700.72000000015</v>
      </c>
      <c r="AI3058" s="47"/>
      <c r="AJ3058" s="126" t="e">
        <v>#N/A</v>
      </c>
      <c r="AK3058" s="80">
        <f t="shared" si="476"/>
        <v>0</v>
      </c>
      <c r="AM3058" s="85"/>
    </row>
    <row r="3059" spans="1:39" hidden="1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481"/>
        <v>240920.25000000015</v>
      </c>
      <c r="X3059" s="6">
        <f t="shared" si="477"/>
        <v>231296.57819905214</v>
      </c>
      <c r="Y3059" s="13">
        <f t="shared" si="474"/>
        <v>0</v>
      </c>
      <c r="Z3059" s="14">
        <v>0</v>
      </c>
      <c r="AA3059" s="6">
        <v>0</v>
      </c>
      <c r="AB3059" s="4">
        <f t="shared" si="475"/>
        <v>231296.57819905214</v>
      </c>
      <c r="AC3059" s="4">
        <f t="shared" si="479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480"/>
        <v>14641.073399999999</v>
      </c>
      <c r="AG3059" s="14">
        <v>0</v>
      </c>
      <c r="AH3059" s="6">
        <f t="shared" si="478"/>
        <v>244017.88999999998</v>
      </c>
      <c r="AI3059" s="47"/>
      <c r="AJ3059" s="126" t="e">
        <v>#N/A</v>
      </c>
      <c r="AK3059" s="80">
        <f t="shared" si="476"/>
        <v>0</v>
      </c>
      <c r="AM3059" s="85"/>
    </row>
    <row r="3060" spans="1:39" hidden="1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481"/>
        <v>4628.3799999999937</v>
      </c>
      <c r="X3060" s="6">
        <f t="shared" si="477"/>
        <v>29783.222748815166</v>
      </c>
      <c r="Y3060" s="13">
        <f t="shared" si="474"/>
        <v>0</v>
      </c>
      <c r="Z3060" s="14">
        <v>0</v>
      </c>
      <c r="AA3060" s="6">
        <v>0</v>
      </c>
      <c r="AB3060" s="4">
        <f t="shared" si="475"/>
        <v>29783.222748815166</v>
      </c>
      <c r="AC3060" s="4">
        <f t="shared" si="479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480"/>
        <v>1885.2779999999998</v>
      </c>
      <c r="AG3060" s="14">
        <v>0</v>
      </c>
      <c r="AH3060" s="6">
        <f t="shared" si="478"/>
        <v>31421.3</v>
      </c>
      <c r="AI3060" s="47"/>
      <c r="AJ3060" s="126" t="e">
        <v>#N/A</v>
      </c>
      <c r="AK3060" s="80">
        <f t="shared" si="476"/>
        <v>0</v>
      </c>
      <c r="AM3060" s="85"/>
    </row>
    <row r="3061" spans="1:39" hidden="1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481"/>
        <v>886200</v>
      </c>
      <c r="X3061" s="6">
        <f t="shared" si="477"/>
        <v>0</v>
      </c>
      <c r="Y3061" s="13">
        <f t="shared" si="474"/>
        <v>0</v>
      </c>
      <c r="Z3061" s="14">
        <v>0</v>
      </c>
      <c r="AA3061" s="6">
        <v>0</v>
      </c>
      <c r="AB3061" s="4">
        <f t="shared" si="475"/>
        <v>0</v>
      </c>
      <c r="AC3061" s="4">
        <f t="shared" si="479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480"/>
        <v>78931.331399999995</v>
      </c>
      <c r="AG3061" s="14">
        <v>0</v>
      </c>
      <c r="AH3061" s="6">
        <f t="shared" si="478"/>
        <v>0</v>
      </c>
      <c r="AI3061" s="47"/>
      <c r="AJ3061" s="126" t="e">
        <v>#N/A</v>
      </c>
      <c r="AK3061" s="80">
        <f t="shared" si="476"/>
        <v>0</v>
      </c>
      <c r="AM3061" s="85"/>
    </row>
    <row r="3062" spans="1:39" hidden="1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481"/>
        <v>4486733.1013000002</v>
      </c>
      <c r="X3062" s="6">
        <f t="shared" si="477"/>
        <v>5446274.5702811256</v>
      </c>
      <c r="Y3062" s="13">
        <f t="shared" si="474"/>
        <v>0</v>
      </c>
      <c r="Z3062" s="14">
        <v>0</v>
      </c>
      <c r="AA3062" s="6">
        <v>0</v>
      </c>
      <c r="AB3062" s="4">
        <f t="shared" si="475"/>
        <v>5446274.5702811256</v>
      </c>
      <c r="AC3062" s="4">
        <f t="shared" si="479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480"/>
        <v>341882.54940000008</v>
      </c>
      <c r="AG3062" s="14">
        <v>0.19</v>
      </c>
      <c r="AH3062" s="6">
        <f t="shared" si="478"/>
        <v>5697993.1428571437</v>
      </c>
      <c r="AI3062" s="47"/>
      <c r="AJ3062" s="126" t="e">
        <v>#N/A</v>
      </c>
      <c r="AK3062" s="80">
        <f t="shared" si="476"/>
        <v>0</v>
      </c>
      <c r="AM3062" s="85"/>
    </row>
    <row r="3063" spans="1:39" hidden="1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481"/>
        <v>459263.8334</v>
      </c>
      <c r="X3063" s="6">
        <f t="shared" si="477"/>
        <v>348558.19011406845</v>
      </c>
      <c r="Y3063" s="13">
        <f t="shared" si="474"/>
        <v>0</v>
      </c>
      <c r="Z3063" s="14">
        <v>0</v>
      </c>
      <c r="AA3063" s="6">
        <v>0</v>
      </c>
      <c r="AB3063" s="4">
        <f t="shared" si="475"/>
        <v>348558.19011406845</v>
      </c>
      <c r="AC3063" s="4">
        <f t="shared" si="479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480"/>
        <v>25475.420600000012</v>
      </c>
      <c r="AG3063" s="14">
        <v>0.26</v>
      </c>
      <c r="AH3063" s="6">
        <f t="shared" si="478"/>
        <v>363773.03174603177</v>
      </c>
      <c r="AI3063" s="47"/>
      <c r="AJ3063" s="126" t="e">
        <v>#N/A</v>
      </c>
      <c r="AK3063" s="80">
        <f t="shared" si="476"/>
        <v>0</v>
      </c>
      <c r="AM3063" s="85"/>
    </row>
    <row r="3064" spans="1:39" hidden="1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481"/>
        <v>28999.739100000821</v>
      </c>
      <c r="X3064" s="6">
        <f t="shared" si="477"/>
        <v>1226850.0316205532</v>
      </c>
      <c r="Y3064" s="13">
        <f t="shared" si="474"/>
        <v>1226850.0316205532</v>
      </c>
      <c r="Z3064" s="14">
        <v>0</v>
      </c>
      <c r="AA3064" s="6">
        <v>0</v>
      </c>
      <c r="AB3064" s="4">
        <f t="shared" si="475"/>
        <v>1226850.0316205532</v>
      </c>
      <c r="AC3064" s="4">
        <f t="shared" si="479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480"/>
        <v>0</v>
      </c>
      <c r="AG3064" s="14">
        <v>0.21</v>
      </c>
      <c r="AH3064" s="6">
        <f t="shared" si="478"/>
        <v>1282615.94214876</v>
      </c>
      <c r="AI3064" s="47"/>
      <c r="AJ3064" s="126" t="e">
        <v>#N/A</v>
      </c>
      <c r="AK3064" s="80">
        <f t="shared" si="476"/>
        <v>0</v>
      </c>
      <c r="AM3064" s="85"/>
    </row>
    <row r="3065" spans="1:39" hidden="1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481"/>
        <v>0</v>
      </c>
      <c r="X3065" s="6">
        <f t="shared" si="477"/>
        <v>15142179.614910385</v>
      </c>
      <c r="Y3065" s="13">
        <f t="shared" si="474"/>
        <v>0</v>
      </c>
      <c r="Z3065" s="14">
        <v>0</v>
      </c>
      <c r="AA3065" s="6">
        <v>0</v>
      </c>
      <c r="AB3065" s="4">
        <f t="shared" si="475"/>
        <v>15142179.614910385</v>
      </c>
      <c r="AC3065" s="4">
        <f t="shared" si="479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480"/>
        <v>1062437.9651999997</v>
      </c>
      <c r="AG3065" s="14">
        <v>0.34</v>
      </c>
      <c r="AH3065" s="6">
        <f t="shared" si="478"/>
        <v>15763686.987164168</v>
      </c>
      <c r="AI3065" s="47"/>
      <c r="AJ3065" s="126" t="e">
        <v>#N/A</v>
      </c>
      <c r="AK3065" s="80">
        <f t="shared" si="476"/>
        <v>0</v>
      </c>
      <c r="AM3065" s="85"/>
    </row>
    <row r="3066" spans="1:39" hidden="1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481"/>
        <v>7396590.9396000002</v>
      </c>
      <c r="X3066" s="6">
        <f t="shared" si="477"/>
        <v>3815603.3183520613</v>
      </c>
      <c r="Y3066" s="13">
        <f t="shared" si="474"/>
        <v>0</v>
      </c>
      <c r="Z3066" s="14">
        <v>0</v>
      </c>
      <c r="AA3066" s="6">
        <v>0</v>
      </c>
      <c r="AB3066" s="4">
        <f t="shared" si="475"/>
        <v>3815603.3183520613</v>
      </c>
      <c r="AC3066" s="4">
        <f t="shared" si="479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480"/>
        <v>287081.27070000023</v>
      </c>
      <c r="AG3066" s="14">
        <v>0.28000000000000003</v>
      </c>
      <c r="AH3066" s="6">
        <f t="shared" si="478"/>
        <v>3979555.0234375009</v>
      </c>
      <c r="AI3066" s="47"/>
      <c r="AJ3066" s="126" t="e">
        <v>#N/A</v>
      </c>
      <c r="AK3066" s="80">
        <f t="shared" si="476"/>
        <v>0</v>
      </c>
      <c r="AM3066" s="85"/>
    </row>
    <row r="3067" spans="1:39" hidden="1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481"/>
        <v>2318890</v>
      </c>
      <c r="X3067" s="6">
        <f t="shared" si="477"/>
        <v>0</v>
      </c>
      <c r="Y3067" s="13">
        <f t="shared" si="474"/>
        <v>0</v>
      </c>
      <c r="Z3067" s="14">
        <v>0</v>
      </c>
      <c r="AA3067" s="6">
        <v>0</v>
      </c>
      <c r="AB3067" s="4">
        <f t="shared" si="475"/>
        <v>0</v>
      </c>
      <c r="AC3067" s="4">
        <f t="shared" si="479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480"/>
        <v>100261.94940000003</v>
      </c>
      <c r="AG3067" s="14">
        <v>0</v>
      </c>
      <c r="AH3067" s="6">
        <f t="shared" si="478"/>
        <v>0</v>
      </c>
      <c r="AI3067" s="47"/>
      <c r="AJ3067" s="126" t="e">
        <v>#N/A</v>
      </c>
      <c r="AK3067" s="80">
        <f t="shared" si="476"/>
        <v>0</v>
      </c>
      <c r="AM3067" s="85"/>
    </row>
    <row r="3068" spans="1:39" hidden="1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481"/>
        <v>8225192.6427999847</v>
      </c>
      <c r="X3068" s="6">
        <f t="shared" si="477"/>
        <v>1863608.8693839009</v>
      </c>
      <c r="Y3068" s="13">
        <f t="shared" si="474"/>
        <v>1863608.8693839009</v>
      </c>
      <c r="Z3068" s="14">
        <v>0</v>
      </c>
      <c r="AA3068" s="6">
        <v>0</v>
      </c>
      <c r="AB3068" s="4">
        <f t="shared" si="475"/>
        <v>1863608.8693839009</v>
      </c>
      <c r="AC3068" s="4">
        <f t="shared" si="479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480"/>
        <v>0</v>
      </c>
      <c r="AG3068" s="14">
        <v>0</v>
      </c>
      <c r="AH3068" s="6">
        <f t="shared" si="478"/>
        <v>1966107.3572000153</v>
      </c>
      <c r="AI3068" s="47"/>
      <c r="AJ3068" s="126" t="e">
        <v>#N/A</v>
      </c>
      <c r="AK3068" s="80">
        <f t="shared" si="476"/>
        <v>0</v>
      </c>
      <c r="AM3068" s="85"/>
    </row>
    <row r="3069" spans="1:39" hidden="1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481"/>
        <v>4283300</v>
      </c>
      <c r="X3069" s="6">
        <f t="shared" si="477"/>
        <v>0</v>
      </c>
      <c r="Y3069" s="13">
        <f t="shared" si="474"/>
        <v>0</v>
      </c>
      <c r="Z3069" s="14">
        <v>0</v>
      </c>
      <c r="AA3069" s="6">
        <v>0</v>
      </c>
      <c r="AB3069" s="4">
        <f t="shared" si="475"/>
        <v>0</v>
      </c>
      <c r="AC3069" s="4">
        <f t="shared" si="479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480"/>
        <v>0</v>
      </c>
      <c r="AG3069" s="14">
        <v>0</v>
      </c>
      <c r="AH3069" s="6">
        <f t="shared" si="478"/>
        <v>0</v>
      </c>
      <c r="AI3069" s="47"/>
      <c r="AJ3069" s="126" t="e">
        <v>#N/A</v>
      </c>
      <c r="AK3069" s="80">
        <f t="shared" si="476"/>
        <v>0</v>
      </c>
      <c r="AM3069" s="85"/>
    </row>
    <row r="3070" spans="1:39" hidden="1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481"/>
        <v>266304.87000000314</v>
      </c>
      <c r="X3070" s="6">
        <f t="shared" si="477"/>
        <v>1573487.8834080712</v>
      </c>
      <c r="Y3070" s="13">
        <f t="shared" si="474"/>
        <v>1573487.8834080712</v>
      </c>
      <c r="Z3070" s="14">
        <v>0</v>
      </c>
      <c r="AA3070" s="6">
        <v>0</v>
      </c>
      <c r="AB3070" s="4">
        <f t="shared" si="475"/>
        <v>1573487.8834080712</v>
      </c>
      <c r="AC3070" s="4">
        <f t="shared" si="479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480"/>
        <v>0</v>
      </c>
      <c r="AG3070" s="14">
        <v>0.06</v>
      </c>
      <c r="AH3070" s="6">
        <f t="shared" si="478"/>
        <v>1655131.1226415089</v>
      </c>
      <c r="AI3070" s="47"/>
      <c r="AJ3070" s="126" t="e">
        <v>#N/A</v>
      </c>
      <c r="AK3070" s="80">
        <f t="shared" si="476"/>
        <v>0</v>
      </c>
      <c r="AM3070" s="85"/>
    </row>
    <row r="3071" spans="1:39" hidden="1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481"/>
        <v>-1.2999999999733518</v>
      </c>
      <c r="X3071" s="6">
        <f t="shared" si="477"/>
        <v>3052.27</v>
      </c>
      <c r="Y3071" s="13">
        <f t="shared" si="474"/>
        <v>0</v>
      </c>
      <c r="Z3071" s="14">
        <v>0</v>
      </c>
      <c r="AA3071" s="6">
        <v>0</v>
      </c>
      <c r="AB3071" s="4">
        <f t="shared" si="475"/>
        <v>3052.27</v>
      </c>
      <c r="AC3071" s="4">
        <f t="shared" si="479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480"/>
        <v>183.1362</v>
      </c>
      <c r="AG3071" s="14">
        <v>0</v>
      </c>
      <c r="AH3071" s="6">
        <f t="shared" si="478"/>
        <v>3052.27</v>
      </c>
      <c r="AI3071" s="47"/>
      <c r="AJ3071" s="126" t="e">
        <v>#N/A</v>
      </c>
      <c r="AK3071" s="80">
        <f t="shared" si="476"/>
        <v>0</v>
      </c>
      <c r="AM3071" s="85"/>
    </row>
    <row r="3072" spans="1:39" hidden="1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481"/>
        <v>-8153.6560999996727</v>
      </c>
      <c r="X3072" s="6">
        <f t="shared" si="477"/>
        <v>64537.909999999989</v>
      </c>
      <c r="Y3072" s="13">
        <f t="shared" si="474"/>
        <v>311.27000000000407</v>
      </c>
      <c r="Z3072" s="14">
        <v>0</v>
      </c>
      <c r="AA3072" s="6">
        <v>0</v>
      </c>
      <c r="AB3072" s="4">
        <f t="shared" si="475"/>
        <v>64537.909999999989</v>
      </c>
      <c r="AC3072" s="4">
        <f t="shared" si="479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480"/>
        <v>3853.5983999999989</v>
      </c>
      <c r="AG3072" s="14">
        <v>0</v>
      </c>
      <c r="AH3072" s="6">
        <f t="shared" si="478"/>
        <v>64537.909999999989</v>
      </c>
      <c r="AI3072" s="47"/>
      <c r="AJ3072" s="126" t="e">
        <v>#N/A</v>
      </c>
      <c r="AK3072" s="80">
        <f t="shared" si="476"/>
        <v>0</v>
      </c>
      <c r="AM3072" s="85"/>
    </row>
    <row r="3073" spans="1:39" hidden="1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481"/>
        <v>178435.38</v>
      </c>
      <c r="X3073" s="6">
        <f t="shared" si="477"/>
        <v>121664.62</v>
      </c>
      <c r="Y3073" s="13">
        <f t="shared" si="474"/>
        <v>0</v>
      </c>
      <c r="Z3073" s="14">
        <v>0</v>
      </c>
      <c r="AA3073" s="6">
        <v>0</v>
      </c>
      <c r="AB3073" s="4">
        <f t="shared" si="475"/>
        <v>121664.62</v>
      </c>
      <c r="AC3073" s="4">
        <f t="shared" si="479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480"/>
        <v>7299.8771999999999</v>
      </c>
      <c r="AG3073" s="14">
        <v>0</v>
      </c>
      <c r="AH3073" s="6">
        <f t="shared" si="478"/>
        <v>121664.62</v>
      </c>
      <c r="AI3073" s="47"/>
      <c r="AJ3073" s="126" t="e">
        <v>#N/A</v>
      </c>
      <c r="AK3073" s="80">
        <f t="shared" si="476"/>
        <v>0</v>
      </c>
      <c r="AM3073" s="85"/>
    </row>
    <row r="3074" spans="1:39" hidden="1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481"/>
        <v>125291.32</v>
      </c>
      <c r="X3074" s="6">
        <f t="shared" si="477"/>
        <v>74808.679999999993</v>
      </c>
      <c r="Y3074" s="13">
        <f t="shared" si="474"/>
        <v>0</v>
      </c>
      <c r="Z3074" s="14">
        <v>0</v>
      </c>
      <c r="AA3074" s="6">
        <v>0</v>
      </c>
      <c r="AB3074" s="4">
        <f t="shared" si="475"/>
        <v>74808.679999999993</v>
      </c>
      <c r="AC3074" s="4">
        <f t="shared" si="479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480"/>
        <v>5236.6076000000003</v>
      </c>
      <c r="AG3074" s="14">
        <v>0</v>
      </c>
      <c r="AH3074" s="6">
        <f t="shared" si="478"/>
        <v>74808.679999999993</v>
      </c>
      <c r="AI3074" s="47"/>
      <c r="AJ3074" s="126" t="e">
        <v>#N/A</v>
      </c>
      <c r="AK3074" s="80">
        <f t="shared" si="476"/>
        <v>0</v>
      </c>
      <c r="AM3074" s="85"/>
    </row>
    <row r="3075" spans="1:39" hidden="1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481"/>
        <v>39708.189999999995</v>
      </c>
      <c r="X3075" s="6">
        <f t="shared" si="477"/>
        <v>10291.810000000005</v>
      </c>
      <c r="Y3075" s="13">
        <f t="shared" ref="Y3075:Y3138" si="482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483">X3075+AA3075</f>
        <v>10291.810000000005</v>
      </c>
      <c r="AC3075" s="4">
        <f t="shared" si="479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480"/>
        <v>773.21039999999982</v>
      </c>
      <c r="AG3075" s="14">
        <v>0</v>
      </c>
      <c r="AH3075" s="6">
        <f t="shared" si="478"/>
        <v>10291.810000000005</v>
      </c>
      <c r="AI3075" s="47"/>
      <c r="AJ3075" s="126" t="e">
        <v>#N/A</v>
      </c>
      <c r="AK3075" s="80">
        <f t="shared" ref="AK3075:AK3138" si="484">X3075+AA3075-AB3075</f>
        <v>0</v>
      </c>
      <c r="AM3075" s="85"/>
    </row>
    <row r="3076" spans="1:39" hidden="1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481"/>
        <v>53439.099999999991</v>
      </c>
      <c r="X3076" s="6">
        <f t="shared" si="477"/>
        <v>64784.460000000006</v>
      </c>
      <c r="Y3076" s="13">
        <f t="shared" si="482"/>
        <v>0</v>
      </c>
      <c r="Z3076" s="14">
        <v>0</v>
      </c>
      <c r="AA3076" s="6">
        <v>0</v>
      </c>
      <c r="AB3076" s="4">
        <f t="shared" si="483"/>
        <v>64784.460000000006</v>
      </c>
      <c r="AC3076" s="4">
        <f t="shared" si="479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480"/>
        <v>3887.0676000000003</v>
      </c>
      <c r="AG3076" s="14">
        <v>0</v>
      </c>
      <c r="AH3076" s="6">
        <f t="shared" si="478"/>
        <v>64784.460000000006</v>
      </c>
      <c r="AI3076" s="47"/>
      <c r="AJ3076" s="126" t="e">
        <v>#N/A</v>
      </c>
      <c r="AK3076" s="80">
        <f t="shared" si="484"/>
        <v>0</v>
      </c>
      <c r="AM3076" s="85"/>
    </row>
    <row r="3077" spans="1:39" hidden="1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481"/>
        <v>1438669.8910999978</v>
      </c>
      <c r="X3077" s="6">
        <f t="shared" si="477"/>
        <v>2886153.9100000011</v>
      </c>
      <c r="Y3077" s="13">
        <f t="shared" si="482"/>
        <v>0</v>
      </c>
      <c r="Z3077" s="14">
        <v>0</v>
      </c>
      <c r="AA3077" s="6">
        <v>0</v>
      </c>
      <c r="AB3077" s="4">
        <f t="shared" si="483"/>
        <v>2886153.9100000011</v>
      </c>
      <c r="AC3077" s="4">
        <f t="shared" si="479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480"/>
        <v>173169.23460000005</v>
      </c>
      <c r="AG3077" s="14">
        <v>0</v>
      </c>
      <c r="AH3077" s="6">
        <f t="shared" si="478"/>
        <v>2886153.9100000011</v>
      </c>
      <c r="AI3077" s="47"/>
      <c r="AJ3077" s="126" t="e">
        <v>#N/A</v>
      </c>
      <c r="AK3077" s="80">
        <f t="shared" si="484"/>
        <v>0</v>
      </c>
      <c r="AM3077" s="85"/>
    </row>
    <row r="3078" spans="1:39" hidden="1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3756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481"/>
        <v>131079.44999999995</v>
      </c>
      <c r="X3078" s="6">
        <f t="shared" si="477"/>
        <v>292030.24271844659</v>
      </c>
      <c r="Y3078" s="13">
        <f t="shared" si="482"/>
        <v>1921.4827184465248</v>
      </c>
      <c r="Z3078" s="14">
        <v>0</v>
      </c>
      <c r="AA3078" s="6">
        <v>0</v>
      </c>
      <c r="AB3078" s="4">
        <f t="shared" si="483"/>
        <v>292030.24271844659</v>
      </c>
      <c r="AC3078" s="4">
        <f t="shared" si="479"/>
        <v>8760.9072815534309</v>
      </c>
      <c r="AD3078" s="6">
        <v>290108.76000000007</v>
      </c>
      <c r="AE3078" s="2">
        <v>7.0000000000000007E-2</v>
      </c>
      <c r="AF3078" s="6">
        <f t="shared" si="480"/>
        <v>20307.613200000007</v>
      </c>
      <c r="AG3078" s="14">
        <v>0</v>
      </c>
      <c r="AH3078" s="6">
        <f t="shared" si="478"/>
        <v>300791.15000000002</v>
      </c>
      <c r="AI3078" s="47"/>
      <c r="AJ3078" s="126" t="e">
        <v>#N/A</v>
      </c>
      <c r="AK3078" s="80">
        <f t="shared" si="484"/>
        <v>0</v>
      </c>
      <c r="AM3078" s="85"/>
    </row>
    <row r="3079" spans="1:39" hidden="1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481"/>
        <v>-4658828.6399999987</v>
      </c>
      <c r="X3079" s="6">
        <f t="shared" si="477"/>
        <v>24946.52</v>
      </c>
      <c r="Y3079" s="13">
        <f t="shared" si="482"/>
        <v>0</v>
      </c>
      <c r="Z3079" s="14">
        <v>0</v>
      </c>
      <c r="AA3079" s="6">
        <v>0</v>
      </c>
      <c r="AB3079" s="4">
        <f t="shared" si="483"/>
        <v>24946.52</v>
      </c>
      <c r="AC3079" s="4">
        <f t="shared" si="479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480"/>
        <v>1746.2564000000002</v>
      </c>
      <c r="AG3079" s="14">
        <v>0</v>
      </c>
      <c r="AH3079" s="6">
        <f t="shared" si="478"/>
        <v>24946.52</v>
      </c>
      <c r="AI3079" s="47"/>
      <c r="AJ3079" s="126" t="e">
        <v>#N/A</v>
      </c>
      <c r="AK3079" s="80">
        <f t="shared" si="484"/>
        <v>0</v>
      </c>
      <c r="AM3079" s="85"/>
    </row>
    <row r="3080" spans="1:39" hidden="1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481"/>
        <v>30078.41</v>
      </c>
      <c r="X3080" s="6">
        <f t="shared" si="477"/>
        <v>19921.59</v>
      </c>
      <c r="Y3080" s="13">
        <f t="shared" si="482"/>
        <v>0</v>
      </c>
      <c r="Z3080" s="14">
        <v>0</v>
      </c>
      <c r="AA3080" s="6">
        <v>0</v>
      </c>
      <c r="AB3080" s="4">
        <f t="shared" si="483"/>
        <v>19921.59</v>
      </c>
      <c r="AC3080" s="4">
        <f t="shared" si="479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480"/>
        <v>1394.5113000000001</v>
      </c>
      <c r="AG3080" s="14">
        <v>0</v>
      </c>
      <c r="AH3080" s="6">
        <f t="shared" si="478"/>
        <v>19921.59</v>
      </c>
      <c r="AI3080" s="47"/>
      <c r="AJ3080" s="126" t="e">
        <v>#N/A</v>
      </c>
      <c r="AK3080" s="80">
        <f t="shared" si="484"/>
        <v>0</v>
      </c>
      <c r="AM3080" s="85"/>
    </row>
    <row r="3081" spans="1:39" hidden="1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481"/>
        <v>0</v>
      </c>
      <c r="X3081" s="6">
        <f t="shared" si="477"/>
        <v>0</v>
      </c>
      <c r="Y3081" s="13">
        <f t="shared" si="482"/>
        <v>0</v>
      </c>
      <c r="Z3081" s="14">
        <v>0</v>
      </c>
      <c r="AA3081" s="6">
        <v>0</v>
      </c>
      <c r="AB3081" s="4">
        <f t="shared" si="483"/>
        <v>0</v>
      </c>
      <c r="AC3081" s="4">
        <f t="shared" si="479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480"/>
        <v>0</v>
      </c>
      <c r="AG3081" s="14">
        <v>0</v>
      </c>
      <c r="AH3081" s="6">
        <f t="shared" si="478"/>
        <v>0</v>
      </c>
      <c r="AI3081" s="47"/>
      <c r="AJ3081" s="126" t="e">
        <v>#N/A</v>
      </c>
      <c r="AK3081" s="80">
        <f t="shared" si="484"/>
        <v>0</v>
      </c>
      <c r="AM3081" s="85"/>
    </row>
    <row r="3082" spans="1:39" hidden="1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481"/>
        <v>458847.28800000041</v>
      </c>
      <c r="X3082" s="6">
        <f t="shared" si="477"/>
        <v>324683.7605633802</v>
      </c>
      <c r="Y3082" s="13">
        <f t="shared" si="482"/>
        <v>0</v>
      </c>
      <c r="Z3082" s="14">
        <v>0</v>
      </c>
      <c r="AA3082" s="6">
        <v>0</v>
      </c>
      <c r="AB3082" s="4">
        <f t="shared" si="483"/>
        <v>324683.7605633802</v>
      </c>
      <c r="AC3082" s="4">
        <f t="shared" si="479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480"/>
        <v>22954.435000000005</v>
      </c>
      <c r="AG3082" s="14">
        <v>0.4</v>
      </c>
      <c r="AH3082" s="6">
        <f t="shared" si="478"/>
        <v>329322.09999999992</v>
      </c>
      <c r="AI3082" s="47"/>
      <c r="AJ3082" s="126" t="e">
        <v>#N/A</v>
      </c>
      <c r="AK3082" s="80">
        <f t="shared" si="484"/>
        <v>0</v>
      </c>
      <c r="AM3082" s="85"/>
    </row>
    <row r="3083" spans="1:39" hidden="1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481"/>
        <v>5347590.380199993</v>
      </c>
      <c r="X3083" s="6">
        <f t="shared" ref="X3083:X3146" si="485">IF(P3083="折扣",V3083*Q3083,IF(P3083="返现",V3083,V3083/(1+Q3083+AG3083)))</f>
        <v>2833641.2229729714</v>
      </c>
      <c r="Y3083" s="13">
        <f t="shared" si="482"/>
        <v>0</v>
      </c>
      <c r="Z3083" s="14">
        <v>0</v>
      </c>
      <c r="AA3083" s="6">
        <v>0</v>
      </c>
      <c r="AB3083" s="4">
        <f t="shared" si="483"/>
        <v>2833641.2229729714</v>
      </c>
      <c r="AC3083" s="4">
        <f t="shared" si="479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480"/>
        <v>210015.05489999987</v>
      </c>
      <c r="AG3083" s="14">
        <v>0.4</v>
      </c>
      <c r="AH3083" s="6">
        <f t="shared" ref="AH3083:AH3146" si="486">V3083/(1+AG3083)</f>
        <v>2995563.5785714271</v>
      </c>
      <c r="AI3083" s="47"/>
      <c r="AJ3083" s="126" t="e">
        <v>#N/A</v>
      </c>
      <c r="AK3083" s="80">
        <f t="shared" si="484"/>
        <v>0</v>
      </c>
      <c r="AM3083" s="85"/>
    </row>
    <row r="3084" spans="1:39" hidden="1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481"/>
        <v>5647.8913000000002</v>
      </c>
      <c r="X3084" s="6">
        <f t="shared" si="485"/>
        <v>965.79285714285709</v>
      </c>
      <c r="Y3084" s="13">
        <f t="shared" si="482"/>
        <v>0</v>
      </c>
      <c r="Z3084" s="14">
        <v>0</v>
      </c>
      <c r="AA3084" s="6">
        <v>0</v>
      </c>
      <c r="AB3084" s="4">
        <f t="shared" si="483"/>
        <v>965.79285714285709</v>
      </c>
      <c r="AC3084" s="4">
        <f t="shared" ref="AC3084:AC3147" si="487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488">AD3084*AE3084</f>
        <v>59.216999999999999</v>
      </c>
      <c r="AG3084" s="14">
        <v>0.37</v>
      </c>
      <c r="AH3084" s="6">
        <f t="shared" si="486"/>
        <v>986.94160583941596</v>
      </c>
      <c r="AI3084" s="47"/>
      <c r="AJ3084" s="126" t="e">
        <v>#N/A</v>
      </c>
      <c r="AK3084" s="80">
        <f t="shared" si="484"/>
        <v>0</v>
      </c>
      <c r="AM3084" s="85"/>
    </row>
    <row r="3085" spans="1:39" hidden="1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481"/>
        <v>161646.48784635108</v>
      </c>
      <c r="X3085" s="6">
        <f t="shared" si="485"/>
        <v>162351.33333333334</v>
      </c>
      <c r="Y3085" s="13">
        <f t="shared" si="482"/>
        <v>0</v>
      </c>
      <c r="Z3085" s="14">
        <v>0</v>
      </c>
      <c r="AA3085" s="6">
        <v>0</v>
      </c>
      <c r="AB3085" s="4">
        <f t="shared" si="483"/>
        <v>162351.33333333334</v>
      </c>
      <c r="AC3085" s="4">
        <f t="shared" si="487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488"/>
        <v>11445.767200000002</v>
      </c>
      <c r="AG3085" s="14">
        <v>0.4</v>
      </c>
      <c r="AH3085" s="6">
        <f t="shared" si="486"/>
        <v>163510.98571428575</v>
      </c>
      <c r="AI3085" s="47"/>
      <c r="AJ3085" s="126" t="e">
        <v>#N/A</v>
      </c>
      <c r="AK3085" s="80">
        <f t="shared" si="484"/>
        <v>0</v>
      </c>
      <c r="AM3085" s="85"/>
    </row>
    <row r="3086" spans="1:39" hidden="1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481"/>
        <v>43850.559292700113</v>
      </c>
      <c r="X3086" s="6">
        <f t="shared" si="485"/>
        <v>132087.54999999999</v>
      </c>
      <c r="Y3086" s="13">
        <f t="shared" si="482"/>
        <v>0</v>
      </c>
      <c r="Z3086" s="14">
        <v>0</v>
      </c>
      <c r="AA3086" s="6">
        <v>0</v>
      </c>
      <c r="AB3086" s="4">
        <f t="shared" si="483"/>
        <v>132087.54999999999</v>
      </c>
      <c r="AC3086" s="4">
        <f t="shared" si="487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488"/>
        <v>8098.7975999999971</v>
      </c>
      <c r="AG3086" s="14">
        <v>0.37</v>
      </c>
      <c r="AH3086" s="6">
        <f t="shared" si="486"/>
        <v>134979.97810218975</v>
      </c>
      <c r="AI3086" s="47"/>
      <c r="AJ3086" s="126" t="e">
        <v>#N/A</v>
      </c>
      <c r="AK3086" s="80">
        <f t="shared" si="484"/>
        <v>0</v>
      </c>
      <c r="AM3086" s="85"/>
    </row>
    <row r="3087" spans="1:39" hidden="1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481"/>
        <v>213139.3984999996</v>
      </c>
      <c r="X3087" s="6">
        <f t="shared" si="485"/>
        <v>256023.61379310346</v>
      </c>
      <c r="Y3087" s="13">
        <f t="shared" si="482"/>
        <v>0</v>
      </c>
      <c r="Z3087" s="14">
        <v>0</v>
      </c>
      <c r="AA3087" s="6">
        <v>0</v>
      </c>
      <c r="AB3087" s="4">
        <f t="shared" si="483"/>
        <v>256023.61379310346</v>
      </c>
      <c r="AC3087" s="4">
        <f t="shared" si="487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488"/>
        <v>18561.695600000003</v>
      </c>
      <c r="AG3087" s="14">
        <v>0.4</v>
      </c>
      <c r="AH3087" s="6">
        <f t="shared" si="486"/>
        <v>265167.31428571435</v>
      </c>
      <c r="AI3087" s="47"/>
      <c r="AJ3087" s="126" t="e">
        <v>#N/A</v>
      </c>
      <c r="AK3087" s="80">
        <f t="shared" si="484"/>
        <v>0</v>
      </c>
      <c r="AM3087" s="85"/>
    </row>
    <row r="3088" spans="1:39" hidden="1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481"/>
        <v>441000</v>
      </c>
      <c r="X3088" s="6">
        <f t="shared" si="485"/>
        <v>0</v>
      </c>
      <c r="Y3088" s="13">
        <f t="shared" si="482"/>
        <v>0</v>
      </c>
      <c r="Z3088" s="14">
        <v>0</v>
      </c>
      <c r="AA3088" s="6">
        <v>0</v>
      </c>
      <c r="AB3088" s="4">
        <f t="shared" si="483"/>
        <v>0</v>
      </c>
      <c r="AC3088" s="4">
        <f t="shared" si="487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488"/>
        <v>0</v>
      </c>
      <c r="AG3088" s="14">
        <v>0.4</v>
      </c>
      <c r="AH3088" s="6">
        <f t="shared" si="486"/>
        <v>0</v>
      </c>
      <c r="AI3088" s="47"/>
      <c r="AJ3088" s="126" t="e">
        <v>#N/A</v>
      </c>
      <c r="AK3088" s="80">
        <f t="shared" si="484"/>
        <v>0</v>
      </c>
      <c r="AM3088" s="85"/>
    </row>
    <row r="3089" spans="1:39" hidden="1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481"/>
        <v>133793.61639999982</v>
      </c>
      <c r="X3089" s="6">
        <f t="shared" si="485"/>
        <v>181784.97222222222</v>
      </c>
      <c r="Y3089" s="13">
        <f t="shared" si="482"/>
        <v>0</v>
      </c>
      <c r="Z3089" s="14">
        <v>0</v>
      </c>
      <c r="AA3089" s="6">
        <v>0</v>
      </c>
      <c r="AB3089" s="4">
        <f t="shared" si="483"/>
        <v>181784.97222222222</v>
      </c>
      <c r="AC3089" s="4">
        <f t="shared" si="487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488"/>
        <v>11447.066999999995</v>
      </c>
      <c r="AG3089" s="14">
        <v>0.37</v>
      </c>
      <c r="AH3089" s="6">
        <f t="shared" si="486"/>
        <v>191073.25547445254</v>
      </c>
      <c r="AI3089" s="47"/>
      <c r="AJ3089" s="126" t="e">
        <v>#N/A</v>
      </c>
      <c r="AK3089" s="80">
        <f t="shared" si="484"/>
        <v>0</v>
      </c>
      <c r="AM3089" s="85"/>
    </row>
    <row r="3090" spans="1:39" hidden="1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481"/>
        <v>555645.49734913372</v>
      </c>
      <c r="X3090" s="6">
        <f t="shared" si="485"/>
        <v>763171.14864864852</v>
      </c>
      <c r="Y3090" s="13">
        <f t="shared" si="482"/>
        <v>0</v>
      </c>
      <c r="Z3090" s="14">
        <v>0</v>
      </c>
      <c r="AA3090" s="6">
        <v>0</v>
      </c>
      <c r="AB3090" s="4">
        <f t="shared" si="483"/>
        <v>763171.14864864852</v>
      </c>
      <c r="AC3090" s="4">
        <f t="shared" si="487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488"/>
        <v>55990.201399999991</v>
      </c>
      <c r="AG3090" s="14">
        <v>0.4</v>
      </c>
      <c r="AH3090" s="6">
        <f t="shared" si="486"/>
        <v>806780.92857142852</v>
      </c>
      <c r="AI3090" s="47"/>
      <c r="AJ3090" s="126" t="e">
        <v>#N/A</v>
      </c>
      <c r="AK3090" s="80">
        <f t="shared" si="484"/>
        <v>0</v>
      </c>
      <c r="AM3090" s="85"/>
    </row>
    <row r="3091" spans="1:39" hidden="1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481"/>
        <v>335652.87660000002</v>
      </c>
      <c r="X3091" s="6">
        <f t="shared" si="485"/>
        <v>193566.27464788736</v>
      </c>
      <c r="Y3091" s="13">
        <f t="shared" si="482"/>
        <v>0</v>
      </c>
      <c r="Z3091" s="14">
        <v>0</v>
      </c>
      <c r="AA3091" s="6">
        <v>0</v>
      </c>
      <c r="AB3091" s="4">
        <f t="shared" si="483"/>
        <v>193566.27464788736</v>
      </c>
      <c r="AC3091" s="4">
        <f t="shared" si="487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488"/>
        <v>12007.465199999997</v>
      </c>
      <c r="AG3091" s="14">
        <v>0.37</v>
      </c>
      <c r="AH3091" s="6">
        <f t="shared" si="486"/>
        <v>200630.73722627739</v>
      </c>
      <c r="AI3091" s="47"/>
      <c r="AJ3091" s="126" t="e">
        <v>#N/A</v>
      </c>
      <c r="AK3091" s="80">
        <f t="shared" si="484"/>
        <v>0</v>
      </c>
      <c r="AM3091" s="85"/>
    </row>
    <row r="3092" spans="1:39" hidden="1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481"/>
        <v>-2.5999999837949872E-2</v>
      </c>
      <c r="X3092" s="6">
        <f t="shared" si="485"/>
        <v>0</v>
      </c>
      <c r="Y3092" s="13">
        <f t="shared" si="482"/>
        <v>0</v>
      </c>
      <c r="Z3092" s="14">
        <v>0</v>
      </c>
      <c r="AA3092" s="6">
        <v>0</v>
      </c>
      <c r="AB3092" s="4">
        <f t="shared" si="483"/>
        <v>0</v>
      </c>
      <c r="AC3092" s="4">
        <f t="shared" si="487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488"/>
        <v>0</v>
      </c>
      <c r="AG3092" s="14">
        <v>0.4</v>
      </c>
      <c r="AH3092" s="6">
        <f t="shared" si="486"/>
        <v>0</v>
      </c>
      <c r="AI3092" s="47"/>
      <c r="AJ3092" s="126" t="e">
        <v>#N/A</v>
      </c>
      <c r="AK3092" s="80">
        <f t="shared" si="484"/>
        <v>0</v>
      </c>
      <c r="AM3092" s="85"/>
    </row>
    <row r="3093" spans="1:39" hidden="1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481"/>
        <v>53778.1927</v>
      </c>
      <c r="X3093" s="6">
        <f t="shared" si="485"/>
        <v>12911.593103448273</v>
      </c>
      <c r="Y3093" s="13">
        <f t="shared" si="482"/>
        <v>0</v>
      </c>
      <c r="Z3093" s="14">
        <v>0</v>
      </c>
      <c r="AA3093" s="6">
        <v>0</v>
      </c>
      <c r="AB3093" s="4">
        <f t="shared" si="483"/>
        <v>12911.593103448273</v>
      </c>
      <c r="AC3093" s="4">
        <f t="shared" si="487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488"/>
        <v>819.92759999999987</v>
      </c>
      <c r="AG3093" s="14">
        <v>0.37</v>
      </c>
      <c r="AH3093" s="6">
        <f t="shared" si="486"/>
        <v>13665.554744525545</v>
      </c>
      <c r="AI3093" s="47"/>
      <c r="AJ3093" s="126" t="e">
        <v>#N/A</v>
      </c>
      <c r="AK3093" s="80">
        <f t="shared" si="484"/>
        <v>0</v>
      </c>
      <c r="AM3093" s="85"/>
    </row>
    <row r="3094" spans="1:39" hidden="1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481"/>
        <v>758988.66556999355</v>
      </c>
      <c r="X3094" s="6">
        <f t="shared" si="485"/>
        <v>459824.61486486509</v>
      </c>
      <c r="Y3094" s="13">
        <f t="shared" si="482"/>
        <v>0</v>
      </c>
      <c r="Z3094" s="14">
        <v>0</v>
      </c>
      <c r="AA3094" s="6">
        <v>0</v>
      </c>
      <c r="AB3094" s="4">
        <f t="shared" si="483"/>
        <v>459824.61486486509</v>
      </c>
      <c r="AC3094" s="4">
        <f t="shared" si="487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488"/>
        <v>33970.997900000002</v>
      </c>
      <c r="AG3094" s="14">
        <v>0.4</v>
      </c>
      <c r="AH3094" s="6">
        <f t="shared" si="486"/>
        <v>486100.3071428574</v>
      </c>
      <c r="AI3094" s="47"/>
      <c r="AJ3094" s="126" t="e">
        <v>#N/A</v>
      </c>
      <c r="AK3094" s="80">
        <f t="shared" si="484"/>
        <v>0</v>
      </c>
      <c r="AM3094" s="85"/>
    </row>
    <row r="3095" spans="1:39" hidden="1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481"/>
        <v>53816.933399999994</v>
      </c>
      <c r="X3095" s="6">
        <f t="shared" si="485"/>
        <v>35684.328571428581</v>
      </c>
      <c r="Y3095" s="13">
        <f t="shared" si="482"/>
        <v>0</v>
      </c>
      <c r="Z3095" s="14">
        <v>0</v>
      </c>
      <c r="AA3095" s="6">
        <v>0</v>
      </c>
      <c r="AB3095" s="4">
        <f t="shared" si="483"/>
        <v>35684.328571428581</v>
      </c>
      <c r="AC3095" s="4">
        <f t="shared" si="487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488"/>
        <v>2187.9300000000003</v>
      </c>
      <c r="AG3095" s="14">
        <v>0.37</v>
      </c>
      <c r="AH3095" s="6">
        <f t="shared" si="486"/>
        <v>36465.737226277379</v>
      </c>
      <c r="AI3095" s="47"/>
      <c r="AJ3095" s="126" t="e">
        <v>#N/A</v>
      </c>
      <c r="AK3095" s="80">
        <f t="shared" si="484"/>
        <v>0</v>
      </c>
      <c r="AM3095" s="85"/>
    </row>
    <row r="3096" spans="1:39" hidden="1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481"/>
        <v>1409142.9200000018</v>
      </c>
      <c r="X3096" s="6">
        <f>IF(P3096="折扣",V3096*Q3096,IF(P3096="返现",V3096,(V3096-4777.14)/(1+Q3096+AG3096)))</f>
        <v>1547766.1418918921</v>
      </c>
      <c r="Y3096" s="13">
        <f t="shared" si="482"/>
        <v>0</v>
      </c>
      <c r="Z3096" s="14">
        <v>0</v>
      </c>
      <c r="AA3096" s="6">
        <v>0</v>
      </c>
      <c r="AB3096" s="4">
        <f t="shared" si="483"/>
        <v>1547766.1418918921</v>
      </c>
      <c r="AC3096" s="4">
        <f t="shared" si="487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488"/>
        <v>114534.09029999987</v>
      </c>
      <c r="AG3096" s="14">
        <v>0.4</v>
      </c>
      <c r="AH3096" s="6">
        <f t="shared" si="486"/>
        <v>1639622.1642857145</v>
      </c>
      <c r="AI3096" s="47"/>
      <c r="AJ3096" s="126" t="e">
        <v>#N/A</v>
      </c>
      <c r="AK3096" s="80">
        <f t="shared" si="484"/>
        <v>0</v>
      </c>
      <c r="AM3096" s="85"/>
    </row>
    <row r="3097" spans="1:39" hidden="1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481"/>
        <v>646253.81000000029</v>
      </c>
      <c r="X3097" s="6">
        <f t="shared" si="485"/>
        <v>0</v>
      </c>
      <c r="Y3097" s="13">
        <f t="shared" si="482"/>
        <v>0</v>
      </c>
      <c r="Z3097" s="14">
        <v>0</v>
      </c>
      <c r="AA3097" s="6">
        <v>0</v>
      </c>
      <c r="AB3097" s="4">
        <f t="shared" si="483"/>
        <v>0</v>
      </c>
      <c r="AC3097" s="4">
        <f t="shared" si="487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488"/>
        <v>0</v>
      </c>
      <c r="AG3097" s="14">
        <v>0.4</v>
      </c>
      <c r="AH3097" s="6">
        <f t="shared" si="486"/>
        <v>0</v>
      </c>
      <c r="AI3097" s="47"/>
      <c r="AJ3097" s="126" t="e">
        <v>#N/A</v>
      </c>
      <c r="AK3097" s="80">
        <f t="shared" si="484"/>
        <v>0</v>
      </c>
      <c r="AM3097" s="85"/>
    </row>
    <row r="3098" spans="1:39" hidden="1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481"/>
        <v>986763.78</v>
      </c>
      <c r="X3098" s="6">
        <f t="shared" si="485"/>
        <v>299612.02068965515</v>
      </c>
      <c r="Y3098" s="13">
        <f t="shared" si="482"/>
        <v>0</v>
      </c>
      <c r="Z3098" s="14">
        <v>0</v>
      </c>
      <c r="AA3098" s="6">
        <v>0</v>
      </c>
      <c r="AB3098" s="4">
        <f t="shared" si="483"/>
        <v>299612.02068965515</v>
      </c>
      <c r="AC3098" s="4">
        <f t="shared" si="487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488"/>
        <v>21721.63770000001</v>
      </c>
      <c r="AG3098" s="14">
        <v>0.4</v>
      </c>
      <c r="AH3098" s="6">
        <f t="shared" si="486"/>
        <v>310312.45</v>
      </c>
      <c r="AI3098" s="47"/>
      <c r="AJ3098" s="126" t="e">
        <v>#N/A</v>
      </c>
      <c r="AK3098" s="80">
        <f t="shared" si="484"/>
        <v>0</v>
      </c>
      <c r="AM3098" s="85"/>
    </row>
    <row r="3099" spans="1:39" hidden="1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481"/>
        <v>312554.63000000047</v>
      </c>
      <c r="X3099" s="6">
        <f t="shared" si="485"/>
        <v>953648.45999999961</v>
      </c>
      <c r="Y3099" s="13">
        <f t="shared" si="482"/>
        <v>0</v>
      </c>
      <c r="Z3099" s="14">
        <v>0</v>
      </c>
      <c r="AA3099" s="6">
        <v>0</v>
      </c>
      <c r="AB3099" s="4">
        <f t="shared" si="483"/>
        <v>953648.45999999961</v>
      </c>
      <c r="AC3099" s="4">
        <f t="shared" si="487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488"/>
        <v>66755.392199999973</v>
      </c>
      <c r="AG3099" s="14">
        <v>0</v>
      </c>
      <c r="AH3099" s="6">
        <f t="shared" si="486"/>
        <v>953648.45999999961</v>
      </c>
      <c r="AI3099" s="47"/>
      <c r="AJ3099" s="126" t="e">
        <v>#N/A</v>
      </c>
      <c r="AK3099" s="80">
        <f t="shared" si="484"/>
        <v>0</v>
      </c>
      <c r="AM3099" s="85"/>
    </row>
    <row r="3100" spans="1:39" hidden="1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481"/>
        <v>-3642.9189999999999</v>
      </c>
      <c r="X3100" s="6">
        <f t="shared" si="485"/>
        <v>0</v>
      </c>
      <c r="Y3100" s="13">
        <f t="shared" si="482"/>
        <v>0</v>
      </c>
      <c r="Z3100" s="14">
        <v>0</v>
      </c>
      <c r="AA3100" s="6">
        <v>0</v>
      </c>
      <c r="AB3100" s="4">
        <f t="shared" si="483"/>
        <v>0</v>
      </c>
      <c r="AC3100" s="4">
        <f t="shared" si="487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488"/>
        <v>100118.56960000002</v>
      </c>
      <c r="AG3100" s="14">
        <v>0.46</v>
      </c>
      <c r="AH3100" s="6">
        <f t="shared" si="486"/>
        <v>0</v>
      </c>
      <c r="AI3100" s="47"/>
      <c r="AJ3100" s="126" t="e">
        <v>#N/A</v>
      </c>
      <c r="AK3100" s="80">
        <f t="shared" si="484"/>
        <v>0</v>
      </c>
      <c r="AM3100" s="85"/>
    </row>
    <row r="3101" spans="1:39" hidden="1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481"/>
        <v>-11711.915999999037</v>
      </c>
      <c r="X3101" s="6">
        <f t="shared" si="485"/>
        <v>1380923.3199999991</v>
      </c>
      <c r="Y3101" s="13">
        <f t="shared" si="482"/>
        <v>1380923.3199999991</v>
      </c>
      <c r="Z3101" s="14">
        <v>0</v>
      </c>
      <c r="AA3101" s="6">
        <v>0</v>
      </c>
      <c r="AB3101" s="4">
        <f t="shared" si="483"/>
        <v>1380923.3199999991</v>
      </c>
      <c r="AC3101" s="4">
        <f t="shared" si="487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488"/>
        <v>0</v>
      </c>
      <c r="AG3101" s="14">
        <v>0.4</v>
      </c>
      <c r="AH3101" s="6">
        <f t="shared" si="486"/>
        <v>1479560.6999999993</v>
      </c>
      <c r="AI3101" s="47"/>
      <c r="AJ3101" s="126" t="e">
        <v>#N/A</v>
      </c>
      <c r="AK3101" s="80">
        <f t="shared" si="484"/>
        <v>0</v>
      </c>
      <c r="AM3101" s="85"/>
    </row>
    <row r="3102" spans="1:39" hidden="1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481"/>
        <v>1766672.1116000009</v>
      </c>
      <c r="X3102" s="6">
        <f t="shared" si="485"/>
        <v>1750496.4546561176</v>
      </c>
      <c r="Y3102" s="13">
        <f t="shared" si="482"/>
        <v>0</v>
      </c>
      <c r="Z3102" s="14">
        <v>0</v>
      </c>
      <c r="AA3102" s="6">
        <v>0</v>
      </c>
      <c r="AB3102" s="4">
        <f t="shared" si="483"/>
        <v>1750496.4546561176</v>
      </c>
      <c r="AC3102" s="4">
        <f t="shared" si="487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488"/>
        <v>111331.85099999998</v>
      </c>
      <c r="AG3102" s="14">
        <v>0.24</v>
      </c>
      <c r="AH3102" s="6">
        <f t="shared" si="486"/>
        <v>1855526.2419354846</v>
      </c>
      <c r="AI3102" s="47"/>
      <c r="AJ3102" s="126" t="e">
        <v>#N/A</v>
      </c>
      <c r="AK3102" s="80">
        <f t="shared" si="484"/>
        <v>0</v>
      </c>
      <c r="AM3102" s="85"/>
    </row>
    <row r="3103" spans="1:39" hidden="1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481"/>
        <v>79704.590000000229</v>
      </c>
      <c r="X3103" s="6">
        <f t="shared" si="485"/>
        <v>94280.598639455784</v>
      </c>
      <c r="Y3103" s="13">
        <f t="shared" si="482"/>
        <v>0</v>
      </c>
      <c r="Z3103" s="14">
        <v>0</v>
      </c>
      <c r="AA3103" s="6">
        <v>0</v>
      </c>
      <c r="AB3103" s="4">
        <f t="shared" si="483"/>
        <v>94280.598639455784</v>
      </c>
      <c r="AC3103" s="4">
        <f t="shared" si="487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488"/>
        <v>6929.5548000000008</v>
      </c>
      <c r="AG3103" s="14">
        <v>0.4</v>
      </c>
      <c r="AH3103" s="6">
        <f t="shared" si="486"/>
        <v>98994.628571428591</v>
      </c>
      <c r="AI3103" s="47"/>
      <c r="AJ3103" s="126" t="e">
        <v>#N/A</v>
      </c>
      <c r="AK3103" s="80">
        <f t="shared" si="484"/>
        <v>0</v>
      </c>
      <c r="AM3103" s="85"/>
    </row>
    <row r="3104" spans="1:39" hidden="1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481"/>
        <v>40467.733199999988</v>
      </c>
      <c r="X3104" s="6">
        <f t="shared" si="485"/>
        <v>28492.154885947635</v>
      </c>
      <c r="Y3104" s="13">
        <f t="shared" si="482"/>
        <v>0</v>
      </c>
      <c r="Z3104" s="14">
        <v>0</v>
      </c>
      <c r="AA3104" s="6">
        <v>0</v>
      </c>
      <c r="AB3104" s="4">
        <f t="shared" si="483"/>
        <v>28492.154885947635</v>
      </c>
      <c r="AC3104" s="4">
        <f t="shared" si="487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488"/>
        <v>1861.0308</v>
      </c>
      <c r="AG3104" s="14">
        <v>0.37</v>
      </c>
      <c r="AH3104" s="6">
        <f t="shared" si="486"/>
        <v>29540.333430656945</v>
      </c>
      <c r="AI3104" s="47"/>
      <c r="AJ3104" s="126" t="e">
        <v>#N/A</v>
      </c>
      <c r="AK3104" s="80">
        <f t="shared" si="484"/>
        <v>0</v>
      </c>
      <c r="AM3104" s="85"/>
    </row>
    <row r="3105" spans="1:39" hidden="1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481"/>
        <v>430207.30399999872</v>
      </c>
      <c r="X3105" s="6">
        <f t="shared" si="485"/>
        <v>356490.10880044161</v>
      </c>
      <c r="Y3105" s="13">
        <f t="shared" si="482"/>
        <v>0</v>
      </c>
      <c r="Z3105" s="14">
        <v>0</v>
      </c>
      <c r="AA3105" s="6">
        <v>0</v>
      </c>
      <c r="AB3105" s="4">
        <f t="shared" si="483"/>
        <v>356490.10880044161</v>
      </c>
      <c r="AC3105" s="4">
        <f t="shared" si="487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488"/>
        <v>36100.001700000023</v>
      </c>
      <c r="AG3105" s="14">
        <v>0.4</v>
      </c>
      <c r="AH3105" s="6">
        <f t="shared" si="486"/>
        <v>369782.09714285808</v>
      </c>
      <c r="AI3105" s="47"/>
      <c r="AJ3105" s="126" t="e">
        <v>#N/A</v>
      </c>
      <c r="AK3105" s="80">
        <f t="shared" si="484"/>
        <v>0</v>
      </c>
      <c r="AM3105" s="85"/>
    </row>
    <row r="3106" spans="1:39" hidden="1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481"/>
        <v>22799.786499999995</v>
      </c>
      <c r="X3106" s="6">
        <f t="shared" si="485"/>
        <v>2135.4500000000003</v>
      </c>
      <c r="Y3106" s="13">
        <f t="shared" si="482"/>
        <v>0</v>
      </c>
      <c r="Z3106" s="14">
        <v>0</v>
      </c>
      <c r="AA3106" s="6">
        <v>0</v>
      </c>
      <c r="AB3106" s="4">
        <f t="shared" si="483"/>
        <v>2135.4500000000003</v>
      </c>
      <c r="AC3106" s="4">
        <f t="shared" si="487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488"/>
        <v>130.93260000000001</v>
      </c>
      <c r="AG3106" s="14">
        <v>0.37</v>
      </c>
      <c r="AH3106" s="6">
        <f t="shared" si="486"/>
        <v>2182.2116788321168</v>
      </c>
      <c r="AI3106" s="47"/>
      <c r="AJ3106" s="126" t="e">
        <v>#N/A</v>
      </c>
      <c r="AK3106" s="80">
        <f t="shared" si="484"/>
        <v>0</v>
      </c>
      <c r="AM3106" s="85"/>
    </row>
    <row r="3107" spans="1:39" hidden="1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481"/>
        <v>870802.31960000051</v>
      </c>
      <c r="X3107" s="6">
        <f t="shared" si="485"/>
        <v>543609.4827586204</v>
      </c>
      <c r="Y3107" s="13">
        <f t="shared" si="482"/>
        <v>0</v>
      </c>
      <c r="Z3107" s="14">
        <v>0</v>
      </c>
      <c r="AA3107" s="6">
        <v>0</v>
      </c>
      <c r="AB3107" s="4">
        <f t="shared" si="483"/>
        <v>543609.4827586204</v>
      </c>
      <c r="AC3107" s="4">
        <f t="shared" si="487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488"/>
        <v>34521.010799999989</v>
      </c>
      <c r="AG3107" s="14">
        <v>0.37</v>
      </c>
      <c r="AH3107" s="6">
        <f t="shared" si="486"/>
        <v>575353.1021897808</v>
      </c>
      <c r="AI3107" s="47"/>
      <c r="AJ3107" s="126" t="e">
        <v>#N/A</v>
      </c>
      <c r="AK3107" s="80">
        <f t="shared" si="484"/>
        <v>0</v>
      </c>
      <c r="AM3107" s="85"/>
    </row>
    <row r="3108" spans="1:39" hidden="1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481"/>
        <v>47075.687999999762</v>
      </c>
      <c r="X3108" s="6">
        <f t="shared" si="485"/>
        <v>95917.659574468067</v>
      </c>
      <c r="Y3108" s="13">
        <f t="shared" si="482"/>
        <v>0</v>
      </c>
      <c r="Z3108" s="14">
        <v>0</v>
      </c>
      <c r="AA3108" s="6">
        <v>0</v>
      </c>
      <c r="AB3108" s="4">
        <f t="shared" si="483"/>
        <v>95917.659574468067</v>
      </c>
      <c r="AC3108" s="4">
        <f t="shared" si="487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488"/>
        <v>6762.2366000000029</v>
      </c>
      <c r="AG3108" s="14">
        <v>0.4</v>
      </c>
      <c r="AH3108" s="6">
        <f t="shared" si="486"/>
        <v>96602.78571428571</v>
      </c>
      <c r="AI3108" s="47"/>
      <c r="AJ3108" s="126" t="e">
        <v>#N/A</v>
      </c>
      <c r="AK3108" s="80">
        <f t="shared" si="484"/>
        <v>0</v>
      </c>
      <c r="AM3108" s="85"/>
    </row>
    <row r="3109" spans="1:39" hidden="1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481"/>
        <v>990318.01480000094</v>
      </c>
      <c r="X3109" s="6">
        <f t="shared" si="485"/>
        <v>2570536.8402777785</v>
      </c>
      <c r="Y3109" s="13">
        <f t="shared" si="482"/>
        <v>0</v>
      </c>
      <c r="Z3109" s="14">
        <v>0</v>
      </c>
      <c r="AA3109" s="6">
        <v>0</v>
      </c>
      <c r="AB3109" s="4">
        <f t="shared" si="483"/>
        <v>2570536.8402777785</v>
      </c>
      <c r="AC3109" s="4">
        <f t="shared" si="487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488"/>
        <v>160745.67419999995</v>
      </c>
      <c r="AG3109" s="14">
        <v>0.37</v>
      </c>
      <c r="AH3109" s="6">
        <f t="shared" si="486"/>
        <v>2701878.1386861317</v>
      </c>
      <c r="AI3109" s="47"/>
      <c r="AJ3109" s="126" t="e">
        <v>#N/A</v>
      </c>
      <c r="AK3109" s="80">
        <f t="shared" si="484"/>
        <v>0</v>
      </c>
      <c r="AM3109" s="85"/>
    </row>
    <row r="3110" spans="1:39" hidden="1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489">T3110+U3110-V3110</f>
        <v>455000.93799999868</v>
      </c>
      <c r="X3110" s="6">
        <f t="shared" si="485"/>
        <v>1403270.9863013707</v>
      </c>
      <c r="Y3110" s="13">
        <f t="shared" si="482"/>
        <v>0</v>
      </c>
      <c r="Z3110" s="14">
        <v>0</v>
      </c>
      <c r="AA3110" s="6">
        <v>0</v>
      </c>
      <c r="AB3110" s="4">
        <f t="shared" si="483"/>
        <v>1403270.9863013707</v>
      </c>
      <c r="AC3110" s="4">
        <f t="shared" si="487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488"/>
        <v>102437.91810000002</v>
      </c>
      <c r="AG3110" s="14">
        <v>0.4</v>
      </c>
      <c r="AH3110" s="6">
        <f t="shared" si="486"/>
        <v>1463411.1714285724</v>
      </c>
      <c r="AI3110" s="47"/>
      <c r="AJ3110" s="126" t="e">
        <v>#N/A</v>
      </c>
      <c r="AK3110" s="80">
        <f t="shared" si="484"/>
        <v>0</v>
      </c>
      <c r="AM3110" s="85"/>
    </row>
    <row r="3111" spans="1:39" hidden="1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489"/>
        <v>51727.3842</v>
      </c>
      <c r="X3111" s="6">
        <f t="shared" si="485"/>
        <v>31306.734265734267</v>
      </c>
      <c r="Y3111" s="13">
        <f t="shared" si="482"/>
        <v>0</v>
      </c>
      <c r="Z3111" s="14">
        <v>0</v>
      </c>
      <c r="AA3111" s="6">
        <v>0</v>
      </c>
      <c r="AB3111" s="4">
        <f t="shared" si="483"/>
        <v>31306.734265734267</v>
      </c>
      <c r="AC3111" s="4">
        <f t="shared" si="487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488"/>
        <v>1960.6673999999998</v>
      </c>
      <c r="AG3111" s="14">
        <v>0.37</v>
      </c>
      <c r="AH3111" s="6">
        <f t="shared" si="486"/>
        <v>32677.832116788322</v>
      </c>
      <c r="AI3111" s="47"/>
      <c r="AJ3111" s="126" t="e">
        <v>#N/A</v>
      </c>
      <c r="AK3111" s="80">
        <f t="shared" si="484"/>
        <v>0</v>
      </c>
      <c r="AM3111" s="85"/>
    </row>
    <row r="3112" spans="1:39" hidden="1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489"/>
        <v>129613.00910000026</v>
      </c>
      <c r="X3112" s="6">
        <f t="shared" si="485"/>
        <v>446145.0785714286</v>
      </c>
      <c r="Y3112" s="13">
        <f t="shared" si="482"/>
        <v>0</v>
      </c>
      <c r="Z3112" s="14">
        <v>0</v>
      </c>
      <c r="AA3112" s="6">
        <v>0</v>
      </c>
      <c r="AB3112" s="4">
        <f t="shared" si="483"/>
        <v>446145.0785714286</v>
      </c>
      <c r="AC3112" s="4">
        <f t="shared" si="487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488"/>
        <v>27354.914999999997</v>
      </c>
      <c r="AG3112" s="14">
        <v>0.37</v>
      </c>
      <c r="AH3112" s="6">
        <f t="shared" si="486"/>
        <v>455914.67883211677</v>
      </c>
      <c r="AI3112" s="47"/>
      <c r="AJ3112" s="126" t="e">
        <v>#N/A</v>
      </c>
      <c r="AK3112" s="80">
        <f t="shared" si="484"/>
        <v>0</v>
      </c>
      <c r="AM3112" s="85"/>
    </row>
    <row r="3113" spans="1:39" hidden="1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489"/>
        <v>1.6000000005305992E-2</v>
      </c>
      <c r="X3113" s="6">
        <f t="shared" si="485"/>
        <v>1051.9007092198581</v>
      </c>
      <c r="Y3113" s="13">
        <f t="shared" si="482"/>
        <v>0</v>
      </c>
      <c r="Z3113" s="14">
        <v>0</v>
      </c>
      <c r="AA3113" s="6">
        <v>0</v>
      </c>
      <c r="AB3113" s="4">
        <f t="shared" si="483"/>
        <v>1051.9007092198581</v>
      </c>
      <c r="AC3113" s="4">
        <f t="shared" si="487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488"/>
        <v>74.120900000000006</v>
      </c>
      <c r="AG3113" s="14">
        <v>0.4</v>
      </c>
      <c r="AH3113" s="6">
        <f t="shared" si="486"/>
        <v>1059.4142857142858</v>
      </c>
      <c r="AI3113" s="47"/>
      <c r="AJ3113" s="126" t="e">
        <v>#N/A</v>
      </c>
      <c r="AK3113" s="80">
        <f t="shared" si="484"/>
        <v>0</v>
      </c>
      <c r="AM3113" s="85"/>
    </row>
    <row r="3114" spans="1:39" hidden="1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489"/>
        <v>158815.71519999986</v>
      </c>
      <c r="X3114" s="6">
        <f t="shared" si="485"/>
        <v>191520.62015503875</v>
      </c>
      <c r="Y3114" s="13">
        <f t="shared" si="482"/>
        <v>0</v>
      </c>
      <c r="Z3114" s="14">
        <v>0</v>
      </c>
      <c r="AA3114" s="6">
        <v>0</v>
      </c>
      <c r="AB3114" s="4">
        <f t="shared" si="483"/>
        <v>191520.62015503875</v>
      </c>
      <c r="AC3114" s="4">
        <f t="shared" si="487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488"/>
        <v>13946.771300000004</v>
      </c>
      <c r="AG3114" s="14">
        <v>0.24</v>
      </c>
      <c r="AH3114" s="6">
        <f t="shared" si="486"/>
        <v>199243.22580645161</v>
      </c>
      <c r="AI3114" s="47"/>
      <c r="AJ3114" s="126" t="e">
        <v>#N/A</v>
      </c>
      <c r="AK3114" s="80">
        <f t="shared" si="484"/>
        <v>0</v>
      </c>
      <c r="AM3114" s="85"/>
    </row>
    <row r="3115" spans="1:39" hidden="1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489"/>
        <v>45367.096159849025</v>
      </c>
      <c r="X3115" s="6">
        <f t="shared" si="485"/>
        <v>257914.46376811602</v>
      </c>
      <c r="Y3115" s="13">
        <f t="shared" si="482"/>
        <v>0</v>
      </c>
      <c r="Z3115" s="14">
        <v>0</v>
      </c>
      <c r="AA3115" s="6">
        <v>0</v>
      </c>
      <c r="AB3115" s="4">
        <f t="shared" si="483"/>
        <v>257914.46376811602</v>
      </c>
      <c r="AC3115" s="4">
        <f t="shared" si="487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488"/>
        <v>15587.804399999995</v>
      </c>
      <c r="AG3115" s="14">
        <v>0.37</v>
      </c>
      <c r="AH3115" s="6">
        <f t="shared" si="486"/>
        <v>259797.05109489054</v>
      </c>
      <c r="AI3115" s="47"/>
      <c r="AJ3115" s="126" t="e">
        <v>#N/A</v>
      </c>
      <c r="AK3115" s="80">
        <f t="shared" si="484"/>
        <v>0</v>
      </c>
      <c r="AM3115" s="85"/>
    </row>
    <row r="3116" spans="1:39" hidden="1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489"/>
        <v>665209.53359999997</v>
      </c>
      <c r="X3116" s="6">
        <f t="shared" si="485"/>
        <v>108897.31538461537</v>
      </c>
      <c r="Y3116" s="13">
        <f t="shared" si="482"/>
        <v>0</v>
      </c>
      <c r="Z3116" s="14">
        <v>0</v>
      </c>
      <c r="AA3116" s="6">
        <v>0</v>
      </c>
      <c r="AB3116" s="4">
        <f t="shared" si="483"/>
        <v>108897.31538461537</v>
      </c>
      <c r="AC3116" s="4">
        <f t="shared" si="487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488"/>
        <v>7709.7440000000024</v>
      </c>
      <c r="AG3116" s="14">
        <v>0.24</v>
      </c>
      <c r="AH3116" s="6">
        <f t="shared" si="486"/>
        <v>114166.54032258064</v>
      </c>
      <c r="AI3116" s="47"/>
      <c r="AJ3116" s="126" t="e">
        <v>#N/A</v>
      </c>
      <c r="AK3116" s="80">
        <f t="shared" si="484"/>
        <v>0</v>
      </c>
      <c r="AM3116" s="85"/>
    </row>
    <row r="3117" spans="1:39" hidden="1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489"/>
        <v>24741.10159999998</v>
      </c>
      <c r="X3117" s="6">
        <f t="shared" si="485"/>
        <v>44352.810218978106</v>
      </c>
      <c r="Y3117" s="13">
        <f t="shared" si="482"/>
        <v>0.39021897810744122</v>
      </c>
      <c r="Z3117" s="14">
        <v>0</v>
      </c>
      <c r="AA3117" s="6">
        <v>0</v>
      </c>
      <c r="AB3117" s="4">
        <f t="shared" si="483"/>
        <v>44352.810218978106</v>
      </c>
      <c r="AC3117" s="4">
        <f t="shared" si="487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488"/>
        <v>2661.1451999999999</v>
      </c>
      <c r="AG3117" s="14">
        <v>0.37</v>
      </c>
      <c r="AH3117" s="6">
        <f t="shared" si="486"/>
        <v>44352.810218978106</v>
      </c>
      <c r="AI3117" s="47"/>
      <c r="AJ3117" s="126" t="e">
        <v>#N/A</v>
      </c>
      <c r="AK3117" s="80">
        <f t="shared" si="484"/>
        <v>0</v>
      </c>
      <c r="AM3117" s="85"/>
    </row>
    <row r="3118" spans="1:39" hidden="1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489"/>
        <v>91499.004734503746</v>
      </c>
      <c r="X3118" s="6">
        <f t="shared" si="485"/>
        <v>359241.32087275595</v>
      </c>
      <c r="Y3118" s="13">
        <f t="shared" si="482"/>
        <v>0</v>
      </c>
      <c r="Z3118" s="14">
        <v>0</v>
      </c>
      <c r="AA3118" s="6">
        <v>0</v>
      </c>
      <c r="AB3118" s="4">
        <f t="shared" si="483"/>
        <v>359241.32087275595</v>
      </c>
      <c r="AC3118" s="4">
        <f t="shared" si="487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488"/>
        <v>26045.199600000004</v>
      </c>
      <c r="AG3118" s="14">
        <v>0.4</v>
      </c>
      <c r="AH3118" s="6">
        <f t="shared" si="486"/>
        <v>372071.36804678303</v>
      </c>
      <c r="AI3118" s="47"/>
      <c r="AJ3118" s="126" t="e">
        <v>#N/A</v>
      </c>
      <c r="AK3118" s="80">
        <f t="shared" si="484"/>
        <v>0</v>
      </c>
      <c r="AM3118" s="85"/>
    </row>
    <row r="3119" spans="1:39" hidden="1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489"/>
        <v>23750.069999999992</v>
      </c>
      <c r="X3119" s="6">
        <f t="shared" si="485"/>
        <v>63035.664285714294</v>
      </c>
      <c r="Y3119" s="13">
        <f t="shared" si="482"/>
        <v>0.2842857142968569</v>
      </c>
      <c r="Z3119" s="14">
        <v>0</v>
      </c>
      <c r="AA3119" s="6">
        <v>0</v>
      </c>
      <c r="AB3119" s="4">
        <f t="shared" si="483"/>
        <v>63035.664285714294</v>
      </c>
      <c r="AC3119" s="4">
        <f t="shared" si="487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488"/>
        <v>4412.4766</v>
      </c>
      <c r="AG3119" s="14">
        <v>0.4</v>
      </c>
      <c r="AH3119" s="6">
        <f t="shared" si="486"/>
        <v>63035.664285714294</v>
      </c>
      <c r="AI3119" s="47"/>
      <c r="AJ3119" s="126" t="e">
        <v>#N/A</v>
      </c>
      <c r="AK3119" s="80">
        <f t="shared" si="484"/>
        <v>0</v>
      </c>
      <c r="AM3119" s="85"/>
    </row>
    <row r="3120" spans="1:39" hidden="1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489"/>
        <v>36038.652800000506</v>
      </c>
      <c r="X3120" s="6">
        <f t="shared" si="485"/>
        <v>475534.69601677125</v>
      </c>
      <c r="Y3120" s="13">
        <f t="shared" si="482"/>
        <v>0</v>
      </c>
      <c r="Z3120" s="14">
        <v>0</v>
      </c>
      <c r="AA3120" s="6">
        <v>0</v>
      </c>
      <c r="AB3120" s="4">
        <f t="shared" si="483"/>
        <v>475534.69601677125</v>
      </c>
      <c r="AC3120" s="4">
        <f t="shared" si="487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488"/>
        <v>30236.069399999989</v>
      </c>
      <c r="AG3120" s="14">
        <v>0.08</v>
      </c>
      <c r="AH3120" s="6">
        <f t="shared" si="486"/>
        <v>504066.77777777752</v>
      </c>
      <c r="AI3120" s="47"/>
      <c r="AJ3120" s="126" t="e">
        <v>#N/A</v>
      </c>
      <c r="AK3120" s="80">
        <f t="shared" si="484"/>
        <v>0</v>
      </c>
      <c r="AM3120" s="85"/>
    </row>
    <row r="3121" spans="1:39" hidden="1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489"/>
        <v>428414.43</v>
      </c>
      <c r="X3121" s="6">
        <f t="shared" si="485"/>
        <v>75443.613636363632</v>
      </c>
      <c r="Y3121" s="13">
        <f t="shared" si="482"/>
        <v>0</v>
      </c>
      <c r="Z3121" s="14">
        <v>0</v>
      </c>
      <c r="AA3121" s="6">
        <v>0</v>
      </c>
      <c r="AB3121" s="4">
        <f t="shared" si="483"/>
        <v>75443.613636363632</v>
      </c>
      <c r="AC3121" s="4">
        <f t="shared" si="487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488"/>
        <v>5446.1799000000001</v>
      </c>
      <c r="AG3121" s="14">
        <v>0.28000000000000003</v>
      </c>
      <c r="AH3121" s="6">
        <f t="shared" si="486"/>
        <v>77801.226562499985</v>
      </c>
      <c r="AI3121" s="47"/>
      <c r="AJ3121" s="126" t="e">
        <v>#N/A</v>
      </c>
      <c r="AK3121" s="80">
        <f t="shared" si="484"/>
        <v>0</v>
      </c>
      <c r="AM3121" s="85"/>
    </row>
    <row r="3122" spans="1:39" hidden="1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489"/>
        <v>303669.32199999999</v>
      </c>
      <c r="X3122" s="6">
        <f t="shared" si="485"/>
        <v>10095.3986013986</v>
      </c>
      <c r="Y3122" s="13">
        <f t="shared" si="482"/>
        <v>0</v>
      </c>
      <c r="Z3122" s="14">
        <v>0</v>
      </c>
      <c r="AA3122" s="6">
        <v>0</v>
      </c>
      <c r="AB3122" s="4">
        <f t="shared" si="483"/>
        <v>10095.3986013986</v>
      </c>
      <c r="AC3122" s="4">
        <f t="shared" si="487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488"/>
        <v>721.59850000000017</v>
      </c>
      <c r="AG3122" s="14">
        <v>0.4</v>
      </c>
      <c r="AH3122" s="6">
        <f t="shared" si="486"/>
        <v>10311.728571428572</v>
      </c>
      <c r="AI3122" s="47"/>
      <c r="AJ3122" s="126" t="e">
        <v>#N/A</v>
      </c>
      <c r="AK3122" s="80">
        <f t="shared" si="484"/>
        <v>0</v>
      </c>
      <c r="AM3122" s="85"/>
    </row>
    <row r="3123" spans="1:39" hidden="1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489"/>
        <v>17938.838699999993</v>
      </c>
      <c r="X3123" s="6">
        <f t="shared" si="485"/>
        <v>26623.528571428575</v>
      </c>
      <c r="Y3123" s="13">
        <f t="shared" si="482"/>
        <v>0</v>
      </c>
      <c r="Z3123" s="14">
        <v>0</v>
      </c>
      <c r="AA3123" s="6">
        <v>0</v>
      </c>
      <c r="AB3123" s="4">
        <f t="shared" si="483"/>
        <v>26623.528571428575</v>
      </c>
      <c r="AC3123" s="4">
        <f t="shared" si="487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488"/>
        <v>1632.3773999999999</v>
      </c>
      <c r="AG3123" s="14">
        <v>0.37</v>
      </c>
      <c r="AH3123" s="6">
        <f t="shared" si="486"/>
        <v>27206.525547445253</v>
      </c>
      <c r="AI3123" s="47"/>
      <c r="AJ3123" s="126" t="e">
        <v>#N/A</v>
      </c>
      <c r="AK3123" s="80">
        <f t="shared" si="484"/>
        <v>0</v>
      </c>
      <c r="AM3123" s="85"/>
    </row>
    <row r="3124" spans="1:39" hidden="1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489"/>
        <v>11061.76999999999</v>
      </c>
      <c r="X3124" s="6">
        <f t="shared" si="485"/>
        <v>7733.66</v>
      </c>
      <c r="Y3124" s="13">
        <f t="shared" si="482"/>
        <v>0</v>
      </c>
      <c r="Z3124" s="14">
        <v>0</v>
      </c>
      <c r="AA3124" s="6">
        <v>0</v>
      </c>
      <c r="AB3124" s="4">
        <f t="shared" si="483"/>
        <v>7733.66</v>
      </c>
      <c r="AC3124" s="4">
        <f t="shared" si="487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488"/>
        <v>464.01959999999997</v>
      </c>
      <c r="AG3124" s="14">
        <v>0</v>
      </c>
      <c r="AH3124" s="6">
        <f t="shared" si="486"/>
        <v>7733.66</v>
      </c>
      <c r="AI3124" s="47"/>
      <c r="AJ3124" s="126" t="e">
        <v>#N/A</v>
      </c>
      <c r="AK3124" s="80">
        <f t="shared" si="484"/>
        <v>0</v>
      </c>
      <c r="AM3124" s="85"/>
    </row>
    <row r="3125" spans="1:39" hidden="1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14">
        <v>2.5000000000000001E-2</v>
      </c>
      <c r="R3125" s="143"/>
      <c r="S3125" s="47"/>
      <c r="T3125" s="6">
        <v>51250</v>
      </c>
      <c r="U3125" s="6"/>
      <c r="V3125" s="6">
        <v>0</v>
      </c>
      <c r="W3125" s="6">
        <f t="shared" si="489"/>
        <v>51250</v>
      </c>
      <c r="X3125" s="6">
        <f t="shared" si="485"/>
        <v>0</v>
      </c>
      <c r="Y3125" s="13">
        <f t="shared" si="482"/>
        <v>0</v>
      </c>
      <c r="Z3125" s="14">
        <v>0</v>
      </c>
      <c r="AA3125" s="6">
        <v>0</v>
      </c>
      <c r="AB3125" s="4">
        <f t="shared" si="483"/>
        <v>0</v>
      </c>
      <c r="AC3125" s="4">
        <f t="shared" si="487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488"/>
        <v>0</v>
      </c>
      <c r="AG3125" s="14">
        <v>0</v>
      </c>
      <c r="AH3125" s="6">
        <f t="shared" si="486"/>
        <v>0</v>
      </c>
      <c r="AI3125" s="47"/>
      <c r="AJ3125" s="126" t="e">
        <v>#N/A</v>
      </c>
      <c r="AK3125" s="80">
        <f t="shared" si="484"/>
        <v>0</v>
      </c>
      <c r="AM3125" s="85"/>
    </row>
    <row r="3126" spans="1:39" hidden="1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489"/>
        <v>8074.6500000000024</v>
      </c>
      <c r="X3126" s="6">
        <f t="shared" si="485"/>
        <v>5676.04</v>
      </c>
      <c r="Y3126" s="13">
        <f t="shared" si="482"/>
        <v>0</v>
      </c>
      <c r="Z3126" s="14">
        <v>0</v>
      </c>
      <c r="AA3126" s="6">
        <v>0</v>
      </c>
      <c r="AB3126" s="4">
        <f t="shared" si="483"/>
        <v>5676.04</v>
      </c>
      <c r="AC3126" s="4">
        <f t="shared" si="487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488"/>
        <v>340.56239999999997</v>
      </c>
      <c r="AG3126" s="14">
        <v>0</v>
      </c>
      <c r="AH3126" s="6">
        <f t="shared" si="486"/>
        <v>5676.04</v>
      </c>
      <c r="AI3126" s="47"/>
      <c r="AJ3126" s="126" t="e">
        <v>#N/A</v>
      </c>
      <c r="AK3126" s="80">
        <f t="shared" si="484"/>
        <v>0</v>
      </c>
      <c r="AM3126" s="85"/>
    </row>
    <row r="3127" spans="1:39" hidden="1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3752</v>
      </c>
      <c r="T3127" s="6">
        <f>-105.040000000449+8697.85</f>
        <v>8592.809999999552</v>
      </c>
      <c r="U3127" s="6"/>
      <c r="V3127" s="6">
        <v>0</v>
      </c>
      <c r="W3127" s="6">
        <f t="shared" si="489"/>
        <v>8592.809999999552</v>
      </c>
      <c r="X3127" s="6">
        <f t="shared" si="485"/>
        <v>0</v>
      </c>
      <c r="Y3127" s="13">
        <f t="shared" si="482"/>
        <v>0</v>
      </c>
      <c r="Z3127" s="14">
        <v>0</v>
      </c>
      <c r="AA3127" s="6">
        <v>0</v>
      </c>
      <c r="AB3127" s="4">
        <f t="shared" si="483"/>
        <v>0</v>
      </c>
      <c r="AC3127" s="4">
        <f t="shared" si="487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488"/>
        <v>0</v>
      </c>
      <c r="AG3127" s="14">
        <v>0</v>
      </c>
      <c r="AH3127" s="6">
        <f t="shared" si="486"/>
        <v>0</v>
      </c>
      <c r="AI3127" s="47"/>
      <c r="AJ3127" s="126" t="e">
        <v>#N/A</v>
      </c>
      <c r="AK3127" s="80">
        <f t="shared" si="484"/>
        <v>0</v>
      </c>
      <c r="AM3127" s="85"/>
    </row>
    <row r="3128" spans="1:39" hidden="1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489"/>
        <v>0</v>
      </c>
      <c r="X3128" s="6">
        <f t="shared" si="485"/>
        <v>0</v>
      </c>
      <c r="Y3128" s="13">
        <f t="shared" si="482"/>
        <v>0</v>
      </c>
      <c r="Z3128" s="14">
        <v>0</v>
      </c>
      <c r="AA3128" s="6">
        <v>0</v>
      </c>
      <c r="AB3128" s="4">
        <f t="shared" si="483"/>
        <v>0</v>
      </c>
      <c r="AC3128" s="4">
        <f t="shared" si="487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488"/>
        <v>0</v>
      </c>
      <c r="AG3128" s="14">
        <v>0</v>
      </c>
      <c r="AH3128" s="6">
        <f t="shared" si="486"/>
        <v>0</v>
      </c>
      <c r="AI3128" s="47"/>
      <c r="AJ3128" s="126" t="e">
        <v>#N/A</v>
      </c>
      <c r="AK3128" s="80">
        <f t="shared" si="484"/>
        <v>0</v>
      </c>
      <c r="AM3128" s="85"/>
    </row>
    <row r="3129" spans="1:39" hidden="1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489"/>
        <v>285686.96000000008</v>
      </c>
      <c r="X3129" s="6">
        <f t="shared" si="485"/>
        <v>0</v>
      </c>
      <c r="Y3129" s="13">
        <f t="shared" si="482"/>
        <v>0</v>
      </c>
      <c r="Z3129" s="14">
        <v>0</v>
      </c>
      <c r="AA3129" s="6">
        <v>0</v>
      </c>
      <c r="AB3129" s="4">
        <f t="shared" si="483"/>
        <v>0</v>
      </c>
      <c r="AC3129" s="4">
        <f t="shared" si="487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488"/>
        <v>0</v>
      </c>
      <c r="AG3129" s="14">
        <v>0</v>
      </c>
      <c r="AH3129" s="6">
        <f t="shared" si="486"/>
        <v>0</v>
      </c>
      <c r="AI3129" s="47"/>
      <c r="AJ3129" s="126" t="e">
        <v>#N/A</v>
      </c>
      <c r="AK3129" s="80">
        <f t="shared" si="484"/>
        <v>0</v>
      </c>
      <c r="AM3129" s="85"/>
    </row>
    <row r="3130" spans="1:39" hidden="1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489"/>
        <v>76634.570000000007</v>
      </c>
      <c r="X3130" s="6">
        <f t="shared" si="485"/>
        <v>0</v>
      </c>
      <c r="Y3130" s="13">
        <f t="shared" si="482"/>
        <v>0</v>
      </c>
      <c r="Z3130" s="14">
        <v>0</v>
      </c>
      <c r="AA3130" s="6">
        <v>0</v>
      </c>
      <c r="AB3130" s="4">
        <f t="shared" si="483"/>
        <v>0</v>
      </c>
      <c r="AC3130" s="4">
        <f t="shared" si="487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488"/>
        <v>0</v>
      </c>
      <c r="AG3130" s="14">
        <v>0</v>
      </c>
      <c r="AH3130" s="6">
        <f t="shared" si="486"/>
        <v>0</v>
      </c>
      <c r="AI3130" s="47"/>
      <c r="AJ3130" s="126" t="e">
        <v>#N/A</v>
      </c>
      <c r="AK3130" s="80">
        <f t="shared" si="484"/>
        <v>0</v>
      </c>
      <c r="AM3130" s="85"/>
    </row>
    <row r="3131" spans="1:39" hidden="1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485"/>
        <v>0</v>
      </c>
      <c r="Y3131" s="13">
        <f t="shared" si="482"/>
        <v>0</v>
      </c>
      <c r="Z3131" s="14">
        <v>0</v>
      </c>
      <c r="AA3131" s="6">
        <v>0</v>
      </c>
      <c r="AB3131" s="4">
        <f t="shared" si="483"/>
        <v>0</v>
      </c>
      <c r="AC3131" s="4">
        <f t="shared" si="487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488"/>
        <v>0</v>
      </c>
      <c r="AG3131" s="14">
        <v>0</v>
      </c>
      <c r="AH3131" s="6">
        <f t="shared" si="486"/>
        <v>0</v>
      </c>
      <c r="AI3131" s="47"/>
      <c r="AJ3131" s="126" t="e">
        <v>#N/A</v>
      </c>
      <c r="AK3131" s="80">
        <f t="shared" si="484"/>
        <v>0</v>
      </c>
      <c r="AM3131" s="85"/>
    </row>
    <row r="3132" spans="1:39" hidden="1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489"/>
        <v>0</v>
      </c>
      <c r="X3132" s="6">
        <f t="shared" si="485"/>
        <v>0</v>
      </c>
      <c r="Y3132" s="13">
        <f t="shared" si="482"/>
        <v>0</v>
      </c>
      <c r="Z3132" s="14">
        <v>0</v>
      </c>
      <c r="AA3132" s="6">
        <v>0</v>
      </c>
      <c r="AB3132" s="4">
        <f t="shared" si="483"/>
        <v>0</v>
      </c>
      <c r="AC3132" s="4">
        <f t="shared" si="487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488"/>
        <v>0</v>
      </c>
      <c r="AG3132" s="14">
        <v>0</v>
      </c>
      <c r="AH3132" s="6">
        <f t="shared" si="486"/>
        <v>0</v>
      </c>
      <c r="AI3132" s="47"/>
      <c r="AJ3132" s="126" t="e">
        <v>#N/A</v>
      </c>
      <c r="AK3132" s="80">
        <f t="shared" si="484"/>
        <v>0</v>
      </c>
      <c r="AM3132" s="85"/>
    </row>
    <row r="3133" spans="1:39" hidden="1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489"/>
        <v>-75465.168399998918</v>
      </c>
      <c r="X3133" s="6">
        <f t="shared" si="485"/>
        <v>0</v>
      </c>
      <c r="Y3133" s="13">
        <f t="shared" si="482"/>
        <v>0</v>
      </c>
      <c r="Z3133" s="14">
        <v>0</v>
      </c>
      <c r="AA3133" s="6">
        <v>0</v>
      </c>
      <c r="AB3133" s="4">
        <f t="shared" si="483"/>
        <v>0</v>
      </c>
      <c r="AC3133" s="4">
        <f t="shared" si="487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488"/>
        <v>0</v>
      </c>
      <c r="AG3133" s="14">
        <v>0.24</v>
      </c>
      <c r="AH3133" s="6">
        <f t="shared" si="486"/>
        <v>0</v>
      </c>
      <c r="AI3133" s="47"/>
      <c r="AJ3133" s="126" t="e">
        <v>#N/A</v>
      </c>
      <c r="AK3133" s="80">
        <f t="shared" si="484"/>
        <v>0</v>
      </c>
      <c r="AM3133" s="85"/>
    </row>
    <row r="3134" spans="1:39" hidden="1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489"/>
        <v>75738.000000000146</v>
      </c>
      <c r="X3134" s="6">
        <f t="shared" si="485"/>
        <v>138841.74407582931</v>
      </c>
      <c r="Y3134" s="13">
        <f t="shared" si="482"/>
        <v>0</v>
      </c>
      <c r="Z3134" s="14">
        <v>0</v>
      </c>
      <c r="AA3134" s="6">
        <v>0</v>
      </c>
      <c r="AB3134" s="4">
        <f t="shared" si="483"/>
        <v>138841.74407582931</v>
      </c>
      <c r="AC3134" s="4">
        <f t="shared" si="487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488"/>
        <v>8788.6823999999942</v>
      </c>
      <c r="AG3134" s="14">
        <v>0</v>
      </c>
      <c r="AH3134" s="6">
        <f t="shared" si="486"/>
        <v>146478.03999999992</v>
      </c>
      <c r="AI3134" s="47"/>
      <c r="AJ3134" s="126" t="e">
        <v>#N/A</v>
      </c>
      <c r="AK3134" s="80">
        <f t="shared" si="484"/>
        <v>0</v>
      </c>
      <c r="AM3134" s="85"/>
    </row>
    <row r="3135" spans="1:39" hidden="1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489"/>
        <v>120224.62999999995</v>
      </c>
      <c r="X3135" s="6">
        <f t="shared" si="485"/>
        <v>204980.03773584907</v>
      </c>
      <c r="Y3135" s="13">
        <f t="shared" si="482"/>
        <v>2.7677358491055202</v>
      </c>
      <c r="Z3135" s="14">
        <v>0</v>
      </c>
      <c r="AA3135" s="6">
        <v>0</v>
      </c>
      <c r="AB3135" s="4">
        <f t="shared" si="483"/>
        <v>204980.03773584907</v>
      </c>
      <c r="AC3135" s="4">
        <f t="shared" si="487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488"/>
        <v>12298.636199999997</v>
      </c>
      <c r="AG3135" s="14">
        <v>0.06</v>
      </c>
      <c r="AH3135" s="6">
        <f t="shared" si="486"/>
        <v>204980.03773584907</v>
      </c>
      <c r="AI3135" s="47"/>
      <c r="AJ3135" s="126" t="e">
        <v>#N/A</v>
      </c>
      <c r="AK3135" s="80">
        <f t="shared" si="484"/>
        <v>0</v>
      </c>
      <c r="AM3135" s="85"/>
    </row>
    <row r="3136" spans="1:39" hidden="1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489"/>
        <v>955161.19329999981</v>
      </c>
      <c r="X3136" s="6">
        <f>IF(P3136="折扣",V3136*Q3136,IF(P3136="返现",V3136,(V3136-91.03)/(1+Q3136+AG3136)))</f>
        <v>740358.68229587749</v>
      </c>
      <c r="Y3136" s="13">
        <f t="shared" si="482"/>
        <v>0</v>
      </c>
      <c r="Z3136" s="14">
        <v>0</v>
      </c>
      <c r="AA3136" s="6">
        <v>0</v>
      </c>
      <c r="AB3136" s="4">
        <f t="shared" si="483"/>
        <v>740358.68229587749</v>
      </c>
      <c r="AC3136" s="4">
        <f t="shared" si="487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488"/>
        <v>46180.683600000018</v>
      </c>
      <c r="AG3136" s="14">
        <v>0.19</v>
      </c>
      <c r="AH3136" s="6">
        <f t="shared" si="486"/>
        <v>769676.23529411794</v>
      </c>
      <c r="AI3136" s="47"/>
      <c r="AJ3136" s="126" t="e">
        <v>#N/A</v>
      </c>
      <c r="AK3136" s="80">
        <f t="shared" si="484"/>
        <v>0</v>
      </c>
      <c r="AM3136" s="85"/>
    </row>
    <row r="3137" spans="1:39" hidden="1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3753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489"/>
        <v>50000</v>
      </c>
      <c r="X3137" s="6">
        <f t="shared" si="485"/>
        <v>0</v>
      </c>
      <c r="Y3137" s="13">
        <f t="shared" si="482"/>
        <v>0</v>
      </c>
      <c r="Z3137" s="14">
        <v>0</v>
      </c>
      <c r="AA3137" s="6">
        <v>0</v>
      </c>
      <c r="AB3137" s="4">
        <f t="shared" si="483"/>
        <v>0</v>
      </c>
      <c r="AC3137" s="4">
        <f t="shared" si="487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488"/>
        <v>0</v>
      </c>
      <c r="AG3137" s="14">
        <v>0</v>
      </c>
      <c r="AH3137" s="6">
        <f t="shared" si="486"/>
        <v>0</v>
      </c>
      <c r="AI3137" s="47"/>
      <c r="AJ3137" s="126" t="e">
        <v>#N/A</v>
      </c>
      <c r="AK3137" s="80">
        <f t="shared" si="484"/>
        <v>0</v>
      </c>
      <c r="AM3137" s="85"/>
    </row>
    <row r="3138" spans="1:39" hidden="1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3754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489"/>
        <v>255219.02999999997</v>
      </c>
      <c r="X3138" s="6">
        <f t="shared" si="485"/>
        <v>100335.39805825242</v>
      </c>
      <c r="Y3138" s="13">
        <f t="shared" si="482"/>
        <v>0</v>
      </c>
      <c r="Z3138" s="14">
        <v>0</v>
      </c>
      <c r="AA3138" s="6">
        <v>0</v>
      </c>
      <c r="AB3138" s="4">
        <f t="shared" si="483"/>
        <v>100335.39805825242</v>
      </c>
      <c r="AC3138" s="4">
        <f t="shared" si="487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488"/>
        <v>7234.1822000000011</v>
      </c>
      <c r="AG3138" s="14">
        <v>0</v>
      </c>
      <c r="AH3138" s="6">
        <f t="shared" si="486"/>
        <v>103345.46</v>
      </c>
      <c r="AI3138" s="47"/>
      <c r="AJ3138" s="126" t="e">
        <v>#N/A</v>
      </c>
      <c r="AK3138" s="80">
        <f t="shared" si="484"/>
        <v>0</v>
      </c>
      <c r="AM3138" s="85"/>
    </row>
    <row r="3139" spans="1:39" hidden="1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489"/>
        <v>0</v>
      </c>
      <c r="X3139" s="6">
        <f t="shared" si="485"/>
        <v>2519.4466019417428</v>
      </c>
      <c r="Y3139" s="13">
        <f t="shared" ref="Y3139:Y3202" si="490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491">X3139+AA3139</f>
        <v>2519.4466019417428</v>
      </c>
      <c r="AC3139" s="4">
        <f t="shared" si="487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488"/>
        <v>0</v>
      </c>
      <c r="AG3139" s="14">
        <v>0</v>
      </c>
      <c r="AH3139" s="6">
        <f t="shared" si="486"/>
        <v>2595.0299999999952</v>
      </c>
      <c r="AI3139" s="47"/>
      <c r="AJ3139" s="126" t="e">
        <v>#N/A</v>
      </c>
      <c r="AK3139" s="80">
        <f t="shared" ref="AK3139:AK3202" si="492">X3139+AA3139-AB3139</f>
        <v>0</v>
      </c>
      <c r="AM3139" s="85"/>
    </row>
    <row r="3140" spans="1:39" hidden="1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489"/>
        <v>9738.2300000000087</v>
      </c>
      <c r="X3140" s="6">
        <f t="shared" si="485"/>
        <v>15060.000000000002</v>
      </c>
      <c r="Y3140" s="13">
        <f t="shared" si="490"/>
        <v>0</v>
      </c>
      <c r="Z3140" s="14">
        <v>0</v>
      </c>
      <c r="AA3140" s="6">
        <v>0</v>
      </c>
      <c r="AB3140" s="4">
        <f t="shared" si="491"/>
        <v>15060.000000000002</v>
      </c>
      <c r="AC3140" s="4">
        <f t="shared" si="487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488"/>
        <v>903.6</v>
      </c>
      <c r="AG3140" s="14">
        <v>0</v>
      </c>
      <c r="AH3140" s="6">
        <f t="shared" si="486"/>
        <v>15060.000000000002</v>
      </c>
      <c r="AI3140" s="47"/>
      <c r="AJ3140" s="126" t="e">
        <v>#N/A</v>
      </c>
      <c r="AK3140" s="80">
        <f t="shared" si="492"/>
        <v>0</v>
      </c>
      <c r="AM3140" s="85"/>
    </row>
    <row r="3141" spans="1:39" hidden="1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489"/>
        <v>17803.209500000055</v>
      </c>
      <c r="X3141" s="6">
        <f t="shared" si="485"/>
        <v>0</v>
      </c>
      <c r="Y3141" s="13">
        <f t="shared" si="490"/>
        <v>0</v>
      </c>
      <c r="Z3141" s="14">
        <v>0</v>
      </c>
      <c r="AA3141" s="6">
        <v>0</v>
      </c>
      <c r="AB3141" s="4">
        <f t="shared" si="491"/>
        <v>0</v>
      </c>
      <c r="AC3141" s="4">
        <f t="shared" si="487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488"/>
        <v>0</v>
      </c>
      <c r="AG3141" s="14">
        <v>0.37</v>
      </c>
      <c r="AH3141" s="6">
        <f t="shared" si="486"/>
        <v>0</v>
      </c>
      <c r="AI3141" s="47"/>
      <c r="AJ3141" s="126" t="e">
        <v>#N/A</v>
      </c>
      <c r="AK3141" s="80">
        <f t="shared" si="492"/>
        <v>0</v>
      </c>
      <c r="AM3141" s="85"/>
    </row>
    <row r="3142" spans="1:39" hidden="1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489"/>
        <v>138973.15797153162</v>
      </c>
      <c r="X3142" s="6">
        <f t="shared" si="485"/>
        <v>0</v>
      </c>
      <c r="Y3142" s="13">
        <f t="shared" si="490"/>
        <v>0</v>
      </c>
      <c r="Z3142" s="14">
        <v>0</v>
      </c>
      <c r="AA3142" s="6">
        <v>0</v>
      </c>
      <c r="AB3142" s="4">
        <f t="shared" si="491"/>
        <v>0</v>
      </c>
      <c r="AC3142" s="4">
        <f t="shared" si="487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488"/>
        <v>0</v>
      </c>
      <c r="AG3142" s="14">
        <v>0.37</v>
      </c>
      <c r="AH3142" s="6">
        <f t="shared" si="486"/>
        <v>0</v>
      </c>
      <c r="AI3142" s="47"/>
      <c r="AJ3142" s="126" t="e">
        <v>#N/A</v>
      </c>
      <c r="AK3142" s="80">
        <f t="shared" si="492"/>
        <v>0</v>
      </c>
      <c r="AM3142" s="85"/>
    </row>
    <row r="3143" spans="1:39" hidden="1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489"/>
        <v>54774.643399999957</v>
      </c>
      <c r="X3143" s="6">
        <f t="shared" si="485"/>
        <v>51771.927007299295</v>
      </c>
      <c r="Y3143" s="13">
        <f t="shared" si="490"/>
        <v>9.7007299300457817E-2</v>
      </c>
      <c r="Z3143" s="14">
        <v>0</v>
      </c>
      <c r="AA3143" s="6">
        <v>0</v>
      </c>
      <c r="AB3143" s="4">
        <f t="shared" si="491"/>
        <v>51771.927007299295</v>
      </c>
      <c r="AC3143" s="4">
        <f t="shared" si="487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488"/>
        <v>3106.3097999999995</v>
      </c>
      <c r="AG3143" s="14">
        <v>0.37</v>
      </c>
      <c r="AH3143" s="6">
        <f t="shared" si="486"/>
        <v>51771.927007299295</v>
      </c>
      <c r="AI3143" s="47"/>
      <c r="AJ3143" s="126" t="e">
        <v>#N/A</v>
      </c>
      <c r="AK3143" s="80">
        <f t="shared" si="492"/>
        <v>0</v>
      </c>
      <c r="AM3143" s="85"/>
    </row>
    <row r="3144" spans="1:39" hidden="1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489"/>
        <v>19895.781699998079</v>
      </c>
      <c r="X3144" s="6">
        <f t="shared" si="485"/>
        <v>0</v>
      </c>
      <c r="Y3144" s="13">
        <f t="shared" si="490"/>
        <v>0</v>
      </c>
      <c r="Z3144" s="14">
        <v>0</v>
      </c>
      <c r="AA3144" s="6">
        <v>0</v>
      </c>
      <c r="AB3144" s="4">
        <f t="shared" si="491"/>
        <v>0</v>
      </c>
      <c r="AC3144" s="4">
        <f t="shared" si="487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488"/>
        <v>0</v>
      </c>
      <c r="AG3144" s="14">
        <v>0.4</v>
      </c>
      <c r="AH3144" s="6">
        <f t="shared" si="486"/>
        <v>0</v>
      </c>
      <c r="AI3144" s="47"/>
      <c r="AJ3144" s="126" t="e">
        <v>#N/A</v>
      </c>
      <c r="AK3144" s="80">
        <f t="shared" si="492"/>
        <v>0</v>
      </c>
      <c r="AM3144" s="85"/>
    </row>
    <row r="3145" spans="1:39" hidden="1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489"/>
        <v>386.5899999999383</v>
      </c>
      <c r="X3145" s="6">
        <f>IF(P3145="折扣",V3145*Q3145,IF(P3145="返现",V3145,(V3145-U3145)/(1+Q3145+AG3145)))</f>
        <v>79049.711267605642</v>
      </c>
      <c r="Y3145" s="13">
        <f t="shared" si="490"/>
        <v>0</v>
      </c>
      <c r="Z3145" s="14">
        <v>0</v>
      </c>
      <c r="AA3145" s="6">
        <v>0</v>
      </c>
      <c r="AB3145" s="4">
        <f t="shared" si="491"/>
        <v>79049.711267605642</v>
      </c>
      <c r="AC3145" s="4">
        <f t="shared" si="487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488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492"/>
        <v>0</v>
      </c>
      <c r="AM3145" s="85"/>
    </row>
    <row r="3146" spans="1:39" hidden="1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489"/>
        <v>515805.10739999986</v>
      </c>
      <c r="X3146" s="6">
        <f t="shared" si="485"/>
        <v>0</v>
      </c>
      <c r="Y3146" s="13">
        <f t="shared" si="490"/>
        <v>0</v>
      </c>
      <c r="Z3146" s="14">
        <v>0</v>
      </c>
      <c r="AA3146" s="6">
        <v>0</v>
      </c>
      <c r="AB3146" s="4">
        <f t="shared" si="491"/>
        <v>0</v>
      </c>
      <c r="AC3146" s="4">
        <f t="shared" si="487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488"/>
        <v>0</v>
      </c>
      <c r="AG3146" s="14">
        <v>0.37</v>
      </c>
      <c r="AH3146" s="6">
        <f t="shared" si="486"/>
        <v>0</v>
      </c>
      <c r="AI3146" s="47"/>
      <c r="AJ3146" s="126" t="e">
        <v>#N/A</v>
      </c>
      <c r="AK3146" s="80">
        <f t="shared" si="492"/>
        <v>0</v>
      </c>
      <c r="AM3146" s="85"/>
    </row>
    <row r="3147" spans="1:39" hidden="1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489"/>
        <v>0</v>
      </c>
      <c r="X3147" s="6">
        <f t="shared" ref="X3147:X3210" si="493">IF(P3147="折扣",V3147*Q3147,IF(P3147="返现",V3147,V3147/(1+Q3147+AG3147)))</f>
        <v>1424.5798366657182</v>
      </c>
      <c r="Y3147" s="13">
        <f t="shared" si="490"/>
        <v>1424.5798366657182</v>
      </c>
      <c r="Z3147" s="14">
        <v>0</v>
      </c>
      <c r="AA3147" s="6">
        <v>0</v>
      </c>
      <c r="AB3147" s="4">
        <f t="shared" si="491"/>
        <v>1424.5798366657182</v>
      </c>
      <c r="AC3147" s="4">
        <f t="shared" si="487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488"/>
        <v>0</v>
      </c>
      <c r="AG3147" s="14">
        <v>0.37</v>
      </c>
      <c r="AH3147" s="6">
        <f t="shared" ref="AH3147:AH3210" si="494">V3147/(1+AG3147)</f>
        <v>1476.987737226267</v>
      </c>
      <c r="AI3147" s="47"/>
      <c r="AJ3147" s="126" t="e">
        <v>#N/A</v>
      </c>
      <c r="AK3147" s="80">
        <f t="shared" si="492"/>
        <v>0</v>
      </c>
      <c r="AM3147" s="85"/>
    </row>
    <row r="3148" spans="1:39" hidden="1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489"/>
        <v>0</v>
      </c>
      <c r="X3148" s="6">
        <f t="shared" si="493"/>
        <v>140910.77262085094</v>
      </c>
      <c r="Y3148" s="13">
        <f t="shared" si="490"/>
        <v>140910.77262085094</v>
      </c>
      <c r="Z3148" s="14">
        <v>0</v>
      </c>
      <c r="AA3148" s="6">
        <v>0</v>
      </c>
      <c r="AB3148" s="4">
        <f t="shared" si="491"/>
        <v>140910.77262085094</v>
      </c>
      <c r="AC3148" s="4">
        <f t="shared" ref="AC3148:AC3211" si="495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496">AD3148*AE3148</f>
        <v>0</v>
      </c>
      <c r="AG3148" s="14">
        <v>0.4</v>
      </c>
      <c r="AH3148" s="6">
        <f t="shared" si="494"/>
        <v>146164.73142857125</v>
      </c>
      <c r="AI3148" s="47"/>
      <c r="AJ3148" s="126" t="e">
        <v>#N/A</v>
      </c>
      <c r="AK3148" s="80">
        <f t="shared" si="492"/>
        <v>0</v>
      </c>
      <c r="AM3148" s="85"/>
    </row>
    <row r="3149" spans="1:39" hidden="1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489"/>
        <v>86131.845999999932</v>
      </c>
      <c r="X3149" s="6">
        <f t="shared" si="493"/>
        <v>0</v>
      </c>
      <c r="Y3149" s="13">
        <f t="shared" si="490"/>
        <v>0</v>
      </c>
      <c r="Z3149" s="14">
        <v>0</v>
      </c>
      <c r="AA3149" s="6">
        <v>0</v>
      </c>
      <c r="AB3149" s="4">
        <f t="shared" si="491"/>
        <v>0</v>
      </c>
      <c r="AC3149" s="4">
        <f t="shared" si="495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496"/>
        <v>0</v>
      </c>
      <c r="AG3149" s="14">
        <v>0.4</v>
      </c>
      <c r="AH3149" s="6">
        <f t="shared" si="494"/>
        <v>0</v>
      </c>
      <c r="AI3149" s="47"/>
      <c r="AJ3149" s="126" t="e">
        <v>#N/A</v>
      </c>
      <c r="AK3149" s="80">
        <f t="shared" si="492"/>
        <v>0</v>
      </c>
      <c r="AM3149" s="85"/>
    </row>
    <row r="3150" spans="1:39" hidden="1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489"/>
        <v>461923.77999999991</v>
      </c>
      <c r="X3150" s="6">
        <f t="shared" si="493"/>
        <v>14064.290540540536</v>
      </c>
      <c r="Y3150" s="13">
        <f t="shared" si="490"/>
        <v>0</v>
      </c>
      <c r="Z3150" s="14">
        <v>0</v>
      </c>
      <c r="AA3150" s="6">
        <v>0</v>
      </c>
      <c r="AB3150" s="4">
        <f t="shared" si="491"/>
        <v>14064.290540540536</v>
      </c>
      <c r="AC3150" s="4">
        <f t="shared" si="495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496"/>
        <v>1040.5472</v>
      </c>
      <c r="AG3150" s="14">
        <v>0.4</v>
      </c>
      <c r="AH3150" s="6">
        <f t="shared" si="494"/>
        <v>14867.964285714283</v>
      </c>
      <c r="AI3150" s="47"/>
      <c r="AJ3150" s="126" t="e">
        <v>#N/A</v>
      </c>
      <c r="AK3150" s="80">
        <f t="shared" si="492"/>
        <v>0</v>
      </c>
      <c r="AM3150" s="85"/>
    </row>
    <row r="3151" spans="1:39" hidden="1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489"/>
        <v>5.4750000000003638</v>
      </c>
      <c r="X3151" s="6">
        <f t="shared" si="493"/>
        <v>13723.460869565217</v>
      </c>
      <c r="Y3151" s="13">
        <f t="shared" si="490"/>
        <v>0</v>
      </c>
      <c r="Z3151" s="14">
        <v>0</v>
      </c>
      <c r="AA3151" s="6">
        <v>0</v>
      </c>
      <c r="AB3151" s="4">
        <f t="shared" si="491"/>
        <v>13723.460869565217</v>
      </c>
      <c r="AC3151" s="4">
        <f t="shared" si="495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496"/>
        <v>860.83440000000007</v>
      </c>
      <c r="AG3151" s="14">
        <v>0.1</v>
      </c>
      <c r="AH3151" s="6">
        <f t="shared" si="494"/>
        <v>14347.254545454545</v>
      </c>
      <c r="AI3151" s="47"/>
      <c r="AJ3151" s="126" t="e">
        <v>#N/A</v>
      </c>
      <c r="AK3151" s="80">
        <f t="shared" si="492"/>
        <v>0</v>
      </c>
      <c r="AM3151" s="85"/>
    </row>
    <row r="3152" spans="1:39" hidden="1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489"/>
        <v>55994.777000000002</v>
      </c>
      <c r="X3152" s="6">
        <f t="shared" si="493"/>
        <v>0</v>
      </c>
      <c r="Y3152" s="13">
        <f t="shared" si="490"/>
        <v>0</v>
      </c>
      <c r="Z3152" s="14">
        <v>0</v>
      </c>
      <c r="AA3152" s="6">
        <v>0</v>
      </c>
      <c r="AB3152" s="4">
        <f t="shared" si="491"/>
        <v>0</v>
      </c>
      <c r="AC3152" s="4">
        <f t="shared" si="495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496"/>
        <v>0</v>
      </c>
      <c r="AG3152" s="14">
        <v>0.37</v>
      </c>
      <c r="AH3152" s="6">
        <f t="shared" si="494"/>
        <v>0</v>
      </c>
      <c r="AI3152" s="47"/>
      <c r="AJ3152" s="126" t="e">
        <v>#N/A</v>
      </c>
      <c r="AK3152" s="80">
        <f t="shared" si="492"/>
        <v>0</v>
      </c>
      <c r="AM3152" s="85"/>
    </row>
    <row r="3153" spans="1:39" hidden="1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489"/>
        <v>11425.088200000009</v>
      </c>
      <c r="X3153" s="6">
        <f t="shared" si="493"/>
        <v>10653.478873239435</v>
      </c>
      <c r="Y3153" s="13">
        <f t="shared" si="490"/>
        <v>0</v>
      </c>
      <c r="Z3153" s="14">
        <v>0</v>
      </c>
      <c r="AA3153" s="6">
        <v>0</v>
      </c>
      <c r="AB3153" s="4">
        <f t="shared" si="491"/>
        <v>10653.478873239435</v>
      </c>
      <c r="AC3153" s="4">
        <f t="shared" si="495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496"/>
        <v>662.53679999999997</v>
      </c>
      <c r="AG3153" s="14">
        <v>0.37</v>
      </c>
      <c r="AH3153" s="6">
        <f t="shared" si="494"/>
        <v>11042.291970802919</v>
      </c>
      <c r="AI3153" s="47"/>
      <c r="AJ3153" s="126" t="e">
        <v>#N/A</v>
      </c>
      <c r="AK3153" s="80">
        <f t="shared" si="492"/>
        <v>0</v>
      </c>
      <c r="AM3153" s="85"/>
    </row>
    <row r="3154" spans="1:39" hidden="1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489"/>
        <v>-3.2200000000011642</v>
      </c>
      <c r="X3154" s="6">
        <f t="shared" si="493"/>
        <v>67106.580000000016</v>
      </c>
      <c r="Y3154" s="13">
        <f t="shared" si="490"/>
        <v>0</v>
      </c>
      <c r="Z3154" s="14">
        <v>0</v>
      </c>
      <c r="AA3154" s="6">
        <v>0</v>
      </c>
      <c r="AB3154" s="4">
        <f t="shared" si="491"/>
        <v>67106.580000000016</v>
      </c>
      <c r="AC3154" s="4">
        <f t="shared" si="495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496"/>
        <v>4026.3948000000009</v>
      </c>
      <c r="AG3154" s="9">
        <v>0</v>
      </c>
      <c r="AH3154" s="6">
        <f t="shared" si="494"/>
        <v>67106.580000000016</v>
      </c>
      <c r="AI3154" s="47"/>
      <c r="AJ3154" s="126" t="e">
        <v>#N/A</v>
      </c>
      <c r="AK3154" s="80">
        <f t="shared" si="492"/>
        <v>0</v>
      </c>
      <c r="AM3154" s="85"/>
    </row>
    <row r="3155" spans="1:39" hidden="1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489"/>
        <v>-277.01999999991676</v>
      </c>
      <c r="X3155" s="6">
        <f t="shared" si="493"/>
        <v>0</v>
      </c>
      <c r="Y3155" s="13">
        <f t="shared" si="490"/>
        <v>0</v>
      </c>
      <c r="Z3155" s="14">
        <v>0</v>
      </c>
      <c r="AA3155" s="6">
        <v>0</v>
      </c>
      <c r="AB3155" s="4">
        <f t="shared" si="491"/>
        <v>0</v>
      </c>
      <c r="AC3155" s="4">
        <f t="shared" si="495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496"/>
        <v>0</v>
      </c>
      <c r="AG3155" s="9">
        <v>0</v>
      </c>
      <c r="AH3155" s="6">
        <f t="shared" si="494"/>
        <v>0</v>
      </c>
      <c r="AI3155" s="47"/>
      <c r="AJ3155" s="126" t="s">
        <v>4223</v>
      </c>
      <c r="AK3155" s="80">
        <f t="shared" si="492"/>
        <v>0</v>
      </c>
      <c r="AL3155" s="150"/>
      <c r="AM3155" s="85"/>
    </row>
    <row r="3156" spans="1:39" hidden="1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489"/>
        <v>54073.930000000058</v>
      </c>
      <c r="X3156" s="6">
        <f t="shared" si="493"/>
        <v>0</v>
      </c>
      <c r="Y3156" s="13">
        <f t="shared" si="490"/>
        <v>0</v>
      </c>
      <c r="Z3156" s="14">
        <v>0</v>
      </c>
      <c r="AA3156" s="6">
        <v>0</v>
      </c>
      <c r="AB3156" s="4">
        <f t="shared" si="491"/>
        <v>0</v>
      </c>
      <c r="AC3156" s="4">
        <f t="shared" si="495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496"/>
        <v>0</v>
      </c>
      <c r="AG3156" s="9">
        <v>0</v>
      </c>
      <c r="AH3156" s="6">
        <f t="shared" si="494"/>
        <v>0</v>
      </c>
      <c r="AI3156" s="47"/>
      <c r="AJ3156" s="126" t="e">
        <v>#N/A</v>
      </c>
      <c r="AK3156" s="80">
        <f t="shared" si="492"/>
        <v>0</v>
      </c>
      <c r="AM3156" s="85"/>
    </row>
    <row r="3157" spans="1:39" hidden="1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489"/>
        <v>597.04540000010456</v>
      </c>
      <c r="X3157" s="6">
        <f t="shared" si="493"/>
        <v>86590.971631205626</v>
      </c>
      <c r="Y3157" s="13">
        <f t="shared" si="490"/>
        <v>86590.971631205626</v>
      </c>
      <c r="Z3157" s="14">
        <v>0</v>
      </c>
      <c r="AA3157" s="6">
        <v>0</v>
      </c>
      <c r="AB3157" s="4">
        <f t="shared" si="491"/>
        <v>86590.971631205626</v>
      </c>
      <c r="AC3157" s="4">
        <f t="shared" si="495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496"/>
        <v>0</v>
      </c>
      <c r="AG3157" s="9">
        <v>0.38</v>
      </c>
      <c r="AH3157" s="6">
        <f t="shared" si="494"/>
        <v>88473.384057970979</v>
      </c>
      <c r="AI3157" s="47"/>
      <c r="AJ3157" s="126" t="e">
        <v>#N/A</v>
      </c>
      <c r="AK3157" s="80">
        <f t="shared" si="492"/>
        <v>0</v>
      </c>
      <c r="AM3157" s="85"/>
    </row>
    <row r="3158" spans="1:39" hidden="1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489"/>
        <v>-6.4399999999977808</v>
      </c>
      <c r="X3158" s="6">
        <f t="shared" si="493"/>
        <v>2289.42</v>
      </c>
      <c r="Y3158" s="13">
        <f t="shared" si="490"/>
        <v>0</v>
      </c>
      <c r="Z3158" s="14">
        <v>0</v>
      </c>
      <c r="AA3158" s="6">
        <v>0</v>
      </c>
      <c r="AB3158" s="4">
        <f t="shared" si="491"/>
        <v>2289.42</v>
      </c>
      <c r="AC3158" s="4">
        <f t="shared" si="495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496"/>
        <v>137.36519999999999</v>
      </c>
      <c r="AG3158" s="9">
        <v>0</v>
      </c>
      <c r="AH3158" s="6">
        <f t="shared" si="494"/>
        <v>2289.42</v>
      </c>
      <c r="AI3158" s="47"/>
      <c r="AJ3158" s="126" t="e">
        <v>#N/A</v>
      </c>
      <c r="AK3158" s="80">
        <f t="shared" si="492"/>
        <v>0</v>
      </c>
      <c r="AM3158" s="85"/>
    </row>
    <row r="3159" spans="1:39" hidden="1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489"/>
        <v>29486.05</v>
      </c>
      <c r="X3159" s="6">
        <f t="shared" si="493"/>
        <v>513.95000000000005</v>
      </c>
      <c r="Y3159" s="13">
        <f t="shared" si="490"/>
        <v>0</v>
      </c>
      <c r="Z3159" s="14">
        <v>0</v>
      </c>
      <c r="AA3159" s="6">
        <v>0</v>
      </c>
      <c r="AB3159" s="4">
        <f t="shared" si="491"/>
        <v>513.95000000000005</v>
      </c>
      <c r="AC3159" s="4">
        <f t="shared" si="495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496"/>
        <v>35.976500000000009</v>
      </c>
      <c r="AG3159" s="9">
        <v>0</v>
      </c>
      <c r="AH3159" s="6">
        <f t="shared" si="494"/>
        <v>513.95000000000005</v>
      </c>
      <c r="AI3159" s="47"/>
      <c r="AJ3159" s="126" t="e">
        <v>#N/A</v>
      </c>
      <c r="AK3159" s="80">
        <f t="shared" si="492"/>
        <v>0</v>
      </c>
      <c r="AM3159" s="85"/>
    </row>
    <row r="3160" spans="1:39" hidden="1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489"/>
        <v>0</v>
      </c>
      <c r="X3160" s="6">
        <f t="shared" si="493"/>
        <v>0</v>
      </c>
      <c r="Y3160" s="13">
        <f t="shared" si="490"/>
        <v>0</v>
      </c>
      <c r="Z3160" s="14">
        <v>0</v>
      </c>
      <c r="AA3160" s="6">
        <v>0</v>
      </c>
      <c r="AB3160" s="4">
        <f t="shared" si="491"/>
        <v>0</v>
      </c>
      <c r="AC3160" s="4">
        <f t="shared" si="495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496"/>
        <v>0</v>
      </c>
      <c r="AG3160" s="9">
        <v>0</v>
      </c>
      <c r="AH3160" s="6">
        <f t="shared" si="494"/>
        <v>0</v>
      </c>
      <c r="AI3160" s="47"/>
      <c r="AJ3160" s="126" t="e">
        <v>#N/A</v>
      </c>
      <c r="AK3160" s="80">
        <f t="shared" si="492"/>
        <v>0</v>
      </c>
      <c r="AM3160" s="85"/>
    </row>
    <row r="3161" spans="1:39" hidden="1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489"/>
        <v>343386.54800000042</v>
      </c>
      <c r="X3161" s="6">
        <f t="shared" si="493"/>
        <v>111685.797752809</v>
      </c>
      <c r="Y3161" s="13">
        <f t="shared" si="490"/>
        <v>111685.797752809</v>
      </c>
      <c r="Z3161" s="14">
        <v>0</v>
      </c>
      <c r="AA3161" s="6">
        <v>0</v>
      </c>
      <c r="AB3161" s="4">
        <f t="shared" si="491"/>
        <v>111685.797752809</v>
      </c>
      <c r="AC3161" s="4">
        <f t="shared" si="495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496"/>
        <v>0</v>
      </c>
      <c r="AG3161" s="9">
        <v>0.28000000000000003</v>
      </c>
      <c r="AH3161" s="6">
        <f t="shared" si="494"/>
        <v>116484.796875</v>
      </c>
      <c r="AI3161" s="47"/>
      <c r="AJ3161" s="126" t="e">
        <v>#N/A</v>
      </c>
      <c r="AK3161" s="80">
        <f t="shared" si="492"/>
        <v>0</v>
      </c>
      <c r="AM3161" s="85"/>
    </row>
    <row r="3162" spans="1:39" hidden="1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489"/>
        <v>5134.6000000000004</v>
      </c>
      <c r="X3162" s="6">
        <f t="shared" si="493"/>
        <v>3218.23</v>
      </c>
      <c r="Y3162" s="13">
        <f t="shared" si="490"/>
        <v>0</v>
      </c>
      <c r="Z3162" s="14">
        <v>0</v>
      </c>
      <c r="AA3162" s="6">
        <v>0</v>
      </c>
      <c r="AB3162" s="4">
        <f t="shared" si="491"/>
        <v>3218.23</v>
      </c>
      <c r="AC3162" s="4">
        <f t="shared" si="495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496"/>
        <v>193.09379999999999</v>
      </c>
      <c r="AG3162" s="9">
        <v>0</v>
      </c>
      <c r="AH3162" s="6">
        <f t="shared" si="494"/>
        <v>3218.23</v>
      </c>
      <c r="AI3162" s="47"/>
      <c r="AJ3162" s="126" t="e">
        <v>#N/A</v>
      </c>
      <c r="AK3162" s="80">
        <f t="shared" si="492"/>
        <v>0</v>
      </c>
      <c r="AM3162" s="85"/>
    </row>
    <row r="3163" spans="1:39" hidden="1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489"/>
        <v>26160.120000000014</v>
      </c>
      <c r="X3163" s="6">
        <f t="shared" si="493"/>
        <v>0</v>
      </c>
      <c r="Y3163" s="13">
        <f t="shared" si="490"/>
        <v>0</v>
      </c>
      <c r="Z3163" s="14">
        <v>0</v>
      </c>
      <c r="AA3163" s="6">
        <v>0</v>
      </c>
      <c r="AB3163" s="4">
        <f t="shared" si="491"/>
        <v>0</v>
      </c>
      <c r="AC3163" s="4">
        <f t="shared" si="495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496"/>
        <v>0</v>
      </c>
      <c r="AG3163" s="9">
        <v>0</v>
      </c>
      <c r="AH3163" s="6">
        <f t="shared" si="494"/>
        <v>0</v>
      </c>
      <c r="AI3163" s="47"/>
      <c r="AJ3163" s="126" t="e">
        <v>#N/A</v>
      </c>
      <c r="AK3163" s="80">
        <f t="shared" si="492"/>
        <v>0</v>
      </c>
      <c r="AM3163" s="85"/>
    </row>
    <row r="3164" spans="1:39" hidden="1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489"/>
        <v>1482.75</v>
      </c>
      <c r="X3164" s="6">
        <f t="shared" si="493"/>
        <v>0</v>
      </c>
      <c r="Y3164" s="13">
        <f t="shared" si="490"/>
        <v>0</v>
      </c>
      <c r="Z3164" s="14">
        <v>0</v>
      </c>
      <c r="AA3164" s="6">
        <v>0</v>
      </c>
      <c r="AB3164" s="4">
        <f t="shared" si="491"/>
        <v>0</v>
      </c>
      <c r="AC3164" s="4">
        <f t="shared" si="495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496"/>
        <v>0</v>
      </c>
      <c r="AG3164" s="9">
        <v>0.3</v>
      </c>
      <c r="AH3164" s="6">
        <f t="shared" si="494"/>
        <v>0</v>
      </c>
      <c r="AI3164" s="47"/>
      <c r="AJ3164" s="126" t="e">
        <v>#N/A</v>
      </c>
      <c r="AK3164" s="80">
        <f t="shared" si="492"/>
        <v>0</v>
      </c>
      <c r="AM3164" s="85"/>
    </row>
    <row r="3165" spans="1:39" hidden="1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489"/>
        <v>48575.960000000021</v>
      </c>
      <c r="X3165" s="6">
        <f t="shared" si="493"/>
        <v>10357.859999999999</v>
      </c>
      <c r="Y3165" s="13">
        <f t="shared" si="490"/>
        <v>0</v>
      </c>
      <c r="Z3165" s="14">
        <v>0</v>
      </c>
      <c r="AA3165" s="6">
        <v>0</v>
      </c>
      <c r="AB3165" s="4">
        <f t="shared" si="491"/>
        <v>10357.859999999999</v>
      </c>
      <c r="AC3165" s="4">
        <f t="shared" si="495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496"/>
        <v>621.47159999999985</v>
      </c>
      <c r="AG3165" s="9">
        <v>0</v>
      </c>
      <c r="AH3165" s="6">
        <f t="shared" si="494"/>
        <v>10357.859999999999</v>
      </c>
      <c r="AI3165" s="47"/>
      <c r="AJ3165" s="126" t="e">
        <v>#N/A</v>
      </c>
      <c r="AK3165" s="80">
        <f t="shared" si="492"/>
        <v>0</v>
      </c>
      <c r="AM3165" s="85"/>
    </row>
    <row r="3166" spans="1:39" hidden="1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489"/>
        <v>-27682.880000000081</v>
      </c>
      <c r="X3166" s="6">
        <f t="shared" si="493"/>
        <v>0</v>
      </c>
      <c r="Y3166" s="13">
        <f t="shared" si="490"/>
        <v>0</v>
      </c>
      <c r="Z3166" s="14">
        <v>0</v>
      </c>
      <c r="AA3166" s="6">
        <v>0</v>
      </c>
      <c r="AB3166" s="4">
        <f t="shared" si="491"/>
        <v>0</v>
      </c>
      <c r="AC3166" s="4">
        <f t="shared" si="495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496"/>
        <v>0</v>
      </c>
      <c r="AG3166" s="9">
        <v>0</v>
      </c>
      <c r="AH3166" s="6">
        <f t="shared" si="494"/>
        <v>0</v>
      </c>
      <c r="AI3166" s="47"/>
      <c r="AJ3166" s="126" t="e">
        <v>#N/A</v>
      </c>
      <c r="AK3166" s="80">
        <f t="shared" si="492"/>
        <v>0</v>
      </c>
      <c r="AM3166" s="85"/>
    </row>
    <row r="3167" spans="1:39" hidden="1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489"/>
        <v>2.4881808212867327</v>
      </c>
      <c r="X3167" s="6">
        <f t="shared" si="493"/>
        <v>3068.0709219858149</v>
      </c>
      <c r="Y3167" s="13">
        <f t="shared" si="490"/>
        <v>0</v>
      </c>
      <c r="Z3167" s="14">
        <v>0</v>
      </c>
      <c r="AA3167" s="6">
        <v>0</v>
      </c>
      <c r="AB3167" s="4">
        <f t="shared" si="491"/>
        <v>3068.0709219858149</v>
      </c>
      <c r="AC3167" s="4">
        <f t="shared" si="495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496"/>
        <v>216.29930000000002</v>
      </c>
      <c r="AG3167" s="9">
        <v>0.4</v>
      </c>
      <c r="AH3167" s="6">
        <f t="shared" si="494"/>
        <v>3089.985714285714</v>
      </c>
      <c r="AI3167" s="47"/>
      <c r="AJ3167" s="126" t="e">
        <v>#N/A</v>
      </c>
      <c r="AK3167" s="80">
        <f t="shared" si="492"/>
        <v>0</v>
      </c>
      <c r="AM3167" s="85"/>
    </row>
    <row r="3168" spans="1:39" hidden="1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489"/>
        <v>-5.8385726027881901</v>
      </c>
      <c r="X3168" s="6">
        <f t="shared" si="493"/>
        <v>0</v>
      </c>
      <c r="Y3168" s="13">
        <f t="shared" si="490"/>
        <v>0</v>
      </c>
      <c r="Z3168" s="14">
        <v>0</v>
      </c>
      <c r="AA3168" s="6">
        <v>0</v>
      </c>
      <c r="AB3168" s="4">
        <f t="shared" si="491"/>
        <v>0</v>
      </c>
      <c r="AC3168" s="4">
        <f t="shared" si="495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496"/>
        <v>0</v>
      </c>
      <c r="AG3168" s="9">
        <v>0.46</v>
      </c>
      <c r="AH3168" s="6">
        <f t="shared" si="494"/>
        <v>0</v>
      </c>
      <c r="AI3168" s="47"/>
      <c r="AJ3168" s="126" t="e">
        <v>#N/A</v>
      </c>
      <c r="AK3168" s="80">
        <f t="shared" si="492"/>
        <v>0</v>
      </c>
      <c r="AM3168" s="85"/>
    </row>
    <row r="3169" spans="1:39" hidden="1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489"/>
        <v>146.38599999978214</v>
      </c>
      <c r="X3169" s="6">
        <f t="shared" si="493"/>
        <v>0</v>
      </c>
      <c r="Y3169" s="13">
        <f t="shared" si="490"/>
        <v>0</v>
      </c>
      <c r="Z3169" s="14">
        <v>0</v>
      </c>
      <c r="AA3169" s="6">
        <v>0</v>
      </c>
      <c r="AB3169" s="4">
        <f t="shared" si="491"/>
        <v>0</v>
      </c>
      <c r="AC3169" s="4">
        <f t="shared" si="495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496"/>
        <v>0</v>
      </c>
      <c r="AG3169" s="9">
        <v>0.4</v>
      </c>
      <c r="AH3169" s="6">
        <f t="shared" si="494"/>
        <v>0</v>
      </c>
      <c r="AI3169" s="47"/>
      <c r="AJ3169" s="126" t="e">
        <v>#N/A</v>
      </c>
      <c r="AK3169" s="80">
        <f t="shared" si="492"/>
        <v>0</v>
      </c>
      <c r="AM3169" s="85"/>
    </row>
    <row r="3170" spans="1:39" hidden="1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489"/>
        <v>-5.2999999998064595E-3</v>
      </c>
      <c r="X3170" s="6">
        <f t="shared" si="493"/>
        <v>0</v>
      </c>
      <c r="Y3170" s="13">
        <f t="shared" si="490"/>
        <v>0</v>
      </c>
      <c r="Z3170" s="14">
        <v>0</v>
      </c>
      <c r="AA3170" s="6">
        <v>0</v>
      </c>
      <c r="AB3170" s="4">
        <f t="shared" si="491"/>
        <v>0</v>
      </c>
      <c r="AC3170" s="4">
        <f t="shared" si="495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496"/>
        <v>0</v>
      </c>
      <c r="AG3170" s="9">
        <v>0.37</v>
      </c>
      <c r="AH3170" s="6">
        <f t="shared" si="494"/>
        <v>0</v>
      </c>
      <c r="AI3170" s="47"/>
      <c r="AJ3170" s="126" t="e">
        <v>#N/A</v>
      </c>
      <c r="AK3170" s="80">
        <f t="shared" si="492"/>
        <v>0</v>
      </c>
      <c r="AM3170" s="85"/>
    </row>
    <row r="3171" spans="1:39" hidden="1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489"/>
        <v>1868.9399999999641</v>
      </c>
      <c r="X3171" s="6">
        <f t="shared" si="493"/>
        <v>0</v>
      </c>
      <c r="Y3171" s="13">
        <f t="shared" si="490"/>
        <v>0</v>
      </c>
      <c r="Z3171" s="14">
        <v>0</v>
      </c>
      <c r="AA3171" s="6">
        <v>0</v>
      </c>
      <c r="AB3171" s="4">
        <f t="shared" si="491"/>
        <v>0</v>
      </c>
      <c r="AC3171" s="4">
        <f t="shared" si="495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496"/>
        <v>0</v>
      </c>
      <c r="AG3171" s="9">
        <v>0.4</v>
      </c>
      <c r="AH3171" s="6">
        <f t="shared" si="494"/>
        <v>0</v>
      </c>
      <c r="AI3171" s="47"/>
      <c r="AJ3171" s="126" t="s">
        <v>4218</v>
      </c>
      <c r="AK3171" s="80">
        <f t="shared" si="492"/>
        <v>0</v>
      </c>
      <c r="AL3171" s="150"/>
      <c r="AM3171" s="85"/>
    </row>
    <row r="3172" spans="1:39" hidden="1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489"/>
        <v>6.2000000011721568E-3</v>
      </c>
      <c r="X3172" s="6">
        <f t="shared" si="493"/>
        <v>0</v>
      </c>
      <c r="Y3172" s="13">
        <f t="shared" si="490"/>
        <v>0</v>
      </c>
      <c r="Z3172" s="14">
        <v>0</v>
      </c>
      <c r="AA3172" s="6">
        <v>0</v>
      </c>
      <c r="AB3172" s="4">
        <f t="shared" si="491"/>
        <v>0</v>
      </c>
      <c r="AC3172" s="4">
        <f t="shared" si="495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496"/>
        <v>0</v>
      </c>
      <c r="AG3172" s="9">
        <v>0.37</v>
      </c>
      <c r="AH3172" s="6">
        <f t="shared" si="494"/>
        <v>0</v>
      </c>
      <c r="AI3172" s="47"/>
      <c r="AJ3172" s="126" t="e">
        <v>#N/A</v>
      </c>
      <c r="AK3172" s="80">
        <f t="shared" si="492"/>
        <v>0</v>
      </c>
      <c r="AM3172" s="85"/>
    </row>
    <row r="3173" spans="1:39" hidden="1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489"/>
        <v>-830131.6571000003</v>
      </c>
      <c r="X3173" s="6">
        <f t="shared" si="493"/>
        <v>0</v>
      </c>
      <c r="Y3173" s="13">
        <f t="shared" si="490"/>
        <v>0</v>
      </c>
      <c r="Z3173" s="14">
        <v>0</v>
      </c>
      <c r="AA3173" s="6">
        <v>0</v>
      </c>
      <c r="AB3173" s="4">
        <f t="shared" si="491"/>
        <v>0</v>
      </c>
      <c r="AC3173" s="4">
        <f t="shared" si="495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496"/>
        <v>0</v>
      </c>
      <c r="AG3173" s="9">
        <v>0.37</v>
      </c>
      <c r="AH3173" s="6">
        <f t="shared" si="494"/>
        <v>0</v>
      </c>
      <c r="AI3173" s="47"/>
      <c r="AJ3173" s="126" t="e">
        <v>#N/A</v>
      </c>
      <c r="AK3173" s="80">
        <f t="shared" si="492"/>
        <v>0</v>
      </c>
      <c r="AM3173" s="85"/>
    </row>
    <row r="3174" spans="1:39" hidden="1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497">T3174+U3174-V3174</f>
        <v>6226.2977999999957</v>
      </c>
      <c r="X3174" s="6">
        <f t="shared" si="493"/>
        <v>2682.3428571428572</v>
      </c>
      <c r="Y3174" s="13">
        <f t="shared" si="490"/>
        <v>0</v>
      </c>
      <c r="Z3174" s="14">
        <v>0</v>
      </c>
      <c r="AA3174" s="6">
        <v>0</v>
      </c>
      <c r="AB3174" s="4">
        <f t="shared" si="491"/>
        <v>2682.3428571428572</v>
      </c>
      <c r="AC3174" s="4">
        <f t="shared" si="495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496"/>
        <v>164.46299999999994</v>
      </c>
      <c r="AG3174" s="9">
        <v>0.37</v>
      </c>
      <c r="AH3174" s="6">
        <f t="shared" si="494"/>
        <v>2741.0802919708026</v>
      </c>
      <c r="AI3174" s="47"/>
      <c r="AJ3174" s="126" t="e">
        <v>#N/A</v>
      </c>
      <c r="AK3174" s="80">
        <f t="shared" si="492"/>
        <v>0</v>
      </c>
      <c r="AM3174" s="85"/>
    </row>
    <row r="3175" spans="1:39" hidden="1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497"/>
        <v>3055.029500000001</v>
      </c>
      <c r="X3175" s="6">
        <f t="shared" si="493"/>
        <v>0</v>
      </c>
      <c r="Y3175" s="13">
        <f t="shared" si="490"/>
        <v>0</v>
      </c>
      <c r="Z3175" s="14">
        <v>0</v>
      </c>
      <c r="AA3175" s="6">
        <v>0</v>
      </c>
      <c r="AB3175" s="4">
        <f t="shared" si="491"/>
        <v>0</v>
      </c>
      <c r="AC3175" s="4">
        <f t="shared" si="495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496"/>
        <v>0</v>
      </c>
      <c r="AG3175" s="9">
        <v>0.37</v>
      </c>
      <c r="AH3175" s="6">
        <f t="shared" si="494"/>
        <v>0</v>
      </c>
      <c r="AI3175" s="47"/>
      <c r="AJ3175" s="126" t="e">
        <v>#N/A</v>
      </c>
      <c r="AK3175" s="80">
        <f t="shared" si="492"/>
        <v>0</v>
      </c>
      <c r="AM3175" s="85"/>
    </row>
    <row r="3176" spans="1:39" hidden="1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497"/>
        <v>-1.0999999999985448</v>
      </c>
      <c r="X3176" s="6">
        <f t="shared" si="493"/>
        <v>0</v>
      </c>
      <c r="Y3176" s="13">
        <f t="shared" si="490"/>
        <v>0</v>
      </c>
      <c r="Z3176" s="14">
        <v>0</v>
      </c>
      <c r="AA3176" s="6">
        <v>0</v>
      </c>
      <c r="AB3176" s="4">
        <f t="shared" si="491"/>
        <v>0</v>
      </c>
      <c r="AC3176" s="4">
        <f t="shared" si="495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496"/>
        <v>0</v>
      </c>
      <c r="AG3176" s="9">
        <v>0</v>
      </c>
      <c r="AH3176" s="6">
        <f t="shared" si="494"/>
        <v>0</v>
      </c>
      <c r="AI3176" s="47"/>
      <c r="AJ3176" s="126" t="e">
        <v>#N/A</v>
      </c>
      <c r="AK3176" s="80">
        <f t="shared" si="492"/>
        <v>0</v>
      </c>
      <c r="AM3176" s="85"/>
    </row>
    <row r="3177" spans="1:39" hidden="1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497"/>
        <v>1.4300000000033322</v>
      </c>
      <c r="X3177" s="6">
        <f t="shared" si="493"/>
        <v>0</v>
      </c>
      <c r="Y3177" s="13">
        <f t="shared" si="490"/>
        <v>0</v>
      </c>
      <c r="Z3177" s="14">
        <v>0</v>
      </c>
      <c r="AA3177" s="6">
        <v>0</v>
      </c>
      <c r="AB3177" s="4">
        <f t="shared" si="491"/>
        <v>0</v>
      </c>
      <c r="AC3177" s="4">
        <f t="shared" si="495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496"/>
        <v>0</v>
      </c>
      <c r="AG3177" s="9">
        <v>0</v>
      </c>
      <c r="AH3177" s="6">
        <f t="shared" si="494"/>
        <v>0</v>
      </c>
      <c r="AI3177" s="47"/>
      <c r="AJ3177" s="126" t="e">
        <v>#N/A</v>
      </c>
      <c r="AK3177" s="80">
        <f t="shared" si="492"/>
        <v>0</v>
      </c>
      <c r="AM3177" s="85"/>
    </row>
    <row r="3178" spans="1:39" hidden="1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497"/>
        <v>-1.2399999999615829E-2</v>
      </c>
      <c r="X3178" s="6">
        <f t="shared" si="493"/>
        <v>0</v>
      </c>
      <c r="Y3178" s="13">
        <f t="shared" si="490"/>
        <v>0</v>
      </c>
      <c r="Z3178" s="14">
        <v>0</v>
      </c>
      <c r="AA3178" s="6">
        <v>0</v>
      </c>
      <c r="AB3178" s="4">
        <f t="shared" si="491"/>
        <v>0</v>
      </c>
      <c r="AC3178" s="4">
        <f t="shared" si="495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496"/>
        <v>0</v>
      </c>
      <c r="AG3178" s="9">
        <v>0.28000000000000003</v>
      </c>
      <c r="AH3178" s="6">
        <f t="shared" si="494"/>
        <v>0</v>
      </c>
      <c r="AI3178" s="47"/>
      <c r="AJ3178" s="126" t="e">
        <v>#N/A</v>
      </c>
      <c r="AK3178" s="80">
        <f t="shared" si="492"/>
        <v>0</v>
      </c>
      <c r="AM3178" s="85"/>
    </row>
    <row r="3179" spans="1:39" hidden="1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497"/>
        <v>0</v>
      </c>
      <c r="X3179" s="6">
        <f t="shared" si="493"/>
        <v>0</v>
      </c>
      <c r="Y3179" s="13">
        <f t="shared" si="490"/>
        <v>0</v>
      </c>
      <c r="Z3179" s="14">
        <v>0</v>
      </c>
      <c r="AA3179" s="6">
        <v>0</v>
      </c>
      <c r="AB3179" s="4">
        <f t="shared" si="491"/>
        <v>0</v>
      </c>
      <c r="AC3179" s="4">
        <f t="shared" si="495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496"/>
        <v>0</v>
      </c>
      <c r="AG3179" s="9">
        <v>0</v>
      </c>
      <c r="AH3179" s="6">
        <f t="shared" si="494"/>
        <v>0</v>
      </c>
      <c r="AI3179" s="47"/>
      <c r="AJ3179" s="126" t="e">
        <v>#N/A</v>
      </c>
      <c r="AK3179" s="80">
        <f t="shared" si="492"/>
        <v>0</v>
      </c>
      <c r="AM3179" s="85"/>
    </row>
    <row r="3180" spans="1:39" hidden="1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497"/>
        <v>100.03</v>
      </c>
      <c r="X3180" s="6">
        <f t="shared" si="493"/>
        <v>0</v>
      </c>
      <c r="Y3180" s="13">
        <f t="shared" si="490"/>
        <v>0</v>
      </c>
      <c r="Z3180" s="14">
        <v>0</v>
      </c>
      <c r="AA3180" s="6">
        <v>0</v>
      </c>
      <c r="AB3180" s="4">
        <f t="shared" si="491"/>
        <v>0</v>
      </c>
      <c r="AC3180" s="4">
        <f t="shared" si="495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496"/>
        <v>0</v>
      </c>
      <c r="AG3180" s="9">
        <v>0</v>
      </c>
      <c r="AH3180" s="6">
        <f t="shared" si="494"/>
        <v>0</v>
      </c>
      <c r="AI3180" s="47"/>
      <c r="AJ3180" s="126" t="e">
        <v>#N/A</v>
      </c>
      <c r="AK3180" s="80">
        <f t="shared" si="492"/>
        <v>0</v>
      </c>
      <c r="AM3180" s="85"/>
    </row>
    <row r="3181" spans="1:39" hidden="1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497"/>
        <v>0</v>
      </c>
      <c r="X3181" s="6">
        <f t="shared" si="493"/>
        <v>0</v>
      </c>
      <c r="Y3181" s="13">
        <f t="shared" si="490"/>
        <v>0</v>
      </c>
      <c r="Z3181" s="14">
        <v>0</v>
      </c>
      <c r="AA3181" s="6">
        <v>0</v>
      </c>
      <c r="AB3181" s="4">
        <f t="shared" si="491"/>
        <v>0</v>
      </c>
      <c r="AC3181" s="4">
        <f t="shared" si="495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496"/>
        <v>0</v>
      </c>
      <c r="AG3181" s="9">
        <v>0.06</v>
      </c>
      <c r="AH3181" s="6">
        <f t="shared" si="494"/>
        <v>0</v>
      </c>
      <c r="AI3181" s="47"/>
      <c r="AJ3181" s="126" t="e">
        <v>#N/A</v>
      </c>
      <c r="AK3181" s="80">
        <f t="shared" si="492"/>
        <v>0</v>
      </c>
      <c r="AM3181" s="85"/>
    </row>
    <row r="3182" spans="1:39" hidden="1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497"/>
        <v>-66434.08500000037</v>
      </c>
      <c r="X3182" s="6">
        <f t="shared" si="493"/>
        <v>0</v>
      </c>
      <c r="Y3182" s="13">
        <f t="shared" si="490"/>
        <v>0</v>
      </c>
      <c r="Z3182" s="14">
        <v>0</v>
      </c>
      <c r="AA3182" s="6">
        <v>0</v>
      </c>
      <c r="AB3182" s="4">
        <f t="shared" si="491"/>
        <v>0</v>
      </c>
      <c r="AC3182" s="4">
        <f t="shared" si="495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496"/>
        <v>0</v>
      </c>
      <c r="AG3182" s="9">
        <v>0.1</v>
      </c>
      <c r="AH3182" s="6">
        <f t="shared" si="494"/>
        <v>0</v>
      </c>
      <c r="AI3182" s="47"/>
      <c r="AJ3182" s="126" t="e">
        <v>#N/A</v>
      </c>
      <c r="AK3182" s="80">
        <f t="shared" si="492"/>
        <v>0</v>
      </c>
      <c r="AM3182" s="85"/>
    </row>
    <row r="3183" spans="1:39" hidden="1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497"/>
        <v>-5.0000000337604433E-3</v>
      </c>
      <c r="X3183" s="6">
        <f t="shared" si="493"/>
        <v>0</v>
      </c>
      <c r="Y3183" s="13">
        <f t="shared" si="490"/>
        <v>0</v>
      </c>
      <c r="Z3183" s="14">
        <v>0</v>
      </c>
      <c r="AA3183" s="6">
        <v>0</v>
      </c>
      <c r="AB3183" s="4">
        <f t="shared" si="491"/>
        <v>0</v>
      </c>
      <c r="AC3183" s="4">
        <f t="shared" si="495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496"/>
        <v>0</v>
      </c>
      <c r="AG3183" s="9">
        <v>0.1</v>
      </c>
      <c r="AH3183" s="6">
        <f t="shared" si="494"/>
        <v>0</v>
      </c>
      <c r="AI3183" s="47"/>
      <c r="AJ3183" s="126" t="e">
        <v>#N/A</v>
      </c>
      <c r="AK3183" s="80">
        <f t="shared" si="492"/>
        <v>0</v>
      </c>
      <c r="AM3183" s="85"/>
    </row>
    <row r="3184" spans="1:39" hidden="1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497"/>
        <v>-74839.461799999946</v>
      </c>
      <c r="X3184" s="6">
        <f t="shared" si="493"/>
        <v>0</v>
      </c>
      <c r="Y3184" s="13">
        <f t="shared" si="490"/>
        <v>0</v>
      </c>
      <c r="Z3184" s="14">
        <v>0</v>
      </c>
      <c r="AA3184" s="6">
        <v>0</v>
      </c>
      <c r="AB3184" s="4">
        <f t="shared" si="491"/>
        <v>0</v>
      </c>
      <c r="AC3184" s="4">
        <f t="shared" si="495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496"/>
        <v>0</v>
      </c>
      <c r="AG3184" s="9">
        <v>0.38</v>
      </c>
      <c r="AH3184" s="6">
        <f t="shared" si="494"/>
        <v>0</v>
      </c>
      <c r="AI3184" s="47"/>
      <c r="AJ3184" s="126" t="e">
        <v>#N/A</v>
      </c>
      <c r="AK3184" s="80">
        <f t="shared" si="492"/>
        <v>0</v>
      </c>
      <c r="AM3184" s="85"/>
    </row>
    <row r="3185" spans="1:39" hidden="1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497"/>
        <v>14839.55639999999</v>
      </c>
      <c r="X3185" s="6">
        <f t="shared" si="493"/>
        <v>0</v>
      </c>
      <c r="Y3185" s="13">
        <f t="shared" si="490"/>
        <v>0</v>
      </c>
      <c r="Z3185" s="14">
        <v>0</v>
      </c>
      <c r="AA3185" s="6">
        <v>0</v>
      </c>
      <c r="AB3185" s="4">
        <f t="shared" si="491"/>
        <v>0</v>
      </c>
      <c r="AC3185" s="4">
        <f t="shared" si="495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496"/>
        <v>0</v>
      </c>
      <c r="AG3185" s="9">
        <v>0.38</v>
      </c>
      <c r="AH3185" s="6">
        <f t="shared" si="494"/>
        <v>0</v>
      </c>
      <c r="AI3185" s="47"/>
      <c r="AJ3185" s="126" t="e">
        <v>#N/A</v>
      </c>
      <c r="AK3185" s="80">
        <f t="shared" si="492"/>
        <v>0</v>
      </c>
      <c r="AM3185" s="85"/>
    </row>
    <row r="3186" spans="1:39" hidden="1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497"/>
        <v>116699.80000000006</v>
      </c>
      <c r="X3186" s="6">
        <f t="shared" si="493"/>
        <v>7507.5922330096992</v>
      </c>
      <c r="Y3186" s="13">
        <f t="shared" si="490"/>
        <v>0</v>
      </c>
      <c r="Z3186" s="14">
        <v>0</v>
      </c>
      <c r="AA3186" s="6">
        <v>0</v>
      </c>
      <c r="AB3186" s="4">
        <f t="shared" si="491"/>
        <v>7507.5922330096992</v>
      </c>
      <c r="AC3186" s="4">
        <f t="shared" si="495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496"/>
        <v>455.28780000000006</v>
      </c>
      <c r="AG3186" s="9">
        <v>0</v>
      </c>
      <c r="AH3186" s="6">
        <f t="shared" si="494"/>
        <v>7732.8199999999906</v>
      </c>
      <c r="AI3186" s="47"/>
      <c r="AJ3186" s="126" t="e">
        <v>#N/A</v>
      </c>
      <c r="AK3186" s="80">
        <f t="shared" si="492"/>
        <v>0</v>
      </c>
      <c r="AM3186" s="85"/>
    </row>
    <row r="3187" spans="1:39" hidden="1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497"/>
        <v>-515592.65</v>
      </c>
      <c r="X3187" s="6">
        <f t="shared" si="493"/>
        <v>0</v>
      </c>
      <c r="Y3187" s="13">
        <f t="shared" si="490"/>
        <v>0</v>
      </c>
      <c r="Z3187" s="14">
        <v>0</v>
      </c>
      <c r="AA3187" s="6">
        <v>0</v>
      </c>
      <c r="AB3187" s="4">
        <f t="shared" si="491"/>
        <v>0</v>
      </c>
      <c r="AC3187" s="4">
        <f t="shared" si="495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496"/>
        <v>0</v>
      </c>
      <c r="AG3187" s="9">
        <v>0.37</v>
      </c>
      <c r="AH3187" s="6">
        <f t="shared" si="494"/>
        <v>0</v>
      </c>
      <c r="AI3187" s="47"/>
      <c r="AJ3187" s="126" t="e">
        <v>#N/A</v>
      </c>
      <c r="AK3187" s="80">
        <f t="shared" si="492"/>
        <v>0</v>
      </c>
      <c r="AM3187" s="85"/>
    </row>
    <row r="3188" spans="1:39" hidden="1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497"/>
        <v>30886.428000000004</v>
      </c>
      <c r="X3188" s="6">
        <f t="shared" si="493"/>
        <v>0</v>
      </c>
      <c r="Y3188" s="13">
        <f t="shared" si="490"/>
        <v>0</v>
      </c>
      <c r="Z3188" s="14">
        <v>0</v>
      </c>
      <c r="AA3188" s="6">
        <v>0</v>
      </c>
      <c r="AB3188" s="4">
        <f t="shared" si="491"/>
        <v>0</v>
      </c>
      <c r="AC3188" s="4">
        <f t="shared" si="495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496"/>
        <v>0</v>
      </c>
      <c r="AG3188" s="9">
        <v>0.4</v>
      </c>
      <c r="AH3188" s="6">
        <f t="shared" si="494"/>
        <v>0</v>
      </c>
      <c r="AI3188" s="47"/>
      <c r="AJ3188" s="126" t="e">
        <v>#N/A</v>
      </c>
      <c r="AK3188" s="80">
        <f t="shared" si="492"/>
        <v>0</v>
      </c>
      <c r="AM3188" s="85"/>
    </row>
    <row r="3189" spans="1:39" hidden="1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497"/>
        <v>0.13395915713044815</v>
      </c>
      <c r="X3189" s="6">
        <f t="shared" si="493"/>
        <v>0</v>
      </c>
      <c r="Y3189" s="13">
        <f t="shared" si="490"/>
        <v>0</v>
      </c>
      <c r="Z3189" s="14">
        <v>0</v>
      </c>
      <c r="AA3189" s="6">
        <v>0</v>
      </c>
      <c r="AB3189" s="4">
        <f t="shared" si="491"/>
        <v>0</v>
      </c>
      <c r="AC3189" s="4">
        <f t="shared" si="495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496"/>
        <v>0</v>
      </c>
      <c r="AG3189" s="9">
        <v>0.4</v>
      </c>
      <c r="AH3189" s="6">
        <f t="shared" si="494"/>
        <v>0</v>
      </c>
      <c r="AI3189" s="47"/>
      <c r="AJ3189" s="126" t="e">
        <v>#N/A</v>
      </c>
      <c r="AK3189" s="80">
        <f t="shared" si="492"/>
        <v>0</v>
      </c>
      <c r="AM3189" s="85"/>
    </row>
    <row r="3190" spans="1:39" hidden="1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497"/>
        <v>178230.13199999923</v>
      </c>
      <c r="X3190" s="6">
        <f t="shared" si="493"/>
        <v>0</v>
      </c>
      <c r="Y3190" s="13">
        <f t="shared" si="490"/>
        <v>0</v>
      </c>
      <c r="Z3190" s="14">
        <v>0</v>
      </c>
      <c r="AA3190" s="6">
        <v>0</v>
      </c>
      <c r="AB3190" s="4">
        <f t="shared" si="491"/>
        <v>0</v>
      </c>
      <c r="AC3190" s="4">
        <f t="shared" si="495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496"/>
        <v>0</v>
      </c>
      <c r="AG3190" s="9">
        <v>0.4</v>
      </c>
      <c r="AH3190" s="6">
        <f t="shared" si="494"/>
        <v>0</v>
      </c>
      <c r="AI3190" s="47"/>
      <c r="AJ3190" s="126" t="e">
        <v>#N/A</v>
      </c>
      <c r="AK3190" s="80">
        <f t="shared" si="492"/>
        <v>0</v>
      </c>
      <c r="AM3190" s="85"/>
    </row>
    <row r="3191" spans="1:39" hidden="1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497"/>
        <v>-7.5000000019826984E-3</v>
      </c>
      <c r="X3191" s="6">
        <f t="shared" si="493"/>
        <v>0</v>
      </c>
      <c r="Y3191" s="13">
        <f t="shared" si="490"/>
        <v>0</v>
      </c>
      <c r="Z3191" s="14">
        <v>0</v>
      </c>
      <c r="AA3191" s="6">
        <v>0</v>
      </c>
      <c r="AB3191" s="4">
        <f t="shared" si="491"/>
        <v>0</v>
      </c>
      <c r="AC3191" s="4">
        <f t="shared" si="495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496"/>
        <v>0</v>
      </c>
      <c r="AG3191" s="9">
        <v>0.37</v>
      </c>
      <c r="AH3191" s="6">
        <f t="shared" si="494"/>
        <v>0</v>
      </c>
      <c r="AI3191" s="47"/>
      <c r="AJ3191" s="126" t="e">
        <v>#N/A</v>
      </c>
      <c r="AK3191" s="80">
        <f t="shared" si="492"/>
        <v>0</v>
      </c>
      <c r="AM3191" s="85"/>
    </row>
    <row r="3192" spans="1:39" hidden="1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497"/>
        <v>1106.1799999999998</v>
      </c>
      <c r="X3192" s="6">
        <f t="shared" si="493"/>
        <v>0</v>
      </c>
      <c r="Y3192" s="13">
        <f t="shared" si="490"/>
        <v>0</v>
      </c>
      <c r="Z3192" s="14">
        <v>0</v>
      </c>
      <c r="AA3192" s="6">
        <v>0</v>
      </c>
      <c r="AB3192" s="4">
        <f t="shared" si="491"/>
        <v>0</v>
      </c>
      <c r="AC3192" s="4">
        <f t="shared" si="495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496"/>
        <v>0</v>
      </c>
      <c r="AG3192" s="9">
        <v>0</v>
      </c>
      <c r="AH3192" s="6">
        <f t="shared" si="494"/>
        <v>0</v>
      </c>
      <c r="AI3192" s="47"/>
      <c r="AJ3192" s="126" t="e">
        <v>#N/A</v>
      </c>
      <c r="AK3192" s="80">
        <f t="shared" si="492"/>
        <v>0</v>
      </c>
      <c r="AM3192" s="85"/>
    </row>
    <row r="3193" spans="1:39" hidden="1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497"/>
        <v>-6.0000000157742761E-3</v>
      </c>
      <c r="X3193" s="6">
        <f t="shared" si="493"/>
        <v>0</v>
      </c>
      <c r="Y3193" s="13">
        <f t="shared" si="490"/>
        <v>0</v>
      </c>
      <c r="Z3193" s="14">
        <v>0</v>
      </c>
      <c r="AA3193" s="6">
        <v>0</v>
      </c>
      <c r="AB3193" s="4">
        <f t="shared" si="491"/>
        <v>0</v>
      </c>
      <c r="AC3193" s="4">
        <f t="shared" si="495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496"/>
        <v>0</v>
      </c>
      <c r="AG3193" s="9">
        <v>0.4</v>
      </c>
      <c r="AH3193" s="6">
        <f t="shared" si="494"/>
        <v>0</v>
      </c>
      <c r="AI3193" s="47"/>
      <c r="AJ3193" s="126" t="e">
        <v>#N/A</v>
      </c>
      <c r="AK3193" s="80">
        <f t="shared" si="492"/>
        <v>0</v>
      </c>
      <c r="AM3193" s="85"/>
    </row>
    <row r="3194" spans="1:39" hidden="1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497"/>
        <v>1050881.8134847868</v>
      </c>
      <c r="X3194" s="6">
        <f t="shared" si="493"/>
        <v>0</v>
      </c>
      <c r="Y3194" s="13">
        <f t="shared" si="490"/>
        <v>0</v>
      </c>
      <c r="Z3194" s="14">
        <v>0</v>
      </c>
      <c r="AA3194" s="6">
        <v>0</v>
      </c>
      <c r="AB3194" s="4">
        <f t="shared" si="491"/>
        <v>0</v>
      </c>
      <c r="AC3194" s="4">
        <f t="shared" si="495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496"/>
        <v>0</v>
      </c>
      <c r="AG3194" s="9">
        <v>0.4</v>
      </c>
      <c r="AH3194" s="6">
        <f t="shared" si="494"/>
        <v>0</v>
      </c>
      <c r="AI3194" s="47"/>
      <c r="AJ3194" s="126" t="e">
        <v>#N/A</v>
      </c>
      <c r="AK3194" s="80">
        <f t="shared" si="492"/>
        <v>0</v>
      </c>
      <c r="AM3194" s="85"/>
    </row>
    <row r="3195" spans="1:39" hidden="1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497"/>
        <v>-633233.87399999995</v>
      </c>
      <c r="X3195" s="6">
        <f t="shared" si="493"/>
        <v>0</v>
      </c>
      <c r="Y3195" s="13">
        <f t="shared" si="490"/>
        <v>0</v>
      </c>
      <c r="Z3195" s="14">
        <v>0</v>
      </c>
      <c r="AA3195" s="6">
        <v>0</v>
      </c>
      <c r="AB3195" s="4">
        <f t="shared" si="491"/>
        <v>0</v>
      </c>
      <c r="AC3195" s="4">
        <f t="shared" si="495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496"/>
        <v>0</v>
      </c>
      <c r="AG3195" s="9">
        <v>0.4</v>
      </c>
      <c r="AH3195" s="6">
        <f t="shared" si="494"/>
        <v>0</v>
      </c>
      <c r="AI3195" s="47"/>
      <c r="AJ3195" s="126" t="e">
        <v>#N/A</v>
      </c>
      <c r="AK3195" s="80">
        <f t="shared" si="492"/>
        <v>0</v>
      </c>
      <c r="AM3195" s="85"/>
    </row>
    <row r="3196" spans="1:39" hidden="1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497"/>
        <v>1242.0009</v>
      </c>
      <c r="X3196" s="6">
        <f t="shared" si="493"/>
        <v>0</v>
      </c>
      <c r="Y3196" s="13">
        <f t="shared" si="490"/>
        <v>0</v>
      </c>
      <c r="Z3196" s="14">
        <v>0</v>
      </c>
      <c r="AA3196" s="6">
        <v>0</v>
      </c>
      <c r="AB3196" s="4">
        <f t="shared" si="491"/>
        <v>0</v>
      </c>
      <c r="AC3196" s="4">
        <f t="shared" si="495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496"/>
        <v>0</v>
      </c>
      <c r="AG3196" s="9">
        <v>0.37</v>
      </c>
      <c r="AH3196" s="6">
        <f t="shared" si="494"/>
        <v>0</v>
      </c>
      <c r="AI3196" s="47"/>
      <c r="AJ3196" s="126" t="e">
        <v>#N/A</v>
      </c>
      <c r="AK3196" s="80">
        <f t="shared" si="492"/>
        <v>0</v>
      </c>
      <c r="AM3196" s="85"/>
    </row>
    <row r="3197" spans="1:39" hidden="1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497"/>
        <v>179793.86138219805</v>
      </c>
      <c r="X3197" s="6">
        <f t="shared" si="493"/>
        <v>0</v>
      </c>
      <c r="Y3197" s="13">
        <f t="shared" si="490"/>
        <v>0</v>
      </c>
      <c r="Z3197" s="14">
        <v>0</v>
      </c>
      <c r="AA3197" s="6">
        <v>0</v>
      </c>
      <c r="AB3197" s="4">
        <f t="shared" si="491"/>
        <v>0</v>
      </c>
      <c r="AC3197" s="4">
        <f t="shared" si="495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496"/>
        <v>0</v>
      </c>
      <c r="AG3197" s="9">
        <v>0.41</v>
      </c>
      <c r="AH3197" s="6">
        <f t="shared" si="494"/>
        <v>0</v>
      </c>
      <c r="AI3197" s="47"/>
      <c r="AJ3197" s="126" t="e">
        <v>#N/A</v>
      </c>
      <c r="AK3197" s="80">
        <f t="shared" si="492"/>
        <v>0</v>
      </c>
      <c r="AM3197" s="85"/>
    </row>
    <row r="3198" spans="1:39" hidden="1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497"/>
        <v>-244103.99919999999</v>
      </c>
      <c r="X3198" s="6">
        <f t="shared" si="493"/>
        <v>0</v>
      </c>
      <c r="Y3198" s="13">
        <f t="shared" si="490"/>
        <v>0</v>
      </c>
      <c r="Z3198" s="14">
        <v>0</v>
      </c>
      <c r="AA3198" s="6">
        <v>0</v>
      </c>
      <c r="AB3198" s="4">
        <f t="shared" si="491"/>
        <v>0</v>
      </c>
      <c r="AC3198" s="4">
        <f t="shared" si="495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496"/>
        <v>0</v>
      </c>
      <c r="AG3198" s="9">
        <v>0.46</v>
      </c>
      <c r="AH3198" s="6">
        <f t="shared" si="494"/>
        <v>0</v>
      </c>
      <c r="AI3198" s="47"/>
      <c r="AJ3198" s="126" t="e">
        <v>#N/A</v>
      </c>
      <c r="AK3198" s="80">
        <f t="shared" si="492"/>
        <v>0</v>
      </c>
      <c r="AM3198" s="85"/>
    </row>
    <row r="3199" spans="1:39" hidden="1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497"/>
        <v>15849.530000000046</v>
      </c>
      <c r="X3199" s="6">
        <f t="shared" si="493"/>
        <v>15802.233009708732</v>
      </c>
      <c r="Y3199" s="13">
        <f t="shared" si="490"/>
        <v>0</v>
      </c>
      <c r="Z3199" s="14">
        <v>0</v>
      </c>
      <c r="AA3199" s="6">
        <v>0</v>
      </c>
      <c r="AB3199" s="4">
        <f t="shared" si="491"/>
        <v>15802.233009708732</v>
      </c>
      <c r="AC3199" s="4">
        <f t="shared" si="495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496"/>
        <v>976.57799999999975</v>
      </c>
      <c r="AG3199" s="9">
        <v>0</v>
      </c>
      <c r="AH3199" s="6">
        <f t="shared" si="494"/>
        <v>16276.299999999996</v>
      </c>
      <c r="AI3199" s="47"/>
      <c r="AJ3199" s="126" t="e">
        <v>#N/A</v>
      </c>
      <c r="AK3199" s="80">
        <f t="shared" si="492"/>
        <v>0</v>
      </c>
      <c r="AM3199" s="85"/>
    </row>
    <row r="3200" spans="1:39" hidden="1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497"/>
        <v>0</v>
      </c>
      <c r="X3200" s="6">
        <f t="shared" si="493"/>
        <v>0</v>
      </c>
      <c r="Y3200" s="13">
        <f t="shared" si="490"/>
        <v>0</v>
      </c>
      <c r="Z3200" s="14">
        <v>0</v>
      </c>
      <c r="AA3200" s="6">
        <v>0</v>
      </c>
      <c r="AB3200" s="4">
        <f t="shared" si="491"/>
        <v>0</v>
      </c>
      <c r="AC3200" s="4">
        <f t="shared" si="495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496"/>
        <v>0</v>
      </c>
      <c r="AG3200" s="9">
        <v>0</v>
      </c>
      <c r="AH3200" s="6">
        <f t="shared" si="494"/>
        <v>0</v>
      </c>
      <c r="AI3200" s="47"/>
      <c r="AJ3200" s="126" t="e">
        <v>#N/A</v>
      </c>
      <c r="AK3200" s="80">
        <f t="shared" si="492"/>
        <v>0</v>
      </c>
      <c r="AM3200" s="85"/>
    </row>
    <row r="3201" spans="1:39" hidden="1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497"/>
        <v>1067.8328000000383</v>
      </c>
      <c r="X3201" s="6">
        <f t="shared" si="493"/>
        <v>0</v>
      </c>
      <c r="Y3201" s="13">
        <f t="shared" si="490"/>
        <v>0</v>
      </c>
      <c r="Z3201" s="14">
        <v>0</v>
      </c>
      <c r="AA3201" s="6">
        <v>0</v>
      </c>
      <c r="AB3201" s="4">
        <f t="shared" si="491"/>
        <v>0</v>
      </c>
      <c r="AC3201" s="4">
        <f t="shared" si="495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496"/>
        <v>0</v>
      </c>
      <c r="AG3201" s="9">
        <v>0</v>
      </c>
      <c r="AH3201" s="6">
        <f t="shared" si="494"/>
        <v>0</v>
      </c>
      <c r="AI3201" s="47"/>
      <c r="AJ3201" s="126" t="e">
        <v>#N/A</v>
      </c>
      <c r="AK3201" s="80">
        <f t="shared" si="492"/>
        <v>0</v>
      </c>
      <c r="AM3201" s="85"/>
    </row>
    <row r="3202" spans="1:39" hidden="1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497"/>
        <v>-10967.75</v>
      </c>
      <c r="X3202" s="6">
        <f t="shared" si="493"/>
        <v>0</v>
      </c>
      <c r="Y3202" s="13">
        <f t="shared" si="490"/>
        <v>0</v>
      </c>
      <c r="Z3202" s="14">
        <v>0</v>
      </c>
      <c r="AA3202" s="6">
        <v>0</v>
      </c>
      <c r="AB3202" s="4">
        <f t="shared" si="491"/>
        <v>0</v>
      </c>
      <c r="AC3202" s="4">
        <f t="shared" si="495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496"/>
        <v>0</v>
      </c>
      <c r="AG3202" s="9">
        <v>0.25</v>
      </c>
      <c r="AH3202" s="6">
        <f t="shared" si="494"/>
        <v>0</v>
      </c>
      <c r="AI3202" s="47"/>
      <c r="AJ3202" s="126" t="e">
        <v>#N/A</v>
      </c>
      <c r="AK3202" s="80">
        <f t="shared" si="492"/>
        <v>0</v>
      </c>
      <c r="AM3202" s="85"/>
    </row>
    <row r="3203" spans="1:39" hidden="1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497"/>
        <v>136109.06239343219</v>
      </c>
      <c r="X3203" s="6">
        <f t="shared" si="493"/>
        <v>0</v>
      </c>
      <c r="Y3203" s="13">
        <f t="shared" ref="Y3203:Y3266" si="498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499">X3203+AA3203</f>
        <v>0</v>
      </c>
      <c r="AC3203" s="4">
        <f t="shared" si="495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496"/>
        <v>0</v>
      </c>
      <c r="AG3203" s="9">
        <v>0.37</v>
      </c>
      <c r="AH3203" s="6">
        <f t="shared" si="494"/>
        <v>0</v>
      </c>
      <c r="AI3203" s="47"/>
      <c r="AJ3203" s="126" t="e">
        <v>#N/A</v>
      </c>
      <c r="AK3203" s="80">
        <f t="shared" ref="AK3203:AK3266" si="500">X3203+AA3203-AB3203</f>
        <v>0</v>
      </c>
      <c r="AM3203" s="85"/>
    </row>
    <row r="3204" spans="1:39" hidden="1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497"/>
        <v>-31672.181400000001</v>
      </c>
      <c r="X3204" s="6">
        <f t="shared" si="493"/>
        <v>0</v>
      </c>
      <c r="Y3204" s="13">
        <f t="shared" si="498"/>
        <v>0</v>
      </c>
      <c r="Z3204" s="14">
        <v>0</v>
      </c>
      <c r="AA3204" s="6">
        <v>0</v>
      </c>
      <c r="AB3204" s="4">
        <f t="shared" si="499"/>
        <v>0</v>
      </c>
      <c r="AC3204" s="4">
        <f t="shared" si="495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496"/>
        <v>0</v>
      </c>
      <c r="AG3204" s="9">
        <v>0.41</v>
      </c>
      <c r="AH3204" s="6">
        <f t="shared" si="494"/>
        <v>0</v>
      </c>
      <c r="AI3204" s="47"/>
      <c r="AJ3204" s="126" t="e">
        <v>#N/A</v>
      </c>
      <c r="AK3204" s="80">
        <f t="shared" si="500"/>
        <v>0</v>
      </c>
      <c r="AM3204" s="85"/>
    </row>
    <row r="3205" spans="1:39" hidden="1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497"/>
        <v>6.0000000021318556E-3</v>
      </c>
      <c r="X3205" s="6">
        <f t="shared" si="493"/>
        <v>0</v>
      </c>
      <c r="Y3205" s="13">
        <f t="shared" si="498"/>
        <v>0</v>
      </c>
      <c r="Z3205" s="14">
        <v>0</v>
      </c>
      <c r="AA3205" s="6">
        <v>0</v>
      </c>
      <c r="AB3205" s="4">
        <f t="shared" si="499"/>
        <v>0</v>
      </c>
      <c r="AC3205" s="4">
        <f t="shared" si="495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496"/>
        <v>0</v>
      </c>
      <c r="AG3205" s="9">
        <v>0.4</v>
      </c>
      <c r="AH3205" s="6">
        <f t="shared" si="494"/>
        <v>0</v>
      </c>
      <c r="AI3205" s="47"/>
      <c r="AJ3205" s="126" t="e">
        <v>#N/A</v>
      </c>
      <c r="AK3205" s="80">
        <f t="shared" si="500"/>
        <v>0</v>
      </c>
      <c r="AM3205" s="85"/>
    </row>
    <row r="3206" spans="1:39" hidden="1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497"/>
        <v>12422.418899999999</v>
      </c>
      <c r="X3206" s="6">
        <f t="shared" si="493"/>
        <v>0</v>
      </c>
      <c r="Y3206" s="13">
        <f t="shared" si="498"/>
        <v>0</v>
      </c>
      <c r="Z3206" s="14">
        <v>0</v>
      </c>
      <c r="AA3206" s="6">
        <v>0</v>
      </c>
      <c r="AB3206" s="4">
        <f t="shared" si="499"/>
        <v>0</v>
      </c>
      <c r="AC3206" s="4">
        <f t="shared" si="495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496"/>
        <v>0</v>
      </c>
      <c r="AG3206" s="9">
        <v>0.37</v>
      </c>
      <c r="AH3206" s="6">
        <f t="shared" si="494"/>
        <v>0</v>
      </c>
      <c r="AI3206" s="47"/>
      <c r="AJ3206" s="126" t="e">
        <v>#N/A</v>
      </c>
      <c r="AK3206" s="80">
        <f t="shared" si="500"/>
        <v>0</v>
      </c>
      <c r="AM3206" s="85"/>
    </row>
    <row r="3207" spans="1:39" hidden="1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497"/>
        <v>4315.6180000000031</v>
      </c>
      <c r="X3207" s="6">
        <f t="shared" si="493"/>
        <v>0</v>
      </c>
      <c r="Y3207" s="13">
        <f t="shared" si="498"/>
        <v>0</v>
      </c>
      <c r="Z3207" s="14">
        <v>0</v>
      </c>
      <c r="AA3207" s="6">
        <v>0</v>
      </c>
      <c r="AB3207" s="4">
        <f t="shared" si="499"/>
        <v>0</v>
      </c>
      <c r="AC3207" s="4">
        <f t="shared" si="495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496"/>
        <v>0</v>
      </c>
      <c r="AG3207" s="9">
        <v>0.4</v>
      </c>
      <c r="AH3207" s="6">
        <f t="shared" si="494"/>
        <v>0</v>
      </c>
      <c r="AI3207" s="47"/>
      <c r="AJ3207" s="126" t="e">
        <v>#N/A</v>
      </c>
      <c r="AK3207" s="80">
        <f t="shared" si="500"/>
        <v>0</v>
      </c>
      <c r="AM3207" s="85"/>
    </row>
    <row r="3208" spans="1:39" hidden="1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497"/>
        <v>5.3099999912092244E-2</v>
      </c>
      <c r="X3208" s="6">
        <f t="shared" si="493"/>
        <v>0</v>
      </c>
      <c r="Y3208" s="13">
        <f t="shared" si="498"/>
        <v>0</v>
      </c>
      <c r="Z3208" s="14">
        <v>0</v>
      </c>
      <c r="AA3208" s="6">
        <v>0</v>
      </c>
      <c r="AB3208" s="4">
        <f t="shared" si="499"/>
        <v>0</v>
      </c>
      <c r="AC3208" s="4">
        <f t="shared" si="495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496"/>
        <v>0</v>
      </c>
      <c r="AG3208" s="9">
        <v>0.4</v>
      </c>
      <c r="AH3208" s="6">
        <f t="shared" si="494"/>
        <v>0</v>
      </c>
      <c r="AI3208" s="47"/>
      <c r="AJ3208" s="126" t="e">
        <v>#N/A</v>
      </c>
      <c r="AK3208" s="80">
        <f t="shared" si="500"/>
        <v>0</v>
      </c>
      <c r="AM3208" s="85"/>
    </row>
    <row r="3209" spans="1:39" hidden="1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497"/>
        <v>52779.029999999329</v>
      </c>
      <c r="X3209" s="6">
        <f t="shared" si="493"/>
        <v>0</v>
      </c>
      <c r="Y3209" s="13">
        <f t="shared" si="498"/>
        <v>0</v>
      </c>
      <c r="Z3209" s="14">
        <v>0</v>
      </c>
      <c r="AA3209" s="6">
        <v>0</v>
      </c>
      <c r="AB3209" s="4">
        <f t="shared" si="499"/>
        <v>0</v>
      </c>
      <c r="AC3209" s="4">
        <f t="shared" si="495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496"/>
        <v>0</v>
      </c>
      <c r="AG3209" s="9">
        <v>0.16</v>
      </c>
      <c r="AH3209" s="6">
        <f t="shared" si="494"/>
        <v>0</v>
      </c>
      <c r="AI3209" s="47"/>
      <c r="AJ3209" s="126" t="e">
        <v>#N/A</v>
      </c>
      <c r="AK3209" s="80">
        <f t="shared" si="500"/>
        <v>0</v>
      </c>
      <c r="AM3209" s="85"/>
    </row>
    <row r="3210" spans="1:39" hidden="1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497"/>
        <v>-20003231.118000001</v>
      </c>
      <c r="X3210" s="6">
        <f t="shared" si="493"/>
        <v>0</v>
      </c>
      <c r="Y3210" s="13">
        <f t="shared" si="498"/>
        <v>0</v>
      </c>
      <c r="Z3210" s="14">
        <v>0</v>
      </c>
      <c r="AA3210" s="6">
        <v>0</v>
      </c>
      <c r="AB3210" s="4">
        <f t="shared" si="499"/>
        <v>0</v>
      </c>
      <c r="AC3210" s="4">
        <f t="shared" si="495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496"/>
        <v>0</v>
      </c>
      <c r="AG3210" s="9">
        <v>0.3</v>
      </c>
      <c r="AH3210" s="6">
        <f t="shared" si="494"/>
        <v>0</v>
      </c>
      <c r="AI3210" s="47"/>
      <c r="AJ3210" s="126" t="e">
        <v>#N/A</v>
      </c>
      <c r="AK3210" s="80">
        <f t="shared" si="500"/>
        <v>0</v>
      </c>
      <c r="AM3210" s="85"/>
    </row>
    <row r="3211" spans="1:39" hidden="1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497"/>
        <v>877.33400000000245</v>
      </c>
      <c r="X3211" s="6">
        <f t="shared" ref="X3211:X3274" si="501">IF(P3211="折扣",V3211*Q3211,IF(P3211="返现",V3211,V3211/(1+Q3211+AG3211)))</f>
        <v>0</v>
      </c>
      <c r="Y3211" s="13">
        <f t="shared" si="498"/>
        <v>0</v>
      </c>
      <c r="Z3211" s="14">
        <v>0</v>
      </c>
      <c r="AA3211" s="6">
        <v>0</v>
      </c>
      <c r="AB3211" s="4">
        <f t="shared" si="499"/>
        <v>0</v>
      </c>
      <c r="AC3211" s="4">
        <f t="shared" si="495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496"/>
        <v>0</v>
      </c>
      <c r="AG3211" s="9">
        <v>0.3</v>
      </c>
      <c r="AH3211" s="6">
        <f t="shared" ref="AH3211:AH3274" si="502">V3211/(1+AG3211)</f>
        <v>0</v>
      </c>
      <c r="AI3211" s="47"/>
      <c r="AJ3211" s="126" t="e">
        <v>#N/A</v>
      </c>
      <c r="AK3211" s="80">
        <f t="shared" si="500"/>
        <v>0</v>
      </c>
      <c r="AM3211" s="85"/>
    </row>
    <row r="3212" spans="1:39" hidden="1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497"/>
        <v>19288.310000000001</v>
      </c>
      <c r="X3212" s="6">
        <f t="shared" si="501"/>
        <v>0</v>
      </c>
      <c r="Y3212" s="13">
        <f t="shared" si="498"/>
        <v>0</v>
      </c>
      <c r="Z3212" s="14">
        <v>0</v>
      </c>
      <c r="AA3212" s="6">
        <v>0</v>
      </c>
      <c r="AB3212" s="4">
        <f t="shared" si="499"/>
        <v>0</v>
      </c>
      <c r="AC3212" s="4">
        <f t="shared" ref="AC3212:AC3275" si="503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04">AD3212*AE3212</f>
        <v>0</v>
      </c>
      <c r="AG3212" s="9">
        <v>0.1</v>
      </c>
      <c r="AH3212" s="6">
        <f t="shared" si="502"/>
        <v>0</v>
      </c>
      <c r="AI3212" s="47"/>
      <c r="AJ3212" s="126" t="e">
        <v>#N/A</v>
      </c>
      <c r="AK3212" s="80">
        <f t="shared" si="500"/>
        <v>0</v>
      </c>
      <c r="AM3212" s="85"/>
    </row>
    <row r="3213" spans="1:39" hidden="1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497"/>
        <v>13050</v>
      </c>
      <c r="X3213" s="6">
        <f t="shared" si="501"/>
        <v>0</v>
      </c>
      <c r="Y3213" s="13">
        <f t="shared" si="498"/>
        <v>0</v>
      </c>
      <c r="Z3213" s="14">
        <v>0</v>
      </c>
      <c r="AA3213" s="6">
        <v>0</v>
      </c>
      <c r="AB3213" s="4">
        <f t="shared" si="499"/>
        <v>0</v>
      </c>
      <c r="AC3213" s="4">
        <f t="shared" si="503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04"/>
        <v>0</v>
      </c>
      <c r="AG3213" s="9">
        <v>0.25</v>
      </c>
      <c r="AH3213" s="6">
        <f t="shared" si="502"/>
        <v>0</v>
      </c>
      <c r="AI3213" s="47"/>
      <c r="AJ3213" s="126" t="e">
        <v>#N/A</v>
      </c>
      <c r="AK3213" s="80">
        <f t="shared" si="500"/>
        <v>0</v>
      </c>
      <c r="AM3213" s="85"/>
    </row>
    <row r="3214" spans="1:39" hidden="1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497"/>
        <v>308255.45000000007</v>
      </c>
      <c r="X3214" s="6">
        <f t="shared" si="501"/>
        <v>612.21359223300976</v>
      </c>
      <c r="Y3214" s="13">
        <f t="shared" si="498"/>
        <v>612.21359223300976</v>
      </c>
      <c r="Z3214" s="14">
        <v>0</v>
      </c>
      <c r="AA3214" s="6">
        <v>0</v>
      </c>
      <c r="AB3214" s="4">
        <f t="shared" si="499"/>
        <v>612.21359223300976</v>
      </c>
      <c r="AC3214" s="4">
        <f t="shared" si="503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04"/>
        <v>0</v>
      </c>
      <c r="AG3214" s="9">
        <v>0</v>
      </c>
      <c r="AH3214" s="6">
        <f t="shared" si="502"/>
        <v>630.58000000000004</v>
      </c>
      <c r="AI3214" s="47"/>
      <c r="AJ3214" s="126" t="e">
        <v>#N/A</v>
      </c>
      <c r="AK3214" s="80">
        <f t="shared" si="500"/>
        <v>0</v>
      </c>
      <c r="AM3214" s="85"/>
    </row>
    <row r="3215" spans="1:39" hidden="1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497"/>
        <v>2747.1099999999988</v>
      </c>
      <c r="X3215" s="6">
        <f t="shared" si="501"/>
        <v>0</v>
      </c>
      <c r="Y3215" s="13">
        <f t="shared" si="498"/>
        <v>0</v>
      </c>
      <c r="Z3215" s="14">
        <v>0</v>
      </c>
      <c r="AA3215" s="6">
        <v>0</v>
      </c>
      <c r="AB3215" s="4">
        <f t="shared" si="499"/>
        <v>0</v>
      </c>
      <c r="AC3215" s="4">
        <f t="shared" si="503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04"/>
        <v>0</v>
      </c>
      <c r="AG3215" s="9">
        <v>0</v>
      </c>
      <c r="AH3215" s="6">
        <f t="shared" si="502"/>
        <v>0</v>
      </c>
      <c r="AI3215" s="47"/>
      <c r="AJ3215" s="126" t="e">
        <v>#N/A</v>
      </c>
      <c r="AK3215" s="80">
        <f t="shared" si="500"/>
        <v>0</v>
      </c>
      <c r="AM3215" s="85"/>
    </row>
    <row r="3216" spans="1:39" hidden="1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497"/>
        <v>39593.855999999985</v>
      </c>
      <c r="X3216" s="6">
        <f t="shared" si="501"/>
        <v>0</v>
      </c>
      <c r="Y3216" s="13">
        <f t="shared" si="498"/>
        <v>0</v>
      </c>
      <c r="Z3216" s="14">
        <v>0</v>
      </c>
      <c r="AA3216" s="6">
        <v>0</v>
      </c>
      <c r="AB3216" s="4">
        <f t="shared" si="499"/>
        <v>0</v>
      </c>
      <c r="AC3216" s="4">
        <f t="shared" si="503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04"/>
        <v>0</v>
      </c>
      <c r="AG3216" s="9">
        <v>0.4</v>
      </c>
      <c r="AH3216" s="6">
        <f t="shared" si="502"/>
        <v>0</v>
      </c>
      <c r="AI3216" s="47"/>
      <c r="AJ3216" s="126" t="e">
        <v>#N/A</v>
      </c>
      <c r="AK3216" s="80">
        <f t="shared" si="500"/>
        <v>0</v>
      </c>
      <c r="AM3216" s="85"/>
    </row>
    <row r="3217" spans="1:39" hidden="1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497"/>
        <v>58070.141999999985</v>
      </c>
      <c r="X3217" s="6">
        <f t="shared" si="501"/>
        <v>0</v>
      </c>
      <c r="Y3217" s="13">
        <f t="shared" si="498"/>
        <v>0</v>
      </c>
      <c r="Z3217" s="14">
        <v>0</v>
      </c>
      <c r="AA3217" s="6">
        <v>0</v>
      </c>
      <c r="AB3217" s="4">
        <f t="shared" si="499"/>
        <v>0</v>
      </c>
      <c r="AC3217" s="4">
        <f t="shared" si="503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04"/>
        <v>0</v>
      </c>
      <c r="AG3217" s="9">
        <v>0.4</v>
      </c>
      <c r="AH3217" s="6">
        <f t="shared" si="502"/>
        <v>0</v>
      </c>
      <c r="AI3217" s="47"/>
      <c r="AJ3217" s="126" t="e">
        <v>#N/A</v>
      </c>
      <c r="AK3217" s="80">
        <f t="shared" si="500"/>
        <v>0</v>
      </c>
      <c r="AM3217" s="85"/>
    </row>
    <row r="3218" spans="1:39" hidden="1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497"/>
        <v>64050.65330780053</v>
      </c>
      <c r="X3218" s="6">
        <f t="shared" si="501"/>
        <v>0</v>
      </c>
      <c r="Y3218" s="13">
        <f t="shared" si="498"/>
        <v>0</v>
      </c>
      <c r="Z3218" s="14">
        <v>0</v>
      </c>
      <c r="AA3218" s="6">
        <v>0</v>
      </c>
      <c r="AB3218" s="4">
        <f t="shared" si="499"/>
        <v>0</v>
      </c>
      <c r="AC3218" s="4">
        <f t="shared" si="503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04"/>
        <v>0</v>
      </c>
      <c r="AG3218" s="9">
        <v>0.4</v>
      </c>
      <c r="AH3218" s="6">
        <f t="shared" si="502"/>
        <v>0</v>
      </c>
      <c r="AI3218" s="47"/>
      <c r="AJ3218" s="126" t="e">
        <v>#N/A</v>
      </c>
      <c r="AK3218" s="80">
        <f t="shared" si="500"/>
        <v>0</v>
      </c>
      <c r="AM3218" s="85"/>
    </row>
    <row r="3219" spans="1:39" hidden="1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497"/>
        <v>-75791.59</v>
      </c>
      <c r="X3219" s="6">
        <f t="shared" si="501"/>
        <v>0</v>
      </c>
      <c r="Y3219" s="13">
        <f t="shared" si="498"/>
        <v>0</v>
      </c>
      <c r="Z3219" s="14">
        <v>0</v>
      </c>
      <c r="AA3219" s="6">
        <v>0</v>
      </c>
      <c r="AB3219" s="4">
        <f t="shared" si="499"/>
        <v>0</v>
      </c>
      <c r="AC3219" s="4">
        <f t="shared" si="503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04"/>
        <v>0</v>
      </c>
      <c r="AG3219" s="9">
        <v>0.4</v>
      </c>
      <c r="AH3219" s="6">
        <f t="shared" si="502"/>
        <v>0</v>
      </c>
      <c r="AI3219" s="47"/>
      <c r="AJ3219" s="126" t="e">
        <v>#N/A</v>
      </c>
      <c r="AK3219" s="80">
        <f t="shared" si="500"/>
        <v>0</v>
      </c>
      <c r="AM3219" s="85"/>
    </row>
    <row r="3220" spans="1:39" hidden="1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497"/>
        <v>44543.499000000003</v>
      </c>
      <c r="X3220" s="6">
        <f t="shared" si="501"/>
        <v>0</v>
      </c>
      <c r="Y3220" s="13">
        <f t="shared" si="498"/>
        <v>0</v>
      </c>
      <c r="Z3220" s="14">
        <v>0</v>
      </c>
      <c r="AA3220" s="6">
        <v>0</v>
      </c>
      <c r="AB3220" s="4">
        <f t="shared" si="499"/>
        <v>0</v>
      </c>
      <c r="AC3220" s="4">
        <f t="shared" si="503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04"/>
        <v>0</v>
      </c>
      <c r="AG3220" s="9">
        <v>0.37</v>
      </c>
      <c r="AH3220" s="6">
        <f t="shared" si="502"/>
        <v>0</v>
      </c>
      <c r="AI3220" s="47"/>
      <c r="AJ3220" s="126" t="e">
        <v>#N/A</v>
      </c>
      <c r="AK3220" s="80">
        <f t="shared" si="500"/>
        <v>0</v>
      </c>
      <c r="AM3220" s="85"/>
    </row>
    <row r="3221" spans="1:39" hidden="1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497"/>
        <v>26945.29</v>
      </c>
      <c r="X3221" s="6">
        <f t="shared" si="501"/>
        <v>5516.1844660194156</v>
      </c>
      <c r="Y3221" s="13">
        <f t="shared" si="498"/>
        <v>0</v>
      </c>
      <c r="Z3221" s="14">
        <v>0</v>
      </c>
      <c r="AA3221" s="6">
        <v>0</v>
      </c>
      <c r="AB3221" s="4">
        <f t="shared" si="499"/>
        <v>5516.1844660194156</v>
      </c>
      <c r="AC3221" s="4">
        <f t="shared" si="503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04"/>
        <v>340.90019999999987</v>
      </c>
      <c r="AG3221" s="9">
        <v>0</v>
      </c>
      <c r="AH3221" s="6">
        <f t="shared" si="502"/>
        <v>5681.6699999999983</v>
      </c>
      <c r="AI3221" s="47"/>
      <c r="AJ3221" s="126" t="e">
        <v>#N/A</v>
      </c>
      <c r="AK3221" s="80">
        <f t="shared" si="500"/>
        <v>0</v>
      </c>
      <c r="AM3221" s="85"/>
    </row>
    <row r="3222" spans="1:39" hidden="1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497"/>
        <v>0.63999999994848622</v>
      </c>
      <c r="X3222" s="6">
        <f t="shared" si="501"/>
        <v>0</v>
      </c>
      <c r="Y3222" s="13">
        <f t="shared" si="498"/>
        <v>0</v>
      </c>
      <c r="Z3222" s="14">
        <v>0</v>
      </c>
      <c r="AA3222" s="6">
        <v>0</v>
      </c>
      <c r="AB3222" s="4">
        <f t="shared" si="499"/>
        <v>0</v>
      </c>
      <c r="AC3222" s="4">
        <f t="shared" si="503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04"/>
        <v>0</v>
      </c>
      <c r="AG3222" s="9">
        <v>0</v>
      </c>
      <c r="AH3222" s="6">
        <f t="shared" si="502"/>
        <v>0</v>
      </c>
      <c r="AI3222" s="47"/>
      <c r="AJ3222" s="126" t="e">
        <v>#N/A</v>
      </c>
      <c r="AK3222" s="80">
        <f t="shared" si="500"/>
        <v>0</v>
      </c>
      <c r="AM3222" s="85"/>
    </row>
    <row r="3223" spans="1:39" hidden="1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497"/>
        <v>-73.039199996477691</v>
      </c>
      <c r="X3223" s="6">
        <f t="shared" si="501"/>
        <v>0</v>
      </c>
      <c r="Y3223" s="13">
        <f t="shared" si="498"/>
        <v>0</v>
      </c>
      <c r="Z3223" s="14">
        <v>0</v>
      </c>
      <c r="AA3223" s="6">
        <v>0</v>
      </c>
      <c r="AB3223" s="4">
        <f t="shared" si="499"/>
        <v>0</v>
      </c>
      <c r="AC3223" s="4">
        <f t="shared" si="503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04"/>
        <v>0</v>
      </c>
      <c r="AG3223" s="9">
        <v>0.24</v>
      </c>
      <c r="AH3223" s="6">
        <f t="shared" si="502"/>
        <v>0</v>
      </c>
      <c r="AI3223" s="47"/>
      <c r="AJ3223" s="126" t="e">
        <v>#N/A</v>
      </c>
      <c r="AK3223" s="80">
        <f t="shared" si="500"/>
        <v>0</v>
      </c>
      <c r="AM3223" s="85"/>
    </row>
    <row r="3224" spans="1:39" hidden="1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497"/>
        <v>3.19999999992433E-2</v>
      </c>
      <c r="X3224" s="6">
        <f t="shared" si="501"/>
        <v>0</v>
      </c>
      <c r="Y3224" s="13">
        <f t="shared" si="498"/>
        <v>0</v>
      </c>
      <c r="Z3224" s="14">
        <v>0</v>
      </c>
      <c r="AA3224" s="6">
        <v>0</v>
      </c>
      <c r="AB3224" s="4">
        <f t="shared" si="499"/>
        <v>0</v>
      </c>
      <c r="AC3224" s="4">
        <f t="shared" si="503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04"/>
        <v>0</v>
      </c>
      <c r="AG3224" s="9">
        <v>0.4</v>
      </c>
      <c r="AH3224" s="6">
        <f t="shared" si="502"/>
        <v>0</v>
      </c>
      <c r="AI3224" s="47"/>
      <c r="AJ3224" s="126" t="e">
        <v>#N/A</v>
      </c>
      <c r="AK3224" s="80">
        <f t="shared" si="500"/>
        <v>0</v>
      </c>
      <c r="AM3224" s="85"/>
    </row>
    <row r="3225" spans="1:39" hidden="1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497"/>
        <v>112948.92999999998</v>
      </c>
      <c r="X3225" s="6">
        <f t="shared" si="501"/>
        <v>0</v>
      </c>
      <c r="Y3225" s="13">
        <f t="shared" si="498"/>
        <v>0</v>
      </c>
      <c r="Z3225" s="14">
        <v>0</v>
      </c>
      <c r="AA3225" s="6">
        <v>0</v>
      </c>
      <c r="AB3225" s="4">
        <f t="shared" si="499"/>
        <v>0</v>
      </c>
      <c r="AC3225" s="4">
        <f t="shared" si="503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04"/>
        <v>0</v>
      </c>
      <c r="AG3225" s="9">
        <v>0.4</v>
      </c>
      <c r="AH3225" s="6">
        <f t="shared" si="502"/>
        <v>0</v>
      </c>
      <c r="AI3225" s="47"/>
      <c r="AJ3225" s="126" t="e">
        <v>#N/A</v>
      </c>
      <c r="AK3225" s="80">
        <f t="shared" si="500"/>
        <v>0</v>
      </c>
      <c r="AM3225" s="85"/>
    </row>
    <row r="3226" spans="1:39" hidden="1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497"/>
        <v>0</v>
      </c>
      <c r="X3226" s="6">
        <f t="shared" si="501"/>
        <v>3.6606534991835256</v>
      </c>
      <c r="Y3226" s="13">
        <f t="shared" si="498"/>
        <v>3.6606534991835256</v>
      </c>
      <c r="Z3226" s="14">
        <v>0</v>
      </c>
      <c r="AA3226" s="6">
        <v>0</v>
      </c>
      <c r="AB3226" s="4">
        <f t="shared" si="499"/>
        <v>3.6606534991835256</v>
      </c>
      <c r="AC3226" s="4">
        <f t="shared" si="503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04"/>
        <v>0</v>
      </c>
      <c r="AG3226" s="9">
        <v>0.4</v>
      </c>
      <c r="AH3226" s="6">
        <f t="shared" si="502"/>
        <v>3.7390960741660302</v>
      </c>
      <c r="AI3226" s="47"/>
      <c r="AJ3226" s="126" t="e">
        <v>#N/A</v>
      </c>
      <c r="AK3226" s="80">
        <f t="shared" si="500"/>
        <v>0</v>
      </c>
      <c r="AM3226" s="85"/>
    </row>
    <row r="3227" spans="1:39" hidden="1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497"/>
        <v>48080.9</v>
      </c>
      <c r="X3227" s="6">
        <f t="shared" si="501"/>
        <v>0</v>
      </c>
      <c r="Y3227" s="13">
        <f t="shared" si="498"/>
        <v>0</v>
      </c>
      <c r="Z3227" s="14">
        <v>0</v>
      </c>
      <c r="AA3227" s="6">
        <v>0</v>
      </c>
      <c r="AB3227" s="4">
        <f t="shared" si="499"/>
        <v>0</v>
      </c>
      <c r="AC3227" s="4">
        <f t="shared" si="503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04"/>
        <v>0</v>
      </c>
      <c r="AG3227" s="9">
        <v>0.1</v>
      </c>
      <c r="AH3227" s="6">
        <f t="shared" si="502"/>
        <v>0</v>
      </c>
      <c r="AI3227" s="47"/>
      <c r="AJ3227" s="126" t="e">
        <v>#N/A</v>
      </c>
      <c r="AK3227" s="80">
        <f t="shared" si="500"/>
        <v>0</v>
      </c>
      <c r="AM3227" s="85"/>
    </row>
    <row r="3228" spans="1:39" hidden="1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497"/>
        <v>0.56000000005587935</v>
      </c>
      <c r="X3228" s="6">
        <f t="shared" si="501"/>
        <v>0</v>
      </c>
      <c r="Y3228" s="13">
        <f t="shared" si="498"/>
        <v>0</v>
      </c>
      <c r="Z3228" s="14">
        <v>0</v>
      </c>
      <c r="AA3228" s="6">
        <v>0</v>
      </c>
      <c r="AB3228" s="4">
        <f t="shared" si="499"/>
        <v>0</v>
      </c>
      <c r="AC3228" s="4">
        <f t="shared" si="503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04"/>
        <v>0</v>
      </c>
      <c r="AG3228" s="9">
        <v>0.06</v>
      </c>
      <c r="AH3228" s="6">
        <f t="shared" si="502"/>
        <v>0</v>
      </c>
      <c r="AI3228" s="47"/>
      <c r="AJ3228" s="126" t="e">
        <v>#N/A</v>
      </c>
      <c r="AK3228" s="80">
        <f t="shared" si="500"/>
        <v>0</v>
      </c>
      <c r="AM3228" s="85"/>
    </row>
    <row r="3229" spans="1:39" hidden="1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497"/>
        <v>-121533.92000000003</v>
      </c>
      <c r="X3229" s="6">
        <f t="shared" si="501"/>
        <v>0</v>
      </c>
      <c r="Y3229" s="13">
        <f t="shared" si="498"/>
        <v>0</v>
      </c>
      <c r="Z3229" s="14">
        <v>0</v>
      </c>
      <c r="AA3229" s="6">
        <v>0</v>
      </c>
      <c r="AB3229" s="4">
        <f t="shared" si="499"/>
        <v>0</v>
      </c>
      <c r="AC3229" s="4">
        <f t="shared" si="503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04"/>
        <v>0</v>
      </c>
      <c r="AG3229" s="9">
        <v>0</v>
      </c>
      <c r="AH3229" s="6">
        <f t="shared" si="502"/>
        <v>0</v>
      </c>
      <c r="AI3229" s="47"/>
      <c r="AJ3229" s="126" t="e">
        <v>#N/A</v>
      </c>
      <c r="AK3229" s="80">
        <f t="shared" si="500"/>
        <v>0</v>
      </c>
      <c r="AM3229" s="85"/>
    </row>
    <row r="3230" spans="1:39" hidden="1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497"/>
        <v>43099.639999999992</v>
      </c>
      <c r="X3230" s="6">
        <f t="shared" si="501"/>
        <v>6238.7100000000009</v>
      </c>
      <c r="Y3230" s="13">
        <f t="shared" si="498"/>
        <v>0</v>
      </c>
      <c r="Z3230" s="14">
        <v>0</v>
      </c>
      <c r="AA3230" s="6">
        <v>0</v>
      </c>
      <c r="AB3230" s="4">
        <f t="shared" si="499"/>
        <v>6238.7100000000009</v>
      </c>
      <c r="AC3230" s="4">
        <f t="shared" si="503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04"/>
        <v>374.32260000000002</v>
      </c>
      <c r="AG3230" s="9">
        <v>0</v>
      </c>
      <c r="AH3230" s="6">
        <f t="shared" si="502"/>
        <v>6238.7100000000009</v>
      </c>
      <c r="AI3230" s="47"/>
      <c r="AJ3230" s="126" t="e">
        <v>#N/A</v>
      </c>
      <c r="AK3230" s="80">
        <f t="shared" si="500"/>
        <v>0</v>
      </c>
      <c r="AM3230" s="85"/>
    </row>
    <row r="3231" spans="1:39" hidden="1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497"/>
        <v>52750</v>
      </c>
      <c r="X3231" s="6">
        <f t="shared" si="501"/>
        <v>0</v>
      </c>
      <c r="Y3231" s="13">
        <f t="shared" si="498"/>
        <v>0</v>
      </c>
      <c r="Z3231" s="14">
        <v>0</v>
      </c>
      <c r="AA3231" s="6">
        <v>0</v>
      </c>
      <c r="AB3231" s="4">
        <f t="shared" si="499"/>
        <v>0</v>
      </c>
      <c r="AC3231" s="4">
        <f t="shared" si="503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04"/>
        <v>0</v>
      </c>
      <c r="AG3231" s="9">
        <v>0</v>
      </c>
      <c r="AH3231" s="6">
        <f t="shared" si="502"/>
        <v>0</v>
      </c>
      <c r="AI3231" s="47"/>
      <c r="AJ3231" s="126" t="e">
        <v>#N/A</v>
      </c>
      <c r="AK3231" s="80">
        <f t="shared" si="500"/>
        <v>0</v>
      </c>
      <c r="AM3231" s="85"/>
    </row>
    <row r="3232" spans="1:39" hidden="1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497"/>
        <v>-1129904.6889999984</v>
      </c>
      <c r="X3232" s="6">
        <f t="shared" si="501"/>
        <v>0</v>
      </c>
      <c r="Y3232" s="13">
        <f t="shared" si="498"/>
        <v>0</v>
      </c>
      <c r="Z3232" s="14">
        <v>0</v>
      </c>
      <c r="AA3232" s="6">
        <v>0</v>
      </c>
      <c r="AB3232" s="4">
        <f t="shared" si="499"/>
        <v>0</v>
      </c>
      <c r="AC3232" s="4">
        <f t="shared" si="503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04"/>
        <v>0</v>
      </c>
      <c r="AG3232" s="9">
        <v>0.3</v>
      </c>
      <c r="AH3232" s="6">
        <f t="shared" si="502"/>
        <v>0</v>
      </c>
      <c r="AI3232" s="47"/>
      <c r="AJ3232" s="126" t="e">
        <v>#N/A</v>
      </c>
      <c r="AK3232" s="80">
        <f t="shared" si="500"/>
        <v>0</v>
      </c>
      <c r="AM3232" s="85"/>
    </row>
    <row r="3233" spans="1:39" hidden="1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497"/>
        <v>39643.97159999999</v>
      </c>
      <c r="X3233" s="6">
        <f t="shared" si="501"/>
        <v>0</v>
      </c>
      <c r="Y3233" s="13">
        <f t="shared" si="498"/>
        <v>0</v>
      </c>
      <c r="Z3233" s="14">
        <v>0</v>
      </c>
      <c r="AA3233" s="6">
        <v>0</v>
      </c>
      <c r="AB3233" s="4">
        <f t="shared" si="499"/>
        <v>0</v>
      </c>
      <c r="AC3233" s="4">
        <f t="shared" si="503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04"/>
        <v>0</v>
      </c>
      <c r="AG3233" s="9">
        <v>0.24</v>
      </c>
      <c r="AH3233" s="6">
        <f t="shared" si="502"/>
        <v>0</v>
      </c>
      <c r="AI3233" s="47"/>
      <c r="AJ3233" s="126" t="e">
        <v>#N/A</v>
      </c>
      <c r="AK3233" s="80">
        <f t="shared" si="500"/>
        <v>0</v>
      </c>
      <c r="AM3233" s="85"/>
    </row>
    <row r="3234" spans="1:39" hidden="1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497"/>
        <v>1985.0600000000118</v>
      </c>
      <c r="X3234" s="6">
        <f t="shared" si="501"/>
        <v>0</v>
      </c>
      <c r="Y3234" s="13">
        <f t="shared" si="498"/>
        <v>0</v>
      </c>
      <c r="Z3234" s="14">
        <v>0</v>
      </c>
      <c r="AA3234" s="6">
        <v>0</v>
      </c>
      <c r="AB3234" s="4">
        <f t="shared" si="499"/>
        <v>0</v>
      </c>
      <c r="AC3234" s="4">
        <f t="shared" si="503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04"/>
        <v>0</v>
      </c>
      <c r="AG3234" s="9">
        <v>0</v>
      </c>
      <c r="AH3234" s="6">
        <f t="shared" si="502"/>
        <v>0</v>
      </c>
      <c r="AI3234" s="47"/>
      <c r="AJ3234" s="126" t="e">
        <v>#N/A</v>
      </c>
      <c r="AK3234" s="80">
        <f t="shared" si="500"/>
        <v>0</v>
      </c>
      <c r="AM3234" s="85"/>
    </row>
    <row r="3235" spans="1:39" hidden="1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497"/>
        <v>2999.9957999999997</v>
      </c>
      <c r="X3235" s="6">
        <f t="shared" si="501"/>
        <v>0</v>
      </c>
      <c r="Y3235" s="13">
        <f t="shared" si="498"/>
        <v>0</v>
      </c>
      <c r="Z3235" s="14">
        <v>0</v>
      </c>
      <c r="AA3235" s="6">
        <v>0</v>
      </c>
      <c r="AB3235" s="4">
        <f t="shared" si="499"/>
        <v>0</v>
      </c>
      <c r="AC3235" s="4">
        <f t="shared" si="503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04"/>
        <v>0</v>
      </c>
      <c r="AG3235" s="9">
        <v>0.38</v>
      </c>
      <c r="AH3235" s="6">
        <f t="shared" si="502"/>
        <v>0</v>
      </c>
      <c r="AI3235" s="47"/>
      <c r="AJ3235" s="126" t="e">
        <v>#N/A</v>
      </c>
      <c r="AK3235" s="80">
        <f t="shared" si="500"/>
        <v>0</v>
      </c>
      <c r="AM3235" s="85"/>
    </row>
    <row r="3236" spans="1:39" hidden="1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497"/>
        <v>9265.39</v>
      </c>
      <c r="X3236" s="6">
        <f t="shared" si="501"/>
        <v>0</v>
      </c>
      <c r="Y3236" s="13">
        <f t="shared" si="498"/>
        <v>0</v>
      </c>
      <c r="Z3236" s="14">
        <v>0</v>
      </c>
      <c r="AA3236" s="6">
        <v>0</v>
      </c>
      <c r="AB3236" s="4">
        <f t="shared" si="499"/>
        <v>0</v>
      </c>
      <c r="AC3236" s="4">
        <f t="shared" si="503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04"/>
        <v>0</v>
      </c>
      <c r="AG3236" s="9">
        <v>0</v>
      </c>
      <c r="AH3236" s="6">
        <f t="shared" si="502"/>
        <v>0</v>
      </c>
      <c r="AI3236" s="47"/>
      <c r="AJ3236" s="126" t="e">
        <v>#N/A</v>
      </c>
      <c r="AK3236" s="80">
        <f t="shared" si="500"/>
        <v>0</v>
      </c>
      <c r="AM3236" s="85"/>
    </row>
    <row r="3237" spans="1:39" hidden="1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497"/>
        <v>-6085.3600000000006</v>
      </c>
      <c r="X3237" s="6">
        <f t="shared" si="501"/>
        <v>0</v>
      </c>
      <c r="Y3237" s="13">
        <f t="shared" si="498"/>
        <v>0</v>
      </c>
      <c r="Z3237" s="14">
        <v>0</v>
      </c>
      <c r="AA3237" s="6">
        <v>0</v>
      </c>
      <c r="AB3237" s="4">
        <f t="shared" si="499"/>
        <v>0</v>
      </c>
      <c r="AC3237" s="4">
        <f t="shared" si="503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04"/>
        <v>0</v>
      </c>
      <c r="AG3237" s="9">
        <v>0</v>
      </c>
      <c r="AH3237" s="6">
        <f t="shared" si="502"/>
        <v>0</v>
      </c>
      <c r="AI3237" s="47"/>
      <c r="AJ3237" s="126" t="e">
        <v>#N/A</v>
      </c>
      <c r="AK3237" s="80">
        <f t="shared" si="500"/>
        <v>0</v>
      </c>
      <c r="AM3237" s="85"/>
    </row>
    <row r="3238" spans="1:39" hidden="1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05">T3238+U3238-V3238</f>
        <v>583.78000000000009</v>
      </c>
      <c r="X3238" s="6">
        <f t="shared" si="501"/>
        <v>0</v>
      </c>
      <c r="Y3238" s="13">
        <f t="shared" si="498"/>
        <v>0</v>
      </c>
      <c r="Z3238" s="14">
        <v>0</v>
      </c>
      <c r="AA3238" s="6">
        <v>0</v>
      </c>
      <c r="AB3238" s="4">
        <f t="shared" si="499"/>
        <v>0</v>
      </c>
      <c r="AC3238" s="4">
        <f t="shared" si="503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04"/>
        <v>0</v>
      </c>
      <c r="AG3238" s="9">
        <v>0</v>
      </c>
      <c r="AH3238" s="6">
        <f t="shared" si="502"/>
        <v>0</v>
      </c>
      <c r="AI3238" s="47"/>
      <c r="AJ3238" s="126" t="e">
        <v>#N/A</v>
      </c>
      <c r="AK3238" s="80">
        <f t="shared" si="500"/>
        <v>0</v>
      </c>
      <c r="AM3238" s="85"/>
    </row>
    <row r="3239" spans="1:39" hidden="1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05"/>
        <v>535.6</v>
      </c>
      <c r="X3239" s="6">
        <f t="shared" si="501"/>
        <v>0</v>
      </c>
      <c r="Y3239" s="13">
        <f t="shared" si="498"/>
        <v>0</v>
      </c>
      <c r="Z3239" s="14">
        <v>0</v>
      </c>
      <c r="AA3239" s="6">
        <v>0</v>
      </c>
      <c r="AB3239" s="4">
        <f t="shared" si="499"/>
        <v>0</v>
      </c>
      <c r="AC3239" s="4">
        <f t="shared" si="503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04"/>
        <v>0</v>
      </c>
      <c r="AG3239" s="9">
        <v>0</v>
      </c>
      <c r="AH3239" s="6">
        <f t="shared" si="502"/>
        <v>0</v>
      </c>
      <c r="AI3239" s="47"/>
      <c r="AJ3239" s="126" t="e">
        <v>#N/A</v>
      </c>
      <c r="AK3239" s="80">
        <f t="shared" si="500"/>
        <v>0</v>
      </c>
      <c r="AM3239" s="85"/>
    </row>
    <row r="3240" spans="1:39" hidden="1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05"/>
        <v>1000</v>
      </c>
      <c r="X3240" s="6">
        <f t="shared" si="501"/>
        <v>0</v>
      </c>
      <c r="Y3240" s="13">
        <f t="shared" si="498"/>
        <v>0</v>
      </c>
      <c r="Z3240" s="14">
        <v>0</v>
      </c>
      <c r="AA3240" s="6">
        <v>0</v>
      </c>
      <c r="AB3240" s="4">
        <f t="shared" si="499"/>
        <v>0</v>
      </c>
      <c r="AC3240" s="4">
        <f t="shared" si="503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04"/>
        <v>0</v>
      </c>
      <c r="AG3240" s="9">
        <v>0</v>
      </c>
      <c r="AH3240" s="6">
        <f t="shared" si="502"/>
        <v>0</v>
      </c>
      <c r="AI3240" s="47"/>
      <c r="AJ3240" s="126" t="e">
        <v>#N/A</v>
      </c>
      <c r="AK3240" s="80">
        <f t="shared" si="500"/>
        <v>0</v>
      </c>
      <c r="AM3240" s="85"/>
    </row>
    <row r="3241" spans="1:39" hidden="1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05"/>
        <v>160473.87</v>
      </c>
      <c r="X3241" s="6">
        <f t="shared" si="501"/>
        <v>0</v>
      </c>
      <c r="Y3241" s="13">
        <f t="shared" si="498"/>
        <v>0</v>
      </c>
      <c r="Z3241" s="14">
        <v>0</v>
      </c>
      <c r="AA3241" s="6">
        <v>0</v>
      </c>
      <c r="AB3241" s="4">
        <f t="shared" si="499"/>
        <v>0</v>
      </c>
      <c r="AC3241" s="4">
        <f t="shared" si="503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04"/>
        <v>0</v>
      </c>
      <c r="AG3241" s="9">
        <v>0</v>
      </c>
      <c r="AH3241" s="6">
        <f t="shared" si="502"/>
        <v>0</v>
      </c>
      <c r="AI3241" s="47"/>
      <c r="AJ3241" s="126" t="e">
        <v>#N/A</v>
      </c>
      <c r="AK3241" s="80">
        <f t="shared" si="500"/>
        <v>0</v>
      </c>
      <c r="AM3241" s="85"/>
    </row>
    <row r="3242" spans="1:39" hidden="1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05"/>
        <v>65.160000000002583</v>
      </c>
      <c r="X3242" s="6">
        <f t="shared" si="501"/>
        <v>0</v>
      </c>
      <c r="Y3242" s="13">
        <f t="shared" si="498"/>
        <v>0</v>
      </c>
      <c r="Z3242" s="14">
        <v>0</v>
      </c>
      <c r="AA3242" s="6">
        <v>0</v>
      </c>
      <c r="AB3242" s="4">
        <f t="shared" si="499"/>
        <v>0</v>
      </c>
      <c r="AC3242" s="4">
        <f t="shared" si="503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04"/>
        <v>0</v>
      </c>
      <c r="AG3242" s="9">
        <v>0</v>
      </c>
      <c r="AH3242" s="6">
        <f t="shared" si="502"/>
        <v>0</v>
      </c>
      <c r="AI3242" s="47"/>
      <c r="AJ3242" s="126" t="e">
        <v>#N/A</v>
      </c>
      <c r="AK3242" s="80">
        <f t="shared" si="500"/>
        <v>0</v>
      </c>
      <c r="AM3242" s="85"/>
    </row>
    <row r="3243" spans="1:39" hidden="1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05"/>
        <v>8035.9300000000021</v>
      </c>
      <c r="X3243" s="6">
        <f t="shared" si="501"/>
        <v>0</v>
      </c>
      <c r="Y3243" s="13">
        <f t="shared" si="498"/>
        <v>0</v>
      </c>
      <c r="Z3243" s="14">
        <v>0</v>
      </c>
      <c r="AA3243" s="6">
        <v>0</v>
      </c>
      <c r="AB3243" s="4">
        <f t="shared" si="499"/>
        <v>0</v>
      </c>
      <c r="AC3243" s="4">
        <f t="shared" si="503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04"/>
        <v>0</v>
      </c>
      <c r="AG3243" s="9">
        <v>0</v>
      </c>
      <c r="AH3243" s="6">
        <f t="shared" si="502"/>
        <v>0</v>
      </c>
      <c r="AI3243" s="47"/>
      <c r="AJ3243" s="126" t="e">
        <v>#N/A</v>
      </c>
      <c r="AK3243" s="80">
        <f t="shared" si="500"/>
        <v>0</v>
      </c>
      <c r="AM3243" s="85"/>
    </row>
    <row r="3244" spans="1:39" hidden="1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05"/>
        <v>6268.48</v>
      </c>
      <c r="X3244" s="6">
        <f t="shared" si="501"/>
        <v>0</v>
      </c>
      <c r="Y3244" s="13">
        <f t="shared" si="498"/>
        <v>0</v>
      </c>
      <c r="Z3244" s="14">
        <v>0</v>
      </c>
      <c r="AA3244" s="6">
        <v>0</v>
      </c>
      <c r="AB3244" s="4">
        <f t="shared" si="499"/>
        <v>0</v>
      </c>
      <c r="AC3244" s="4">
        <f t="shared" si="503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04"/>
        <v>0</v>
      </c>
      <c r="AG3244" s="9">
        <v>0</v>
      </c>
      <c r="AH3244" s="6">
        <f t="shared" si="502"/>
        <v>0</v>
      </c>
      <c r="AI3244" s="47"/>
      <c r="AJ3244" s="126" t="e">
        <v>#N/A</v>
      </c>
      <c r="AK3244" s="80">
        <f t="shared" si="500"/>
        <v>0</v>
      </c>
      <c r="AM3244" s="85"/>
    </row>
    <row r="3245" spans="1:39" hidden="1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05"/>
        <v>2474.6900000000005</v>
      </c>
      <c r="X3245" s="6">
        <f t="shared" si="501"/>
        <v>0</v>
      </c>
      <c r="Y3245" s="13">
        <f t="shared" si="498"/>
        <v>0</v>
      </c>
      <c r="Z3245" s="14">
        <v>0</v>
      </c>
      <c r="AA3245" s="6">
        <v>0</v>
      </c>
      <c r="AB3245" s="4">
        <f t="shared" si="499"/>
        <v>0</v>
      </c>
      <c r="AC3245" s="4">
        <f t="shared" si="503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04"/>
        <v>0</v>
      </c>
      <c r="AG3245" s="9">
        <v>0</v>
      </c>
      <c r="AH3245" s="6">
        <f t="shared" si="502"/>
        <v>0</v>
      </c>
      <c r="AI3245" s="47"/>
      <c r="AJ3245" s="126" t="e">
        <v>#N/A</v>
      </c>
      <c r="AK3245" s="80">
        <f t="shared" si="500"/>
        <v>0</v>
      </c>
      <c r="AM3245" s="85"/>
    </row>
    <row r="3246" spans="1:39" hidden="1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05"/>
        <v>63.465241378988139</v>
      </c>
      <c r="X3246" s="6">
        <f t="shared" si="501"/>
        <v>0</v>
      </c>
      <c r="Y3246" s="13">
        <f t="shared" si="498"/>
        <v>0</v>
      </c>
      <c r="Z3246" s="14">
        <v>0</v>
      </c>
      <c r="AA3246" s="6">
        <v>0</v>
      </c>
      <c r="AB3246" s="4">
        <f t="shared" si="499"/>
        <v>0</v>
      </c>
      <c r="AC3246" s="4">
        <f t="shared" si="503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04"/>
        <v>0</v>
      </c>
      <c r="AG3246" s="9">
        <v>0.3</v>
      </c>
      <c r="AH3246" s="6">
        <f t="shared" si="502"/>
        <v>0</v>
      </c>
      <c r="AI3246" s="47"/>
      <c r="AJ3246" s="126" t="e">
        <v>#N/A</v>
      </c>
      <c r="AK3246" s="80">
        <f t="shared" si="500"/>
        <v>0</v>
      </c>
      <c r="AM3246" s="85"/>
    </row>
    <row r="3247" spans="1:39" hidden="1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05"/>
        <v>20006157.745999996</v>
      </c>
      <c r="X3247" s="6">
        <f t="shared" si="501"/>
        <v>0</v>
      </c>
      <c r="Y3247" s="13">
        <f t="shared" si="498"/>
        <v>0</v>
      </c>
      <c r="Z3247" s="14">
        <v>0</v>
      </c>
      <c r="AA3247" s="6">
        <v>0</v>
      </c>
      <c r="AB3247" s="4">
        <f t="shared" si="499"/>
        <v>0</v>
      </c>
      <c r="AC3247" s="4">
        <f t="shared" si="503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04"/>
        <v>0</v>
      </c>
      <c r="AG3247" s="9">
        <v>0.3</v>
      </c>
      <c r="AH3247" s="6">
        <f t="shared" si="502"/>
        <v>0</v>
      </c>
      <c r="AI3247" s="47"/>
      <c r="AJ3247" s="126" t="e">
        <v>#N/A</v>
      </c>
      <c r="AK3247" s="80">
        <f t="shared" si="500"/>
        <v>0</v>
      </c>
      <c r="AM3247" s="85"/>
    </row>
    <row r="3248" spans="1:39" hidden="1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05"/>
        <v>-1044.9708000000101</v>
      </c>
      <c r="X3248" s="6">
        <f t="shared" si="501"/>
        <v>0</v>
      </c>
      <c r="Y3248" s="13">
        <f t="shared" si="498"/>
        <v>0</v>
      </c>
      <c r="Z3248" s="14">
        <v>0</v>
      </c>
      <c r="AA3248" s="6">
        <v>0</v>
      </c>
      <c r="AB3248" s="4">
        <f t="shared" si="499"/>
        <v>0</v>
      </c>
      <c r="AC3248" s="4">
        <f t="shared" si="503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04"/>
        <v>0</v>
      </c>
      <c r="AG3248" s="9">
        <v>0.36</v>
      </c>
      <c r="AH3248" s="6">
        <f t="shared" si="502"/>
        <v>0</v>
      </c>
      <c r="AI3248" s="47"/>
      <c r="AJ3248" s="126" t="e">
        <v>#N/A</v>
      </c>
      <c r="AK3248" s="80">
        <f t="shared" si="500"/>
        <v>0</v>
      </c>
      <c r="AM3248" s="85"/>
    </row>
    <row r="3249" spans="1:39" hidden="1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05"/>
        <v>115138.81</v>
      </c>
      <c r="X3249" s="6">
        <f t="shared" si="501"/>
        <v>0</v>
      </c>
      <c r="Y3249" s="13">
        <f t="shared" si="498"/>
        <v>0</v>
      </c>
      <c r="Z3249" s="14">
        <v>0</v>
      </c>
      <c r="AA3249" s="6">
        <v>0</v>
      </c>
      <c r="AB3249" s="4">
        <f t="shared" si="499"/>
        <v>0</v>
      </c>
      <c r="AC3249" s="4">
        <f t="shared" si="503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04"/>
        <v>0</v>
      </c>
      <c r="AG3249" s="9">
        <v>0</v>
      </c>
      <c r="AH3249" s="6">
        <f t="shared" si="502"/>
        <v>0</v>
      </c>
      <c r="AI3249" s="47"/>
      <c r="AJ3249" s="126" t="e">
        <v>#N/A</v>
      </c>
      <c r="AK3249" s="80">
        <f t="shared" si="500"/>
        <v>0</v>
      </c>
      <c r="AM3249" s="85"/>
    </row>
    <row r="3250" spans="1:39" hidden="1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05"/>
        <v>-329218.61920002924</v>
      </c>
      <c r="X3250" s="6">
        <f t="shared" si="501"/>
        <v>0</v>
      </c>
      <c r="Y3250" s="13">
        <f t="shared" si="498"/>
        <v>0</v>
      </c>
      <c r="Z3250" s="14">
        <v>0</v>
      </c>
      <c r="AA3250" s="6">
        <v>0</v>
      </c>
      <c r="AB3250" s="4">
        <f t="shared" si="499"/>
        <v>0</v>
      </c>
      <c r="AC3250" s="4">
        <f t="shared" si="503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04"/>
        <v>0</v>
      </c>
      <c r="AG3250" s="9">
        <v>0.12</v>
      </c>
      <c r="AH3250" s="6">
        <f t="shared" si="502"/>
        <v>0</v>
      </c>
      <c r="AI3250" s="47"/>
      <c r="AJ3250" s="126" t="e">
        <v>#N/A</v>
      </c>
      <c r="AK3250" s="80">
        <f t="shared" si="500"/>
        <v>0</v>
      </c>
      <c r="AM3250" s="85"/>
    </row>
    <row r="3251" spans="1:39" hidden="1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05"/>
        <v>14770</v>
      </c>
      <c r="X3251" s="6">
        <f t="shared" si="501"/>
        <v>0</v>
      </c>
      <c r="Y3251" s="13">
        <f t="shared" si="498"/>
        <v>0</v>
      </c>
      <c r="Z3251" s="14">
        <v>0</v>
      </c>
      <c r="AA3251" s="6">
        <v>0</v>
      </c>
      <c r="AB3251" s="4">
        <f t="shared" si="499"/>
        <v>0</v>
      </c>
      <c r="AC3251" s="4">
        <f t="shared" si="503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04"/>
        <v>0</v>
      </c>
      <c r="AG3251" s="9">
        <v>0</v>
      </c>
      <c r="AH3251" s="6">
        <f t="shared" si="502"/>
        <v>0</v>
      </c>
      <c r="AI3251" s="47"/>
      <c r="AJ3251" s="126" t="e">
        <v>#N/A</v>
      </c>
      <c r="AK3251" s="80">
        <f t="shared" si="500"/>
        <v>0</v>
      </c>
      <c r="AM3251" s="85"/>
    </row>
    <row r="3252" spans="1:39" hidden="1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05"/>
        <v>-12128.130000000107</v>
      </c>
      <c r="X3252" s="6">
        <f t="shared" si="501"/>
        <v>0</v>
      </c>
      <c r="Y3252" s="13">
        <f t="shared" si="498"/>
        <v>0</v>
      </c>
      <c r="Z3252" s="14">
        <v>0</v>
      </c>
      <c r="AA3252" s="6">
        <v>0</v>
      </c>
      <c r="AB3252" s="4">
        <f t="shared" si="499"/>
        <v>0</v>
      </c>
      <c r="AC3252" s="4">
        <f t="shared" si="503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04"/>
        <v>0</v>
      </c>
      <c r="AG3252" s="9">
        <v>0</v>
      </c>
      <c r="AH3252" s="6">
        <f t="shared" si="502"/>
        <v>0</v>
      </c>
      <c r="AI3252" s="47"/>
      <c r="AJ3252" s="126" t="e">
        <v>#N/A</v>
      </c>
      <c r="AK3252" s="80">
        <f t="shared" si="500"/>
        <v>0</v>
      </c>
      <c r="AM3252" s="85"/>
    </row>
    <row r="3253" spans="1:39" hidden="1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05"/>
        <v>5.6086000001450884</v>
      </c>
      <c r="X3253" s="6">
        <f t="shared" si="501"/>
        <v>0</v>
      </c>
      <c r="Y3253" s="13">
        <f t="shared" si="498"/>
        <v>0</v>
      </c>
      <c r="Z3253" s="14">
        <v>0</v>
      </c>
      <c r="AA3253" s="6">
        <v>0</v>
      </c>
      <c r="AB3253" s="4">
        <f t="shared" si="499"/>
        <v>0</v>
      </c>
      <c r="AC3253" s="4">
        <f t="shared" si="503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04"/>
        <v>0</v>
      </c>
      <c r="AG3253" s="9">
        <v>0.02</v>
      </c>
      <c r="AH3253" s="6">
        <f t="shared" si="502"/>
        <v>0</v>
      </c>
      <c r="AI3253" s="47"/>
      <c r="AJ3253" s="126" t="e">
        <v>#N/A</v>
      </c>
      <c r="AK3253" s="80">
        <f t="shared" si="500"/>
        <v>0</v>
      </c>
      <c r="AM3253" s="85"/>
    </row>
    <row r="3254" spans="1:39" hidden="1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05"/>
        <v>22312.19</v>
      </c>
      <c r="X3254" s="6">
        <f t="shared" si="501"/>
        <v>0</v>
      </c>
      <c r="Y3254" s="13">
        <f t="shared" si="498"/>
        <v>0</v>
      </c>
      <c r="Z3254" s="14">
        <v>0</v>
      </c>
      <c r="AA3254" s="6">
        <v>0</v>
      </c>
      <c r="AB3254" s="4">
        <f t="shared" si="499"/>
        <v>0</v>
      </c>
      <c r="AC3254" s="4">
        <f t="shared" si="503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04"/>
        <v>0</v>
      </c>
      <c r="AG3254" s="9">
        <v>0</v>
      </c>
      <c r="AH3254" s="6">
        <f t="shared" si="502"/>
        <v>0</v>
      </c>
      <c r="AI3254" s="47"/>
      <c r="AJ3254" s="126" t="e">
        <v>#N/A</v>
      </c>
      <c r="AK3254" s="80">
        <f t="shared" si="500"/>
        <v>0</v>
      </c>
      <c r="AM3254" s="85"/>
    </row>
    <row r="3255" spans="1:39" hidden="1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05"/>
        <v>6197.05</v>
      </c>
      <c r="X3255" s="6">
        <f t="shared" si="501"/>
        <v>0</v>
      </c>
      <c r="Y3255" s="13">
        <f t="shared" si="498"/>
        <v>0</v>
      </c>
      <c r="Z3255" s="14">
        <v>0</v>
      </c>
      <c r="AA3255" s="6">
        <v>0</v>
      </c>
      <c r="AB3255" s="4">
        <f t="shared" si="499"/>
        <v>0</v>
      </c>
      <c r="AC3255" s="4">
        <f t="shared" si="503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04"/>
        <v>0</v>
      </c>
      <c r="AG3255" s="9">
        <v>0</v>
      </c>
      <c r="AH3255" s="6">
        <f t="shared" si="502"/>
        <v>0</v>
      </c>
      <c r="AI3255" s="47"/>
      <c r="AJ3255" s="126" t="e">
        <v>#N/A</v>
      </c>
      <c r="AK3255" s="80">
        <f t="shared" si="500"/>
        <v>0</v>
      </c>
      <c r="AM3255" s="85"/>
    </row>
    <row r="3256" spans="1:39" hidden="1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05"/>
        <v>13256.449999999999</v>
      </c>
      <c r="X3256" s="6">
        <f t="shared" si="501"/>
        <v>0</v>
      </c>
      <c r="Y3256" s="13">
        <f t="shared" si="498"/>
        <v>0</v>
      </c>
      <c r="Z3256" s="14">
        <v>0</v>
      </c>
      <c r="AA3256" s="6">
        <v>0</v>
      </c>
      <c r="AB3256" s="4">
        <f t="shared" si="499"/>
        <v>0</v>
      </c>
      <c r="AC3256" s="4">
        <f t="shared" si="503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04"/>
        <v>0</v>
      </c>
      <c r="AG3256" s="9">
        <v>0</v>
      </c>
      <c r="AH3256" s="6">
        <f t="shared" si="502"/>
        <v>0</v>
      </c>
      <c r="AI3256" s="47"/>
      <c r="AJ3256" s="126" t="e">
        <v>#N/A</v>
      </c>
      <c r="AK3256" s="80">
        <f t="shared" si="500"/>
        <v>0</v>
      </c>
      <c r="AM3256" s="85"/>
    </row>
    <row r="3257" spans="1:39" hidden="1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05"/>
        <v>58598.229999999996</v>
      </c>
      <c r="X3257" s="6">
        <f t="shared" si="501"/>
        <v>0</v>
      </c>
      <c r="Y3257" s="13">
        <f t="shared" si="498"/>
        <v>0</v>
      </c>
      <c r="Z3257" s="14">
        <v>0</v>
      </c>
      <c r="AA3257" s="6">
        <v>0</v>
      </c>
      <c r="AB3257" s="4">
        <f t="shared" si="499"/>
        <v>0</v>
      </c>
      <c r="AC3257" s="4">
        <f t="shared" si="503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04"/>
        <v>0</v>
      </c>
      <c r="AG3257" s="9">
        <v>0.02</v>
      </c>
      <c r="AH3257" s="6">
        <f t="shared" si="502"/>
        <v>0</v>
      </c>
      <c r="AI3257" s="47"/>
      <c r="AJ3257" s="126" t="e">
        <v>#N/A</v>
      </c>
      <c r="AK3257" s="80">
        <f t="shared" si="500"/>
        <v>0</v>
      </c>
      <c r="AM3257" s="85"/>
    </row>
    <row r="3258" spans="1:39" hidden="1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05"/>
        <v>26818.16</v>
      </c>
      <c r="X3258" s="6">
        <f t="shared" si="501"/>
        <v>0</v>
      </c>
      <c r="Y3258" s="13">
        <f t="shared" si="498"/>
        <v>0</v>
      </c>
      <c r="Z3258" s="14">
        <v>0</v>
      </c>
      <c r="AA3258" s="6">
        <v>0</v>
      </c>
      <c r="AB3258" s="4">
        <f t="shared" si="499"/>
        <v>0</v>
      </c>
      <c r="AC3258" s="4">
        <f t="shared" si="503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04"/>
        <v>0</v>
      </c>
      <c r="AG3258" s="9">
        <v>0</v>
      </c>
      <c r="AH3258" s="6">
        <f t="shared" si="502"/>
        <v>0</v>
      </c>
      <c r="AI3258" s="47"/>
      <c r="AJ3258" s="126" t="e">
        <v>#N/A</v>
      </c>
      <c r="AK3258" s="80">
        <f t="shared" si="500"/>
        <v>0</v>
      </c>
      <c r="AM3258" s="85"/>
    </row>
    <row r="3259" spans="1:39" hidden="1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05"/>
        <v>7020</v>
      </c>
      <c r="X3259" s="6">
        <f t="shared" si="501"/>
        <v>0</v>
      </c>
      <c r="Y3259" s="13">
        <f t="shared" si="498"/>
        <v>0</v>
      </c>
      <c r="Z3259" s="14">
        <v>0</v>
      </c>
      <c r="AA3259" s="6">
        <v>0</v>
      </c>
      <c r="AB3259" s="4">
        <f t="shared" si="499"/>
        <v>0</v>
      </c>
      <c r="AC3259" s="4">
        <f t="shared" si="503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04"/>
        <v>0</v>
      </c>
      <c r="AG3259" s="9">
        <v>0</v>
      </c>
      <c r="AH3259" s="6">
        <f t="shared" si="502"/>
        <v>0</v>
      </c>
      <c r="AI3259" s="47"/>
      <c r="AJ3259" s="126" t="e">
        <v>#N/A</v>
      </c>
      <c r="AK3259" s="80">
        <f t="shared" si="500"/>
        <v>0</v>
      </c>
      <c r="AM3259" s="85"/>
    </row>
    <row r="3260" spans="1:39" hidden="1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05"/>
        <v>62133.369999999995</v>
      </c>
      <c r="X3260" s="6">
        <f t="shared" si="501"/>
        <v>0</v>
      </c>
      <c r="Y3260" s="13">
        <f t="shared" si="498"/>
        <v>0</v>
      </c>
      <c r="Z3260" s="14">
        <v>0</v>
      </c>
      <c r="AA3260" s="6">
        <v>0</v>
      </c>
      <c r="AB3260" s="4">
        <f t="shared" si="499"/>
        <v>0</v>
      </c>
      <c r="AC3260" s="4">
        <f t="shared" si="503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04"/>
        <v>0</v>
      </c>
      <c r="AG3260" s="9">
        <v>0</v>
      </c>
      <c r="AH3260" s="6">
        <f t="shared" si="502"/>
        <v>0</v>
      </c>
      <c r="AI3260" s="47"/>
      <c r="AJ3260" s="126" t="e">
        <v>#N/A</v>
      </c>
      <c r="AK3260" s="80">
        <f t="shared" si="500"/>
        <v>0</v>
      </c>
      <c r="AM3260" s="85"/>
    </row>
    <row r="3261" spans="1:39" hidden="1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05"/>
        <v>60000</v>
      </c>
      <c r="X3261" s="6">
        <f t="shared" si="501"/>
        <v>0</v>
      </c>
      <c r="Y3261" s="13">
        <f t="shared" si="498"/>
        <v>0</v>
      </c>
      <c r="Z3261" s="14">
        <v>0</v>
      </c>
      <c r="AA3261" s="6">
        <v>0</v>
      </c>
      <c r="AB3261" s="4">
        <f t="shared" si="499"/>
        <v>0</v>
      </c>
      <c r="AC3261" s="4">
        <f t="shared" si="503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04"/>
        <v>0</v>
      </c>
      <c r="AG3261" s="9">
        <v>0</v>
      </c>
      <c r="AH3261" s="6">
        <f t="shared" si="502"/>
        <v>0</v>
      </c>
      <c r="AI3261" s="47"/>
      <c r="AJ3261" s="126" t="e">
        <v>#N/A</v>
      </c>
      <c r="AK3261" s="80">
        <f t="shared" si="500"/>
        <v>0</v>
      </c>
      <c r="AM3261" s="85"/>
    </row>
    <row r="3262" spans="1:39" hidden="1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05"/>
        <v>124154.45999999973</v>
      </c>
      <c r="X3262" s="6">
        <f t="shared" si="501"/>
        <v>0</v>
      </c>
      <c r="Y3262" s="13">
        <f t="shared" si="498"/>
        <v>0</v>
      </c>
      <c r="Z3262" s="14">
        <v>0</v>
      </c>
      <c r="AA3262" s="6">
        <v>0</v>
      </c>
      <c r="AB3262" s="4">
        <f t="shared" si="499"/>
        <v>0</v>
      </c>
      <c r="AC3262" s="4">
        <f t="shared" si="503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04"/>
        <v>0</v>
      </c>
      <c r="AG3262" s="9">
        <v>7.0000000000000007E-2</v>
      </c>
      <c r="AH3262" s="6">
        <f t="shared" si="502"/>
        <v>0</v>
      </c>
      <c r="AI3262" s="47"/>
      <c r="AJ3262" s="126" t="e">
        <v>#N/A</v>
      </c>
      <c r="AK3262" s="80">
        <f t="shared" si="500"/>
        <v>0</v>
      </c>
      <c r="AM3262" s="85"/>
    </row>
    <row r="3263" spans="1:39" hidden="1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05"/>
        <v>-7433.9479452040014</v>
      </c>
      <c r="X3263" s="6">
        <f t="shared" si="501"/>
        <v>0</v>
      </c>
      <c r="Y3263" s="13">
        <f t="shared" si="498"/>
        <v>0</v>
      </c>
      <c r="Z3263" s="14">
        <v>0</v>
      </c>
      <c r="AA3263" s="6">
        <v>0</v>
      </c>
      <c r="AB3263" s="4">
        <f t="shared" si="499"/>
        <v>0</v>
      </c>
      <c r="AC3263" s="4">
        <f t="shared" si="503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04"/>
        <v>0</v>
      </c>
      <c r="AG3263" s="9">
        <v>0.46</v>
      </c>
      <c r="AH3263" s="6">
        <f t="shared" si="502"/>
        <v>0</v>
      </c>
      <c r="AI3263" s="47"/>
      <c r="AJ3263" s="126" t="e">
        <v>#N/A</v>
      </c>
      <c r="AK3263" s="80">
        <f t="shared" si="500"/>
        <v>0</v>
      </c>
      <c r="AM3263" s="85"/>
    </row>
    <row r="3264" spans="1:39" hidden="1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05"/>
        <v>468097.95999999996</v>
      </c>
      <c r="X3264" s="6">
        <f t="shared" si="501"/>
        <v>0</v>
      </c>
      <c r="Y3264" s="13">
        <f t="shared" si="498"/>
        <v>0</v>
      </c>
      <c r="Z3264" s="14">
        <v>0</v>
      </c>
      <c r="AA3264" s="6">
        <v>0</v>
      </c>
      <c r="AB3264" s="4">
        <f t="shared" si="499"/>
        <v>0</v>
      </c>
      <c r="AC3264" s="4">
        <f t="shared" si="503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04"/>
        <v>0</v>
      </c>
      <c r="AG3264" s="9">
        <v>0.36</v>
      </c>
      <c r="AH3264" s="6">
        <f t="shared" si="502"/>
        <v>0</v>
      </c>
      <c r="AI3264" s="47"/>
      <c r="AJ3264" s="126" t="e">
        <v>#N/A</v>
      </c>
      <c r="AK3264" s="80">
        <f t="shared" si="500"/>
        <v>0</v>
      </c>
      <c r="AM3264" s="85"/>
    </row>
    <row r="3265" spans="1:39" hidden="1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05"/>
        <v>-21373.010720540897</v>
      </c>
      <c r="X3265" s="6">
        <f t="shared" si="501"/>
        <v>0</v>
      </c>
      <c r="Y3265" s="13">
        <f t="shared" si="498"/>
        <v>0</v>
      </c>
      <c r="Z3265" s="14">
        <v>0</v>
      </c>
      <c r="AA3265" s="6">
        <v>0</v>
      </c>
      <c r="AB3265" s="4">
        <f t="shared" si="499"/>
        <v>0</v>
      </c>
      <c r="AC3265" s="4">
        <f t="shared" si="503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04"/>
        <v>0</v>
      </c>
      <c r="AG3265" s="9">
        <v>0.41</v>
      </c>
      <c r="AH3265" s="6">
        <f t="shared" si="502"/>
        <v>0</v>
      </c>
      <c r="AI3265" s="47"/>
      <c r="AJ3265" s="126" t="e">
        <v>#N/A</v>
      </c>
      <c r="AK3265" s="80">
        <f t="shared" si="500"/>
        <v>0</v>
      </c>
      <c r="AM3265" s="85"/>
    </row>
    <row r="3266" spans="1:39" hidden="1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05"/>
        <v>5350.3468000004286</v>
      </c>
      <c r="X3266" s="6">
        <f t="shared" si="501"/>
        <v>0</v>
      </c>
      <c r="Y3266" s="13">
        <f t="shared" si="498"/>
        <v>0</v>
      </c>
      <c r="Z3266" s="14">
        <v>0</v>
      </c>
      <c r="AA3266" s="6">
        <v>0</v>
      </c>
      <c r="AB3266" s="4">
        <f t="shared" si="499"/>
        <v>0</v>
      </c>
      <c r="AC3266" s="4">
        <f t="shared" si="503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04"/>
        <v>0</v>
      </c>
      <c r="AG3266" s="9">
        <v>0.36</v>
      </c>
      <c r="AH3266" s="6">
        <f t="shared" si="502"/>
        <v>0</v>
      </c>
      <c r="AI3266" s="47"/>
      <c r="AJ3266" s="126" t="e">
        <v>#N/A</v>
      </c>
      <c r="AK3266" s="80">
        <f t="shared" si="500"/>
        <v>0</v>
      </c>
      <c r="AM3266" s="85"/>
    </row>
    <row r="3267" spans="1:39" hidden="1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05"/>
        <v>63.648999999915986</v>
      </c>
      <c r="X3267" s="6">
        <f t="shared" si="501"/>
        <v>0</v>
      </c>
      <c r="Y3267" s="13">
        <f t="shared" ref="Y3267:Y3330" si="506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07">X3267+AA3267</f>
        <v>0</v>
      </c>
      <c r="AC3267" s="4">
        <f t="shared" si="503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04"/>
        <v>0</v>
      </c>
      <c r="AG3267" s="9">
        <v>0</v>
      </c>
      <c r="AH3267" s="6">
        <f t="shared" si="502"/>
        <v>0</v>
      </c>
      <c r="AI3267" s="47"/>
      <c r="AJ3267" s="126" t="e">
        <v>#N/A</v>
      </c>
      <c r="AK3267" s="80">
        <f t="shared" ref="AK3267:AK3330" si="508">X3267+AA3267-AB3267</f>
        <v>0</v>
      </c>
      <c r="AM3267" s="85"/>
    </row>
    <row r="3268" spans="1:39" hidden="1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05"/>
        <v>27534.366300000002</v>
      </c>
      <c r="X3268" s="6">
        <f t="shared" si="501"/>
        <v>0</v>
      </c>
      <c r="Y3268" s="13">
        <f t="shared" si="506"/>
        <v>0</v>
      </c>
      <c r="Z3268" s="14">
        <v>0</v>
      </c>
      <c r="AA3268" s="6">
        <v>0</v>
      </c>
      <c r="AB3268" s="4">
        <f t="shared" si="507"/>
        <v>0</v>
      </c>
      <c r="AC3268" s="4">
        <f t="shared" si="503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04"/>
        <v>0</v>
      </c>
      <c r="AG3268" s="9">
        <v>0.37</v>
      </c>
      <c r="AH3268" s="6">
        <f t="shared" si="502"/>
        <v>0</v>
      </c>
      <c r="AI3268" s="47"/>
      <c r="AJ3268" s="126" t="e">
        <v>#N/A</v>
      </c>
      <c r="AK3268" s="80">
        <f t="shared" si="508"/>
        <v>0</v>
      </c>
      <c r="AM3268" s="85"/>
    </row>
    <row r="3269" spans="1:39" hidden="1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05"/>
        <v>12653.093999999999</v>
      </c>
      <c r="X3269" s="6">
        <f t="shared" si="501"/>
        <v>0</v>
      </c>
      <c r="Y3269" s="13">
        <f t="shared" si="506"/>
        <v>0</v>
      </c>
      <c r="Z3269" s="14">
        <v>0</v>
      </c>
      <c r="AA3269" s="6">
        <v>0</v>
      </c>
      <c r="AB3269" s="4">
        <f t="shared" si="507"/>
        <v>0</v>
      </c>
      <c r="AC3269" s="4">
        <f t="shared" si="503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04"/>
        <v>0</v>
      </c>
      <c r="AG3269" s="9">
        <v>0.4</v>
      </c>
      <c r="AH3269" s="6">
        <f t="shared" si="502"/>
        <v>0</v>
      </c>
      <c r="AI3269" s="47"/>
      <c r="AJ3269" s="126" t="e">
        <v>#N/A</v>
      </c>
      <c r="AK3269" s="80">
        <f t="shared" si="508"/>
        <v>0</v>
      </c>
      <c r="AM3269" s="85"/>
    </row>
    <row r="3270" spans="1:39" hidden="1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05"/>
        <v>18486.165999999997</v>
      </c>
      <c r="X3270" s="6">
        <f t="shared" si="501"/>
        <v>0</v>
      </c>
      <c r="Y3270" s="13">
        <f t="shared" si="506"/>
        <v>0</v>
      </c>
      <c r="Z3270" s="14">
        <v>0</v>
      </c>
      <c r="AA3270" s="6">
        <v>0</v>
      </c>
      <c r="AB3270" s="4">
        <f t="shared" si="507"/>
        <v>0</v>
      </c>
      <c r="AC3270" s="4">
        <f t="shared" si="503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04"/>
        <v>0</v>
      </c>
      <c r="AG3270" s="9">
        <v>0.4</v>
      </c>
      <c r="AH3270" s="6">
        <f t="shared" si="502"/>
        <v>0</v>
      </c>
      <c r="AI3270" s="47"/>
      <c r="AJ3270" s="126" t="e">
        <v>#N/A</v>
      </c>
      <c r="AK3270" s="80">
        <f t="shared" si="508"/>
        <v>0</v>
      </c>
      <c r="AM3270" s="85"/>
    </row>
    <row r="3271" spans="1:39" hidden="1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05"/>
        <v>71845.729027397349</v>
      </c>
      <c r="X3271" s="6">
        <f t="shared" si="501"/>
        <v>0</v>
      </c>
      <c r="Y3271" s="13">
        <f t="shared" si="506"/>
        <v>0</v>
      </c>
      <c r="Z3271" s="14">
        <v>0</v>
      </c>
      <c r="AA3271" s="6">
        <v>0</v>
      </c>
      <c r="AB3271" s="4">
        <f t="shared" si="507"/>
        <v>0</v>
      </c>
      <c r="AC3271" s="4">
        <f t="shared" si="503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04"/>
        <v>0</v>
      </c>
      <c r="AG3271" s="9">
        <v>0.46</v>
      </c>
      <c r="AH3271" s="6">
        <f t="shared" si="502"/>
        <v>0</v>
      </c>
      <c r="AI3271" s="47"/>
      <c r="AJ3271" s="126" t="e">
        <v>#N/A</v>
      </c>
      <c r="AK3271" s="80">
        <f t="shared" si="508"/>
        <v>0</v>
      </c>
      <c r="AM3271" s="85"/>
    </row>
    <row r="3272" spans="1:39" hidden="1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05"/>
        <v>-44999.996399999996</v>
      </c>
      <c r="X3272" s="6">
        <f t="shared" si="501"/>
        <v>0</v>
      </c>
      <c r="Y3272" s="13">
        <f t="shared" si="506"/>
        <v>0</v>
      </c>
      <c r="Z3272" s="14">
        <v>0</v>
      </c>
      <c r="AA3272" s="6">
        <v>0</v>
      </c>
      <c r="AB3272" s="4">
        <f t="shared" si="507"/>
        <v>0</v>
      </c>
      <c r="AC3272" s="4">
        <f t="shared" si="503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04"/>
        <v>0</v>
      </c>
      <c r="AG3272" s="9">
        <v>0.41</v>
      </c>
      <c r="AH3272" s="6">
        <f t="shared" si="502"/>
        <v>0</v>
      </c>
      <c r="AI3272" s="47"/>
      <c r="AJ3272" s="126" t="e">
        <v>#N/A</v>
      </c>
      <c r="AK3272" s="80">
        <f t="shared" si="508"/>
        <v>0</v>
      </c>
      <c r="AM3272" s="85"/>
    </row>
    <row r="3273" spans="1:39" hidden="1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05"/>
        <v>-26845.720799999999</v>
      </c>
      <c r="X3273" s="6">
        <f t="shared" si="501"/>
        <v>0</v>
      </c>
      <c r="Y3273" s="13">
        <f t="shared" si="506"/>
        <v>0</v>
      </c>
      <c r="Z3273" s="14">
        <v>0</v>
      </c>
      <c r="AA3273" s="6">
        <v>0</v>
      </c>
      <c r="AB3273" s="4">
        <f t="shared" si="507"/>
        <v>0</v>
      </c>
      <c r="AC3273" s="4">
        <f t="shared" si="503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04"/>
        <v>0</v>
      </c>
      <c r="AG3273" s="9">
        <v>0.46</v>
      </c>
      <c r="AH3273" s="6">
        <f t="shared" si="502"/>
        <v>0</v>
      </c>
      <c r="AI3273" s="47"/>
      <c r="AJ3273" s="126" t="e">
        <v>#N/A</v>
      </c>
      <c r="AK3273" s="80">
        <f t="shared" si="508"/>
        <v>0</v>
      </c>
      <c r="AM3273" s="85"/>
    </row>
    <row r="3274" spans="1:39" hidden="1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05"/>
        <v>52448.685070439948</v>
      </c>
      <c r="X3274" s="6">
        <f t="shared" si="501"/>
        <v>0</v>
      </c>
      <c r="Y3274" s="13">
        <f t="shared" si="506"/>
        <v>0</v>
      </c>
      <c r="Z3274" s="14">
        <v>0</v>
      </c>
      <c r="AA3274" s="6">
        <v>0</v>
      </c>
      <c r="AB3274" s="4">
        <f t="shared" si="507"/>
        <v>0</v>
      </c>
      <c r="AC3274" s="4">
        <f t="shared" si="503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04"/>
        <v>0</v>
      </c>
      <c r="AG3274" s="9">
        <v>0.4</v>
      </c>
      <c r="AH3274" s="6">
        <f t="shared" si="502"/>
        <v>0</v>
      </c>
      <c r="AI3274" s="47"/>
      <c r="AJ3274" s="126" t="e">
        <v>#N/A</v>
      </c>
      <c r="AK3274" s="80">
        <f t="shared" si="508"/>
        <v>0</v>
      </c>
      <c r="AM3274" s="85"/>
    </row>
    <row r="3275" spans="1:39" hidden="1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05"/>
        <v>-1911.6150956944794</v>
      </c>
      <c r="X3275" s="6">
        <f t="shared" ref="X3275:X3302" si="509">IF(P3275="折扣",V3275*Q3275,IF(P3275="返现",V3275,V3275/(1+Q3275+AG3275)))</f>
        <v>0</v>
      </c>
      <c r="Y3275" s="13">
        <f t="shared" si="506"/>
        <v>0</v>
      </c>
      <c r="Z3275" s="14">
        <v>0</v>
      </c>
      <c r="AA3275" s="6">
        <v>0</v>
      </c>
      <c r="AB3275" s="4">
        <f t="shared" si="507"/>
        <v>0</v>
      </c>
      <c r="AC3275" s="4">
        <f t="shared" si="503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04"/>
        <v>0</v>
      </c>
      <c r="AG3275" s="9">
        <v>0.4</v>
      </c>
      <c r="AH3275" s="6">
        <f t="shared" ref="AH3275:AH3302" si="510">V3275/(1+AG3275)</f>
        <v>0</v>
      </c>
      <c r="AI3275" s="47"/>
      <c r="AJ3275" s="126" t="e">
        <v>#N/A</v>
      </c>
      <c r="AK3275" s="80">
        <f t="shared" si="508"/>
        <v>0</v>
      </c>
      <c r="AM3275" s="85"/>
    </row>
    <row r="3276" spans="1:39" hidden="1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05"/>
        <v>-1.2000000016996637E-2</v>
      </c>
      <c r="X3276" s="6">
        <f t="shared" si="509"/>
        <v>0</v>
      </c>
      <c r="Y3276" s="13">
        <f t="shared" si="506"/>
        <v>0</v>
      </c>
      <c r="Z3276" s="14">
        <v>0</v>
      </c>
      <c r="AA3276" s="6">
        <v>0</v>
      </c>
      <c r="AB3276" s="4">
        <f t="shared" si="507"/>
        <v>0</v>
      </c>
      <c r="AC3276" s="4">
        <f t="shared" ref="AC3276:AC3339" si="511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12">AD3276*AE3276</f>
        <v>0</v>
      </c>
      <c r="AG3276" s="9">
        <v>0.4</v>
      </c>
      <c r="AH3276" s="6">
        <f t="shared" si="510"/>
        <v>0</v>
      </c>
      <c r="AI3276" s="47"/>
      <c r="AJ3276" s="126" t="e">
        <v>#N/A</v>
      </c>
      <c r="AK3276" s="80">
        <f t="shared" si="508"/>
        <v>0</v>
      </c>
      <c r="AM3276" s="85"/>
    </row>
    <row r="3277" spans="1:39" hidden="1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05"/>
        <v>-5.9999999998012754E-3</v>
      </c>
      <c r="X3277" s="6">
        <f t="shared" si="509"/>
        <v>0</v>
      </c>
      <c r="Y3277" s="13">
        <f t="shared" si="506"/>
        <v>0</v>
      </c>
      <c r="Z3277" s="14">
        <v>0</v>
      </c>
      <c r="AA3277" s="6">
        <v>0</v>
      </c>
      <c r="AB3277" s="4">
        <f t="shared" si="507"/>
        <v>0</v>
      </c>
      <c r="AC3277" s="4">
        <f t="shared" si="511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12"/>
        <v>0</v>
      </c>
      <c r="AG3277" s="9">
        <v>0.4</v>
      </c>
      <c r="AH3277" s="6">
        <f t="shared" si="510"/>
        <v>0</v>
      </c>
      <c r="AI3277" s="47"/>
      <c r="AJ3277" s="126" t="e">
        <v>#N/A</v>
      </c>
      <c r="AK3277" s="80">
        <f t="shared" si="508"/>
        <v>0</v>
      </c>
      <c r="AM3277" s="85"/>
    </row>
    <row r="3278" spans="1:39" hidden="1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05"/>
        <v>-13927.29027636251</v>
      </c>
      <c r="X3278" s="6">
        <f t="shared" si="509"/>
        <v>0</v>
      </c>
      <c r="Y3278" s="13">
        <f t="shared" si="506"/>
        <v>0</v>
      </c>
      <c r="Z3278" s="14">
        <v>0</v>
      </c>
      <c r="AA3278" s="6">
        <v>0</v>
      </c>
      <c r="AB3278" s="4">
        <f t="shared" si="507"/>
        <v>0</v>
      </c>
      <c r="AC3278" s="4">
        <f t="shared" si="511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12"/>
        <v>0</v>
      </c>
      <c r="AG3278" s="9">
        <v>0.41</v>
      </c>
      <c r="AH3278" s="6">
        <f t="shared" si="510"/>
        <v>0</v>
      </c>
      <c r="AI3278" s="47"/>
      <c r="AJ3278" s="126" t="e">
        <v>#N/A</v>
      </c>
      <c r="AK3278" s="80">
        <f t="shared" si="508"/>
        <v>0</v>
      </c>
      <c r="AM3278" s="85"/>
    </row>
    <row r="3279" spans="1:39" hidden="1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05"/>
        <v>14000</v>
      </c>
      <c r="X3279" s="6">
        <f t="shared" si="509"/>
        <v>0</v>
      </c>
      <c r="Y3279" s="13">
        <f t="shared" si="506"/>
        <v>0</v>
      </c>
      <c r="Z3279" s="14">
        <v>0</v>
      </c>
      <c r="AA3279" s="6">
        <v>0</v>
      </c>
      <c r="AB3279" s="4">
        <f t="shared" si="507"/>
        <v>0</v>
      </c>
      <c r="AC3279" s="4">
        <f t="shared" si="511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12"/>
        <v>0</v>
      </c>
      <c r="AG3279" s="9">
        <v>0.4</v>
      </c>
      <c r="AH3279" s="6">
        <f t="shared" si="510"/>
        <v>0</v>
      </c>
      <c r="AI3279" s="47"/>
      <c r="AJ3279" s="126" t="e">
        <v>#N/A</v>
      </c>
      <c r="AK3279" s="80">
        <f t="shared" si="508"/>
        <v>0</v>
      </c>
      <c r="AM3279" s="85"/>
    </row>
    <row r="3280" spans="1:39" hidden="1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05"/>
        <v>5139.170001367831</v>
      </c>
      <c r="X3280" s="6">
        <f t="shared" si="509"/>
        <v>0</v>
      </c>
      <c r="Y3280" s="13">
        <f t="shared" si="506"/>
        <v>0</v>
      </c>
      <c r="Z3280" s="14">
        <v>0</v>
      </c>
      <c r="AA3280" s="6">
        <v>0</v>
      </c>
      <c r="AB3280" s="4">
        <f t="shared" si="507"/>
        <v>0</v>
      </c>
      <c r="AC3280" s="4">
        <f t="shared" si="511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12"/>
        <v>0</v>
      </c>
      <c r="AG3280" s="9">
        <v>0.4</v>
      </c>
      <c r="AH3280" s="6">
        <f t="shared" si="510"/>
        <v>0</v>
      </c>
      <c r="AI3280" s="47"/>
      <c r="AJ3280" s="126" t="e">
        <v>#N/A</v>
      </c>
      <c r="AK3280" s="80">
        <f t="shared" si="508"/>
        <v>0</v>
      </c>
      <c r="AM3280" s="85"/>
    </row>
    <row r="3281" spans="1:39" hidden="1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05"/>
        <v>242.23590510948313</v>
      </c>
      <c r="X3281" s="6">
        <f t="shared" si="509"/>
        <v>0</v>
      </c>
      <c r="Y3281" s="13">
        <f t="shared" si="506"/>
        <v>0</v>
      </c>
      <c r="Z3281" s="14">
        <v>0</v>
      </c>
      <c r="AA3281" s="6">
        <v>0</v>
      </c>
      <c r="AB3281" s="4">
        <f t="shared" si="507"/>
        <v>0</v>
      </c>
      <c r="AC3281" s="4">
        <f t="shared" si="511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12"/>
        <v>0</v>
      </c>
      <c r="AG3281" s="9">
        <v>0.37</v>
      </c>
      <c r="AH3281" s="6">
        <f t="shared" si="510"/>
        <v>0</v>
      </c>
      <c r="AI3281" s="47"/>
      <c r="AJ3281" s="126" t="e">
        <v>#N/A</v>
      </c>
      <c r="AK3281" s="80">
        <f t="shared" si="508"/>
        <v>0</v>
      </c>
      <c r="AM3281" s="85"/>
    </row>
    <row r="3282" spans="1:39" hidden="1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05"/>
        <v>19461.83999999996</v>
      </c>
      <c r="X3282" s="6">
        <f t="shared" si="509"/>
        <v>15423.910344827591</v>
      </c>
      <c r="Y3282" s="13">
        <f t="shared" si="506"/>
        <v>0</v>
      </c>
      <c r="Z3282" s="14">
        <v>0</v>
      </c>
      <c r="AA3282" s="6">
        <v>0</v>
      </c>
      <c r="AB3282" s="4">
        <f t="shared" si="507"/>
        <v>15423.910344827591</v>
      </c>
      <c r="AC3282" s="4">
        <f t="shared" si="511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12"/>
        <v>1110.3015000000003</v>
      </c>
      <c r="AG3282" s="9">
        <v>0.41</v>
      </c>
      <c r="AH3282" s="6">
        <f t="shared" si="510"/>
        <v>15861.468085106388</v>
      </c>
      <c r="AI3282" s="47"/>
      <c r="AJ3282" s="126" t="e">
        <v>#N/A</v>
      </c>
      <c r="AK3282" s="80">
        <f t="shared" si="508"/>
        <v>0</v>
      </c>
      <c r="AM3282" s="85"/>
    </row>
    <row r="3283" spans="1:39" hidden="1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05"/>
        <v>13171.470704793706</v>
      </c>
      <c r="X3283" s="6">
        <f t="shared" si="509"/>
        <v>0</v>
      </c>
      <c r="Y3283" s="13">
        <f t="shared" si="506"/>
        <v>0</v>
      </c>
      <c r="Z3283" s="14">
        <v>0</v>
      </c>
      <c r="AA3283" s="6">
        <v>0</v>
      </c>
      <c r="AB3283" s="4">
        <f t="shared" si="507"/>
        <v>0</v>
      </c>
      <c r="AC3283" s="4">
        <f t="shared" si="511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12"/>
        <v>0</v>
      </c>
      <c r="AG3283" s="9">
        <v>0.46</v>
      </c>
      <c r="AH3283" s="6">
        <f t="shared" si="510"/>
        <v>0</v>
      </c>
      <c r="AI3283" s="47"/>
      <c r="AJ3283" s="126" t="e">
        <v>#N/A</v>
      </c>
      <c r="AK3283" s="80">
        <f t="shared" si="508"/>
        <v>0</v>
      </c>
      <c r="AM3283" s="85"/>
    </row>
    <row r="3284" spans="1:39" hidden="1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05"/>
        <v>-1997.87</v>
      </c>
      <c r="X3284" s="6">
        <f t="shared" si="509"/>
        <v>0</v>
      </c>
      <c r="Y3284" s="13">
        <f t="shared" si="506"/>
        <v>0</v>
      </c>
      <c r="Z3284" s="14">
        <v>0</v>
      </c>
      <c r="AA3284" s="6">
        <v>0</v>
      </c>
      <c r="AB3284" s="4">
        <f t="shared" si="507"/>
        <v>0</v>
      </c>
      <c r="AC3284" s="4">
        <f t="shared" si="511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12"/>
        <v>0</v>
      </c>
      <c r="AG3284" s="9">
        <v>0.46</v>
      </c>
      <c r="AH3284" s="6">
        <f t="shared" si="510"/>
        <v>0</v>
      </c>
      <c r="AI3284" s="47"/>
      <c r="AJ3284" s="126" t="e">
        <v>#N/A</v>
      </c>
      <c r="AK3284" s="80">
        <f t="shared" si="508"/>
        <v>0</v>
      </c>
      <c r="AM3284" s="85"/>
    </row>
    <row r="3285" spans="1:39" hidden="1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05"/>
        <v>124575.60023211583</v>
      </c>
      <c r="X3285" s="6">
        <f t="shared" si="509"/>
        <v>0</v>
      </c>
      <c r="Y3285" s="13">
        <f t="shared" si="506"/>
        <v>0</v>
      </c>
      <c r="Z3285" s="14">
        <v>0</v>
      </c>
      <c r="AA3285" s="6">
        <v>0</v>
      </c>
      <c r="AB3285" s="4">
        <f t="shared" si="507"/>
        <v>0</v>
      </c>
      <c r="AC3285" s="4">
        <f t="shared" si="511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12"/>
        <v>0</v>
      </c>
      <c r="AG3285" s="9">
        <v>0.37</v>
      </c>
      <c r="AH3285" s="6">
        <f t="shared" si="510"/>
        <v>0</v>
      </c>
      <c r="AI3285" s="47"/>
      <c r="AJ3285" s="126" t="e">
        <v>#N/A</v>
      </c>
      <c r="AK3285" s="80">
        <f t="shared" si="508"/>
        <v>0</v>
      </c>
      <c r="AM3285" s="85"/>
    </row>
    <row r="3286" spans="1:39" hidden="1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05"/>
        <v>12.659999999999901</v>
      </c>
      <c r="X3286" s="6">
        <f t="shared" si="509"/>
        <v>0</v>
      </c>
      <c r="Y3286" s="13">
        <f t="shared" si="506"/>
        <v>0</v>
      </c>
      <c r="Z3286" s="14">
        <v>0</v>
      </c>
      <c r="AA3286" s="6">
        <v>0</v>
      </c>
      <c r="AB3286" s="4">
        <f t="shared" si="507"/>
        <v>0</v>
      </c>
      <c r="AC3286" s="4">
        <f t="shared" si="511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12"/>
        <v>0</v>
      </c>
      <c r="AG3286" s="9">
        <v>0.37</v>
      </c>
      <c r="AH3286" s="6">
        <f t="shared" si="510"/>
        <v>0</v>
      </c>
      <c r="AI3286" s="47"/>
      <c r="AJ3286" s="126" t="e">
        <v>#N/A</v>
      </c>
      <c r="AK3286" s="80">
        <f t="shared" si="508"/>
        <v>0</v>
      </c>
      <c r="AM3286" s="85"/>
    </row>
    <row r="3287" spans="1:39" hidden="1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05"/>
        <v>77615.606438356161</v>
      </c>
      <c r="X3287" s="6">
        <f t="shared" si="509"/>
        <v>0</v>
      </c>
      <c r="Y3287" s="13">
        <f t="shared" si="506"/>
        <v>0</v>
      </c>
      <c r="Z3287" s="14">
        <v>0</v>
      </c>
      <c r="AA3287" s="6">
        <v>0</v>
      </c>
      <c r="AB3287" s="4">
        <f t="shared" si="507"/>
        <v>0</v>
      </c>
      <c r="AC3287" s="4">
        <f t="shared" si="511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12"/>
        <v>0</v>
      </c>
      <c r="AG3287" s="9">
        <v>0.46</v>
      </c>
      <c r="AH3287" s="6">
        <f t="shared" si="510"/>
        <v>0</v>
      </c>
      <c r="AI3287" s="47"/>
      <c r="AJ3287" s="126" t="e">
        <v>#N/A</v>
      </c>
      <c r="AK3287" s="80">
        <f t="shared" si="508"/>
        <v>0</v>
      </c>
      <c r="AM3287" s="85"/>
    </row>
    <row r="3288" spans="1:39" hidden="1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05"/>
        <v>2505.8718978102197</v>
      </c>
      <c r="X3288" s="6">
        <f t="shared" si="509"/>
        <v>0</v>
      </c>
      <c r="Y3288" s="13">
        <f t="shared" si="506"/>
        <v>0</v>
      </c>
      <c r="Z3288" s="14">
        <v>0</v>
      </c>
      <c r="AA3288" s="6">
        <v>0</v>
      </c>
      <c r="AB3288" s="4">
        <f t="shared" si="507"/>
        <v>0</v>
      </c>
      <c r="AC3288" s="4">
        <f t="shared" si="511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12"/>
        <v>0</v>
      </c>
      <c r="AG3288" s="9">
        <v>0.37</v>
      </c>
      <c r="AH3288" s="6">
        <f t="shared" si="510"/>
        <v>0</v>
      </c>
      <c r="AI3288" s="47"/>
      <c r="AJ3288" s="126" t="e">
        <v>#N/A</v>
      </c>
      <c r="AK3288" s="80">
        <f t="shared" si="508"/>
        <v>0</v>
      </c>
      <c r="AM3288" s="85"/>
    </row>
    <row r="3289" spans="1:39" hidden="1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05"/>
        <v>45.723699999998644</v>
      </c>
      <c r="X3289" s="6">
        <f t="shared" si="509"/>
        <v>0</v>
      </c>
      <c r="Y3289" s="13">
        <f t="shared" si="506"/>
        <v>0</v>
      </c>
      <c r="Z3289" s="14">
        <v>0</v>
      </c>
      <c r="AA3289" s="6">
        <v>0</v>
      </c>
      <c r="AB3289" s="4">
        <f t="shared" si="507"/>
        <v>0</v>
      </c>
      <c r="AC3289" s="4">
        <f t="shared" si="511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12"/>
        <v>0</v>
      </c>
      <c r="AG3289" s="9">
        <v>0.37</v>
      </c>
      <c r="AH3289" s="6">
        <f t="shared" si="510"/>
        <v>0</v>
      </c>
      <c r="AI3289" s="47"/>
      <c r="AJ3289" s="126" t="e">
        <v>#N/A</v>
      </c>
      <c r="AK3289" s="80">
        <f t="shared" si="508"/>
        <v>0</v>
      </c>
      <c r="AM3289" s="85"/>
    </row>
    <row r="3290" spans="1:39" hidden="1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05"/>
        <v>-49.886204379432456</v>
      </c>
      <c r="X3290" s="6">
        <f t="shared" si="509"/>
        <v>0</v>
      </c>
      <c r="Y3290" s="13">
        <f t="shared" si="506"/>
        <v>0</v>
      </c>
      <c r="Z3290" s="14">
        <v>0</v>
      </c>
      <c r="AA3290" s="6">
        <v>0</v>
      </c>
      <c r="AB3290" s="4">
        <f t="shared" si="507"/>
        <v>0</v>
      </c>
      <c r="AC3290" s="4">
        <f t="shared" si="511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12"/>
        <v>0</v>
      </c>
      <c r="AG3290" s="9">
        <v>0.37</v>
      </c>
      <c r="AH3290" s="6">
        <f t="shared" si="510"/>
        <v>0</v>
      </c>
      <c r="AI3290" s="47"/>
      <c r="AJ3290" s="126" t="e">
        <v>#N/A</v>
      </c>
      <c r="AK3290" s="80">
        <f t="shared" si="508"/>
        <v>0</v>
      </c>
      <c r="AM3290" s="85"/>
    </row>
    <row r="3291" spans="1:39" hidden="1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05"/>
        <v>0.05</v>
      </c>
      <c r="X3291" s="6">
        <f t="shared" si="509"/>
        <v>0</v>
      </c>
      <c r="Y3291" s="13">
        <f t="shared" si="506"/>
        <v>0</v>
      </c>
      <c r="Z3291" s="14">
        <v>0</v>
      </c>
      <c r="AA3291" s="6">
        <v>0</v>
      </c>
      <c r="AB3291" s="4">
        <f t="shared" si="507"/>
        <v>0</v>
      </c>
      <c r="AC3291" s="4">
        <f t="shared" si="511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12"/>
        <v>0</v>
      </c>
      <c r="AG3291" s="9">
        <v>0.41</v>
      </c>
      <c r="AH3291" s="6">
        <f t="shared" si="510"/>
        <v>0</v>
      </c>
      <c r="AI3291" s="47"/>
      <c r="AJ3291" s="126" t="e">
        <v>#N/A</v>
      </c>
      <c r="AK3291" s="80">
        <f t="shared" si="508"/>
        <v>0</v>
      </c>
      <c r="AM3291" s="85"/>
    </row>
    <row r="3292" spans="1:39" hidden="1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05"/>
        <v>27969.793795620441</v>
      </c>
      <c r="X3292" s="6">
        <f t="shared" si="509"/>
        <v>0</v>
      </c>
      <c r="Y3292" s="13">
        <f t="shared" si="506"/>
        <v>0</v>
      </c>
      <c r="Z3292" s="14">
        <v>0</v>
      </c>
      <c r="AA3292" s="6">
        <v>0</v>
      </c>
      <c r="AB3292" s="4">
        <f t="shared" si="507"/>
        <v>0</v>
      </c>
      <c r="AC3292" s="4">
        <f t="shared" si="511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12"/>
        <v>0</v>
      </c>
      <c r="AG3292" s="9">
        <v>0.37</v>
      </c>
      <c r="AH3292" s="6">
        <f t="shared" si="510"/>
        <v>0</v>
      </c>
      <c r="AI3292" s="47"/>
      <c r="AJ3292" s="126" t="e">
        <v>#N/A</v>
      </c>
      <c r="AK3292" s="80">
        <f t="shared" si="508"/>
        <v>0</v>
      </c>
      <c r="AM3292" s="85"/>
    </row>
    <row r="3293" spans="1:39" hidden="1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05"/>
        <v>-56746.807504651188</v>
      </c>
      <c r="X3293" s="6">
        <f t="shared" si="509"/>
        <v>0</v>
      </c>
      <c r="Y3293" s="13">
        <f t="shared" si="506"/>
        <v>0</v>
      </c>
      <c r="Z3293" s="14">
        <v>0</v>
      </c>
      <c r="AA3293" s="6">
        <v>0</v>
      </c>
      <c r="AB3293" s="4">
        <f t="shared" si="507"/>
        <v>0</v>
      </c>
      <c r="AC3293" s="4">
        <f t="shared" si="511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12"/>
        <v>0</v>
      </c>
      <c r="AG3293" s="9">
        <v>0.4</v>
      </c>
      <c r="AH3293" s="6">
        <f t="shared" si="510"/>
        <v>0</v>
      </c>
      <c r="AI3293" s="47"/>
      <c r="AJ3293" s="126" t="e">
        <v>#N/A</v>
      </c>
      <c r="AK3293" s="80">
        <f t="shared" si="508"/>
        <v>0</v>
      </c>
      <c r="AM3293" s="85"/>
    </row>
    <row r="3294" spans="1:39" hidden="1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05"/>
        <v>-3481.5356934388265</v>
      </c>
      <c r="X3294" s="6">
        <f t="shared" si="509"/>
        <v>0</v>
      </c>
      <c r="Y3294" s="13">
        <f t="shared" si="506"/>
        <v>0</v>
      </c>
      <c r="Z3294" s="14">
        <v>0</v>
      </c>
      <c r="AA3294" s="6">
        <v>0</v>
      </c>
      <c r="AB3294" s="4">
        <f t="shared" si="507"/>
        <v>0</v>
      </c>
      <c r="AC3294" s="4">
        <f t="shared" si="511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12"/>
        <v>0</v>
      </c>
      <c r="AG3294" s="9">
        <v>0.37</v>
      </c>
      <c r="AH3294" s="6">
        <f t="shared" si="510"/>
        <v>0</v>
      </c>
      <c r="AI3294" s="47"/>
      <c r="AJ3294" s="126" t="e">
        <v>#N/A</v>
      </c>
      <c r="AK3294" s="80">
        <f t="shared" si="508"/>
        <v>0</v>
      </c>
      <c r="AM3294" s="85"/>
    </row>
    <row r="3295" spans="1:39" hidden="1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05"/>
        <v>0.16800000070361421</v>
      </c>
      <c r="X3295" s="6">
        <f t="shared" si="509"/>
        <v>0</v>
      </c>
      <c r="Y3295" s="13">
        <f t="shared" si="506"/>
        <v>0</v>
      </c>
      <c r="Z3295" s="14">
        <v>0</v>
      </c>
      <c r="AA3295" s="6">
        <v>0</v>
      </c>
      <c r="AB3295" s="4">
        <f t="shared" si="507"/>
        <v>0</v>
      </c>
      <c r="AC3295" s="4">
        <f t="shared" si="511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12"/>
        <v>0</v>
      </c>
      <c r="AG3295" s="9">
        <v>0.46</v>
      </c>
      <c r="AH3295" s="6">
        <f t="shared" si="510"/>
        <v>0</v>
      </c>
      <c r="AI3295" s="47"/>
      <c r="AJ3295" s="126" t="e">
        <v>#N/A</v>
      </c>
      <c r="AK3295" s="80">
        <f t="shared" si="508"/>
        <v>0</v>
      </c>
      <c r="AM3295" s="85"/>
    </row>
    <row r="3296" spans="1:39" hidden="1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05"/>
        <v>61137.986145203991</v>
      </c>
      <c r="X3296" s="6">
        <f t="shared" si="509"/>
        <v>0</v>
      </c>
      <c r="Y3296" s="13">
        <f t="shared" si="506"/>
        <v>0</v>
      </c>
      <c r="Z3296" s="14">
        <v>0</v>
      </c>
      <c r="AA3296" s="6">
        <v>0</v>
      </c>
      <c r="AB3296" s="4">
        <f t="shared" si="507"/>
        <v>0</v>
      </c>
      <c r="AC3296" s="4">
        <f t="shared" si="511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12"/>
        <v>0</v>
      </c>
      <c r="AG3296" s="9">
        <v>0.46</v>
      </c>
      <c r="AH3296" s="6">
        <f t="shared" si="510"/>
        <v>0</v>
      </c>
      <c r="AI3296" s="47"/>
      <c r="AJ3296" s="126" t="e">
        <v>#N/A</v>
      </c>
      <c r="AK3296" s="80">
        <f t="shared" si="508"/>
        <v>0</v>
      </c>
      <c r="AM3296" s="85"/>
    </row>
    <row r="3297" spans="1:39" hidden="1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05"/>
        <v>14000</v>
      </c>
      <c r="X3297" s="6">
        <f t="shared" si="509"/>
        <v>0</v>
      </c>
      <c r="Y3297" s="13">
        <f t="shared" si="506"/>
        <v>0</v>
      </c>
      <c r="Z3297" s="14">
        <v>0</v>
      </c>
      <c r="AA3297" s="6">
        <v>0</v>
      </c>
      <c r="AB3297" s="4">
        <f t="shared" si="507"/>
        <v>0</v>
      </c>
      <c r="AC3297" s="4">
        <f t="shared" si="511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12"/>
        <v>0</v>
      </c>
      <c r="AG3297" s="9">
        <v>0.46</v>
      </c>
      <c r="AH3297" s="6">
        <f t="shared" si="510"/>
        <v>0</v>
      </c>
      <c r="AI3297" s="47"/>
      <c r="AJ3297" s="126" t="e">
        <v>#N/A</v>
      </c>
      <c r="AK3297" s="80">
        <f t="shared" si="508"/>
        <v>0</v>
      </c>
      <c r="AM3297" s="85"/>
    </row>
    <row r="3298" spans="1:39" hidden="1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05"/>
        <v>22187.300465756074</v>
      </c>
      <c r="X3298" s="6">
        <f t="shared" si="509"/>
        <v>0</v>
      </c>
      <c r="Y3298" s="13">
        <f t="shared" si="506"/>
        <v>0</v>
      </c>
      <c r="Z3298" s="14">
        <v>0</v>
      </c>
      <c r="AA3298" s="6">
        <v>0</v>
      </c>
      <c r="AB3298" s="4">
        <f t="shared" si="507"/>
        <v>0</v>
      </c>
      <c r="AC3298" s="4">
        <f t="shared" si="511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12"/>
        <v>0</v>
      </c>
      <c r="AG3298" s="9">
        <v>0.46</v>
      </c>
      <c r="AH3298" s="6">
        <f t="shared" si="510"/>
        <v>0</v>
      </c>
      <c r="AI3298" s="47"/>
      <c r="AJ3298" s="126" t="e">
        <v>#N/A</v>
      </c>
      <c r="AK3298" s="80">
        <f t="shared" si="508"/>
        <v>0</v>
      </c>
      <c r="AM3298" s="85"/>
    </row>
    <row r="3299" spans="1:39" hidden="1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05"/>
        <v>4.0000000793952495E-2</v>
      </c>
      <c r="X3299" s="6">
        <f t="shared" si="509"/>
        <v>0</v>
      </c>
      <c r="Y3299" s="13">
        <f t="shared" si="506"/>
        <v>0</v>
      </c>
      <c r="Z3299" s="14">
        <v>0</v>
      </c>
      <c r="AA3299" s="6">
        <v>0</v>
      </c>
      <c r="AB3299" s="4">
        <f t="shared" si="507"/>
        <v>0</v>
      </c>
      <c r="AC3299" s="4">
        <f t="shared" si="511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12"/>
        <v>0</v>
      </c>
      <c r="AG3299" s="9">
        <v>0.46</v>
      </c>
      <c r="AH3299" s="6">
        <f t="shared" si="510"/>
        <v>0</v>
      </c>
      <c r="AI3299" s="47"/>
      <c r="AJ3299" s="126" t="e">
        <v>#N/A</v>
      </c>
      <c r="AK3299" s="80">
        <f t="shared" si="508"/>
        <v>0</v>
      </c>
      <c r="AM3299" s="85"/>
    </row>
    <row r="3300" spans="1:39" hidden="1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05"/>
        <v>-160156.09419999988</v>
      </c>
      <c r="X3300" s="6">
        <f t="shared" si="509"/>
        <v>0</v>
      </c>
      <c r="Y3300" s="13">
        <f t="shared" si="506"/>
        <v>0</v>
      </c>
      <c r="Z3300" s="14">
        <v>0</v>
      </c>
      <c r="AA3300" s="6">
        <v>0</v>
      </c>
      <c r="AB3300" s="4">
        <f t="shared" si="507"/>
        <v>0</v>
      </c>
      <c r="AC3300" s="4">
        <f t="shared" si="511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12"/>
        <v>0</v>
      </c>
      <c r="AG3300" s="9">
        <v>0.38</v>
      </c>
      <c r="AH3300" s="6">
        <f t="shared" si="510"/>
        <v>0</v>
      </c>
      <c r="AI3300" s="47"/>
      <c r="AJ3300" s="126" t="e">
        <v>#N/A</v>
      </c>
      <c r="AK3300" s="80">
        <f t="shared" si="508"/>
        <v>0</v>
      </c>
      <c r="AM3300" s="85"/>
    </row>
    <row r="3301" spans="1:39" hidden="1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05"/>
        <v>-141796.72999999978</v>
      </c>
      <c r="X3301" s="6">
        <f t="shared" si="509"/>
        <v>0</v>
      </c>
      <c r="Y3301" s="13">
        <f t="shared" si="506"/>
        <v>0</v>
      </c>
      <c r="Z3301" s="14">
        <v>0</v>
      </c>
      <c r="AA3301" s="6">
        <v>0</v>
      </c>
      <c r="AB3301" s="4">
        <f t="shared" si="507"/>
        <v>0</v>
      </c>
      <c r="AC3301" s="4">
        <f t="shared" si="511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12"/>
        <v>0</v>
      </c>
      <c r="AG3301" s="9">
        <v>0.28000000000000003</v>
      </c>
      <c r="AH3301" s="6">
        <f t="shared" si="510"/>
        <v>0</v>
      </c>
      <c r="AI3301" s="47"/>
      <c r="AJ3301" s="126" t="e">
        <v>#N/A</v>
      </c>
      <c r="AK3301" s="80">
        <f t="shared" si="508"/>
        <v>0</v>
      </c>
      <c r="AM3301" s="85"/>
    </row>
    <row r="3302" spans="1:39" hidden="1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13">T3302+U3302-V3302</f>
        <v>1321.5999999999976</v>
      </c>
      <c r="X3302" s="6">
        <f t="shared" si="509"/>
        <v>0</v>
      </c>
      <c r="Y3302" s="13">
        <f t="shared" si="506"/>
        <v>0</v>
      </c>
      <c r="Z3302" s="14">
        <v>0</v>
      </c>
      <c r="AA3302" s="6">
        <v>0</v>
      </c>
      <c r="AB3302" s="4">
        <f t="shared" si="507"/>
        <v>0</v>
      </c>
      <c r="AC3302" s="4">
        <f t="shared" si="511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12"/>
        <v>0</v>
      </c>
      <c r="AG3302" s="9">
        <v>0</v>
      </c>
      <c r="AH3302" s="6">
        <f t="shared" si="510"/>
        <v>0</v>
      </c>
      <c r="AI3302" s="47"/>
      <c r="AJ3302" s="126" t="e">
        <v>#N/A</v>
      </c>
      <c r="AK3302" s="80">
        <f t="shared" si="508"/>
        <v>0</v>
      </c>
      <c r="AM3302" s="85"/>
    </row>
    <row r="3303" spans="1:39" hidden="1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13"/>
        <v>2503230.9500000011</v>
      </c>
      <c r="X3303" s="6">
        <f t="shared" ref="X3303:X3366" si="514">IF(P3303="折扣",V3303*Q3303,IF(P3303="返现",V3303,V3303/(1+Q3303)))</f>
        <v>1539269.0499999989</v>
      </c>
      <c r="Y3303" s="13">
        <f t="shared" si="506"/>
        <v>0</v>
      </c>
      <c r="Z3303" s="14">
        <v>0</v>
      </c>
      <c r="AA3303" s="6">
        <v>0</v>
      </c>
      <c r="AB3303" s="4">
        <f t="shared" si="507"/>
        <v>1539269.0499999989</v>
      </c>
      <c r="AC3303" s="4">
        <f t="shared" si="511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12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08"/>
        <v>0</v>
      </c>
      <c r="AM3303" s="85"/>
    </row>
    <row r="3304" spans="1:39" hidden="1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13"/>
        <v>0</v>
      </c>
      <c r="X3304" s="6">
        <f t="shared" si="514"/>
        <v>3702628.4400000013</v>
      </c>
      <c r="Y3304" s="13">
        <f t="shared" si="506"/>
        <v>0</v>
      </c>
      <c r="Z3304" s="14">
        <v>0</v>
      </c>
      <c r="AA3304" s="6">
        <v>0</v>
      </c>
      <c r="AB3304" s="4">
        <f t="shared" si="507"/>
        <v>3702628.4400000013</v>
      </c>
      <c r="AC3304" s="4">
        <f t="shared" si="511"/>
        <v>0</v>
      </c>
      <c r="AD3304" s="6">
        <f t="shared" ref="AD3304:AD3367" si="515">V3304</f>
        <v>3702628.4400000013</v>
      </c>
      <c r="AE3304" s="2">
        <f>VLOOKUP(I3304,[1]媒体政策预估表!A:N,MATCH(O3304,[1]媒体政策预估表!$A$2:$M$2,0),0)</f>
        <v>0</v>
      </c>
      <c r="AF3304" s="6">
        <f t="shared" si="512"/>
        <v>0</v>
      </c>
      <c r="AG3304" s="14">
        <v>0</v>
      </c>
      <c r="AH3304" s="64">
        <f t="shared" ref="AH3304:AH3367" si="516">AD3304</f>
        <v>3702628.4400000013</v>
      </c>
      <c r="AI3304" s="47"/>
      <c r="AJ3304" s="126" t="e">
        <v>#N/A</v>
      </c>
      <c r="AK3304" s="80">
        <f t="shared" si="508"/>
        <v>0</v>
      </c>
      <c r="AM3304" s="85"/>
    </row>
    <row r="3305" spans="1:39" hidden="1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13"/>
        <v>3326675.9800000009</v>
      </c>
      <c r="X3305" s="6">
        <f t="shared" si="514"/>
        <v>3461686.32</v>
      </c>
      <c r="Y3305" s="13">
        <f t="shared" si="506"/>
        <v>0</v>
      </c>
      <c r="Z3305" s="14">
        <v>0</v>
      </c>
      <c r="AA3305" s="6">
        <v>0</v>
      </c>
      <c r="AB3305" s="4">
        <f t="shared" si="507"/>
        <v>3461686.32</v>
      </c>
      <c r="AC3305" s="4">
        <f t="shared" si="511"/>
        <v>0</v>
      </c>
      <c r="AD3305" s="6">
        <f t="shared" si="515"/>
        <v>3461686.32</v>
      </c>
      <c r="AE3305" s="2">
        <f>VLOOKUP(I3305,[1]媒体政策预估表!A:N,MATCH(O3305,[1]媒体政策预估表!$A$2:$M$2,0),0)</f>
        <v>0</v>
      </c>
      <c r="AF3305" s="6">
        <f t="shared" si="512"/>
        <v>0</v>
      </c>
      <c r="AG3305" s="14">
        <v>0</v>
      </c>
      <c r="AH3305" s="64">
        <f t="shared" si="516"/>
        <v>3461686.32</v>
      </c>
      <c r="AI3305" s="47"/>
      <c r="AJ3305" s="126" t="e">
        <v>#N/A</v>
      </c>
      <c r="AK3305" s="80">
        <f t="shared" si="508"/>
        <v>0</v>
      </c>
      <c r="AM3305" s="85"/>
    </row>
    <row r="3306" spans="1:39" hidden="1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13"/>
        <v>14047.679999999978</v>
      </c>
      <c r="X3306" s="6">
        <f t="shared" si="514"/>
        <v>65759.98</v>
      </c>
      <c r="Y3306" s="13">
        <f t="shared" si="506"/>
        <v>0</v>
      </c>
      <c r="Z3306" s="14">
        <v>0</v>
      </c>
      <c r="AA3306" s="6">
        <v>0</v>
      </c>
      <c r="AB3306" s="4">
        <f t="shared" si="507"/>
        <v>65759.98</v>
      </c>
      <c r="AC3306" s="4">
        <f t="shared" si="511"/>
        <v>0</v>
      </c>
      <c r="AD3306" s="6">
        <f t="shared" si="515"/>
        <v>65759.98</v>
      </c>
      <c r="AE3306" s="2">
        <f>VLOOKUP(I3306,[1]媒体政策预估表!A:N,MATCH(O3306,[1]媒体政策预估表!$A$2:$M$2,0),0)</f>
        <v>0</v>
      </c>
      <c r="AF3306" s="6">
        <f t="shared" si="512"/>
        <v>0</v>
      </c>
      <c r="AG3306" s="14">
        <v>0</v>
      </c>
      <c r="AH3306" s="64">
        <f t="shared" si="516"/>
        <v>65759.98</v>
      </c>
      <c r="AI3306" s="47"/>
      <c r="AJ3306" s="126" t="e">
        <v>#N/A</v>
      </c>
      <c r="AK3306" s="80">
        <f t="shared" si="508"/>
        <v>0</v>
      </c>
      <c r="AM3306" s="85"/>
    </row>
    <row r="3307" spans="1:39" hidden="1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13"/>
        <v>78338.36</v>
      </c>
      <c r="X3307" s="6">
        <f t="shared" si="514"/>
        <v>21661.64</v>
      </c>
      <c r="Y3307" s="13">
        <f t="shared" si="506"/>
        <v>0</v>
      </c>
      <c r="Z3307" s="14">
        <v>0.03</v>
      </c>
      <c r="AA3307" s="6">
        <f>X3307*Z3307</f>
        <v>649.8492</v>
      </c>
      <c r="AB3307" s="4">
        <f t="shared" si="507"/>
        <v>22311.4892</v>
      </c>
      <c r="AC3307" s="4">
        <f t="shared" si="511"/>
        <v>0</v>
      </c>
      <c r="AD3307" s="6">
        <f t="shared" si="515"/>
        <v>21661.64</v>
      </c>
      <c r="AE3307" s="2">
        <f>VLOOKUP(I3307,[1]媒体政策预估表!A:N,MATCH(O3307,[1]媒体政策预估表!$A$2:$M$2,0),0)</f>
        <v>0</v>
      </c>
      <c r="AF3307" s="6">
        <f t="shared" si="512"/>
        <v>0</v>
      </c>
      <c r="AG3307" s="14">
        <v>0</v>
      </c>
      <c r="AH3307" s="64">
        <f t="shared" si="516"/>
        <v>21661.64</v>
      </c>
      <c r="AI3307" s="47"/>
      <c r="AJ3307" s="126" t="e">
        <v>#N/A</v>
      </c>
      <c r="AK3307" s="80">
        <f t="shared" si="508"/>
        <v>0</v>
      </c>
      <c r="AM3307" s="85"/>
    </row>
    <row r="3308" spans="1:39" hidden="1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13"/>
        <v>21502.340000000004</v>
      </c>
      <c r="X3308" s="6">
        <f t="shared" si="514"/>
        <v>15663.71</v>
      </c>
      <c r="Y3308" s="13">
        <f t="shared" si="506"/>
        <v>0</v>
      </c>
      <c r="Z3308" s="14">
        <v>0</v>
      </c>
      <c r="AA3308" s="6">
        <v>0</v>
      </c>
      <c r="AB3308" s="4">
        <f t="shared" si="507"/>
        <v>15663.71</v>
      </c>
      <c r="AC3308" s="4">
        <f t="shared" si="511"/>
        <v>0</v>
      </c>
      <c r="AD3308" s="6">
        <f t="shared" si="515"/>
        <v>15663.71</v>
      </c>
      <c r="AE3308" s="2">
        <f>VLOOKUP(I3308,[1]媒体政策预估表!A:N,MATCH(O3308,[1]媒体政策预估表!$A$2:$M$2,0),0)</f>
        <v>0</v>
      </c>
      <c r="AF3308" s="6">
        <f t="shared" si="512"/>
        <v>0</v>
      </c>
      <c r="AG3308" s="14">
        <v>0</v>
      </c>
      <c r="AH3308" s="64">
        <f t="shared" si="516"/>
        <v>15663.71</v>
      </c>
      <c r="AI3308" s="47"/>
      <c r="AJ3308" s="126" t="e">
        <v>#N/A</v>
      </c>
      <c r="AK3308" s="80">
        <f t="shared" si="508"/>
        <v>0</v>
      </c>
      <c r="AM3308" s="85"/>
    </row>
    <row r="3309" spans="1:39" hidden="1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13"/>
        <v>21840.949999999983</v>
      </c>
      <c r="X3309" s="6">
        <f t="shared" si="514"/>
        <v>57033.84</v>
      </c>
      <c r="Y3309" s="13">
        <f t="shared" si="506"/>
        <v>0</v>
      </c>
      <c r="Z3309" s="14">
        <v>0</v>
      </c>
      <c r="AA3309" s="6">
        <v>0</v>
      </c>
      <c r="AB3309" s="4">
        <f t="shared" si="507"/>
        <v>57033.84</v>
      </c>
      <c r="AC3309" s="4">
        <f t="shared" si="511"/>
        <v>0</v>
      </c>
      <c r="AD3309" s="6">
        <f t="shared" si="515"/>
        <v>57033.84</v>
      </c>
      <c r="AE3309" s="2">
        <f>VLOOKUP(I3309,[1]媒体政策预估表!A:N,MATCH(O3309,[1]媒体政策预估表!$A$2:$M$2,0),0)</f>
        <v>0</v>
      </c>
      <c r="AF3309" s="6">
        <f t="shared" si="512"/>
        <v>0</v>
      </c>
      <c r="AG3309" s="14">
        <v>0</v>
      </c>
      <c r="AH3309" s="64">
        <f t="shared" si="516"/>
        <v>57033.84</v>
      </c>
      <c r="AI3309" s="47"/>
      <c r="AJ3309" s="126" t="e">
        <v>#N/A</v>
      </c>
      <c r="AK3309" s="80">
        <f t="shared" si="508"/>
        <v>0</v>
      </c>
      <c r="AM3309" s="85"/>
    </row>
    <row r="3310" spans="1:39" hidden="1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13"/>
        <v>156562.95000000001</v>
      </c>
      <c r="X3310" s="6">
        <f t="shared" si="514"/>
        <v>80381.98</v>
      </c>
      <c r="Y3310" s="13">
        <f t="shared" si="506"/>
        <v>0</v>
      </c>
      <c r="Z3310" s="14">
        <v>0.03</v>
      </c>
      <c r="AA3310" s="6">
        <f t="shared" ref="AA3310:AA3312" si="517">X3310*Z3310</f>
        <v>2411.4593999999997</v>
      </c>
      <c r="AB3310" s="4">
        <f t="shared" si="507"/>
        <v>82793.439400000003</v>
      </c>
      <c r="AC3310" s="4">
        <f t="shared" si="511"/>
        <v>0</v>
      </c>
      <c r="AD3310" s="6">
        <f t="shared" si="515"/>
        <v>80381.98</v>
      </c>
      <c r="AE3310" s="2">
        <f>VLOOKUP(I3310,[1]媒体政策预估表!A:N,MATCH(O3310,[1]媒体政策预估表!$A$2:$M$2,0),0)</f>
        <v>0</v>
      </c>
      <c r="AF3310" s="6">
        <f t="shared" si="512"/>
        <v>0</v>
      </c>
      <c r="AG3310" s="14">
        <v>0</v>
      </c>
      <c r="AH3310" s="64">
        <f t="shared" si="516"/>
        <v>80381.98</v>
      </c>
      <c r="AI3310" s="47"/>
      <c r="AJ3310" s="126" t="e">
        <v>#N/A</v>
      </c>
      <c r="AK3310" s="80">
        <f t="shared" si="508"/>
        <v>0</v>
      </c>
      <c r="AM3310" s="85"/>
    </row>
    <row r="3311" spans="1:39" hidden="1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13"/>
        <v>48649.539999999979</v>
      </c>
      <c r="X3311" s="6">
        <f t="shared" si="514"/>
        <v>137767.19</v>
      </c>
      <c r="Y3311" s="13">
        <f t="shared" si="506"/>
        <v>0</v>
      </c>
      <c r="Z3311" s="14">
        <v>0.03</v>
      </c>
      <c r="AA3311" s="6">
        <f t="shared" si="517"/>
        <v>4133.0156999999999</v>
      </c>
      <c r="AB3311" s="4">
        <f t="shared" si="507"/>
        <v>141900.20569999999</v>
      </c>
      <c r="AC3311" s="4">
        <f t="shared" si="511"/>
        <v>0</v>
      </c>
      <c r="AD3311" s="6">
        <f t="shared" si="515"/>
        <v>137767.19</v>
      </c>
      <c r="AE3311" s="2">
        <f>VLOOKUP(I3311,[1]媒体政策预估表!A:N,MATCH(O3311,[1]媒体政策预估表!$A$2:$M$2,0),0)</f>
        <v>0</v>
      </c>
      <c r="AF3311" s="6">
        <f t="shared" si="512"/>
        <v>0</v>
      </c>
      <c r="AG3311" s="14">
        <v>0</v>
      </c>
      <c r="AH3311" s="64">
        <f t="shared" si="516"/>
        <v>137767.19</v>
      </c>
      <c r="AI3311" s="47"/>
      <c r="AJ3311" s="126" t="e">
        <v>#N/A</v>
      </c>
      <c r="AK3311" s="80">
        <f t="shared" si="508"/>
        <v>0</v>
      </c>
      <c r="AM3311" s="85"/>
    </row>
    <row r="3312" spans="1:39" hidden="1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13"/>
        <v>19417.48</v>
      </c>
      <c r="X3312" s="6">
        <f t="shared" si="514"/>
        <v>0</v>
      </c>
      <c r="Y3312" s="13">
        <f t="shared" si="506"/>
        <v>0</v>
      </c>
      <c r="Z3312" s="14">
        <v>0.03</v>
      </c>
      <c r="AA3312" s="6">
        <f t="shared" si="517"/>
        <v>0</v>
      </c>
      <c r="AB3312" s="4">
        <f t="shared" si="507"/>
        <v>0</v>
      </c>
      <c r="AC3312" s="4">
        <f t="shared" si="511"/>
        <v>0</v>
      </c>
      <c r="AD3312" s="6">
        <f t="shared" si="515"/>
        <v>0</v>
      </c>
      <c r="AE3312" s="2">
        <f>VLOOKUP(I3312,[1]媒体政策预估表!A:N,MATCH(O3312,[1]媒体政策预估表!$A$2:$M$2,0),0)</f>
        <v>0</v>
      </c>
      <c r="AF3312" s="6">
        <f t="shared" si="512"/>
        <v>0</v>
      </c>
      <c r="AG3312" s="14">
        <v>0</v>
      </c>
      <c r="AH3312" s="64">
        <f t="shared" si="516"/>
        <v>0</v>
      </c>
      <c r="AI3312" s="47"/>
      <c r="AJ3312" s="126" t="e">
        <v>#N/A</v>
      </c>
      <c r="AK3312" s="80">
        <f t="shared" si="508"/>
        <v>0</v>
      </c>
      <c r="AM3312" s="85"/>
    </row>
    <row r="3313" spans="1:39" hidden="1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13"/>
        <v>0</v>
      </c>
      <c r="X3313" s="6">
        <f t="shared" si="514"/>
        <v>905000</v>
      </c>
      <c r="Y3313" s="13">
        <f t="shared" si="506"/>
        <v>0</v>
      </c>
      <c r="Z3313" s="14">
        <v>0</v>
      </c>
      <c r="AA3313" s="6">
        <v>0</v>
      </c>
      <c r="AB3313" s="4">
        <f t="shared" si="507"/>
        <v>905000</v>
      </c>
      <c r="AC3313" s="4">
        <f t="shared" si="511"/>
        <v>0</v>
      </c>
      <c r="AD3313" s="6">
        <f t="shared" si="515"/>
        <v>905000</v>
      </c>
      <c r="AE3313" s="2">
        <f>VLOOKUP(I3313,[1]媒体政策预估表!A:N,MATCH(O3313,[1]媒体政策预估表!$A$2:$M$2,0),0)</f>
        <v>0</v>
      </c>
      <c r="AF3313" s="6">
        <f t="shared" si="512"/>
        <v>0</v>
      </c>
      <c r="AG3313" s="14">
        <v>0</v>
      </c>
      <c r="AH3313" s="64">
        <f t="shared" si="516"/>
        <v>905000</v>
      </c>
      <c r="AI3313" s="47"/>
      <c r="AJ3313" s="126" t="e">
        <v>#N/A</v>
      </c>
      <c r="AK3313" s="80">
        <f t="shared" si="508"/>
        <v>0</v>
      </c>
      <c r="AM3313" s="85"/>
    </row>
    <row r="3314" spans="1:39" hidden="1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13"/>
        <v>100258.00999999995</v>
      </c>
      <c r="X3314" s="6">
        <f t="shared" si="514"/>
        <v>501045.82</v>
      </c>
      <c r="Y3314" s="13">
        <f t="shared" si="506"/>
        <v>0</v>
      </c>
      <c r="Z3314" s="14">
        <v>0.03</v>
      </c>
      <c r="AA3314" s="6">
        <f>X3314*Z3314</f>
        <v>15031.374599999999</v>
      </c>
      <c r="AB3314" s="4">
        <f t="shared" si="507"/>
        <v>516077.19459999999</v>
      </c>
      <c r="AC3314" s="4">
        <f t="shared" si="511"/>
        <v>0</v>
      </c>
      <c r="AD3314" s="6">
        <f t="shared" si="515"/>
        <v>501045.82</v>
      </c>
      <c r="AE3314" s="2">
        <f>VLOOKUP(I3314,[1]媒体政策预估表!A:N,MATCH(O3314,[1]媒体政策预估表!$A$2:$M$2,0),0)</f>
        <v>0</v>
      </c>
      <c r="AF3314" s="6">
        <f t="shared" si="512"/>
        <v>0</v>
      </c>
      <c r="AG3314" s="14">
        <v>0</v>
      </c>
      <c r="AH3314" s="64">
        <f t="shared" si="516"/>
        <v>501045.82</v>
      </c>
      <c r="AI3314" s="47"/>
      <c r="AJ3314" s="126" t="e">
        <v>#N/A</v>
      </c>
      <c r="AK3314" s="80">
        <f t="shared" si="508"/>
        <v>0</v>
      </c>
      <c r="AM3314" s="85"/>
    </row>
    <row r="3315" spans="1:39" hidden="1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13"/>
        <v>0</v>
      </c>
      <c r="X3315" s="6">
        <f t="shared" si="514"/>
        <v>95000</v>
      </c>
      <c r="Y3315" s="13">
        <f t="shared" si="506"/>
        <v>0</v>
      </c>
      <c r="Z3315" s="14">
        <v>0</v>
      </c>
      <c r="AA3315" s="6">
        <v>0</v>
      </c>
      <c r="AB3315" s="4">
        <f t="shared" si="507"/>
        <v>95000</v>
      </c>
      <c r="AC3315" s="4">
        <f t="shared" si="511"/>
        <v>0</v>
      </c>
      <c r="AD3315" s="6">
        <f t="shared" si="515"/>
        <v>95000</v>
      </c>
      <c r="AE3315" s="2">
        <f>VLOOKUP(I3315,[1]媒体政策预估表!A:N,MATCH(O3315,[1]媒体政策预估表!$A$2:$M$2,0),0)</f>
        <v>0</v>
      </c>
      <c r="AF3315" s="6">
        <f t="shared" si="512"/>
        <v>0</v>
      </c>
      <c r="AG3315" s="14">
        <v>0</v>
      </c>
      <c r="AH3315" s="64">
        <f t="shared" si="516"/>
        <v>95000</v>
      </c>
      <c r="AI3315" s="47"/>
      <c r="AJ3315" s="126" t="e">
        <v>#N/A</v>
      </c>
      <c r="AK3315" s="80">
        <f t="shared" si="508"/>
        <v>0</v>
      </c>
      <c r="AM3315" s="85"/>
    </row>
    <row r="3316" spans="1:39" hidden="1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13"/>
        <v>12932.49000000002</v>
      </c>
      <c r="X3316" s="6">
        <f t="shared" si="514"/>
        <v>97225.98</v>
      </c>
      <c r="Y3316" s="13">
        <f t="shared" si="506"/>
        <v>0</v>
      </c>
      <c r="Z3316" s="14">
        <v>0</v>
      </c>
      <c r="AA3316" s="6">
        <v>0</v>
      </c>
      <c r="AB3316" s="4">
        <f t="shared" si="507"/>
        <v>97225.98</v>
      </c>
      <c r="AC3316" s="4">
        <f t="shared" si="511"/>
        <v>0</v>
      </c>
      <c r="AD3316" s="6">
        <f t="shared" si="515"/>
        <v>97225.98</v>
      </c>
      <c r="AE3316" s="2">
        <f>VLOOKUP(I3316,[1]媒体政策预估表!A:N,MATCH(O3316,[1]媒体政策预估表!$A$2:$M$2,0),0)</f>
        <v>0</v>
      </c>
      <c r="AF3316" s="6">
        <f t="shared" si="512"/>
        <v>0</v>
      </c>
      <c r="AG3316" s="14">
        <v>0</v>
      </c>
      <c r="AH3316" s="64">
        <f t="shared" si="516"/>
        <v>97225.98</v>
      </c>
      <c r="AI3316" s="47"/>
      <c r="AJ3316" s="126" t="e">
        <v>#N/A</v>
      </c>
      <c r="AK3316" s="80">
        <f t="shared" si="508"/>
        <v>0</v>
      </c>
      <c r="AM3316" s="85"/>
    </row>
    <row r="3317" spans="1:39" hidden="1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13"/>
        <v>13175.779999999995</v>
      </c>
      <c r="X3317" s="6">
        <f t="shared" si="514"/>
        <v>32359.98</v>
      </c>
      <c r="Y3317" s="13">
        <f t="shared" si="506"/>
        <v>0</v>
      </c>
      <c r="Z3317" s="14">
        <v>0.05</v>
      </c>
      <c r="AA3317" s="6">
        <f>X3317/(1-Z3317)*Z3317</f>
        <v>1703.1568421052632</v>
      </c>
      <c r="AB3317" s="4">
        <f t="shared" si="507"/>
        <v>34063.136842105261</v>
      </c>
      <c r="AC3317" s="4">
        <f t="shared" si="511"/>
        <v>0</v>
      </c>
      <c r="AD3317" s="6">
        <f t="shared" si="515"/>
        <v>32359.98</v>
      </c>
      <c r="AE3317" s="2">
        <f>VLOOKUP(I3317,[1]媒体政策预估表!A:N,MATCH(O3317,[1]媒体政策预估表!$A$2:$M$2,0),0)</f>
        <v>0</v>
      </c>
      <c r="AF3317" s="6">
        <f t="shared" si="512"/>
        <v>0</v>
      </c>
      <c r="AG3317" s="14">
        <v>0</v>
      </c>
      <c r="AH3317" s="64">
        <f t="shared" si="516"/>
        <v>32359.98</v>
      </c>
      <c r="AI3317" s="47"/>
      <c r="AJ3317" s="126" t="e">
        <v>#N/A</v>
      </c>
      <c r="AK3317" s="80">
        <f t="shared" si="508"/>
        <v>0</v>
      </c>
      <c r="AM3317" s="85"/>
    </row>
    <row r="3318" spans="1:39" hidden="1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13"/>
        <v>113861.02000000005</v>
      </c>
      <c r="X3318" s="6">
        <f t="shared" si="514"/>
        <v>61993.16</v>
      </c>
      <c r="Y3318" s="13">
        <f t="shared" si="506"/>
        <v>0</v>
      </c>
      <c r="Z3318" s="14">
        <v>0.03</v>
      </c>
      <c r="AA3318" s="6">
        <f>X3318*Z3318</f>
        <v>1859.7948000000001</v>
      </c>
      <c r="AB3318" s="4">
        <f t="shared" si="507"/>
        <v>63852.954800000007</v>
      </c>
      <c r="AC3318" s="4">
        <f t="shared" si="511"/>
        <v>0</v>
      </c>
      <c r="AD3318" s="6">
        <f t="shared" si="515"/>
        <v>61993.16</v>
      </c>
      <c r="AE3318" s="2">
        <f>VLOOKUP(I3318,[1]媒体政策预估表!A:N,MATCH(O3318,[1]媒体政策预估表!$A$2:$M$2,0),0)</f>
        <v>0</v>
      </c>
      <c r="AF3318" s="6">
        <f t="shared" si="512"/>
        <v>0</v>
      </c>
      <c r="AG3318" s="14">
        <v>0</v>
      </c>
      <c r="AH3318" s="64">
        <f t="shared" si="516"/>
        <v>61993.16</v>
      </c>
      <c r="AI3318" s="47"/>
      <c r="AJ3318" s="126" t="e">
        <v>#N/A</v>
      </c>
      <c r="AK3318" s="80">
        <f t="shared" si="508"/>
        <v>0</v>
      </c>
      <c r="AM3318" s="85"/>
    </row>
    <row r="3319" spans="1:39" hidden="1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13"/>
        <v>4181563.970000003</v>
      </c>
      <c r="X3319" s="6">
        <f t="shared" si="514"/>
        <v>2257749.9700000002</v>
      </c>
      <c r="Y3319" s="13">
        <f t="shared" si="506"/>
        <v>0</v>
      </c>
      <c r="Z3319" s="14">
        <v>0</v>
      </c>
      <c r="AA3319" s="6">
        <v>0</v>
      </c>
      <c r="AB3319" s="4">
        <f t="shared" si="507"/>
        <v>2257749.9700000002</v>
      </c>
      <c r="AC3319" s="4">
        <f t="shared" si="511"/>
        <v>0</v>
      </c>
      <c r="AD3319" s="6">
        <f t="shared" si="515"/>
        <v>2257749.9700000002</v>
      </c>
      <c r="AE3319" s="2">
        <f>VLOOKUP(I3319,[1]媒体政策预估表!A:N,MATCH(O3319,[1]媒体政策预估表!$A$2:$M$2,0),0)</f>
        <v>0</v>
      </c>
      <c r="AF3319" s="6">
        <f t="shared" si="512"/>
        <v>0</v>
      </c>
      <c r="AG3319" s="14">
        <v>0</v>
      </c>
      <c r="AH3319" s="64">
        <f t="shared" si="516"/>
        <v>2257749.9700000002</v>
      </c>
      <c r="AI3319" s="47"/>
      <c r="AJ3319" s="126" t="e">
        <v>#N/A</v>
      </c>
      <c r="AK3319" s="80">
        <f t="shared" si="508"/>
        <v>0</v>
      </c>
      <c r="AM3319" s="85"/>
    </row>
    <row r="3320" spans="1:39" hidden="1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13"/>
        <v>43230.900000000023</v>
      </c>
      <c r="X3320" s="6">
        <f t="shared" si="514"/>
        <v>422620.32</v>
      </c>
      <c r="Y3320" s="13">
        <f t="shared" si="506"/>
        <v>0</v>
      </c>
      <c r="Z3320" s="14">
        <v>0.03</v>
      </c>
      <c r="AA3320" s="6">
        <f>X3320*Z3320</f>
        <v>12678.6096</v>
      </c>
      <c r="AB3320" s="4">
        <f t="shared" si="507"/>
        <v>435298.92960000003</v>
      </c>
      <c r="AC3320" s="4">
        <f t="shared" si="511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12"/>
        <v>0</v>
      </c>
      <c r="AG3320" s="14">
        <v>0</v>
      </c>
      <c r="AH3320" s="64">
        <f t="shared" si="516"/>
        <v>422620.32</v>
      </c>
      <c r="AI3320" s="47"/>
      <c r="AJ3320" s="126" t="e">
        <v>#N/A</v>
      </c>
      <c r="AK3320" s="80">
        <f t="shared" si="508"/>
        <v>0</v>
      </c>
      <c r="AM3320" s="85"/>
    </row>
    <row r="3321" spans="1:39" hidden="1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13"/>
        <v>112682.45999999993</v>
      </c>
      <c r="X3321" s="6">
        <f t="shared" si="514"/>
        <v>87317.540000000066</v>
      </c>
      <c r="Y3321" s="13">
        <f t="shared" si="506"/>
        <v>0</v>
      </c>
      <c r="Z3321" s="14">
        <v>0</v>
      </c>
      <c r="AA3321" s="6">
        <v>0</v>
      </c>
      <c r="AB3321" s="4">
        <f t="shared" si="507"/>
        <v>87317.540000000066</v>
      </c>
      <c r="AC3321" s="4">
        <f t="shared" si="511"/>
        <v>0</v>
      </c>
      <c r="AD3321" s="6">
        <f t="shared" si="515"/>
        <v>87317.540000000066</v>
      </c>
      <c r="AE3321" s="2">
        <f>VLOOKUP(I3321,[1]媒体政策预估表!A:N,MATCH(O3321,[1]媒体政策预估表!$A$2:$M$2,0),0)</f>
        <v>0</v>
      </c>
      <c r="AF3321" s="6">
        <f t="shared" si="512"/>
        <v>0</v>
      </c>
      <c r="AG3321" s="14">
        <v>0</v>
      </c>
      <c r="AH3321" s="64">
        <f t="shared" si="516"/>
        <v>87317.540000000066</v>
      </c>
      <c r="AI3321" s="47"/>
      <c r="AJ3321" s="126" t="e">
        <v>#N/A</v>
      </c>
      <c r="AK3321" s="80">
        <f t="shared" si="508"/>
        <v>0</v>
      </c>
      <c r="AM3321" s="85"/>
    </row>
    <row r="3322" spans="1:39" hidden="1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13"/>
        <v>199.36000000000081</v>
      </c>
      <c r="X3322" s="6">
        <f t="shared" si="514"/>
        <v>1372.3</v>
      </c>
      <c r="Y3322" s="13">
        <f t="shared" si="506"/>
        <v>0</v>
      </c>
      <c r="Z3322" s="14">
        <v>0.03</v>
      </c>
      <c r="AA3322" s="6">
        <f t="shared" ref="AA3322:AA3324" si="518">X3322*Z3322</f>
        <v>41.168999999999997</v>
      </c>
      <c r="AB3322" s="4">
        <f t="shared" si="507"/>
        <v>1413.4690000000001</v>
      </c>
      <c r="AC3322" s="4">
        <f t="shared" si="511"/>
        <v>0</v>
      </c>
      <c r="AD3322" s="6">
        <f t="shared" si="515"/>
        <v>1372.3</v>
      </c>
      <c r="AE3322" s="2">
        <f>VLOOKUP(I3322,[1]媒体政策预估表!A:N,MATCH(O3322,[1]媒体政策预估表!$A$2:$M$2,0),0)</f>
        <v>0</v>
      </c>
      <c r="AF3322" s="6">
        <f t="shared" si="512"/>
        <v>0</v>
      </c>
      <c r="AG3322" s="14">
        <v>0</v>
      </c>
      <c r="AH3322" s="64">
        <f t="shared" si="516"/>
        <v>1372.3</v>
      </c>
      <c r="AI3322" s="47"/>
      <c r="AJ3322" s="126" t="e">
        <v>#N/A</v>
      </c>
      <c r="AK3322" s="80">
        <f t="shared" si="508"/>
        <v>0</v>
      </c>
      <c r="AM3322" s="85"/>
    </row>
    <row r="3323" spans="1:39" hidden="1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13"/>
        <v>-611.86999999856835</v>
      </c>
      <c r="X3323" s="6">
        <f t="shared" si="514"/>
        <v>0</v>
      </c>
      <c r="Y3323" s="13">
        <f t="shared" si="506"/>
        <v>0</v>
      </c>
      <c r="Z3323" s="14">
        <v>5.5E-2</v>
      </c>
      <c r="AA3323" s="6">
        <f t="shared" si="518"/>
        <v>0</v>
      </c>
      <c r="AB3323" s="4">
        <f t="shared" si="507"/>
        <v>0</v>
      </c>
      <c r="AC3323" s="4">
        <f t="shared" si="511"/>
        <v>0</v>
      </c>
      <c r="AD3323" s="6">
        <f t="shared" si="515"/>
        <v>0</v>
      </c>
      <c r="AE3323" s="2">
        <f>VLOOKUP(I3323,[1]媒体政策预估表!A:N,MATCH(O3323,[1]媒体政策预估表!$A$2:$M$2,0),0)</f>
        <v>0</v>
      </c>
      <c r="AF3323" s="6">
        <f t="shared" si="512"/>
        <v>0</v>
      </c>
      <c r="AG3323" s="14">
        <v>0</v>
      </c>
      <c r="AH3323" s="64">
        <f t="shared" si="516"/>
        <v>0</v>
      </c>
      <c r="AI3323" s="47"/>
      <c r="AJ3323" s="126" t="e">
        <v>#N/A</v>
      </c>
      <c r="AK3323" s="80">
        <f t="shared" si="508"/>
        <v>0</v>
      </c>
      <c r="AM3323" s="85"/>
    </row>
    <row r="3324" spans="1:39" hidden="1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13"/>
        <v>515545.09999999567</v>
      </c>
      <c r="X3324" s="6">
        <f t="shared" si="514"/>
        <v>0</v>
      </c>
      <c r="Y3324" s="13">
        <f t="shared" si="506"/>
        <v>0</v>
      </c>
      <c r="Z3324" s="14">
        <v>5.5E-2</v>
      </c>
      <c r="AA3324" s="6">
        <f t="shared" si="518"/>
        <v>0</v>
      </c>
      <c r="AB3324" s="4">
        <f t="shared" si="507"/>
        <v>0</v>
      </c>
      <c r="AC3324" s="4">
        <f t="shared" si="511"/>
        <v>0</v>
      </c>
      <c r="AD3324" s="6">
        <f t="shared" si="515"/>
        <v>0</v>
      </c>
      <c r="AE3324" s="2">
        <f>VLOOKUP(I3324,[1]媒体政策预估表!A:N,MATCH(O3324,[1]媒体政策预估表!$A$2:$M$2,0),0)</f>
        <v>0</v>
      </c>
      <c r="AF3324" s="6">
        <f t="shared" si="512"/>
        <v>0</v>
      </c>
      <c r="AG3324" s="14">
        <v>0</v>
      </c>
      <c r="AH3324" s="64">
        <f t="shared" si="516"/>
        <v>0</v>
      </c>
      <c r="AI3324" s="47"/>
      <c r="AJ3324" s="126" t="e">
        <v>#N/A</v>
      </c>
      <c r="AK3324" s="80">
        <f t="shared" si="508"/>
        <v>0</v>
      </c>
      <c r="AM3324" s="85"/>
    </row>
    <row r="3325" spans="1:39" hidden="1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13"/>
        <v>249213.60000000003</v>
      </c>
      <c r="X3325" s="6">
        <f t="shared" si="514"/>
        <v>5336</v>
      </c>
      <c r="Y3325" s="13">
        <f t="shared" si="506"/>
        <v>0</v>
      </c>
      <c r="Z3325" s="14">
        <v>0.03</v>
      </c>
      <c r="AA3325" s="6">
        <f>X3325/(1-Z3325)*Z3325</f>
        <v>165.03092783505153</v>
      </c>
      <c r="AB3325" s="4">
        <f t="shared" si="507"/>
        <v>5501.0309278350514</v>
      </c>
      <c r="AC3325" s="4">
        <f t="shared" si="511"/>
        <v>0</v>
      </c>
      <c r="AD3325" s="6">
        <f t="shared" si="515"/>
        <v>5336</v>
      </c>
      <c r="AE3325" s="2">
        <f>VLOOKUP(I3325,[1]媒体政策预估表!A:N,MATCH(O3325,[1]媒体政策预估表!$A$2:$M$2,0),0)</f>
        <v>0</v>
      </c>
      <c r="AF3325" s="6">
        <f t="shared" si="512"/>
        <v>0</v>
      </c>
      <c r="AG3325" s="14">
        <v>0</v>
      </c>
      <c r="AH3325" s="64">
        <f t="shared" si="516"/>
        <v>5336</v>
      </c>
      <c r="AI3325" s="47"/>
      <c r="AJ3325" s="126" t="e">
        <v>#N/A</v>
      </c>
      <c r="AK3325" s="80">
        <f t="shared" si="508"/>
        <v>0</v>
      </c>
      <c r="AM3325" s="85"/>
    </row>
    <row r="3326" spans="1:39" hidden="1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13"/>
        <v>16893.330000000016</v>
      </c>
      <c r="X3326" s="6">
        <f t="shared" si="514"/>
        <v>22973.61</v>
      </c>
      <c r="Y3326" s="13">
        <f t="shared" si="506"/>
        <v>0</v>
      </c>
      <c r="Z3326" s="14">
        <v>0</v>
      </c>
      <c r="AA3326" s="6">
        <v>0</v>
      </c>
      <c r="AB3326" s="4">
        <f t="shared" si="507"/>
        <v>22973.61</v>
      </c>
      <c r="AC3326" s="4">
        <f t="shared" si="511"/>
        <v>0</v>
      </c>
      <c r="AD3326" s="6">
        <f t="shared" si="515"/>
        <v>22973.61</v>
      </c>
      <c r="AE3326" s="2">
        <f>VLOOKUP(I3326,[1]媒体政策预估表!A:N,MATCH(O3326,[1]媒体政策预估表!$A$2:$M$2,0),0)</f>
        <v>0</v>
      </c>
      <c r="AF3326" s="6">
        <f t="shared" si="512"/>
        <v>0</v>
      </c>
      <c r="AG3326" s="14">
        <v>0</v>
      </c>
      <c r="AH3326" s="64">
        <f t="shared" si="516"/>
        <v>22973.61</v>
      </c>
      <c r="AI3326" s="47"/>
      <c r="AJ3326" s="126" t="e">
        <v>#N/A</v>
      </c>
      <c r="AK3326" s="80">
        <f t="shared" si="508"/>
        <v>0</v>
      </c>
      <c r="AM3326" s="85"/>
    </row>
    <row r="3327" spans="1:39" hidden="1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13"/>
        <v>9708.74</v>
      </c>
      <c r="X3327" s="6">
        <f t="shared" si="514"/>
        <v>0</v>
      </c>
      <c r="Y3327" s="13">
        <f t="shared" si="506"/>
        <v>0</v>
      </c>
      <c r="Z3327" s="14">
        <v>0.03</v>
      </c>
      <c r="AA3327" s="6">
        <f>X3327*Z3327</f>
        <v>0</v>
      </c>
      <c r="AB3327" s="4">
        <f t="shared" si="507"/>
        <v>0</v>
      </c>
      <c r="AC3327" s="4">
        <f t="shared" si="511"/>
        <v>0</v>
      </c>
      <c r="AD3327" s="6">
        <f t="shared" si="515"/>
        <v>0</v>
      </c>
      <c r="AE3327" s="2">
        <f>VLOOKUP(I3327,[1]媒体政策预估表!A:N,MATCH(O3327,[1]媒体政策预估表!$A$2:$M$2,0),0)</f>
        <v>0</v>
      </c>
      <c r="AF3327" s="6">
        <f t="shared" si="512"/>
        <v>0</v>
      </c>
      <c r="AG3327" s="14">
        <v>0</v>
      </c>
      <c r="AH3327" s="64">
        <f t="shared" si="516"/>
        <v>0</v>
      </c>
      <c r="AI3327" s="47"/>
      <c r="AJ3327" s="126" t="e">
        <v>#N/A</v>
      </c>
      <c r="AK3327" s="80">
        <f t="shared" si="508"/>
        <v>0</v>
      </c>
      <c r="AM3327" s="85"/>
    </row>
    <row r="3328" spans="1:39" hidden="1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13"/>
        <v>894593.3899999999</v>
      </c>
      <c r="X3328" s="6">
        <f t="shared" si="514"/>
        <v>13.3</v>
      </c>
      <c r="Y3328" s="13">
        <f t="shared" si="506"/>
        <v>0</v>
      </c>
      <c r="Z3328" s="14">
        <v>0</v>
      </c>
      <c r="AA3328" s="6">
        <v>0</v>
      </c>
      <c r="AB3328" s="4">
        <f t="shared" si="507"/>
        <v>13.3</v>
      </c>
      <c r="AC3328" s="4">
        <f t="shared" si="511"/>
        <v>0</v>
      </c>
      <c r="AD3328" s="6">
        <f t="shared" si="515"/>
        <v>13.3</v>
      </c>
      <c r="AE3328" s="2">
        <f>VLOOKUP(I3328,[1]媒体政策预估表!A:N,MATCH(O3328,[1]媒体政策预估表!$A$2:$M$2,0),0)</f>
        <v>0</v>
      </c>
      <c r="AF3328" s="6">
        <f t="shared" si="512"/>
        <v>0</v>
      </c>
      <c r="AG3328" s="14">
        <v>0</v>
      </c>
      <c r="AH3328" s="64">
        <f t="shared" si="516"/>
        <v>13.3</v>
      </c>
      <c r="AI3328" s="47"/>
      <c r="AJ3328" s="126" t="e">
        <v>#N/A</v>
      </c>
      <c r="AK3328" s="80">
        <f t="shared" si="508"/>
        <v>0</v>
      </c>
      <c r="AM3328" s="85"/>
    </row>
    <row r="3329" spans="1:39" hidden="1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13"/>
        <v>8290.2999999999993</v>
      </c>
      <c r="X3329" s="6">
        <f t="shared" si="514"/>
        <v>0</v>
      </c>
      <c r="Y3329" s="13">
        <f t="shared" si="506"/>
        <v>0</v>
      </c>
      <c r="Z3329" s="14">
        <v>0.02</v>
      </c>
      <c r="AA3329" s="6">
        <f>X3329/(1-Z3329)*Z3329</f>
        <v>0</v>
      </c>
      <c r="AB3329" s="4">
        <f t="shared" si="507"/>
        <v>0</v>
      </c>
      <c r="AC3329" s="4">
        <f t="shared" si="511"/>
        <v>0</v>
      </c>
      <c r="AD3329" s="6">
        <f t="shared" si="515"/>
        <v>0</v>
      </c>
      <c r="AE3329" s="2">
        <f>VLOOKUP(I3329,[1]媒体政策预估表!A:N,MATCH(O3329,[1]媒体政策预估表!$A$2:$M$2,0),0)</f>
        <v>0</v>
      </c>
      <c r="AF3329" s="6">
        <f t="shared" si="512"/>
        <v>0</v>
      </c>
      <c r="AG3329" s="14">
        <v>0</v>
      </c>
      <c r="AH3329" s="64">
        <f t="shared" si="516"/>
        <v>0</v>
      </c>
      <c r="AI3329" s="47"/>
      <c r="AJ3329" s="126" t="e">
        <v>#N/A</v>
      </c>
      <c r="AK3329" s="80">
        <f t="shared" si="508"/>
        <v>0</v>
      </c>
      <c r="AM3329" s="85"/>
    </row>
    <row r="3330" spans="1:39" hidden="1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13"/>
        <v>37743.599999999627</v>
      </c>
      <c r="X3330" s="6">
        <f t="shared" si="514"/>
        <v>0</v>
      </c>
      <c r="Y3330" s="13">
        <f t="shared" si="506"/>
        <v>0</v>
      </c>
      <c r="Z3330" s="14">
        <v>0</v>
      </c>
      <c r="AA3330" s="6">
        <v>0</v>
      </c>
      <c r="AB3330" s="4">
        <f t="shared" si="507"/>
        <v>0</v>
      </c>
      <c r="AC3330" s="4">
        <f t="shared" si="511"/>
        <v>0</v>
      </c>
      <c r="AD3330" s="6">
        <f t="shared" si="515"/>
        <v>0</v>
      </c>
      <c r="AE3330" s="2">
        <f>VLOOKUP(I3330,[1]媒体政策预估表!A:N,MATCH(O3330,[1]媒体政策预估表!$A$2:$M$2,0),0)</f>
        <v>0</v>
      </c>
      <c r="AF3330" s="6">
        <f t="shared" si="512"/>
        <v>0</v>
      </c>
      <c r="AG3330" s="14">
        <v>0</v>
      </c>
      <c r="AH3330" s="64">
        <f t="shared" si="516"/>
        <v>0</v>
      </c>
      <c r="AI3330" s="47"/>
      <c r="AJ3330" s="126" t="e">
        <v>#N/A</v>
      </c>
      <c r="AK3330" s="80">
        <f t="shared" si="508"/>
        <v>0</v>
      </c>
      <c r="AM3330" s="85"/>
    </row>
    <row r="3331" spans="1:39" hidden="1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13"/>
        <v>27042.07</v>
      </c>
      <c r="X3331" s="6">
        <f t="shared" si="514"/>
        <v>0</v>
      </c>
      <c r="Y3331" s="13">
        <f t="shared" ref="Y3331:Y3394" si="519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20">X3331+AA3331</f>
        <v>0</v>
      </c>
      <c r="AC3331" s="4">
        <f t="shared" si="511"/>
        <v>0</v>
      </c>
      <c r="AD3331" s="6">
        <f t="shared" si="515"/>
        <v>0</v>
      </c>
      <c r="AE3331" s="2">
        <f>VLOOKUP(I3331,[1]媒体政策预估表!A:N,MATCH(O3331,[1]媒体政策预估表!$A$2:$M$2,0),0)</f>
        <v>0</v>
      </c>
      <c r="AF3331" s="6">
        <f t="shared" si="512"/>
        <v>0</v>
      </c>
      <c r="AG3331" s="14">
        <v>0</v>
      </c>
      <c r="AH3331" s="64">
        <f t="shared" si="516"/>
        <v>0</v>
      </c>
      <c r="AI3331" s="47"/>
      <c r="AJ3331" s="126" t="e">
        <v>#N/A</v>
      </c>
      <c r="AK3331" s="80">
        <f t="shared" ref="AK3331:AK3394" si="521">X3331+AA3331-AB3331</f>
        <v>0</v>
      </c>
      <c r="AM3331" s="85"/>
    </row>
    <row r="3332" spans="1:39" hidden="1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13"/>
        <v>2.4699999999955082</v>
      </c>
      <c r="X3332" s="6">
        <f t="shared" si="514"/>
        <v>0</v>
      </c>
      <c r="Y3332" s="13">
        <f t="shared" si="519"/>
        <v>0</v>
      </c>
      <c r="Z3332" s="14">
        <v>0</v>
      </c>
      <c r="AA3332" s="6">
        <v>0</v>
      </c>
      <c r="AB3332" s="4">
        <f t="shared" si="520"/>
        <v>0</v>
      </c>
      <c r="AC3332" s="4">
        <f t="shared" si="511"/>
        <v>0</v>
      </c>
      <c r="AD3332" s="6">
        <f t="shared" si="515"/>
        <v>0</v>
      </c>
      <c r="AE3332" s="2">
        <f>VLOOKUP(I3332,[1]媒体政策预估表!A:N,MATCH(O3332,[1]媒体政策预估表!$A$2:$M$2,0),0)</f>
        <v>0</v>
      </c>
      <c r="AF3332" s="6">
        <f t="shared" si="512"/>
        <v>0</v>
      </c>
      <c r="AG3332" s="14">
        <v>0</v>
      </c>
      <c r="AH3332" s="64">
        <f t="shared" si="516"/>
        <v>0</v>
      </c>
      <c r="AI3332" s="47"/>
      <c r="AJ3332" s="126" t="e">
        <v>#N/A</v>
      </c>
      <c r="AK3332" s="80">
        <f t="shared" si="521"/>
        <v>0</v>
      </c>
      <c r="AM3332" s="85"/>
    </row>
    <row r="3333" spans="1:39" hidden="1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13"/>
        <v>70.369999999999891</v>
      </c>
      <c r="X3333" s="6">
        <f t="shared" si="514"/>
        <v>0</v>
      </c>
      <c r="Y3333" s="13">
        <f t="shared" si="519"/>
        <v>0</v>
      </c>
      <c r="Z3333" s="14">
        <v>0.03</v>
      </c>
      <c r="AA3333" s="6">
        <f>X3333*Z3333</f>
        <v>0</v>
      </c>
      <c r="AB3333" s="4">
        <f t="shared" si="520"/>
        <v>0</v>
      </c>
      <c r="AC3333" s="4">
        <f t="shared" si="511"/>
        <v>0</v>
      </c>
      <c r="AD3333" s="6">
        <f t="shared" si="515"/>
        <v>0</v>
      </c>
      <c r="AE3333" s="2">
        <f>VLOOKUP(I3333,[1]媒体政策预估表!A:N,MATCH(O3333,[1]媒体政策预估表!$A$2:$M$2,0),0)</f>
        <v>0</v>
      </c>
      <c r="AF3333" s="6">
        <f t="shared" si="512"/>
        <v>0</v>
      </c>
      <c r="AG3333" s="14">
        <v>0</v>
      </c>
      <c r="AH3333" s="64">
        <f t="shared" si="516"/>
        <v>0</v>
      </c>
      <c r="AI3333" s="47"/>
      <c r="AJ3333" s="126" t="e">
        <v>#N/A</v>
      </c>
      <c r="AK3333" s="80">
        <f t="shared" si="521"/>
        <v>0</v>
      </c>
      <c r="AM3333" s="85"/>
    </row>
    <row r="3334" spans="1:39" hidden="1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13"/>
        <v>63847.100000000006</v>
      </c>
      <c r="X3334" s="6">
        <f t="shared" si="514"/>
        <v>0</v>
      </c>
      <c r="Y3334" s="13">
        <f t="shared" si="519"/>
        <v>0</v>
      </c>
      <c r="Z3334" s="14">
        <v>0.03</v>
      </c>
      <c r="AA3334" s="6">
        <f>X3334/(1-Z3334)*Z3334</f>
        <v>0</v>
      </c>
      <c r="AB3334" s="4">
        <f t="shared" si="520"/>
        <v>0</v>
      </c>
      <c r="AC3334" s="4">
        <f t="shared" si="511"/>
        <v>0</v>
      </c>
      <c r="AD3334" s="6">
        <f t="shared" si="515"/>
        <v>0</v>
      </c>
      <c r="AE3334" s="2">
        <f>VLOOKUP(I3334,[1]媒体政策预估表!A:N,MATCH(O3334,[1]媒体政策预估表!$A$2:$M$2,0),0)</f>
        <v>0</v>
      </c>
      <c r="AF3334" s="6">
        <f t="shared" si="512"/>
        <v>0</v>
      </c>
      <c r="AG3334" s="14">
        <v>0</v>
      </c>
      <c r="AH3334" s="64">
        <f t="shared" si="516"/>
        <v>0</v>
      </c>
      <c r="AI3334" s="47"/>
      <c r="AJ3334" s="126" t="e">
        <v>#N/A</v>
      </c>
      <c r="AK3334" s="80">
        <f t="shared" si="521"/>
        <v>0</v>
      </c>
      <c r="AM3334" s="85"/>
    </row>
    <row r="3335" spans="1:39" hidden="1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13"/>
        <v>77.179999999999552</v>
      </c>
      <c r="X3335" s="6">
        <f t="shared" si="514"/>
        <v>54.12</v>
      </c>
      <c r="Y3335" s="13">
        <f t="shared" si="519"/>
        <v>0</v>
      </c>
      <c r="Z3335" s="14">
        <v>0.05</v>
      </c>
      <c r="AA3335" s="6">
        <f t="shared" ref="AA3335:AA3336" si="522">X3335*Z3335</f>
        <v>2.706</v>
      </c>
      <c r="AB3335" s="4">
        <f t="shared" si="520"/>
        <v>56.826000000000001</v>
      </c>
      <c r="AC3335" s="4">
        <f t="shared" si="511"/>
        <v>0</v>
      </c>
      <c r="AD3335" s="6">
        <f t="shared" si="515"/>
        <v>54.12</v>
      </c>
      <c r="AE3335" s="2">
        <f>VLOOKUP(I3335,[1]媒体政策预估表!A:N,MATCH(O3335,[1]媒体政策预估表!$A$2:$M$2,0),0)</f>
        <v>0</v>
      </c>
      <c r="AF3335" s="6">
        <f t="shared" si="512"/>
        <v>0</v>
      </c>
      <c r="AG3335" s="14">
        <v>0</v>
      </c>
      <c r="AH3335" s="64">
        <f t="shared" si="516"/>
        <v>54.12</v>
      </c>
      <c r="AI3335" s="47"/>
      <c r="AJ3335" s="126" t="e">
        <v>#N/A</v>
      </c>
      <c r="AK3335" s="80">
        <f t="shared" si="521"/>
        <v>0</v>
      </c>
      <c r="AM3335" s="85"/>
    </row>
    <row r="3336" spans="1:39" hidden="1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13"/>
        <v>5786.369999999999</v>
      </c>
      <c r="X3336" s="6">
        <f t="shared" si="514"/>
        <v>0</v>
      </c>
      <c r="Y3336" s="13">
        <f t="shared" si="519"/>
        <v>0</v>
      </c>
      <c r="Z3336" s="14">
        <v>0.03</v>
      </c>
      <c r="AA3336" s="6">
        <f t="shared" si="522"/>
        <v>0</v>
      </c>
      <c r="AB3336" s="4">
        <f t="shared" si="520"/>
        <v>0</v>
      </c>
      <c r="AC3336" s="4">
        <f t="shared" si="511"/>
        <v>0</v>
      </c>
      <c r="AD3336" s="6">
        <f t="shared" si="515"/>
        <v>0</v>
      </c>
      <c r="AE3336" s="2">
        <f>VLOOKUP(I3336,[1]媒体政策预估表!A:N,MATCH(O3336,[1]媒体政策预估表!$A$2:$M$2,0),0)</f>
        <v>0</v>
      </c>
      <c r="AF3336" s="6">
        <f t="shared" si="512"/>
        <v>0</v>
      </c>
      <c r="AG3336" s="14">
        <v>0</v>
      </c>
      <c r="AH3336" s="64">
        <f t="shared" si="516"/>
        <v>0</v>
      </c>
      <c r="AI3336" s="47"/>
      <c r="AJ3336" s="126" t="e">
        <v>#N/A</v>
      </c>
      <c r="AK3336" s="80">
        <f t="shared" si="521"/>
        <v>0</v>
      </c>
      <c r="AM3336" s="85"/>
    </row>
    <row r="3337" spans="1:39" hidden="1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13"/>
        <v>-9.7999999999956344</v>
      </c>
      <c r="X3337" s="6">
        <f t="shared" si="514"/>
        <v>0</v>
      </c>
      <c r="Y3337" s="13">
        <f t="shared" si="519"/>
        <v>0</v>
      </c>
      <c r="Z3337" s="14">
        <v>0</v>
      </c>
      <c r="AA3337" s="6">
        <v>0</v>
      </c>
      <c r="AB3337" s="4">
        <f t="shared" si="520"/>
        <v>0</v>
      </c>
      <c r="AC3337" s="4">
        <f t="shared" si="511"/>
        <v>0</v>
      </c>
      <c r="AD3337" s="6">
        <f t="shared" si="515"/>
        <v>0</v>
      </c>
      <c r="AE3337" s="2">
        <f>VLOOKUP(I3337,[1]媒体政策预估表!A:N,MATCH(O3337,[1]媒体政策预估表!$A$2:$M$2,0),0)</f>
        <v>0</v>
      </c>
      <c r="AF3337" s="6">
        <f t="shared" si="512"/>
        <v>0</v>
      </c>
      <c r="AG3337" s="14">
        <v>0</v>
      </c>
      <c r="AH3337" s="64">
        <f t="shared" si="516"/>
        <v>0</v>
      </c>
      <c r="AI3337" s="47"/>
      <c r="AJ3337" s="126" t="e">
        <v>#N/A</v>
      </c>
      <c r="AK3337" s="80">
        <f t="shared" si="521"/>
        <v>0</v>
      </c>
      <c r="AM3337" s="85"/>
    </row>
    <row r="3338" spans="1:39" hidden="1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13"/>
        <v>149.69999999999982</v>
      </c>
      <c r="X3338" s="6">
        <f t="shared" si="514"/>
        <v>0</v>
      </c>
      <c r="Y3338" s="13">
        <f t="shared" si="519"/>
        <v>0</v>
      </c>
      <c r="Z3338" s="14">
        <v>0.01</v>
      </c>
      <c r="AA3338" s="6">
        <f>X3338*Z3338</f>
        <v>0</v>
      </c>
      <c r="AB3338" s="4">
        <f t="shared" si="520"/>
        <v>0</v>
      </c>
      <c r="AC3338" s="4">
        <f t="shared" si="511"/>
        <v>0</v>
      </c>
      <c r="AD3338" s="6">
        <f t="shared" si="515"/>
        <v>0</v>
      </c>
      <c r="AE3338" s="2">
        <f>VLOOKUP(I3338,[1]媒体政策预估表!A:N,MATCH(O3338,[1]媒体政策预估表!$A$2:$M$2,0),0)</f>
        <v>0</v>
      </c>
      <c r="AF3338" s="6">
        <f t="shared" si="512"/>
        <v>0</v>
      </c>
      <c r="AG3338" s="14">
        <v>0</v>
      </c>
      <c r="AH3338" s="64">
        <f t="shared" si="516"/>
        <v>0</v>
      </c>
      <c r="AI3338" s="47"/>
      <c r="AJ3338" s="126" t="e">
        <v>#N/A</v>
      </c>
      <c r="AK3338" s="80">
        <f t="shared" si="521"/>
        <v>0</v>
      </c>
      <c r="AM3338" s="85"/>
    </row>
    <row r="3339" spans="1:39" hidden="1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13"/>
        <v>36329.809999999983</v>
      </c>
      <c r="X3339" s="6">
        <f t="shared" si="514"/>
        <v>0</v>
      </c>
      <c r="Y3339" s="13">
        <f t="shared" si="519"/>
        <v>0</v>
      </c>
      <c r="Z3339" s="14">
        <v>0</v>
      </c>
      <c r="AA3339" s="6">
        <v>0</v>
      </c>
      <c r="AB3339" s="4">
        <f t="shared" si="520"/>
        <v>0</v>
      </c>
      <c r="AC3339" s="4">
        <f t="shared" si="511"/>
        <v>0</v>
      </c>
      <c r="AD3339" s="6">
        <f t="shared" si="515"/>
        <v>0</v>
      </c>
      <c r="AE3339" s="2">
        <f>VLOOKUP(I3339,[1]媒体政策预估表!A:N,MATCH(O3339,[1]媒体政策预估表!$A$2:$M$2,0),0)</f>
        <v>0</v>
      </c>
      <c r="AF3339" s="6">
        <f t="shared" si="512"/>
        <v>0</v>
      </c>
      <c r="AG3339" s="14">
        <v>0</v>
      </c>
      <c r="AH3339" s="64">
        <f t="shared" si="516"/>
        <v>0</v>
      </c>
      <c r="AI3339" s="47"/>
      <c r="AJ3339" s="126" t="e">
        <v>#N/A</v>
      </c>
      <c r="AK3339" s="80">
        <f t="shared" si="521"/>
        <v>0</v>
      </c>
      <c r="AM3339" s="85"/>
    </row>
    <row r="3340" spans="1:39" hidden="1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13"/>
        <v>12099.5</v>
      </c>
      <c r="X3340" s="6">
        <f t="shared" si="514"/>
        <v>0</v>
      </c>
      <c r="Y3340" s="13">
        <f t="shared" si="519"/>
        <v>0</v>
      </c>
      <c r="Z3340" s="14">
        <v>0</v>
      </c>
      <c r="AA3340" s="6">
        <v>0</v>
      </c>
      <c r="AB3340" s="4">
        <f t="shared" si="520"/>
        <v>0</v>
      </c>
      <c r="AC3340" s="4">
        <f t="shared" ref="AC3340:AC3403" si="523">IF(P3340="返现",X3340*Q3340,V3340-X3340)</f>
        <v>0</v>
      </c>
      <c r="AD3340" s="6">
        <f t="shared" si="515"/>
        <v>0</v>
      </c>
      <c r="AE3340" s="2">
        <f>VLOOKUP(I3340,[1]媒体政策预估表!A:N,MATCH(O3340,[1]媒体政策预估表!$A$2:$M$2,0),0)</f>
        <v>0</v>
      </c>
      <c r="AF3340" s="6">
        <f t="shared" ref="AF3340:AF3403" si="524">AD3340*AE3340</f>
        <v>0</v>
      </c>
      <c r="AG3340" s="14">
        <v>0</v>
      </c>
      <c r="AH3340" s="64">
        <f t="shared" si="516"/>
        <v>0</v>
      </c>
      <c r="AI3340" s="47"/>
      <c r="AJ3340" s="126" t="e">
        <v>#N/A</v>
      </c>
      <c r="AK3340" s="80">
        <f t="shared" si="521"/>
        <v>0</v>
      </c>
      <c r="AM3340" s="85"/>
    </row>
    <row r="3341" spans="1:39" hidden="1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13"/>
        <v>451</v>
      </c>
      <c r="X3341" s="6">
        <f t="shared" si="514"/>
        <v>0</v>
      </c>
      <c r="Y3341" s="13">
        <f t="shared" si="519"/>
        <v>0</v>
      </c>
      <c r="Z3341" s="14">
        <v>0</v>
      </c>
      <c r="AA3341" s="6">
        <v>0</v>
      </c>
      <c r="AB3341" s="4">
        <f t="shared" si="520"/>
        <v>0</v>
      </c>
      <c r="AC3341" s="4">
        <f t="shared" si="523"/>
        <v>0</v>
      </c>
      <c r="AD3341" s="6">
        <f t="shared" si="515"/>
        <v>0</v>
      </c>
      <c r="AE3341" s="2">
        <f>VLOOKUP(I3341,[1]媒体政策预估表!A:N,MATCH(O3341,[1]媒体政策预估表!$A$2:$M$2,0),0)</f>
        <v>0</v>
      </c>
      <c r="AF3341" s="6">
        <f t="shared" si="524"/>
        <v>0</v>
      </c>
      <c r="AG3341" s="14">
        <v>0</v>
      </c>
      <c r="AH3341" s="64">
        <f t="shared" si="516"/>
        <v>0</v>
      </c>
      <c r="AI3341" s="47"/>
      <c r="AJ3341" s="126" t="e">
        <v>#N/A</v>
      </c>
      <c r="AK3341" s="80">
        <f t="shared" si="521"/>
        <v>0</v>
      </c>
      <c r="AM3341" s="85"/>
    </row>
    <row r="3342" spans="1:39" hidden="1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13"/>
        <v>10988.1</v>
      </c>
      <c r="X3342" s="6">
        <f t="shared" si="514"/>
        <v>0</v>
      </c>
      <c r="Y3342" s="13">
        <f t="shared" si="519"/>
        <v>0</v>
      </c>
      <c r="Z3342" s="14">
        <v>0</v>
      </c>
      <c r="AA3342" s="6">
        <v>0</v>
      </c>
      <c r="AB3342" s="4">
        <f t="shared" si="520"/>
        <v>0</v>
      </c>
      <c r="AC3342" s="4">
        <f t="shared" si="523"/>
        <v>0</v>
      </c>
      <c r="AD3342" s="6">
        <f t="shared" si="515"/>
        <v>0</v>
      </c>
      <c r="AE3342" s="2">
        <f>VLOOKUP(I3342,[1]媒体政策预估表!A:N,MATCH(O3342,[1]媒体政策预估表!$A$2:$M$2,0),0)</f>
        <v>0</v>
      </c>
      <c r="AF3342" s="6">
        <f t="shared" si="524"/>
        <v>0</v>
      </c>
      <c r="AG3342" s="14">
        <v>0</v>
      </c>
      <c r="AH3342" s="64">
        <f t="shared" si="516"/>
        <v>0</v>
      </c>
      <c r="AI3342" s="47"/>
      <c r="AJ3342" s="126" t="e">
        <v>#N/A</v>
      </c>
      <c r="AK3342" s="80">
        <f t="shared" si="521"/>
        <v>0</v>
      </c>
      <c r="AM3342" s="85"/>
    </row>
    <row r="3343" spans="1:39" hidden="1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13"/>
        <v>144.20000000000201</v>
      </c>
      <c r="X3343" s="6">
        <f t="shared" si="514"/>
        <v>0</v>
      </c>
      <c r="Y3343" s="13">
        <f t="shared" si="519"/>
        <v>0</v>
      </c>
      <c r="Z3343" s="14">
        <v>0</v>
      </c>
      <c r="AA3343" s="6">
        <v>0</v>
      </c>
      <c r="AB3343" s="4">
        <f t="shared" si="520"/>
        <v>0</v>
      </c>
      <c r="AC3343" s="4">
        <f t="shared" si="523"/>
        <v>0</v>
      </c>
      <c r="AD3343" s="6">
        <f t="shared" si="515"/>
        <v>0</v>
      </c>
      <c r="AE3343" s="2">
        <f>VLOOKUP(I3343,[1]媒体政策预估表!A:N,MATCH(O3343,[1]媒体政策预估表!$A$2:$M$2,0),0)</f>
        <v>0</v>
      </c>
      <c r="AF3343" s="6">
        <f t="shared" si="524"/>
        <v>0</v>
      </c>
      <c r="AG3343" s="14">
        <v>0</v>
      </c>
      <c r="AH3343" s="64">
        <f t="shared" si="516"/>
        <v>0</v>
      </c>
      <c r="AI3343" s="47"/>
      <c r="AJ3343" s="126" t="e">
        <v>#N/A</v>
      </c>
      <c r="AK3343" s="80">
        <f t="shared" si="521"/>
        <v>0</v>
      </c>
      <c r="AM3343" s="85"/>
    </row>
    <row r="3344" spans="1:39" hidden="1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13"/>
        <v>-3747.9499999999925</v>
      </c>
      <c r="X3344" s="6">
        <f t="shared" si="514"/>
        <v>0</v>
      </c>
      <c r="Y3344" s="13">
        <f t="shared" si="519"/>
        <v>0</v>
      </c>
      <c r="Z3344" s="14">
        <v>0</v>
      </c>
      <c r="AA3344" s="6">
        <v>0</v>
      </c>
      <c r="AB3344" s="4">
        <f t="shared" si="520"/>
        <v>0</v>
      </c>
      <c r="AC3344" s="4">
        <f t="shared" si="523"/>
        <v>0</v>
      </c>
      <c r="AD3344" s="6">
        <f t="shared" si="515"/>
        <v>0</v>
      </c>
      <c r="AE3344" s="2">
        <f>VLOOKUP(I3344,[1]媒体政策预估表!A:N,MATCH(O3344,[1]媒体政策预估表!$A$2:$M$2,0),0)</f>
        <v>0</v>
      </c>
      <c r="AF3344" s="6">
        <f t="shared" si="524"/>
        <v>0</v>
      </c>
      <c r="AG3344" s="14">
        <v>0</v>
      </c>
      <c r="AH3344" s="64">
        <f t="shared" si="516"/>
        <v>0</v>
      </c>
      <c r="AI3344" s="47"/>
      <c r="AJ3344" s="126" t="e">
        <v>#N/A</v>
      </c>
      <c r="AK3344" s="80">
        <f t="shared" si="521"/>
        <v>0</v>
      </c>
      <c r="AM3344" s="85"/>
    </row>
    <row r="3345" spans="1:39" hidden="1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13"/>
        <v>20003.5</v>
      </c>
      <c r="X3345" s="6">
        <f t="shared" si="514"/>
        <v>0</v>
      </c>
      <c r="Y3345" s="13">
        <f t="shared" si="519"/>
        <v>0</v>
      </c>
      <c r="Z3345" s="14">
        <v>0.01</v>
      </c>
      <c r="AA3345" s="6">
        <f>X3345*Z3345</f>
        <v>0</v>
      </c>
      <c r="AB3345" s="4">
        <f t="shared" si="520"/>
        <v>0</v>
      </c>
      <c r="AC3345" s="4">
        <f t="shared" si="523"/>
        <v>0</v>
      </c>
      <c r="AD3345" s="6">
        <f t="shared" si="515"/>
        <v>0</v>
      </c>
      <c r="AE3345" s="2">
        <f>VLOOKUP(I3345,[1]媒体政策预估表!A:N,MATCH(O3345,[1]媒体政策预估表!$A$2:$M$2,0),0)</f>
        <v>0</v>
      </c>
      <c r="AF3345" s="6">
        <f t="shared" si="524"/>
        <v>0</v>
      </c>
      <c r="AG3345" s="14">
        <v>0</v>
      </c>
      <c r="AH3345" s="64">
        <f t="shared" si="516"/>
        <v>0</v>
      </c>
      <c r="AI3345" s="47"/>
      <c r="AJ3345" s="126" t="e">
        <v>#N/A</v>
      </c>
      <c r="AK3345" s="80">
        <f t="shared" si="521"/>
        <v>0</v>
      </c>
      <c r="AM3345" s="85"/>
    </row>
    <row r="3346" spans="1:39" hidden="1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13"/>
        <v>74654.09</v>
      </c>
      <c r="X3346" s="6">
        <f t="shared" si="514"/>
        <v>0</v>
      </c>
      <c r="Y3346" s="13">
        <f t="shared" si="519"/>
        <v>0</v>
      </c>
      <c r="Z3346" s="14">
        <v>0</v>
      </c>
      <c r="AA3346" s="6">
        <v>0</v>
      </c>
      <c r="AB3346" s="4">
        <f t="shared" si="520"/>
        <v>0</v>
      </c>
      <c r="AC3346" s="4">
        <f t="shared" si="523"/>
        <v>0</v>
      </c>
      <c r="AD3346" s="6">
        <f t="shared" si="515"/>
        <v>0</v>
      </c>
      <c r="AE3346" s="2">
        <f>VLOOKUP(I3346,[1]媒体政策预估表!A:N,MATCH(O3346,[1]媒体政策预估表!$A$2:$M$2,0),0)</f>
        <v>0</v>
      </c>
      <c r="AF3346" s="6">
        <f t="shared" si="524"/>
        <v>0</v>
      </c>
      <c r="AG3346" s="14">
        <v>0</v>
      </c>
      <c r="AH3346" s="64">
        <f t="shared" si="516"/>
        <v>0</v>
      </c>
      <c r="AI3346" s="47"/>
      <c r="AJ3346" s="126" t="e">
        <v>#N/A</v>
      </c>
      <c r="AK3346" s="80">
        <f t="shared" si="521"/>
        <v>0</v>
      </c>
      <c r="AM3346" s="85"/>
    </row>
    <row r="3347" spans="1:39" hidden="1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13"/>
        <v>-62.87</v>
      </c>
      <c r="X3347" s="6">
        <f t="shared" si="514"/>
        <v>0</v>
      </c>
      <c r="Y3347" s="13">
        <f t="shared" si="519"/>
        <v>0</v>
      </c>
      <c r="Z3347" s="14">
        <v>0</v>
      </c>
      <c r="AA3347" s="6">
        <v>0</v>
      </c>
      <c r="AB3347" s="4">
        <f t="shared" si="520"/>
        <v>0</v>
      </c>
      <c r="AC3347" s="4">
        <f t="shared" si="523"/>
        <v>0</v>
      </c>
      <c r="AD3347" s="6">
        <f t="shared" si="515"/>
        <v>0</v>
      </c>
      <c r="AE3347" s="2">
        <f>VLOOKUP(I3347,[1]媒体政策预估表!A:N,MATCH(O3347,[1]媒体政策预估表!$A$2:$M$2,0),0)</f>
        <v>0</v>
      </c>
      <c r="AF3347" s="6">
        <f t="shared" si="524"/>
        <v>0</v>
      </c>
      <c r="AG3347" s="14">
        <v>0</v>
      </c>
      <c r="AH3347" s="64">
        <f t="shared" si="516"/>
        <v>0</v>
      </c>
      <c r="AI3347" s="47"/>
      <c r="AJ3347" s="126" t="e">
        <v>#N/A</v>
      </c>
      <c r="AK3347" s="80">
        <f t="shared" si="521"/>
        <v>0</v>
      </c>
      <c r="AM3347" s="85"/>
    </row>
    <row r="3348" spans="1:39" hidden="1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13"/>
        <v>-81.099999999976703</v>
      </c>
      <c r="X3348" s="6">
        <f t="shared" si="514"/>
        <v>0</v>
      </c>
      <c r="Y3348" s="13">
        <f t="shared" si="519"/>
        <v>0</v>
      </c>
      <c r="Z3348" s="14">
        <v>0</v>
      </c>
      <c r="AA3348" s="6">
        <v>0</v>
      </c>
      <c r="AB3348" s="4">
        <f t="shared" si="520"/>
        <v>0</v>
      </c>
      <c r="AC3348" s="4">
        <f t="shared" si="523"/>
        <v>0</v>
      </c>
      <c r="AD3348" s="6">
        <f t="shared" si="515"/>
        <v>0</v>
      </c>
      <c r="AE3348" s="2">
        <f>VLOOKUP(I3348,[1]媒体政策预估表!A:N,MATCH(O3348,[1]媒体政策预估表!$A$2:$M$2,0),0)</f>
        <v>0</v>
      </c>
      <c r="AF3348" s="6">
        <f t="shared" si="524"/>
        <v>0</v>
      </c>
      <c r="AG3348" s="14">
        <v>0</v>
      </c>
      <c r="AH3348" s="64">
        <f t="shared" si="516"/>
        <v>0</v>
      </c>
      <c r="AI3348" s="47"/>
      <c r="AJ3348" s="126" t="e">
        <v>#N/A</v>
      </c>
      <c r="AK3348" s="80">
        <f t="shared" si="521"/>
        <v>0</v>
      </c>
      <c r="AM3348" s="85"/>
    </row>
    <row r="3349" spans="1:39" hidden="1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13"/>
        <v>199.9</v>
      </c>
      <c r="X3349" s="6">
        <f t="shared" si="514"/>
        <v>0</v>
      </c>
      <c r="Y3349" s="13">
        <f t="shared" si="519"/>
        <v>0</v>
      </c>
      <c r="Z3349" s="14">
        <v>0.03</v>
      </c>
      <c r="AA3349" s="6">
        <f>X3349*Z3349</f>
        <v>0</v>
      </c>
      <c r="AB3349" s="4">
        <f t="shared" si="520"/>
        <v>0</v>
      </c>
      <c r="AC3349" s="4">
        <f t="shared" si="523"/>
        <v>0</v>
      </c>
      <c r="AD3349" s="6">
        <f t="shared" si="515"/>
        <v>0</v>
      </c>
      <c r="AE3349" s="2">
        <f>VLOOKUP(I3349,[1]媒体政策预估表!A:N,MATCH(O3349,[1]媒体政策预估表!$A$2:$M$2,0),0)</f>
        <v>0</v>
      </c>
      <c r="AF3349" s="6">
        <f t="shared" si="524"/>
        <v>0</v>
      </c>
      <c r="AG3349" s="14">
        <v>0</v>
      </c>
      <c r="AH3349" s="64">
        <f t="shared" si="516"/>
        <v>0</v>
      </c>
      <c r="AI3349" s="47"/>
      <c r="AJ3349" s="126" t="e">
        <v>#N/A</v>
      </c>
      <c r="AK3349" s="80">
        <f t="shared" si="521"/>
        <v>0</v>
      </c>
      <c r="AM3349" s="85"/>
    </row>
    <row r="3350" spans="1:39" hidden="1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13"/>
        <v>4.5</v>
      </c>
      <c r="X3350" s="6">
        <f t="shared" si="514"/>
        <v>0</v>
      </c>
      <c r="Y3350" s="13">
        <f t="shared" si="519"/>
        <v>0</v>
      </c>
      <c r="Z3350" s="14">
        <v>0</v>
      </c>
      <c r="AA3350" s="6">
        <v>0</v>
      </c>
      <c r="AB3350" s="4">
        <f t="shared" si="520"/>
        <v>0</v>
      </c>
      <c r="AC3350" s="4">
        <f t="shared" si="523"/>
        <v>0</v>
      </c>
      <c r="AD3350" s="6">
        <f t="shared" si="515"/>
        <v>0</v>
      </c>
      <c r="AE3350" s="2">
        <f>VLOOKUP(I3350,[1]媒体政策预估表!A:N,MATCH(O3350,[1]媒体政策预估表!$A$2:$M$2,0),0)</f>
        <v>0</v>
      </c>
      <c r="AF3350" s="6">
        <f t="shared" si="524"/>
        <v>0</v>
      </c>
      <c r="AG3350" s="14">
        <v>0</v>
      </c>
      <c r="AH3350" s="64">
        <f t="shared" si="516"/>
        <v>0</v>
      </c>
      <c r="AI3350" s="47"/>
      <c r="AJ3350" s="126" t="e">
        <v>#N/A</v>
      </c>
      <c r="AK3350" s="80">
        <f t="shared" si="521"/>
        <v>0</v>
      </c>
      <c r="AM3350" s="85"/>
    </row>
    <row r="3351" spans="1:39" hidden="1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13"/>
        <v>150.11000000000101</v>
      </c>
      <c r="X3351" s="6">
        <f t="shared" si="514"/>
        <v>0</v>
      </c>
      <c r="Y3351" s="13">
        <f t="shared" si="519"/>
        <v>0</v>
      </c>
      <c r="Z3351" s="14">
        <v>0</v>
      </c>
      <c r="AA3351" s="6">
        <v>0</v>
      </c>
      <c r="AB3351" s="4">
        <f t="shared" si="520"/>
        <v>0</v>
      </c>
      <c r="AC3351" s="4">
        <f t="shared" si="523"/>
        <v>0</v>
      </c>
      <c r="AD3351" s="6">
        <f t="shared" si="515"/>
        <v>0</v>
      </c>
      <c r="AE3351" s="2">
        <f>VLOOKUP(I3351,[1]媒体政策预估表!A:N,MATCH(O3351,[1]媒体政策预估表!$A$2:$M$2,0),0)</f>
        <v>0</v>
      </c>
      <c r="AF3351" s="6">
        <f t="shared" si="524"/>
        <v>0</v>
      </c>
      <c r="AG3351" s="14">
        <v>0</v>
      </c>
      <c r="AH3351" s="64">
        <f t="shared" si="516"/>
        <v>0</v>
      </c>
      <c r="AI3351" s="47"/>
      <c r="AJ3351" s="126" t="e">
        <v>#N/A</v>
      </c>
      <c r="AK3351" s="80">
        <f t="shared" si="521"/>
        <v>0</v>
      </c>
      <c r="AM3351" s="85"/>
    </row>
    <row r="3352" spans="1:39" hidden="1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13"/>
        <v>0.22999999999999701</v>
      </c>
      <c r="X3352" s="6">
        <f t="shared" si="514"/>
        <v>0</v>
      </c>
      <c r="Y3352" s="13">
        <f t="shared" si="519"/>
        <v>0</v>
      </c>
      <c r="Z3352" s="14">
        <v>0</v>
      </c>
      <c r="AA3352" s="6">
        <v>0</v>
      </c>
      <c r="AB3352" s="4">
        <f t="shared" si="520"/>
        <v>0</v>
      </c>
      <c r="AC3352" s="4">
        <f t="shared" si="523"/>
        <v>0</v>
      </c>
      <c r="AD3352" s="6">
        <f t="shared" si="515"/>
        <v>0</v>
      </c>
      <c r="AE3352" s="2">
        <f>VLOOKUP(I3352,[1]媒体政策预估表!A:N,MATCH(O3352,[1]媒体政策预估表!$A$2:$M$2,0),0)</f>
        <v>0</v>
      </c>
      <c r="AF3352" s="6">
        <f t="shared" si="524"/>
        <v>0</v>
      </c>
      <c r="AG3352" s="14">
        <v>0</v>
      </c>
      <c r="AH3352" s="64">
        <f t="shared" si="516"/>
        <v>0</v>
      </c>
      <c r="AI3352" s="47"/>
      <c r="AJ3352" s="126" t="e">
        <v>#N/A</v>
      </c>
      <c r="AK3352" s="80">
        <f t="shared" si="521"/>
        <v>0</v>
      </c>
      <c r="AM3352" s="85"/>
    </row>
    <row r="3353" spans="1:39" hidden="1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13"/>
        <v>-13.600000000002201</v>
      </c>
      <c r="X3353" s="6">
        <f t="shared" si="514"/>
        <v>0</v>
      </c>
      <c r="Y3353" s="13">
        <f t="shared" si="519"/>
        <v>0</v>
      </c>
      <c r="Z3353" s="14">
        <v>0</v>
      </c>
      <c r="AA3353" s="6">
        <v>0</v>
      </c>
      <c r="AB3353" s="4">
        <f t="shared" si="520"/>
        <v>0</v>
      </c>
      <c r="AC3353" s="4">
        <f t="shared" si="523"/>
        <v>0</v>
      </c>
      <c r="AD3353" s="6">
        <f t="shared" si="515"/>
        <v>0</v>
      </c>
      <c r="AE3353" s="2">
        <f>VLOOKUP(I3353,[1]媒体政策预估表!A:N,MATCH(O3353,[1]媒体政策预估表!$A$2:$M$2,0),0)</f>
        <v>0</v>
      </c>
      <c r="AF3353" s="6">
        <f t="shared" si="524"/>
        <v>0</v>
      </c>
      <c r="AG3353" s="14">
        <v>0</v>
      </c>
      <c r="AH3353" s="64">
        <f t="shared" si="516"/>
        <v>0</v>
      </c>
      <c r="AI3353" s="47"/>
      <c r="AJ3353" s="126" t="e">
        <v>#N/A</v>
      </c>
      <c r="AK3353" s="80">
        <f t="shared" si="521"/>
        <v>0</v>
      </c>
      <c r="AM3353" s="85"/>
    </row>
    <row r="3354" spans="1:39" hidden="1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13"/>
        <v>-13.100000000000399</v>
      </c>
      <c r="X3354" s="6">
        <f t="shared" si="514"/>
        <v>0</v>
      </c>
      <c r="Y3354" s="13">
        <f t="shared" si="519"/>
        <v>0</v>
      </c>
      <c r="Z3354" s="14">
        <v>0</v>
      </c>
      <c r="AA3354" s="6">
        <v>0</v>
      </c>
      <c r="AB3354" s="4">
        <f t="shared" si="520"/>
        <v>0</v>
      </c>
      <c r="AC3354" s="4">
        <f t="shared" si="523"/>
        <v>0</v>
      </c>
      <c r="AD3354" s="6">
        <f t="shared" si="515"/>
        <v>0</v>
      </c>
      <c r="AE3354" s="2">
        <f>VLOOKUP(I3354,[1]媒体政策预估表!A:N,MATCH(O3354,[1]媒体政策预估表!$A$2:$M$2,0),0)</f>
        <v>0</v>
      </c>
      <c r="AF3354" s="6">
        <f t="shared" si="524"/>
        <v>0</v>
      </c>
      <c r="AG3354" s="14">
        <v>0</v>
      </c>
      <c r="AH3354" s="64">
        <f t="shared" si="516"/>
        <v>0</v>
      </c>
      <c r="AI3354" s="47"/>
      <c r="AJ3354" s="126" t="e">
        <v>#N/A</v>
      </c>
      <c r="AK3354" s="80">
        <f t="shared" si="521"/>
        <v>0</v>
      </c>
      <c r="AM3354" s="85"/>
    </row>
    <row r="3355" spans="1:39" hidden="1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13"/>
        <v>5.7</v>
      </c>
      <c r="X3355" s="6">
        <f t="shared" si="514"/>
        <v>0</v>
      </c>
      <c r="Y3355" s="13">
        <f t="shared" si="519"/>
        <v>0</v>
      </c>
      <c r="Z3355" s="14">
        <v>0</v>
      </c>
      <c r="AA3355" s="6">
        <v>0</v>
      </c>
      <c r="AB3355" s="4">
        <f t="shared" si="520"/>
        <v>0</v>
      </c>
      <c r="AC3355" s="4">
        <f t="shared" si="523"/>
        <v>0</v>
      </c>
      <c r="AD3355" s="6">
        <f t="shared" si="515"/>
        <v>0</v>
      </c>
      <c r="AE3355" s="2">
        <f>VLOOKUP(I3355,[1]媒体政策预估表!A:N,MATCH(O3355,[1]媒体政策预估表!$A$2:$M$2,0),0)</f>
        <v>0</v>
      </c>
      <c r="AF3355" s="6">
        <f t="shared" si="524"/>
        <v>0</v>
      </c>
      <c r="AG3355" s="14">
        <v>0</v>
      </c>
      <c r="AH3355" s="64">
        <f t="shared" si="516"/>
        <v>0</v>
      </c>
      <c r="AI3355" s="47"/>
      <c r="AJ3355" s="126" t="e">
        <v>#N/A</v>
      </c>
      <c r="AK3355" s="80">
        <f t="shared" si="521"/>
        <v>0</v>
      </c>
      <c r="AM3355" s="85"/>
    </row>
    <row r="3356" spans="1:39" hidden="1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13"/>
        <v>-72.400000000000006</v>
      </c>
      <c r="X3356" s="6">
        <f t="shared" si="514"/>
        <v>0</v>
      </c>
      <c r="Y3356" s="13">
        <f t="shared" si="519"/>
        <v>0</v>
      </c>
      <c r="Z3356" s="14">
        <v>0</v>
      </c>
      <c r="AA3356" s="6">
        <v>0</v>
      </c>
      <c r="AB3356" s="4">
        <f t="shared" si="520"/>
        <v>0</v>
      </c>
      <c r="AC3356" s="4">
        <f t="shared" si="523"/>
        <v>0</v>
      </c>
      <c r="AD3356" s="6">
        <f t="shared" si="515"/>
        <v>0</v>
      </c>
      <c r="AE3356" s="2">
        <f>VLOOKUP(I3356,[1]媒体政策预估表!A:N,MATCH(O3356,[1]媒体政策预估表!$A$2:$M$2,0),0)</f>
        <v>0</v>
      </c>
      <c r="AF3356" s="6">
        <f t="shared" si="524"/>
        <v>0</v>
      </c>
      <c r="AG3356" s="14">
        <v>0</v>
      </c>
      <c r="AH3356" s="64">
        <f t="shared" si="516"/>
        <v>0</v>
      </c>
      <c r="AI3356" s="47"/>
      <c r="AJ3356" s="126" t="e">
        <v>#N/A</v>
      </c>
      <c r="AK3356" s="80">
        <f t="shared" si="521"/>
        <v>0</v>
      </c>
      <c r="AM3356" s="85"/>
    </row>
    <row r="3357" spans="1:39" hidden="1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13"/>
        <v>99918.34</v>
      </c>
      <c r="X3357" s="6">
        <f t="shared" si="514"/>
        <v>0</v>
      </c>
      <c r="Y3357" s="13">
        <f t="shared" si="519"/>
        <v>0</v>
      </c>
      <c r="Z3357" s="14">
        <v>0</v>
      </c>
      <c r="AA3357" s="6">
        <v>0</v>
      </c>
      <c r="AB3357" s="4">
        <f t="shared" si="520"/>
        <v>0</v>
      </c>
      <c r="AC3357" s="4">
        <f t="shared" si="523"/>
        <v>0</v>
      </c>
      <c r="AD3357" s="6">
        <f t="shared" si="515"/>
        <v>0</v>
      </c>
      <c r="AE3357" s="2">
        <f>VLOOKUP(I3357,[1]媒体政策预估表!A:N,MATCH(O3357,[1]媒体政策预估表!$A$2:$M$2,0),0)</f>
        <v>0</v>
      </c>
      <c r="AF3357" s="6">
        <f t="shared" si="524"/>
        <v>0</v>
      </c>
      <c r="AG3357" s="14">
        <v>0</v>
      </c>
      <c r="AH3357" s="64">
        <f t="shared" si="516"/>
        <v>0</v>
      </c>
      <c r="AI3357" s="47"/>
      <c r="AJ3357" s="126" t="e">
        <v>#N/A</v>
      </c>
      <c r="AK3357" s="80">
        <f t="shared" si="521"/>
        <v>0</v>
      </c>
      <c r="AM3357" s="85"/>
    </row>
    <row r="3358" spans="1:39" hidden="1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13"/>
        <v>99116.210000000196</v>
      </c>
      <c r="X3358" s="6">
        <f t="shared" si="514"/>
        <v>0</v>
      </c>
      <c r="Y3358" s="13">
        <f t="shared" si="519"/>
        <v>0</v>
      </c>
      <c r="Z3358" s="14">
        <v>0</v>
      </c>
      <c r="AA3358" s="6">
        <v>0</v>
      </c>
      <c r="AB3358" s="4">
        <f t="shared" si="520"/>
        <v>0</v>
      </c>
      <c r="AC3358" s="4">
        <f t="shared" si="523"/>
        <v>0</v>
      </c>
      <c r="AD3358" s="6">
        <f t="shared" si="515"/>
        <v>0</v>
      </c>
      <c r="AE3358" s="2">
        <f>VLOOKUP(I3358,[1]媒体政策预估表!A:N,MATCH(O3358,[1]媒体政策预估表!$A$2:$M$2,0),0)</f>
        <v>0</v>
      </c>
      <c r="AF3358" s="6">
        <f t="shared" si="524"/>
        <v>0</v>
      </c>
      <c r="AG3358" s="14">
        <v>0</v>
      </c>
      <c r="AH3358" s="64">
        <f t="shared" si="516"/>
        <v>0</v>
      </c>
      <c r="AI3358" s="47"/>
      <c r="AJ3358" s="126" t="e">
        <v>#N/A</v>
      </c>
      <c r="AK3358" s="80">
        <f t="shared" si="521"/>
        <v>0</v>
      </c>
      <c r="AM3358" s="85"/>
    </row>
    <row r="3359" spans="1:39" hidden="1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13"/>
        <v>128.87999999991007</v>
      </c>
      <c r="X3359" s="6">
        <f t="shared" si="514"/>
        <v>0</v>
      </c>
      <c r="Y3359" s="13">
        <f t="shared" si="519"/>
        <v>0</v>
      </c>
      <c r="Z3359" s="14">
        <v>0</v>
      </c>
      <c r="AA3359" s="6">
        <v>0</v>
      </c>
      <c r="AB3359" s="4">
        <f t="shared" si="520"/>
        <v>0</v>
      </c>
      <c r="AC3359" s="4">
        <f t="shared" si="523"/>
        <v>0</v>
      </c>
      <c r="AD3359" s="6">
        <f t="shared" si="515"/>
        <v>0</v>
      </c>
      <c r="AE3359" s="2">
        <f>VLOOKUP(I3359,[1]媒体政策预估表!A:N,MATCH(O3359,[1]媒体政策预估表!$A$2:$M$2,0),0)</f>
        <v>0</v>
      </c>
      <c r="AF3359" s="6">
        <f t="shared" si="524"/>
        <v>0</v>
      </c>
      <c r="AG3359" s="14">
        <v>0</v>
      </c>
      <c r="AH3359" s="64">
        <f t="shared" si="516"/>
        <v>0</v>
      </c>
      <c r="AI3359" s="47"/>
      <c r="AJ3359" s="126" t="e">
        <v>#N/A</v>
      </c>
      <c r="AK3359" s="80">
        <f t="shared" si="521"/>
        <v>0</v>
      </c>
      <c r="AM3359" s="85"/>
    </row>
    <row r="3360" spans="1:39" hidden="1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13"/>
        <v>17294.249999999956</v>
      </c>
      <c r="X3360" s="6">
        <f t="shared" si="514"/>
        <v>0</v>
      </c>
      <c r="Y3360" s="13">
        <f t="shared" si="519"/>
        <v>0</v>
      </c>
      <c r="Z3360" s="14">
        <v>0.03</v>
      </c>
      <c r="AA3360" s="6">
        <f>X3360*Z3360</f>
        <v>0</v>
      </c>
      <c r="AB3360" s="4">
        <f t="shared" si="520"/>
        <v>0</v>
      </c>
      <c r="AC3360" s="4">
        <f t="shared" si="523"/>
        <v>0</v>
      </c>
      <c r="AD3360" s="6">
        <f t="shared" si="515"/>
        <v>0</v>
      </c>
      <c r="AE3360" s="2">
        <f>VLOOKUP(I3360,[1]媒体政策预估表!A:N,MATCH(O3360,[1]媒体政策预估表!$A$2:$M$2,0),0)</f>
        <v>0</v>
      </c>
      <c r="AF3360" s="6">
        <f t="shared" si="524"/>
        <v>0</v>
      </c>
      <c r="AG3360" s="14">
        <v>0</v>
      </c>
      <c r="AH3360" s="64">
        <f t="shared" si="516"/>
        <v>0</v>
      </c>
      <c r="AI3360" s="47"/>
      <c r="AJ3360" s="126" t="e">
        <v>#N/A</v>
      </c>
      <c r="AK3360" s="80">
        <f t="shared" si="521"/>
        <v>0</v>
      </c>
      <c r="AM3360" s="85"/>
    </row>
    <row r="3361" spans="1:39" hidden="1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13"/>
        <v>-99.199999999998894</v>
      </c>
      <c r="X3361" s="6">
        <f t="shared" si="514"/>
        <v>0</v>
      </c>
      <c r="Y3361" s="13">
        <f t="shared" si="519"/>
        <v>0</v>
      </c>
      <c r="Z3361" s="14">
        <v>0</v>
      </c>
      <c r="AA3361" s="6">
        <v>0</v>
      </c>
      <c r="AB3361" s="4">
        <f t="shared" si="520"/>
        <v>0</v>
      </c>
      <c r="AC3361" s="4">
        <f t="shared" si="523"/>
        <v>0</v>
      </c>
      <c r="AD3361" s="6">
        <f t="shared" si="515"/>
        <v>0</v>
      </c>
      <c r="AE3361" s="2">
        <f>VLOOKUP(I3361,[1]媒体政策预估表!A:N,MATCH(O3361,[1]媒体政策预估表!$A$2:$M$2,0),0)</f>
        <v>0</v>
      </c>
      <c r="AF3361" s="6">
        <f t="shared" si="524"/>
        <v>0</v>
      </c>
      <c r="AG3361" s="14">
        <v>0</v>
      </c>
      <c r="AH3361" s="64">
        <f t="shared" si="516"/>
        <v>0</v>
      </c>
      <c r="AI3361" s="47"/>
      <c r="AJ3361" s="126" t="e">
        <v>#N/A</v>
      </c>
      <c r="AK3361" s="80">
        <f t="shared" si="521"/>
        <v>0</v>
      </c>
      <c r="AM3361" s="85"/>
    </row>
    <row r="3362" spans="1:39" hidden="1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13"/>
        <v>-46.4</v>
      </c>
      <c r="X3362" s="6">
        <f t="shared" si="514"/>
        <v>0</v>
      </c>
      <c r="Y3362" s="13">
        <f t="shared" si="519"/>
        <v>0</v>
      </c>
      <c r="Z3362" s="14">
        <v>0</v>
      </c>
      <c r="AA3362" s="6">
        <v>0</v>
      </c>
      <c r="AB3362" s="4">
        <f t="shared" si="520"/>
        <v>0</v>
      </c>
      <c r="AC3362" s="4">
        <f t="shared" si="523"/>
        <v>0</v>
      </c>
      <c r="AD3362" s="6">
        <f t="shared" si="515"/>
        <v>0</v>
      </c>
      <c r="AE3362" s="2">
        <f>VLOOKUP(I3362,[1]媒体政策预估表!A:N,MATCH(O3362,[1]媒体政策预估表!$A$2:$M$2,0),0)</f>
        <v>0</v>
      </c>
      <c r="AF3362" s="6">
        <f t="shared" si="524"/>
        <v>0</v>
      </c>
      <c r="AG3362" s="14">
        <v>0</v>
      </c>
      <c r="AH3362" s="64">
        <f t="shared" si="516"/>
        <v>0</v>
      </c>
      <c r="AI3362" s="47"/>
      <c r="AJ3362" s="126" t="e">
        <v>#N/A</v>
      </c>
      <c r="AK3362" s="80">
        <f t="shared" si="521"/>
        <v>0</v>
      </c>
      <c r="AM3362" s="85"/>
    </row>
    <row r="3363" spans="1:39" hidden="1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13"/>
        <v>-68.149999999979627</v>
      </c>
      <c r="X3363" s="6">
        <f t="shared" si="514"/>
        <v>0</v>
      </c>
      <c r="Y3363" s="13">
        <f t="shared" si="519"/>
        <v>0</v>
      </c>
      <c r="Z3363" s="14">
        <v>0</v>
      </c>
      <c r="AA3363" s="6">
        <v>0</v>
      </c>
      <c r="AB3363" s="4">
        <f t="shared" si="520"/>
        <v>0</v>
      </c>
      <c r="AC3363" s="4">
        <f t="shared" si="523"/>
        <v>0</v>
      </c>
      <c r="AD3363" s="6">
        <f t="shared" si="515"/>
        <v>0</v>
      </c>
      <c r="AE3363" s="2">
        <f>VLOOKUP(I3363,[1]媒体政策预估表!A:N,MATCH(O3363,[1]媒体政策预估表!$A$2:$M$2,0),0)</f>
        <v>0</v>
      </c>
      <c r="AF3363" s="6">
        <f t="shared" si="524"/>
        <v>0</v>
      </c>
      <c r="AG3363" s="14">
        <v>0</v>
      </c>
      <c r="AH3363" s="64">
        <f t="shared" si="516"/>
        <v>0</v>
      </c>
      <c r="AI3363" s="47"/>
      <c r="AJ3363" s="126" t="e">
        <v>#N/A</v>
      </c>
      <c r="AK3363" s="80">
        <f t="shared" si="521"/>
        <v>0</v>
      </c>
      <c r="AM3363" s="85"/>
    </row>
    <row r="3364" spans="1:39" hidden="1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13"/>
        <v>-13.999999999994801</v>
      </c>
      <c r="X3364" s="6">
        <f t="shared" si="514"/>
        <v>0</v>
      </c>
      <c r="Y3364" s="13">
        <f t="shared" si="519"/>
        <v>0</v>
      </c>
      <c r="Z3364" s="14">
        <v>0</v>
      </c>
      <c r="AA3364" s="6">
        <v>0</v>
      </c>
      <c r="AB3364" s="4">
        <f t="shared" si="520"/>
        <v>0</v>
      </c>
      <c r="AC3364" s="4">
        <f t="shared" si="523"/>
        <v>0</v>
      </c>
      <c r="AD3364" s="6">
        <f t="shared" si="515"/>
        <v>0</v>
      </c>
      <c r="AE3364" s="2">
        <f>VLOOKUP(I3364,[1]媒体政策预估表!A:N,MATCH(O3364,[1]媒体政策预估表!$A$2:$M$2,0),0)</f>
        <v>0</v>
      </c>
      <c r="AF3364" s="6">
        <f t="shared" si="524"/>
        <v>0</v>
      </c>
      <c r="AG3364" s="14">
        <v>0</v>
      </c>
      <c r="AH3364" s="64">
        <f t="shared" si="516"/>
        <v>0</v>
      </c>
      <c r="AI3364" s="47"/>
      <c r="AJ3364" s="126" t="e">
        <v>#N/A</v>
      </c>
      <c r="AK3364" s="80">
        <f t="shared" si="521"/>
        <v>0</v>
      </c>
      <c r="AM3364" s="85"/>
    </row>
    <row r="3365" spans="1:39" hidden="1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13"/>
        <v>12687.279999999999</v>
      </c>
      <c r="X3365" s="6">
        <f t="shared" si="514"/>
        <v>0</v>
      </c>
      <c r="Y3365" s="13">
        <f t="shared" si="519"/>
        <v>0</v>
      </c>
      <c r="Z3365" s="14">
        <v>0.03</v>
      </c>
      <c r="AA3365" s="6">
        <f>X3365*Z3365</f>
        <v>0</v>
      </c>
      <c r="AB3365" s="4">
        <f t="shared" si="520"/>
        <v>0</v>
      </c>
      <c r="AC3365" s="4">
        <f t="shared" si="523"/>
        <v>0</v>
      </c>
      <c r="AD3365" s="6">
        <f t="shared" si="515"/>
        <v>0</v>
      </c>
      <c r="AE3365" s="2">
        <f>VLOOKUP(I3365,[1]媒体政策预估表!A:N,MATCH(O3365,[1]媒体政策预估表!$A$2:$M$2,0),0)</f>
        <v>0</v>
      </c>
      <c r="AF3365" s="6">
        <f t="shared" si="524"/>
        <v>0</v>
      </c>
      <c r="AG3365" s="14">
        <v>0</v>
      </c>
      <c r="AH3365" s="64">
        <f t="shared" si="516"/>
        <v>0</v>
      </c>
      <c r="AI3365" s="47"/>
      <c r="AJ3365" s="126" t="e">
        <v>#N/A</v>
      </c>
      <c r="AK3365" s="80">
        <f t="shared" si="521"/>
        <v>0</v>
      </c>
      <c r="AM3365" s="85"/>
    </row>
    <row r="3366" spans="1:39" hidden="1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25">T3366+U3366-V3366</f>
        <v>0.23999999999980259</v>
      </c>
      <c r="X3366" s="6">
        <f t="shared" si="514"/>
        <v>0</v>
      </c>
      <c r="Y3366" s="13">
        <f t="shared" si="519"/>
        <v>0</v>
      </c>
      <c r="Z3366" s="14">
        <v>0</v>
      </c>
      <c r="AA3366" s="6">
        <v>0</v>
      </c>
      <c r="AB3366" s="4">
        <f t="shared" si="520"/>
        <v>0</v>
      </c>
      <c r="AC3366" s="4">
        <f t="shared" si="523"/>
        <v>0</v>
      </c>
      <c r="AD3366" s="6">
        <f t="shared" si="515"/>
        <v>0</v>
      </c>
      <c r="AE3366" s="2">
        <f>VLOOKUP(I3366,[1]媒体政策预估表!A:N,MATCH(O3366,[1]媒体政策预估表!$A$2:$M$2,0),0)</f>
        <v>0</v>
      </c>
      <c r="AF3366" s="6">
        <f t="shared" si="524"/>
        <v>0</v>
      </c>
      <c r="AG3366" s="14">
        <v>0</v>
      </c>
      <c r="AH3366" s="64">
        <f t="shared" si="516"/>
        <v>0</v>
      </c>
      <c r="AI3366" s="47"/>
      <c r="AJ3366" s="126" t="e">
        <v>#N/A</v>
      </c>
      <c r="AK3366" s="80">
        <f t="shared" si="521"/>
        <v>0</v>
      </c>
      <c r="AM3366" s="85"/>
    </row>
    <row r="3367" spans="1:39" hidden="1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25"/>
        <v>61.2</v>
      </c>
      <c r="X3367" s="6">
        <f t="shared" ref="X3367:X3430" si="526">IF(P3367="折扣",V3367*Q3367,IF(P3367="返现",V3367,V3367/(1+Q3367)))</f>
        <v>0</v>
      </c>
      <c r="Y3367" s="13">
        <f t="shared" si="519"/>
        <v>0</v>
      </c>
      <c r="Z3367" s="14">
        <v>0</v>
      </c>
      <c r="AA3367" s="6">
        <v>0</v>
      </c>
      <c r="AB3367" s="4">
        <f t="shared" si="520"/>
        <v>0</v>
      </c>
      <c r="AC3367" s="4">
        <f t="shared" si="523"/>
        <v>0</v>
      </c>
      <c r="AD3367" s="6">
        <f t="shared" si="515"/>
        <v>0</v>
      </c>
      <c r="AE3367" s="2">
        <f>VLOOKUP(I3367,[1]媒体政策预估表!A:N,MATCH(O3367,[1]媒体政策预估表!$A$2:$M$2,0),0)</f>
        <v>0</v>
      </c>
      <c r="AF3367" s="6">
        <f t="shared" si="524"/>
        <v>0</v>
      </c>
      <c r="AG3367" s="14">
        <v>0</v>
      </c>
      <c r="AH3367" s="64">
        <f t="shared" si="516"/>
        <v>0</v>
      </c>
      <c r="AI3367" s="47"/>
      <c r="AJ3367" s="126" t="e">
        <v>#N/A</v>
      </c>
      <c r="AK3367" s="80">
        <f t="shared" si="521"/>
        <v>0</v>
      </c>
      <c r="AM3367" s="85"/>
    </row>
    <row r="3368" spans="1:39" hidden="1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25"/>
        <v>996</v>
      </c>
      <c r="X3368" s="6">
        <f t="shared" si="526"/>
        <v>0</v>
      </c>
      <c r="Y3368" s="13">
        <f t="shared" si="519"/>
        <v>0</v>
      </c>
      <c r="Z3368" s="14">
        <v>0</v>
      </c>
      <c r="AA3368" s="6">
        <v>0</v>
      </c>
      <c r="AB3368" s="4">
        <f t="shared" si="520"/>
        <v>0</v>
      </c>
      <c r="AC3368" s="4">
        <f t="shared" si="523"/>
        <v>0</v>
      </c>
      <c r="AD3368" s="6">
        <f t="shared" ref="AD3368:AD3405" si="527">V3368</f>
        <v>0</v>
      </c>
      <c r="AE3368" s="2">
        <f>VLOOKUP(I3368,[1]媒体政策预估表!A:N,MATCH(O3368,[1]媒体政策预估表!$A$2:$M$2,0),0)</f>
        <v>0</v>
      </c>
      <c r="AF3368" s="6">
        <f t="shared" si="524"/>
        <v>0</v>
      </c>
      <c r="AG3368" s="14">
        <v>0</v>
      </c>
      <c r="AH3368" s="64">
        <f t="shared" ref="AH3368:AH3405" si="528">AD3368</f>
        <v>0</v>
      </c>
      <c r="AI3368" s="47"/>
      <c r="AJ3368" s="126" t="e">
        <v>#N/A</v>
      </c>
      <c r="AK3368" s="80">
        <f t="shared" si="521"/>
        <v>0</v>
      </c>
      <c r="AM3368" s="85"/>
    </row>
    <row r="3369" spans="1:39" hidden="1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25"/>
        <v>92388.24</v>
      </c>
      <c r="X3369" s="6">
        <f t="shared" si="526"/>
        <v>0</v>
      </c>
      <c r="Y3369" s="13">
        <f t="shared" si="519"/>
        <v>0</v>
      </c>
      <c r="Z3369" s="14">
        <v>0</v>
      </c>
      <c r="AA3369" s="6">
        <v>0</v>
      </c>
      <c r="AB3369" s="4">
        <f t="shared" si="520"/>
        <v>0</v>
      </c>
      <c r="AC3369" s="4">
        <f t="shared" si="523"/>
        <v>0</v>
      </c>
      <c r="AD3369" s="6">
        <f t="shared" si="527"/>
        <v>0</v>
      </c>
      <c r="AE3369" s="2">
        <f>VLOOKUP(I3369,[1]媒体政策预估表!A:N,MATCH(O3369,[1]媒体政策预估表!$A$2:$M$2,0),0)</f>
        <v>0</v>
      </c>
      <c r="AF3369" s="6">
        <f t="shared" si="524"/>
        <v>0</v>
      </c>
      <c r="AG3369" s="14">
        <v>0</v>
      </c>
      <c r="AH3369" s="64">
        <f t="shared" si="528"/>
        <v>0</v>
      </c>
      <c r="AI3369" s="47"/>
      <c r="AJ3369" s="126" t="e">
        <v>#N/A</v>
      </c>
      <c r="AK3369" s="80">
        <f t="shared" si="521"/>
        <v>0</v>
      </c>
      <c r="AM3369" s="85"/>
    </row>
    <row r="3370" spans="1:39" hidden="1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25"/>
        <v>184.29999999999899</v>
      </c>
      <c r="X3370" s="6">
        <f t="shared" si="526"/>
        <v>0</v>
      </c>
      <c r="Y3370" s="13">
        <f t="shared" si="519"/>
        <v>0</v>
      </c>
      <c r="Z3370" s="14">
        <v>0</v>
      </c>
      <c r="AA3370" s="6">
        <v>0</v>
      </c>
      <c r="AB3370" s="4">
        <f t="shared" si="520"/>
        <v>0</v>
      </c>
      <c r="AC3370" s="4">
        <f t="shared" si="523"/>
        <v>0</v>
      </c>
      <c r="AD3370" s="6">
        <f t="shared" si="527"/>
        <v>0</v>
      </c>
      <c r="AE3370" s="2">
        <f>VLOOKUP(I3370,[1]媒体政策预估表!A:N,MATCH(O3370,[1]媒体政策预估表!$A$2:$M$2,0),0)</f>
        <v>0</v>
      </c>
      <c r="AF3370" s="6">
        <f t="shared" si="524"/>
        <v>0</v>
      </c>
      <c r="AG3370" s="14">
        <v>0</v>
      </c>
      <c r="AH3370" s="64">
        <f t="shared" si="528"/>
        <v>0</v>
      </c>
      <c r="AI3370" s="47"/>
      <c r="AJ3370" s="126" t="e">
        <v>#N/A</v>
      </c>
      <c r="AK3370" s="80">
        <f t="shared" si="521"/>
        <v>0</v>
      </c>
      <c r="AM3370" s="85"/>
    </row>
    <row r="3371" spans="1:39" hidden="1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25"/>
        <v>21.840000000000099</v>
      </c>
      <c r="X3371" s="6">
        <f t="shared" si="526"/>
        <v>0</v>
      </c>
      <c r="Y3371" s="13">
        <f t="shared" si="519"/>
        <v>0</v>
      </c>
      <c r="Z3371" s="14">
        <v>0</v>
      </c>
      <c r="AA3371" s="6">
        <v>0</v>
      </c>
      <c r="AB3371" s="4">
        <f t="shared" si="520"/>
        <v>0</v>
      </c>
      <c r="AC3371" s="4">
        <f t="shared" si="523"/>
        <v>0</v>
      </c>
      <c r="AD3371" s="6">
        <f t="shared" si="527"/>
        <v>0</v>
      </c>
      <c r="AE3371" s="2">
        <f>VLOOKUP(I3371,[1]媒体政策预估表!A:N,MATCH(O3371,[1]媒体政策预估表!$A$2:$M$2,0),0)</f>
        <v>0</v>
      </c>
      <c r="AF3371" s="6">
        <f t="shared" si="524"/>
        <v>0</v>
      </c>
      <c r="AG3371" s="14">
        <v>0</v>
      </c>
      <c r="AH3371" s="64">
        <f t="shared" si="528"/>
        <v>0</v>
      </c>
      <c r="AI3371" s="47"/>
      <c r="AJ3371" s="126" t="e">
        <v>#N/A</v>
      </c>
      <c r="AK3371" s="80">
        <f t="shared" si="521"/>
        <v>0</v>
      </c>
      <c r="AM3371" s="85"/>
    </row>
    <row r="3372" spans="1:39" hidden="1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25"/>
        <v>-18.219999999999299</v>
      </c>
      <c r="X3372" s="6">
        <f t="shared" si="526"/>
        <v>0</v>
      </c>
      <c r="Y3372" s="13">
        <f t="shared" si="519"/>
        <v>0</v>
      </c>
      <c r="Z3372" s="14">
        <v>0</v>
      </c>
      <c r="AA3372" s="6">
        <v>0</v>
      </c>
      <c r="AB3372" s="4">
        <f t="shared" si="520"/>
        <v>0</v>
      </c>
      <c r="AC3372" s="4">
        <f t="shared" si="523"/>
        <v>0</v>
      </c>
      <c r="AD3372" s="6">
        <f t="shared" si="527"/>
        <v>0</v>
      </c>
      <c r="AE3372" s="2">
        <f>VLOOKUP(I3372,[1]媒体政策预估表!A:N,MATCH(O3372,[1]媒体政策预估表!$A$2:$M$2,0),0)</f>
        <v>0</v>
      </c>
      <c r="AF3372" s="6">
        <f t="shared" si="524"/>
        <v>0</v>
      </c>
      <c r="AG3372" s="14">
        <v>0</v>
      </c>
      <c r="AH3372" s="64">
        <f t="shared" si="528"/>
        <v>0</v>
      </c>
      <c r="AI3372" s="47"/>
      <c r="AJ3372" s="126" t="e">
        <v>#N/A</v>
      </c>
      <c r="AK3372" s="80">
        <f t="shared" si="521"/>
        <v>0</v>
      </c>
      <c r="AM3372" s="85"/>
    </row>
    <row r="3373" spans="1:39" hidden="1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25"/>
        <v>-11.5199999998986</v>
      </c>
      <c r="X3373" s="6">
        <f t="shared" si="526"/>
        <v>0</v>
      </c>
      <c r="Y3373" s="13">
        <f t="shared" si="519"/>
        <v>0</v>
      </c>
      <c r="Z3373" s="14">
        <v>0</v>
      </c>
      <c r="AA3373" s="6">
        <v>0</v>
      </c>
      <c r="AB3373" s="4">
        <f t="shared" si="520"/>
        <v>0</v>
      </c>
      <c r="AC3373" s="4">
        <f t="shared" si="523"/>
        <v>0</v>
      </c>
      <c r="AD3373" s="6">
        <f t="shared" si="527"/>
        <v>0</v>
      </c>
      <c r="AE3373" s="2">
        <f>VLOOKUP(I3373,[1]媒体政策预估表!A:N,MATCH(O3373,[1]媒体政策预估表!$A$2:$M$2,0),0)</f>
        <v>0</v>
      </c>
      <c r="AF3373" s="6">
        <f t="shared" si="524"/>
        <v>0</v>
      </c>
      <c r="AG3373" s="14">
        <v>0</v>
      </c>
      <c r="AH3373" s="64">
        <f t="shared" si="528"/>
        <v>0</v>
      </c>
      <c r="AI3373" s="47"/>
      <c r="AJ3373" s="126" t="e">
        <v>#N/A</v>
      </c>
      <c r="AK3373" s="80">
        <f t="shared" si="521"/>
        <v>0</v>
      </c>
      <c r="AM3373" s="85"/>
    </row>
    <row r="3374" spans="1:39" hidden="1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25"/>
        <v>-102.17</v>
      </c>
      <c r="X3374" s="6">
        <f t="shared" si="526"/>
        <v>0</v>
      </c>
      <c r="Y3374" s="13">
        <f t="shared" si="519"/>
        <v>0</v>
      </c>
      <c r="Z3374" s="14">
        <v>0</v>
      </c>
      <c r="AA3374" s="6">
        <v>0</v>
      </c>
      <c r="AB3374" s="4">
        <f t="shared" si="520"/>
        <v>0</v>
      </c>
      <c r="AC3374" s="4">
        <f t="shared" si="523"/>
        <v>0</v>
      </c>
      <c r="AD3374" s="6">
        <f t="shared" si="527"/>
        <v>0</v>
      </c>
      <c r="AE3374" s="2">
        <f>VLOOKUP(I3374,[1]媒体政策预估表!A:N,MATCH(O3374,[1]媒体政策预估表!$A$2:$M$2,0),0)</f>
        <v>0</v>
      </c>
      <c r="AF3374" s="6">
        <f t="shared" si="524"/>
        <v>0</v>
      </c>
      <c r="AG3374" s="14">
        <v>0</v>
      </c>
      <c r="AH3374" s="64">
        <f t="shared" si="528"/>
        <v>0</v>
      </c>
      <c r="AI3374" s="47"/>
      <c r="AJ3374" s="126" t="e">
        <v>#N/A</v>
      </c>
      <c r="AK3374" s="80">
        <f t="shared" si="521"/>
        <v>0</v>
      </c>
      <c r="AM3374" s="85"/>
    </row>
    <row r="3375" spans="1:39" hidden="1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25"/>
        <v>19624.8</v>
      </c>
      <c r="X3375" s="6">
        <f t="shared" si="526"/>
        <v>0</v>
      </c>
      <c r="Y3375" s="13">
        <f t="shared" si="519"/>
        <v>0</v>
      </c>
      <c r="Z3375" s="14">
        <v>0</v>
      </c>
      <c r="AA3375" s="6">
        <v>0</v>
      </c>
      <c r="AB3375" s="4">
        <f t="shared" si="520"/>
        <v>0</v>
      </c>
      <c r="AC3375" s="4">
        <f t="shared" si="523"/>
        <v>0</v>
      </c>
      <c r="AD3375" s="6">
        <f t="shared" si="527"/>
        <v>0</v>
      </c>
      <c r="AE3375" s="2">
        <f>VLOOKUP(I3375,[1]媒体政策预估表!A:N,MATCH(O3375,[1]媒体政策预估表!$A$2:$M$2,0),0)</f>
        <v>0</v>
      </c>
      <c r="AF3375" s="6">
        <f t="shared" si="524"/>
        <v>0</v>
      </c>
      <c r="AG3375" s="14">
        <v>0</v>
      </c>
      <c r="AH3375" s="64">
        <f t="shared" si="528"/>
        <v>0</v>
      </c>
      <c r="AI3375" s="47"/>
      <c r="AJ3375" s="126" t="e">
        <v>#N/A</v>
      </c>
      <c r="AK3375" s="80">
        <f t="shared" si="521"/>
        <v>0</v>
      </c>
      <c r="AM3375" s="85"/>
    </row>
    <row r="3376" spans="1:39" hidden="1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25"/>
        <v>-11.9000000000015</v>
      </c>
      <c r="X3376" s="6">
        <f t="shared" si="526"/>
        <v>0</v>
      </c>
      <c r="Y3376" s="13">
        <f t="shared" si="519"/>
        <v>0</v>
      </c>
      <c r="Z3376" s="14">
        <v>0</v>
      </c>
      <c r="AA3376" s="6">
        <v>0</v>
      </c>
      <c r="AB3376" s="4">
        <f t="shared" si="520"/>
        <v>0</v>
      </c>
      <c r="AC3376" s="4">
        <f t="shared" si="523"/>
        <v>0</v>
      </c>
      <c r="AD3376" s="6">
        <f t="shared" si="527"/>
        <v>0</v>
      </c>
      <c r="AE3376" s="2">
        <f>VLOOKUP(I3376,[1]媒体政策预估表!A:N,MATCH(O3376,[1]媒体政策预估表!$A$2:$M$2,0),0)</f>
        <v>0</v>
      </c>
      <c r="AF3376" s="6">
        <f t="shared" si="524"/>
        <v>0</v>
      </c>
      <c r="AG3376" s="14">
        <v>0</v>
      </c>
      <c r="AH3376" s="64">
        <f t="shared" si="528"/>
        <v>0</v>
      </c>
      <c r="AI3376" s="47"/>
      <c r="AJ3376" s="126" t="e">
        <v>#N/A</v>
      </c>
      <c r="AK3376" s="80">
        <f t="shared" si="521"/>
        <v>0</v>
      </c>
      <c r="AM3376" s="85"/>
    </row>
    <row r="3377" spans="1:39" hidden="1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25"/>
        <v>1633.6</v>
      </c>
      <c r="X3377" s="6">
        <f t="shared" si="526"/>
        <v>0</v>
      </c>
      <c r="Y3377" s="13">
        <f t="shared" si="519"/>
        <v>0</v>
      </c>
      <c r="Z3377" s="14">
        <v>0</v>
      </c>
      <c r="AA3377" s="6">
        <v>0</v>
      </c>
      <c r="AB3377" s="4">
        <f t="shared" si="520"/>
        <v>0</v>
      </c>
      <c r="AC3377" s="4">
        <f t="shared" si="523"/>
        <v>0</v>
      </c>
      <c r="AD3377" s="6">
        <f t="shared" si="527"/>
        <v>0</v>
      </c>
      <c r="AE3377" s="2">
        <f>VLOOKUP(I3377,[1]媒体政策预估表!A:N,MATCH(O3377,[1]媒体政策预估表!$A$2:$M$2,0),0)</f>
        <v>0</v>
      </c>
      <c r="AF3377" s="6">
        <f t="shared" si="524"/>
        <v>0</v>
      </c>
      <c r="AG3377" s="14">
        <v>0</v>
      </c>
      <c r="AH3377" s="64">
        <f t="shared" si="528"/>
        <v>0</v>
      </c>
      <c r="AI3377" s="47"/>
      <c r="AJ3377" s="126" t="e">
        <v>#N/A</v>
      </c>
      <c r="AK3377" s="80">
        <f t="shared" si="521"/>
        <v>0</v>
      </c>
      <c r="AM3377" s="85"/>
    </row>
    <row r="3378" spans="1:39" hidden="1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25"/>
        <v>154.28000000000975</v>
      </c>
      <c r="X3378" s="6">
        <f t="shared" si="526"/>
        <v>0</v>
      </c>
      <c r="Y3378" s="13">
        <f t="shared" si="519"/>
        <v>0</v>
      </c>
      <c r="Z3378" s="14">
        <v>0.01</v>
      </c>
      <c r="AA3378" s="6">
        <f>X3378/(1-Z3378)*Z3378</f>
        <v>0</v>
      </c>
      <c r="AB3378" s="4">
        <f t="shared" si="520"/>
        <v>0</v>
      </c>
      <c r="AC3378" s="4">
        <f t="shared" si="523"/>
        <v>0</v>
      </c>
      <c r="AD3378" s="6">
        <f t="shared" si="527"/>
        <v>0</v>
      </c>
      <c r="AE3378" s="2">
        <f>VLOOKUP(I3378,[1]媒体政策预估表!A:N,MATCH(O3378,[1]媒体政策预估表!$A$2:$M$2,0),0)</f>
        <v>0</v>
      </c>
      <c r="AF3378" s="6">
        <f t="shared" si="524"/>
        <v>0</v>
      </c>
      <c r="AG3378" s="14">
        <v>0</v>
      </c>
      <c r="AH3378" s="64">
        <f t="shared" si="528"/>
        <v>0</v>
      </c>
      <c r="AI3378" s="47"/>
      <c r="AJ3378" s="126" t="e">
        <v>#N/A</v>
      </c>
      <c r="AK3378" s="80">
        <f t="shared" si="521"/>
        <v>0</v>
      </c>
      <c r="AM3378" s="85"/>
    </row>
    <row r="3379" spans="1:39" hidden="1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25"/>
        <v>2639.8</v>
      </c>
      <c r="X3379" s="6">
        <f t="shared" si="526"/>
        <v>0</v>
      </c>
      <c r="Y3379" s="13">
        <f t="shared" si="519"/>
        <v>0</v>
      </c>
      <c r="Z3379" s="14">
        <v>0</v>
      </c>
      <c r="AA3379" s="6">
        <v>0</v>
      </c>
      <c r="AB3379" s="4">
        <f t="shared" si="520"/>
        <v>0</v>
      </c>
      <c r="AC3379" s="4">
        <f t="shared" si="523"/>
        <v>0</v>
      </c>
      <c r="AD3379" s="6">
        <f t="shared" si="527"/>
        <v>0</v>
      </c>
      <c r="AE3379" s="2">
        <f>VLOOKUP(I3379,[1]媒体政策预估表!A:N,MATCH(O3379,[1]媒体政策预估表!$A$2:$M$2,0),0)</f>
        <v>0</v>
      </c>
      <c r="AF3379" s="6">
        <f t="shared" si="524"/>
        <v>0</v>
      </c>
      <c r="AG3379" s="14">
        <v>0</v>
      </c>
      <c r="AH3379" s="64">
        <f t="shared" si="528"/>
        <v>0</v>
      </c>
      <c r="AI3379" s="47"/>
      <c r="AJ3379" s="126" t="e">
        <v>#N/A</v>
      </c>
      <c r="AK3379" s="80">
        <f t="shared" si="521"/>
        <v>0</v>
      </c>
      <c r="AM3379" s="85"/>
    </row>
    <row r="3380" spans="1:39" hidden="1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25"/>
        <v>7.0000000000000298E-2</v>
      </c>
      <c r="X3380" s="6">
        <f t="shared" si="526"/>
        <v>0</v>
      </c>
      <c r="Y3380" s="13">
        <f t="shared" si="519"/>
        <v>0</v>
      </c>
      <c r="Z3380" s="14">
        <v>0</v>
      </c>
      <c r="AA3380" s="6">
        <v>0</v>
      </c>
      <c r="AB3380" s="4"/>
      <c r="AC3380" s="4">
        <f t="shared" si="523"/>
        <v>0</v>
      </c>
      <c r="AD3380" s="6">
        <f t="shared" si="527"/>
        <v>0</v>
      </c>
      <c r="AE3380" s="2">
        <f>VLOOKUP(I3380,[1]媒体政策预估表!A:N,MATCH(O3380,[1]媒体政策预估表!$A$2:$M$2,0),0)</f>
        <v>0</v>
      </c>
      <c r="AF3380" s="6">
        <f t="shared" si="524"/>
        <v>0</v>
      </c>
      <c r="AG3380" s="14">
        <v>0</v>
      </c>
      <c r="AH3380" s="64">
        <f t="shared" si="528"/>
        <v>0</v>
      </c>
      <c r="AI3380" s="47"/>
      <c r="AJ3380" s="126">
        <v>45</v>
      </c>
      <c r="AK3380" s="80">
        <f t="shared" si="521"/>
        <v>0</v>
      </c>
      <c r="AM3380" s="85"/>
    </row>
    <row r="3381" spans="1:39" hidden="1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25"/>
        <v>136.5</v>
      </c>
      <c r="X3381" s="6">
        <f t="shared" si="526"/>
        <v>0</v>
      </c>
      <c r="Y3381" s="13">
        <f t="shared" si="519"/>
        <v>0</v>
      </c>
      <c r="Z3381" s="14">
        <v>0</v>
      </c>
      <c r="AA3381" s="6">
        <v>0</v>
      </c>
      <c r="AB3381" s="4">
        <f t="shared" si="520"/>
        <v>0</v>
      </c>
      <c r="AC3381" s="4">
        <f t="shared" si="523"/>
        <v>0</v>
      </c>
      <c r="AD3381" s="6">
        <f t="shared" si="527"/>
        <v>0</v>
      </c>
      <c r="AE3381" s="2">
        <f>VLOOKUP(I3381,[1]媒体政策预估表!A:N,MATCH(O3381,[1]媒体政策预估表!$A$2:$M$2,0),0)</f>
        <v>0</v>
      </c>
      <c r="AF3381" s="6">
        <f t="shared" si="524"/>
        <v>0</v>
      </c>
      <c r="AG3381" s="14">
        <v>0</v>
      </c>
      <c r="AH3381" s="64">
        <f t="shared" si="528"/>
        <v>0</v>
      </c>
      <c r="AI3381" s="47"/>
      <c r="AJ3381" s="126" t="e">
        <v>#N/A</v>
      </c>
      <c r="AK3381" s="80">
        <f t="shared" si="521"/>
        <v>0</v>
      </c>
      <c r="AM3381" s="85"/>
    </row>
    <row r="3382" spans="1:39" hidden="1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25"/>
        <v>6500.6</v>
      </c>
      <c r="X3382" s="6">
        <f t="shared" si="526"/>
        <v>0</v>
      </c>
      <c r="Y3382" s="13">
        <f t="shared" si="519"/>
        <v>0</v>
      </c>
      <c r="Z3382" s="14">
        <v>0.03</v>
      </c>
      <c r="AA3382" s="6">
        <f t="shared" ref="AA3382:AA3383" si="529">X3382*Z3382</f>
        <v>0</v>
      </c>
      <c r="AB3382" s="4">
        <f t="shared" si="520"/>
        <v>0</v>
      </c>
      <c r="AC3382" s="4">
        <f t="shared" si="523"/>
        <v>0</v>
      </c>
      <c r="AD3382" s="6">
        <f t="shared" si="527"/>
        <v>0</v>
      </c>
      <c r="AE3382" s="2">
        <f>VLOOKUP(I3382,[1]媒体政策预估表!A:N,MATCH(O3382,[1]媒体政策预估表!$A$2:$M$2,0),0)</f>
        <v>0</v>
      </c>
      <c r="AF3382" s="6">
        <f t="shared" si="524"/>
        <v>0</v>
      </c>
      <c r="AG3382" s="14">
        <v>0</v>
      </c>
      <c r="AH3382" s="64">
        <f t="shared" si="528"/>
        <v>0</v>
      </c>
      <c r="AI3382" s="47"/>
      <c r="AJ3382" s="126" t="e">
        <v>#N/A</v>
      </c>
      <c r="AK3382" s="80">
        <f t="shared" si="521"/>
        <v>0</v>
      </c>
      <c r="AM3382" s="85"/>
    </row>
    <row r="3383" spans="1:39" hidden="1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25"/>
        <v>98</v>
      </c>
      <c r="X3383" s="6">
        <f t="shared" si="526"/>
        <v>4</v>
      </c>
      <c r="Y3383" s="13">
        <f t="shared" si="519"/>
        <v>0</v>
      </c>
      <c r="Z3383" s="14">
        <v>0.03</v>
      </c>
      <c r="AA3383" s="6">
        <f t="shared" si="529"/>
        <v>0.12</v>
      </c>
      <c r="AB3383" s="4">
        <f t="shared" si="520"/>
        <v>4.12</v>
      </c>
      <c r="AC3383" s="4">
        <f t="shared" si="523"/>
        <v>0</v>
      </c>
      <c r="AD3383" s="6">
        <f t="shared" si="527"/>
        <v>4</v>
      </c>
      <c r="AE3383" s="2">
        <f>VLOOKUP(I3383,[1]媒体政策预估表!A:N,MATCH(O3383,[1]媒体政策预估表!$A$2:$M$2,0),0)</f>
        <v>0</v>
      </c>
      <c r="AF3383" s="6">
        <f t="shared" si="524"/>
        <v>0</v>
      </c>
      <c r="AG3383" s="14">
        <v>0</v>
      </c>
      <c r="AH3383" s="64">
        <f t="shared" si="528"/>
        <v>4</v>
      </c>
      <c r="AI3383" s="47"/>
      <c r="AJ3383" s="126" t="e">
        <v>#N/A</v>
      </c>
      <c r="AK3383" s="80">
        <f t="shared" si="521"/>
        <v>0</v>
      </c>
      <c r="AM3383" s="85"/>
    </row>
    <row r="3384" spans="1:39" hidden="1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25"/>
        <v>-4</v>
      </c>
      <c r="X3384" s="6">
        <f t="shared" si="526"/>
        <v>0</v>
      </c>
      <c r="Y3384" s="13">
        <f t="shared" si="519"/>
        <v>0</v>
      </c>
      <c r="Z3384" s="14">
        <v>0</v>
      </c>
      <c r="AA3384" s="6">
        <v>0</v>
      </c>
      <c r="AB3384" s="4">
        <f t="shared" si="520"/>
        <v>0</v>
      </c>
      <c r="AC3384" s="4">
        <f t="shared" si="523"/>
        <v>0</v>
      </c>
      <c r="AD3384" s="6">
        <f t="shared" si="527"/>
        <v>0</v>
      </c>
      <c r="AE3384" s="2">
        <f>VLOOKUP(I3384,[1]媒体政策预估表!A:N,MATCH(O3384,[1]媒体政策预估表!$A$2:$M$2,0),0)</f>
        <v>0</v>
      </c>
      <c r="AF3384" s="6">
        <f t="shared" si="524"/>
        <v>0</v>
      </c>
      <c r="AG3384" s="14">
        <v>0</v>
      </c>
      <c r="AH3384" s="64">
        <f t="shared" si="528"/>
        <v>0</v>
      </c>
      <c r="AI3384" s="47"/>
      <c r="AJ3384" s="126" t="e">
        <v>#N/A</v>
      </c>
      <c r="AK3384" s="80">
        <f t="shared" si="521"/>
        <v>0</v>
      </c>
      <c r="AM3384" s="85"/>
    </row>
    <row r="3385" spans="1:39" hidden="1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25"/>
        <v>-23.1999999999998</v>
      </c>
      <c r="X3385" s="6">
        <f t="shared" si="526"/>
        <v>0</v>
      </c>
      <c r="Y3385" s="13">
        <f t="shared" si="519"/>
        <v>0</v>
      </c>
      <c r="Z3385" s="14">
        <v>0</v>
      </c>
      <c r="AA3385" s="6">
        <v>0</v>
      </c>
      <c r="AB3385" s="4">
        <f t="shared" si="520"/>
        <v>0</v>
      </c>
      <c r="AC3385" s="4">
        <f t="shared" si="523"/>
        <v>0</v>
      </c>
      <c r="AD3385" s="6">
        <f t="shared" si="527"/>
        <v>0</v>
      </c>
      <c r="AE3385" s="2">
        <f>VLOOKUP(I3385,[1]媒体政策预估表!A:N,MATCH(O3385,[1]媒体政策预估表!$A$2:$M$2,0),0)</f>
        <v>0</v>
      </c>
      <c r="AF3385" s="6">
        <f t="shared" si="524"/>
        <v>0</v>
      </c>
      <c r="AG3385" s="14">
        <v>0</v>
      </c>
      <c r="AH3385" s="64">
        <f t="shared" si="528"/>
        <v>0</v>
      </c>
      <c r="AI3385" s="47"/>
      <c r="AJ3385" s="126" t="e">
        <v>#N/A</v>
      </c>
      <c r="AK3385" s="80">
        <f t="shared" si="521"/>
        <v>0</v>
      </c>
      <c r="AM3385" s="85"/>
    </row>
    <row r="3386" spans="1:39" hidden="1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25"/>
        <v>5.4</v>
      </c>
      <c r="X3386" s="6">
        <f t="shared" si="526"/>
        <v>0</v>
      </c>
      <c r="Y3386" s="13">
        <f t="shared" si="519"/>
        <v>0</v>
      </c>
      <c r="Z3386" s="14">
        <v>0</v>
      </c>
      <c r="AA3386" s="6">
        <v>0</v>
      </c>
      <c r="AB3386" s="4">
        <f t="shared" si="520"/>
        <v>0</v>
      </c>
      <c r="AC3386" s="4">
        <f t="shared" si="523"/>
        <v>0</v>
      </c>
      <c r="AD3386" s="6">
        <f t="shared" si="527"/>
        <v>0</v>
      </c>
      <c r="AE3386" s="2">
        <f>VLOOKUP(I3386,[1]媒体政策预估表!A:N,MATCH(O3386,[1]媒体政策预估表!$A$2:$M$2,0),0)</f>
        <v>0</v>
      </c>
      <c r="AF3386" s="6">
        <f t="shared" si="524"/>
        <v>0</v>
      </c>
      <c r="AG3386" s="14">
        <v>0</v>
      </c>
      <c r="AH3386" s="64">
        <f t="shared" si="528"/>
        <v>0</v>
      </c>
      <c r="AI3386" s="47"/>
      <c r="AJ3386" s="126" t="e">
        <v>#N/A</v>
      </c>
      <c r="AK3386" s="80">
        <f t="shared" si="521"/>
        <v>0</v>
      </c>
      <c r="AM3386" s="85"/>
    </row>
    <row r="3387" spans="1:39" hidden="1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25"/>
        <v>7992.7</v>
      </c>
      <c r="X3387" s="6">
        <f t="shared" si="526"/>
        <v>0</v>
      </c>
      <c r="Y3387" s="13">
        <f t="shared" si="519"/>
        <v>0</v>
      </c>
      <c r="Z3387" s="14">
        <v>0</v>
      </c>
      <c r="AA3387" s="6">
        <v>0</v>
      </c>
      <c r="AB3387" s="4">
        <f t="shared" si="520"/>
        <v>0</v>
      </c>
      <c r="AC3387" s="4">
        <f t="shared" si="523"/>
        <v>0</v>
      </c>
      <c r="AD3387" s="6">
        <f t="shared" si="527"/>
        <v>0</v>
      </c>
      <c r="AE3387" s="2">
        <f>VLOOKUP(I3387,[1]媒体政策预估表!A:N,MATCH(O3387,[1]媒体政策预估表!$A$2:$M$2,0),0)</f>
        <v>0</v>
      </c>
      <c r="AF3387" s="6">
        <f t="shared" si="524"/>
        <v>0</v>
      </c>
      <c r="AG3387" s="14">
        <v>0</v>
      </c>
      <c r="AH3387" s="64">
        <f t="shared" si="528"/>
        <v>0</v>
      </c>
      <c r="AI3387" s="47"/>
      <c r="AJ3387" s="126" t="e">
        <v>#N/A</v>
      </c>
      <c r="AK3387" s="80">
        <f t="shared" si="521"/>
        <v>0</v>
      </c>
      <c r="AM3387" s="85"/>
    </row>
    <row r="3388" spans="1:39" hidden="1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25"/>
        <v>-5</v>
      </c>
      <c r="X3388" s="6">
        <f t="shared" si="526"/>
        <v>0</v>
      </c>
      <c r="Y3388" s="13">
        <f t="shared" si="519"/>
        <v>0</v>
      </c>
      <c r="Z3388" s="14">
        <v>0</v>
      </c>
      <c r="AA3388" s="6">
        <v>0</v>
      </c>
      <c r="AB3388" s="4">
        <f t="shared" si="520"/>
        <v>0</v>
      </c>
      <c r="AC3388" s="4">
        <f t="shared" si="523"/>
        <v>0</v>
      </c>
      <c r="AD3388" s="6">
        <f t="shared" si="527"/>
        <v>0</v>
      </c>
      <c r="AE3388" s="2">
        <f>VLOOKUP(I3388,[1]媒体政策预估表!A:N,MATCH(O3388,[1]媒体政策预估表!$A$2:$M$2,0),0)</f>
        <v>0</v>
      </c>
      <c r="AF3388" s="6">
        <f t="shared" si="524"/>
        <v>0</v>
      </c>
      <c r="AG3388" s="14">
        <v>0</v>
      </c>
      <c r="AH3388" s="64">
        <f t="shared" si="528"/>
        <v>0</v>
      </c>
      <c r="AI3388" s="47"/>
      <c r="AJ3388" s="126" t="e">
        <v>#N/A</v>
      </c>
      <c r="AK3388" s="80">
        <f t="shared" si="521"/>
        <v>0</v>
      </c>
      <c r="AM3388" s="85"/>
    </row>
    <row r="3389" spans="1:39" hidden="1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25"/>
        <v>676.6</v>
      </c>
      <c r="X3389" s="6">
        <f t="shared" si="526"/>
        <v>0</v>
      </c>
      <c r="Y3389" s="13">
        <f t="shared" si="519"/>
        <v>0</v>
      </c>
      <c r="Z3389" s="14">
        <v>0</v>
      </c>
      <c r="AA3389" s="6">
        <v>0</v>
      </c>
      <c r="AB3389" s="4">
        <f t="shared" si="520"/>
        <v>0</v>
      </c>
      <c r="AC3389" s="4">
        <f t="shared" si="523"/>
        <v>0</v>
      </c>
      <c r="AD3389" s="6">
        <f t="shared" si="527"/>
        <v>0</v>
      </c>
      <c r="AE3389" s="2">
        <f>VLOOKUP(I3389,[1]媒体政策预估表!A:N,MATCH(O3389,[1]媒体政策预估表!$A$2:$M$2,0),0)</f>
        <v>0</v>
      </c>
      <c r="AF3389" s="6">
        <f t="shared" si="524"/>
        <v>0</v>
      </c>
      <c r="AG3389" s="14">
        <v>0</v>
      </c>
      <c r="AH3389" s="64">
        <f t="shared" si="528"/>
        <v>0</v>
      </c>
      <c r="AI3389" s="47"/>
      <c r="AJ3389" s="126" t="e">
        <v>#N/A</v>
      </c>
      <c r="AK3389" s="80">
        <f t="shared" si="521"/>
        <v>0</v>
      </c>
      <c r="AM3389" s="85"/>
    </row>
    <row r="3390" spans="1:39" hidden="1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25"/>
        <v>46.04</v>
      </c>
      <c r="X3390" s="6">
        <f t="shared" si="526"/>
        <v>0</v>
      </c>
      <c r="Y3390" s="13">
        <f t="shared" si="519"/>
        <v>0</v>
      </c>
      <c r="Z3390" s="14">
        <v>0</v>
      </c>
      <c r="AA3390" s="6">
        <v>0</v>
      </c>
      <c r="AB3390" s="4">
        <f t="shared" si="520"/>
        <v>0</v>
      </c>
      <c r="AC3390" s="4">
        <f t="shared" si="523"/>
        <v>0</v>
      </c>
      <c r="AD3390" s="6">
        <f t="shared" si="527"/>
        <v>0</v>
      </c>
      <c r="AE3390" s="2">
        <f>VLOOKUP(I3390,[1]媒体政策预估表!A:N,MATCH(O3390,[1]媒体政策预估表!$A$2:$M$2,0),0)</f>
        <v>0</v>
      </c>
      <c r="AF3390" s="6">
        <f t="shared" si="524"/>
        <v>0</v>
      </c>
      <c r="AG3390" s="14">
        <v>0</v>
      </c>
      <c r="AH3390" s="64">
        <f t="shared" si="528"/>
        <v>0</v>
      </c>
      <c r="AI3390" s="47"/>
      <c r="AJ3390" s="126" t="e">
        <v>#N/A</v>
      </c>
      <c r="AK3390" s="80">
        <f t="shared" si="521"/>
        <v>0</v>
      </c>
      <c r="AM3390" s="85"/>
    </row>
    <row r="3391" spans="1:39" hidden="1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25"/>
        <v>15624.1</v>
      </c>
      <c r="X3391" s="6">
        <f t="shared" si="526"/>
        <v>0</v>
      </c>
      <c r="Y3391" s="13">
        <f t="shared" si="519"/>
        <v>0</v>
      </c>
      <c r="Z3391" s="14">
        <v>0</v>
      </c>
      <c r="AA3391" s="6">
        <v>0</v>
      </c>
      <c r="AB3391" s="4">
        <f t="shared" si="520"/>
        <v>0</v>
      </c>
      <c r="AC3391" s="4">
        <f t="shared" si="523"/>
        <v>0</v>
      </c>
      <c r="AD3391" s="6">
        <f t="shared" si="527"/>
        <v>0</v>
      </c>
      <c r="AE3391" s="2">
        <f>VLOOKUP(I3391,[1]媒体政策预估表!A:N,MATCH(O3391,[1]媒体政策预估表!$A$2:$M$2,0),0)</f>
        <v>0</v>
      </c>
      <c r="AF3391" s="6">
        <f t="shared" si="524"/>
        <v>0</v>
      </c>
      <c r="AG3391" s="14">
        <v>0</v>
      </c>
      <c r="AH3391" s="64">
        <f t="shared" si="528"/>
        <v>0</v>
      </c>
      <c r="AI3391" s="47"/>
      <c r="AJ3391" s="126" t="e">
        <v>#N/A</v>
      </c>
      <c r="AK3391" s="80">
        <f t="shared" si="521"/>
        <v>0</v>
      </c>
      <c r="AM3391" s="85"/>
    </row>
    <row r="3392" spans="1:39" hidden="1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25"/>
        <v>105.94999999999982</v>
      </c>
      <c r="X3392" s="6">
        <f t="shared" si="526"/>
        <v>0</v>
      </c>
      <c r="Y3392" s="13">
        <f t="shared" si="519"/>
        <v>0</v>
      </c>
      <c r="Z3392" s="14">
        <v>0</v>
      </c>
      <c r="AA3392" s="6">
        <v>0</v>
      </c>
      <c r="AB3392" s="4">
        <f t="shared" si="520"/>
        <v>0</v>
      </c>
      <c r="AC3392" s="4">
        <f t="shared" si="523"/>
        <v>0</v>
      </c>
      <c r="AD3392" s="6">
        <f t="shared" si="527"/>
        <v>0</v>
      </c>
      <c r="AE3392" s="2">
        <f>VLOOKUP(I3392,[1]媒体政策预估表!A:N,MATCH(O3392,[1]媒体政策预估表!$A$2:$M$2,0),0)</f>
        <v>0</v>
      </c>
      <c r="AF3392" s="6">
        <f t="shared" si="524"/>
        <v>0</v>
      </c>
      <c r="AG3392" s="14">
        <v>0</v>
      </c>
      <c r="AH3392" s="64">
        <f t="shared" si="528"/>
        <v>0</v>
      </c>
      <c r="AI3392" s="47"/>
      <c r="AJ3392" s="126" t="e">
        <v>#N/A</v>
      </c>
      <c r="AK3392" s="80">
        <f t="shared" si="521"/>
        <v>0</v>
      </c>
      <c r="AM3392" s="85"/>
    </row>
    <row r="3393" spans="1:39" hidden="1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25"/>
        <v>691.69999999999982</v>
      </c>
      <c r="X3393" s="6">
        <f t="shared" si="526"/>
        <v>0</v>
      </c>
      <c r="Y3393" s="13">
        <f t="shared" si="519"/>
        <v>0</v>
      </c>
      <c r="Z3393" s="14">
        <v>0.05</v>
      </c>
      <c r="AA3393" s="6">
        <f t="shared" ref="AA3393:AA3395" si="530">X3393*Z3393</f>
        <v>0</v>
      </c>
      <c r="AB3393" s="4">
        <f t="shared" si="520"/>
        <v>0</v>
      </c>
      <c r="AC3393" s="4">
        <f t="shared" si="523"/>
        <v>0</v>
      </c>
      <c r="AD3393" s="6">
        <f t="shared" si="527"/>
        <v>0</v>
      </c>
      <c r="AE3393" s="2">
        <f>VLOOKUP(I3393,[1]媒体政策预估表!A:N,MATCH(O3393,[1]媒体政策预估表!$A$2:$M$2,0),0)</f>
        <v>0</v>
      </c>
      <c r="AF3393" s="6">
        <f t="shared" si="524"/>
        <v>0</v>
      </c>
      <c r="AG3393" s="14">
        <v>0</v>
      </c>
      <c r="AH3393" s="64">
        <f t="shared" si="528"/>
        <v>0</v>
      </c>
      <c r="AI3393" s="47"/>
      <c r="AJ3393" s="126" t="e">
        <v>#N/A</v>
      </c>
      <c r="AK3393" s="80">
        <f t="shared" si="521"/>
        <v>0</v>
      </c>
      <c r="AM3393" s="85"/>
    </row>
    <row r="3394" spans="1:39" hidden="1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25"/>
        <v>20000</v>
      </c>
      <c r="X3394" s="6">
        <f t="shared" si="526"/>
        <v>0</v>
      </c>
      <c r="Y3394" s="13">
        <f t="shared" si="519"/>
        <v>0</v>
      </c>
      <c r="Z3394" s="14">
        <v>0.03</v>
      </c>
      <c r="AA3394" s="6">
        <f t="shared" si="530"/>
        <v>0</v>
      </c>
      <c r="AB3394" s="4">
        <f t="shared" si="520"/>
        <v>0</v>
      </c>
      <c r="AC3394" s="4">
        <f t="shared" si="523"/>
        <v>0</v>
      </c>
      <c r="AD3394" s="6">
        <f t="shared" si="527"/>
        <v>0</v>
      </c>
      <c r="AE3394" s="2">
        <f>VLOOKUP(I3394,[1]媒体政策预估表!A:N,MATCH(O3394,[1]媒体政策预估表!$A$2:$M$2,0),0)</f>
        <v>0</v>
      </c>
      <c r="AF3394" s="6">
        <f t="shared" si="524"/>
        <v>0</v>
      </c>
      <c r="AG3394" s="14">
        <v>0</v>
      </c>
      <c r="AH3394" s="64">
        <f t="shared" si="528"/>
        <v>0</v>
      </c>
      <c r="AI3394" s="47"/>
      <c r="AJ3394" s="126" t="e">
        <v>#N/A</v>
      </c>
      <c r="AK3394" s="80">
        <f t="shared" si="521"/>
        <v>0</v>
      </c>
      <c r="AM3394" s="85"/>
    </row>
    <row r="3395" spans="1:39" hidden="1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25"/>
        <v>12</v>
      </c>
      <c r="X3395" s="6">
        <f t="shared" si="526"/>
        <v>0</v>
      </c>
      <c r="Y3395" s="13">
        <f t="shared" ref="Y3395:Y3458" si="531">IF(X3395-AD3395&lt;=0,0,IF(P3395="返现",MAX(X3395-AC3395-AD3395,0),MAX(X3395-AD3395)))</f>
        <v>0</v>
      </c>
      <c r="Z3395" s="14">
        <v>0.02</v>
      </c>
      <c r="AA3395" s="6">
        <f t="shared" si="530"/>
        <v>0</v>
      </c>
      <c r="AB3395" s="4">
        <f t="shared" ref="AB3395:AB3458" si="532">X3395+AA3395</f>
        <v>0</v>
      </c>
      <c r="AC3395" s="4">
        <f t="shared" si="523"/>
        <v>0</v>
      </c>
      <c r="AD3395" s="6">
        <f t="shared" si="527"/>
        <v>0</v>
      </c>
      <c r="AE3395" s="2">
        <f>VLOOKUP(I3395,[1]媒体政策预估表!A:N,MATCH(O3395,[1]媒体政策预估表!$A$2:$M$2,0),0)</f>
        <v>0</v>
      </c>
      <c r="AF3395" s="6">
        <f t="shared" si="524"/>
        <v>0</v>
      </c>
      <c r="AG3395" s="14">
        <v>0</v>
      </c>
      <c r="AH3395" s="64">
        <f t="shared" si="528"/>
        <v>0</v>
      </c>
      <c r="AI3395" s="47"/>
      <c r="AJ3395" s="126" t="e">
        <v>#N/A</v>
      </c>
      <c r="AK3395" s="80">
        <f t="shared" ref="AK3395:AK3458" si="533">X3395+AA3395-AB3395</f>
        <v>0</v>
      </c>
      <c r="AM3395" s="85"/>
    </row>
    <row r="3396" spans="1:39" hidden="1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25"/>
        <v>-32</v>
      </c>
      <c r="X3396" s="6">
        <f t="shared" si="526"/>
        <v>0</v>
      </c>
      <c r="Y3396" s="13">
        <f t="shared" si="531"/>
        <v>0</v>
      </c>
      <c r="Z3396" s="14">
        <v>0</v>
      </c>
      <c r="AA3396" s="6">
        <v>0</v>
      </c>
      <c r="AB3396" s="4">
        <f t="shared" si="532"/>
        <v>0</v>
      </c>
      <c r="AC3396" s="4">
        <f t="shared" si="523"/>
        <v>0</v>
      </c>
      <c r="AD3396" s="6">
        <f t="shared" si="527"/>
        <v>0</v>
      </c>
      <c r="AE3396" s="2">
        <f>VLOOKUP(I3396,[1]媒体政策预估表!A:N,MATCH(O3396,[1]媒体政策预估表!$A$2:$M$2,0),0)</f>
        <v>0</v>
      </c>
      <c r="AF3396" s="6">
        <f t="shared" si="524"/>
        <v>0</v>
      </c>
      <c r="AG3396" s="14">
        <v>0</v>
      </c>
      <c r="AH3396" s="64">
        <f t="shared" si="528"/>
        <v>0</v>
      </c>
      <c r="AI3396" s="47"/>
      <c r="AJ3396" s="126" t="e">
        <v>#N/A</v>
      </c>
      <c r="AK3396" s="80">
        <f t="shared" si="533"/>
        <v>0</v>
      </c>
      <c r="AM3396" s="85"/>
    </row>
    <row r="3397" spans="1:39" hidden="1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25"/>
        <v>43.76</v>
      </c>
      <c r="X3397" s="6">
        <f t="shared" si="526"/>
        <v>0</v>
      </c>
      <c r="Y3397" s="13">
        <f t="shared" si="531"/>
        <v>0</v>
      </c>
      <c r="Z3397" s="14">
        <v>0</v>
      </c>
      <c r="AA3397" s="6">
        <v>0</v>
      </c>
      <c r="AB3397" s="4">
        <f t="shared" si="532"/>
        <v>0</v>
      </c>
      <c r="AC3397" s="4">
        <f t="shared" si="523"/>
        <v>0</v>
      </c>
      <c r="AD3397" s="6">
        <f t="shared" si="527"/>
        <v>0</v>
      </c>
      <c r="AE3397" s="2">
        <f>VLOOKUP(I3397,[1]媒体政策预估表!A:N,MATCH(O3397,[1]媒体政策预估表!$A$2:$M$2,0),0)</f>
        <v>0</v>
      </c>
      <c r="AF3397" s="6">
        <f t="shared" si="524"/>
        <v>0</v>
      </c>
      <c r="AG3397" s="14">
        <v>0</v>
      </c>
      <c r="AH3397" s="64">
        <f t="shared" si="528"/>
        <v>0</v>
      </c>
      <c r="AI3397" s="47"/>
      <c r="AJ3397" s="126" t="e">
        <v>#N/A</v>
      </c>
      <c r="AK3397" s="80">
        <f t="shared" si="533"/>
        <v>0</v>
      </c>
      <c r="AM3397" s="85"/>
    </row>
    <row r="3398" spans="1:39" hidden="1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25"/>
        <v>28038</v>
      </c>
      <c r="X3398" s="6">
        <f t="shared" si="526"/>
        <v>0</v>
      </c>
      <c r="Y3398" s="13">
        <f t="shared" si="531"/>
        <v>0</v>
      </c>
      <c r="Z3398" s="14">
        <v>0</v>
      </c>
      <c r="AA3398" s="6">
        <v>0</v>
      </c>
      <c r="AB3398" s="4">
        <f t="shared" si="532"/>
        <v>0</v>
      </c>
      <c r="AC3398" s="4">
        <f t="shared" si="523"/>
        <v>0</v>
      </c>
      <c r="AD3398" s="6">
        <f t="shared" si="527"/>
        <v>0</v>
      </c>
      <c r="AE3398" s="2">
        <f>VLOOKUP(I3398,[1]媒体政策预估表!A:N,MATCH(O3398,[1]媒体政策预估表!$A$2:$M$2,0),0)</f>
        <v>0</v>
      </c>
      <c r="AF3398" s="6">
        <f t="shared" si="524"/>
        <v>0</v>
      </c>
      <c r="AG3398" s="14">
        <v>0</v>
      </c>
      <c r="AH3398" s="64">
        <f t="shared" si="528"/>
        <v>0</v>
      </c>
      <c r="AI3398" s="47"/>
      <c r="AJ3398" s="126" t="e">
        <v>#N/A</v>
      </c>
      <c r="AK3398" s="80">
        <f t="shared" si="533"/>
        <v>0</v>
      </c>
      <c r="AM3398" s="85"/>
    </row>
    <row r="3399" spans="1:39" hidden="1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25"/>
        <v>6846.43</v>
      </c>
      <c r="X3399" s="6">
        <f t="shared" si="526"/>
        <v>0</v>
      </c>
      <c r="Y3399" s="13">
        <f t="shared" si="531"/>
        <v>0</v>
      </c>
      <c r="Z3399" s="14">
        <v>0.02</v>
      </c>
      <c r="AA3399" s="6">
        <f>X3399*Z3399</f>
        <v>0</v>
      </c>
      <c r="AB3399" s="4">
        <f t="shared" si="532"/>
        <v>0</v>
      </c>
      <c r="AC3399" s="4">
        <f t="shared" si="523"/>
        <v>0</v>
      </c>
      <c r="AD3399" s="6">
        <f t="shared" si="527"/>
        <v>0</v>
      </c>
      <c r="AE3399" s="2">
        <f>VLOOKUP(I3399,[1]媒体政策预估表!A:N,MATCH(O3399,[1]媒体政策预估表!$A$2:$M$2,0),0)</f>
        <v>0</v>
      </c>
      <c r="AF3399" s="6">
        <f t="shared" si="524"/>
        <v>0</v>
      </c>
      <c r="AG3399" s="14">
        <v>0</v>
      </c>
      <c r="AH3399" s="64">
        <f t="shared" si="528"/>
        <v>0</v>
      </c>
      <c r="AI3399" s="47"/>
      <c r="AJ3399" s="126" t="e">
        <v>#N/A</v>
      </c>
      <c r="AK3399" s="80">
        <f t="shared" si="533"/>
        <v>0</v>
      </c>
      <c r="AM3399" s="85"/>
    </row>
    <row r="3400" spans="1:39" hidden="1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25"/>
        <v>10000</v>
      </c>
      <c r="X3400" s="6">
        <f t="shared" si="526"/>
        <v>0</v>
      </c>
      <c r="Y3400" s="13">
        <f t="shared" si="531"/>
        <v>0</v>
      </c>
      <c r="Z3400" s="14">
        <v>0</v>
      </c>
      <c r="AA3400" s="6">
        <v>0</v>
      </c>
      <c r="AB3400" s="4">
        <f t="shared" si="532"/>
        <v>0</v>
      </c>
      <c r="AC3400" s="4">
        <f t="shared" si="523"/>
        <v>0</v>
      </c>
      <c r="AD3400" s="6">
        <f t="shared" si="527"/>
        <v>0</v>
      </c>
      <c r="AE3400" s="2">
        <f>VLOOKUP(I3400,[1]媒体政策预估表!A:N,MATCH(O3400,[1]媒体政策预估表!$A$2:$M$2,0),0)</f>
        <v>0</v>
      </c>
      <c r="AF3400" s="6">
        <f t="shared" si="524"/>
        <v>0</v>
      </c>
      <c r="AG3400" s="14">
        <v>0</v>
      </c>
      <c r="AH3400" s="64">
        <f t="shared" si="528"/>
        <v>0</v>
      </c>
      <c r="AI3400" s="47"/>
      <c r="AJ3400" s="126" t="e">
        <v>#N/A</v>
      </c>
      <c r="AK3400" s="80">
        <f t="shared" si="533"/>
        <v>0</v>
      </c>
      <c r="AM3400" s="85"/>
    </row>
    <row r="3401" spans="1:39" hidden="1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25"/>
        <v>35484</v>
      </c>
      <c r="X3401" s="6">
        <f t="shared" si="526"/>
        <v>0</v>
      </c>
      <c r="Y3401" s="13">
        <f t="shared" si="531"/>
        <v>0</v>
      </c>
      <c r="Z3401" s="14">
        <v>0</v>
      </c>
      <c r="AA3401" s="6">
        <v>0</v>
      </c>
      <c r="AB3401" s="4">
        <f t="shared" si="532"/>
        <v>0</v>
      </c>
      <c r="AC3401" s="4">
        <f t="shared" si="523"/>
        <v>0</v>
      </c>
      <c r="AD3401" s="6">
        <f t="shared" si="527"/>
        <v>0</v>
      </c>
      <c r="AE3401" s="2">
        <f>VLOOKUP(I3401,[1]媒体政策预估表!A:N,MATCH(O3401,[1]媒体政策预估表!$A$2:$M$2,0),0)</f>
        <v>0</v>
      </c>
      <c r="AF3401" s="6">
        <f t="shared" si="524"/>
        <v>0</v>
      </c>
      <c r="AG3401" s="14">
        <v>0</v>
      </c>
      <c r="AH3401" s="64">
        <f t="shared" si="528"/>
        <v>0</v>
      </c>
      <c r="AI3401" s="47"/>
      <c r="AJ3401" s="126" t="e">
        <v>#N/A</v>
      </c>
      <c r="AK3401" s="80">
        <f t="shared" si="533"/>
        <v>0</v>
      </c>
      <c r="AM3401" s="85"/>
    </row>
    <row r="3402" spans="1:39" hidden="1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25"/>
        <v>400000</v>
      </c>
      <c r="X3402" s="6">
        <f t="shared" si="526"/>
        <v>0</v>
      </c>
      <c r="Y3402" s="13">
        <f t="shared" si="531"/>
        <v>0</v>
      </c>
      <c r="Z3402" s="14">
        <v>0</v>
      </c>
      <c r="AA3402" s="6">
        <v>0</v>
      </c>
      <c r="AB3402" s="4">
        <f t="shared" si="532"/>
        <v>0</v>
      </c>
      <c r="AC3402" s="4">
        <f t="shared" si="523"/>
        <v>0</v>
      </c>
      <c r="AD3402" s="6">
        <f t="shared" si="527"/>
        <v>0</v>
      </c>
      <c r="AE3402" s="2">
        <f>VLOOKUP(I3402,[1]媒体政策预估表!A:N,MATCH(O3402,[1]媒体政策预估表!$A$2:$M$2,0),0)</f>
        <v>0</v>
      </c>
      <c r="AF3402" s="6">
        <f t="shared" si="524"/>
        <v>0</v>
      </c>
      <c r="AG3402" s="14">
        <v>0</v>
      </c>
      <c r="AH3402" s="64">
        <f t="shared" si="528"/>
        <v>0</v>
      </c>
      <c r="AI3402" s="47"/>
      <c r="AJ3402" s="126" t="e">
        <v>#N/A</v>
      </c>
      <c r="AK3402" s="80">
        <f t="shared" si="533"/>
        <v>0</v>
      </c>
      <c r="AM3402" s="85"/>
    </row>
    <row r="3403" spans="1:39" hidden="1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25"/>
        <v>10</v>
      </c>
      <c r="X3403" s="6">
        <f t="shared" si="526"/>
        <v>0</v>
      </c>
      <c r="Y3403" s="13">
        <f t="shared" si="531"/>
        <v>0</v>
      </c>
      <c r="Z3403" s="14">
        <v>0</v>
      </c>
      <c r="AA3403" s="6">
        <v>0</v>
      </c>
      <c r="AB3403" s="4">
        <f t="shared" si="532"/>
        <v>0</v>
      </c>
      <c r="AC3403" s="4">
        <f t="shared" si="523"/>
        <v>0</v>
      </c>
      <c r="AD3403" s="6">
        <f t="shared" si="527"/>
        <v>0</v>
      </c>
      <c r="AE3403" s="2">
        <f>VLOOKUP(I3403,[1]媒体政策预估表!A:N,MATCH(O3403,[1]媒体政策预估表!$A$2:$M$2,0),0)</f>
        <v>0</v>
      </c>
      <c r="AF3403" s="6">
        <f t="shared" si="524"/>
        <v>0</v>
      </c>
      <c r="AG3403" s="14">
        <v>0</v>
      </c>
      <c r="AH3403" s="64">
        <f t="shared" si="528"/>
        <v>0</v>
      </c>
      <c r="AI3403" s="47"/>
      <c r="AJ3403" s="126" t="e">
        <v>#N/A</v>
      </c>
      <c r="AK3403" s="80">
        <f t="shared" si="533"/>
        <v>0</v>
      </c>
      <c r="AM3403" s="85"/>
    </row>
    <row r="3404" spans="1:39" hidden="1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25"/>
        <v>148.93</v>
      </c>
      <c r="X3404" s="6">
        <f t="shared" si="526"/>
        <v>0</v>
      </c>
      <c r="Y3404" s="13">
        <f t="shared" si="531"/>
        <v>0</v>
      </c>
      <c r="Z3404" s="14">
        <v>0</v>
      </c>
      <c r="AA3404" s="6">
        <v>0</v>
      </c>
      <c r="AB3404" s="4">
        <f t="shared" si="532"/>
        <v>0</v>
      </c>
      <c r="AC3404" s="4">
        <f t="shared" ref="AC3404:AC3467" si="534">IF(P3404="返现",X3404*Q3404,V3404-X3404)</f>
        <v>0</v>
      </c>
      <c r="AD3404" s="6">
        <f t="shared" si="527"/>
        <v>0</v>
      </c>
      <c r="AE3404" s="2">
        <f>VLOOKUP(I3404,[1]媒体政策预估表!A:N,MATCH(O3404,[1]媒体政策预估表!$A$2:$M$2,0),0)</f>
        <v>0</v>
      </c>
      <c r="AF3404" s="6">
        <f t="shared" ref="AF3404:AF3467" si="535">AD3404*AE3404</f>
        <v>0</v>
      </c>
      <c r="AG3404" s="14">
        <v>0</v>
      </c>
      <c r="AH3404" s="64">
        <f t="shared" si="528"/>
        <v>0</v>
      </c>
      <c r="AI3404" s="47"/>
      <c r="AJ3404" s="126" t="e">
        <v>#N/A</v>
      </c>
      <c r="AK3404" s="80">
        <f t="shared" si="533"/>
        <v>0</v>
      </c>
      <c r="AM3404" s="85"/>
    </row>
    <row r="3405" spans="1:39" hidden="1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25"/>
        <v>0</v>
      </c>
      <c r="X3405" s="6">
        <f t="shared" si="526"/>
        <v>25944.999999999927</v>
      </c>
      <c r="Y3405" s="13">
        <f t="shared" si="531"/>
        <v>0</v>
      </c>
      <c r="Z3405" s="14">
        <v>0</v>
      </c>
      <c r="AA3405" s="6">
        <v>0</v>
      </c>
      <c r="AB3405" s="4">
        <f t="shared" si="532"/>
        <v>25944.999999999927</v>
      </c>
      <c r="AC3405" s="4">
        <f t="shared" si="534"/>
        <v>0</v>
      </c>
      <c r="AD3405" s="6">
        <f t="shared" si="527"/>
        <v>25944.999999999927</v>
      </c>
      <c r="AE3405" s="2">
        <f>VLOOKUP(I3405,[1]媒体政策预估表!A:N,MATCH(O3405,[1]媒体政策预估表!$A$2:$M$2,0),0)</f>
        <v>0</v>
      </c>
      <c r="AF3405" s="6">
        <f t="shared" si="535"/>
        <v>0</v>
      </c>
      <c r="AG3405" s="14">
        <v>0</v>
      </c>
      <c r="AH3405" s="64">
        <f t="shared" si="528"/>
        <v>25944.999999999927</v>
      </c>
      <c r="AI3405" s="47"/>
      <c r="AJ3405" s="126" t="e">
        <v>#N/A</v>
      </c>
      <c r="AK3405" s="80">
        <f t="shared" si="533"/>
        <v>0</v>
      </c>
      <c r="AM3405" s="85"/>
    </row>
    <row r="3406" spans="1:39" hidden="1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25"/>
        <v>5999.9984999999997</v>
      </c>
      <c r="X3406" s="6">
        <f t="shared" si="526"/>
        <v>0</v>
      </c>
      <c r="Y3406" s="13">
        <f t="shared" si="531"/>
        <v>0</v>
      </c>
      <c r="Z3406" s="14">
        <v>0</v>
      </c>
      <c r="AA3406" s="6">
        <v>0</v>
      </c>
      <c r="AB3406" s="4">
        <f t="shared" si="532"/>
        <v>0</v>
      </c>
      <c r="AC3406" s="4">
        <f t="shared" si="534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35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33"/>
        <v>0</v>
      </c>
      <c r="AM3406" s="85"/>
    </row>
    <row r="3407" spans="1:39" hidden="1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25"/>
        <v>2125427.7089999998</v>
      </c>
      <c r="X3407" s="6">
        <f>IF(P3407="折扣",V3407*Q3407,IF(P3407="返现",V3407,(V3407-48822.524)/(1+Q3407)))</f>
        <v>109347.62347826095</v>
      </c>
      <c r="Y3407" s="13">
        <f t="shared" si="531"/>
        <v>0</v>
      </c>
      <c r="Z3407" s="14">
        <v>0</v>
      </c>
      <c r="AA3407" s="6">
        <v>0</v>
      </c>
      <c r="AB3407" s="4">
        <f t="shared" si="532"/>
        <v>109347.62347826095</v>
      </c>
      <c r="AC3407" s="4">
        <f t="shared" si="534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35"/>
        <v>60700.963000000003</v>
      </c>
      <c r="AG3407" s="9">
        <v>0.15</v>
      </c>
      <c r="AH3407" s="11">
        <f t="shared" ref="AH3407:AH3426" si="536">V3407/(1+AG3407)</f>
        <v>151801.99217391314</v>
      </c>
      <c r="AI3407" s="47"/>
      <c r="AJ3407" s="126" t="e">
        <v>#N/A</v>
      </c>
      <c r="AK3407" s="80">
        <f t="shared" si="533"/>
        <v>0</v>
      </c>
      <c r="AM3407" s="85"/>
    </row>
    <row r="3408" spans="1:39" hidden="1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25"/>
        <v>11011.534999999996</v>
      </c>
      <c r="X3408" s="6">
        <f t="shared" si="526"/>
        <v>19512.819047619047</v>
      </c>
      <c r="Y3408" s="13">
        <f t="shared" si="531"/>
        <v>0</v>
      </c>
      <c r="Z3408" s="14">
        <v>0</v>
      </c>
      <c r="AA3408" s="6">
        <v>0</v>
      </c>
      <c r="AB3408" s="4">
        <f t="shared" si="532"/>
        <v>19512.819047619047</v>
      </c>
      <c r="AC3408" s="4">
        <f t="shared" si="534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35"/>
        <v>2048.846</v>
      </c>
      <c r="AG3408" s="9">
        <v>0.15</v>
      </c>
      <c r="AH3408" s="11">
        <f t="shared" si="536"/>
        <v>17816.052173913045</v>
      </c>
      <c r="AI3408" s="47"/>
      <c r="AJ3408" s="126" t="e">
        <v>#N/A</v>
      </c>
      <c r="AK3408" s="80">
        <f t="shared" si="533"/>
        <v>0</v>
      </c>
      <c r="AM3408" s="85"/>
    </row>
    <row r="3409" spans="1:39" hidden="1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26"/>
        <v>0</v>
      </c>
      <c r="Y3409" s="13">
        <f t="shared" si="531"/>
        <v>0</v>
      </c>
      <c r="Z3409" s="14">
        <v>0</v>
      </c>
      <c r="AA3409" s="6">
        <v>0</v>
      </c>
      <c r="AB3409" s="4">
        <f t="shared" si="532"/>
        <v>0</v>
      </c>
      <c r="AC3409" s="4">
        <f t="shared" si="534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35"/>
        <v>0</v>
      </c>
      <c r="AG3409" s="9">
        <v>0.15</v>
      </c>
      <c r="AH3409" s="11">
        <f t="shared" si="536"/>
        <v>0</v>
      </c>
      <c r="AI3409" s="47"/>
      <c r="AJ3409" s="126" t="e">
        <v>#N/A</v>
      </c>
      <c r="AK3409" s="80">
        <f t="shared" si="533"/>
        <v>0</v>
      </c>
      <c r="AM3409" s="85"/>
    </row>
    <row r="3410" spans="1:39" hidden="1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25"/>
        <v>7216.6319999999978</v>
      </c>
      <c r="X3410" s="6">
        <f t="shared" si="526"/>
        <v>18138.099999999999</v>
      </c>
      <c r="Y3410" s="13">
        <f t="shared" si="531"/>
        <v>18138.099999999999</v>
      </c>
      <c r="Z3410" s="14">
        <v>0</v>
      </c>
      <c r="AA3410" s="6">
        <v>0</v>
      </c>
      <c r="AB3410" s="4">
        <f t="shared" si="532"/>
        <v>18138.099999999999</v>
      </c>
      <c r="AC3410" s="4">
        <f t="shared" si="534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35"/>
        <v>0</v>
      </c>
      <c r="AG3410" s="9">
        <v>0.15</v>
      </c>
      <c r="AH3410" s="11">
        <f t="shared" si="536"/>
        <v>15772.260869565218</v>
      </c>
      <c r="AI3410" s="47"/>
      <c r="AJ3410" s="126" t="e">
        <v>#N/A</v>
      </c>
      <c r="AK3410" s="80">
        <f t="shared" si="533"/>
        <v>0</v>
      </c>
      <c r="AM3410" s="85"/>
    </row>
    <row r="3411" spans="1:39" hidden="1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25"/>
        <v>0</v>
      </c>
      <c r="X3411" s="6">
        <f t="shared" si="526"/>
        <v>431610.12086956523</v>
      </c>
      <c r="Y3411" s="13">
        <f t="shared" si="531"/>
        <v>431610.12086956523</v>
      </c>
      <c r="Z3411" s="14">
        <v>0</v>
      </c>
      <c r="AA3411" s="6">
        <v>0</v>
      </c>
      <c r="AB3411" s="4">
        <f t="shared" si="532"/>
        <v>431610.12086956523</v>
      </c>
      <c r="AC3411" s="4">
        <f t="shared" si="534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35"/>
        <v>0</v>
      </c>
      <c r="AG3411" s="9">
        <v>0.15</v>
      </c>
      <c r="AH3411" s="11">
        <f t="shared" si="536"/>
        <v>431610.12086956523</v>
      </c>
      <c r="AI3411" s="47"/>
      <c r="AJ3411" s="126" t="e">
        <v>#N/A</v>
      </c>
      <c r="AK3411" s="80">
        <f t="shared" si="533"/>
        <v>0</v>
      </c>
      <c r="AM3411" s="85"/>
    </row>
    <row r="3412" spans="1:39" hidden="1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25"/>
        <v>106144.81999999995</v>
      </c>
      <c r="X3412" s="6">
        <f t="shared" si="526"/>
        <v>0</v>
      </c>
      <c r="Y3412" s="13">
        <f t="shared" si="531"/>
        <v>0</v>
      </c>
      <c r="Z3412" s="14">
        <v>0</v>
      </c>
      <c r="AA3412" s="6">
        <v>0</v>
      </c>
      <c r="AB3412" s="4">
        <f t="shared" si="532"/>
        <v>0</v>
      </c>
      <c r="AC3412" s="4">
        <f t="shared" si="534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35"/>
        <v>0</v>
      </c>
      <c r="AG3412" s="9">
        <v>0.15</v>
      </c>
      <c r="AH3412" s="11">
        <f t="shared" si="536"/>
        <v>0</v>
      </c>
      <c r="AI3412" s="47"/>
      <c r="AJ3412" s="126" t="e">
        <v>#N/A</v>
      </c>
      <c r="AK3412" s="80">
        <f t="shared" si="533"/>
        <v>0</v>
      </c>
      <c r="AM3412" s="85"/>
    </row>
    <row r="3413" spans="1:39" hidden="1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25"/>
        <v>577631.91199999966</v>
      </c>
      <c r="X3413" s="6">
        <f t="shared" si="526"/>
        <v>0</v>
      </c>
      <c r="Y3413" s="13">
        <f t="shared" si="531"/>
        <v>0</v>
      </c>
      <c r="Z3413" s="14">
        <v>0</v>
      </c>
      <c r="AA3413" s="6">
        <v>0</v>
      </c>
      <c r="AB3413" s="4">
        <f t="shared" si="532"/>
        <v>0</v>
      </c>
      <c r="AC3413" s="4">
        <f t="shared" si="534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35"/>
        <v>0</v>
      </c>
      <c r="AG3413" s="9">
        <v>0.15</v>
      </c>
      <c r="AH3413" s="11">
        <f t="shared" si="536"/>
        <v>0</v>
      </c>
      <c r="AI3413" s="47"/>
      <c r="AJ3413" s="126" t="e">
        <v>#N/A</v>
      </c>
      <c r="AK3413" s="80">
        <f t="shared" si="533"/>
        <v>0</v>
      </c>
      <c r="AM3413" s="85"/>
    </row>
    <row r="3414" spans="1:39" hidden="1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25"/>
        <v>41153.254499999981</v>
      </c>
      <c r="X3414" s="6">
        <f t="shared" si="526"/>
        <v>0</v>
      </c>
      <c r="Y3414" s="13">
        <f t="shared" si="531"/>
        <v>0</v>
      </c>
      <c r="Z3414" s="14">
        <v>0</v>
      </c>
      <c r="AA3414" s="6">
        <v>0</v>
      </c>
      <c r="AB3414" s="4">
        <f t="shared" si="532"/>
        <v>0</v>
      </c>
      <c r="AC3414" s="4">
        <f t="shared" si="534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35"/>
        <v>0</v>
      </c>
      <c r="AG3414" s="9">
        <v>0.15</v>
      </c>
      <c r="AH3414" s="11">
        <f t="shared" si="536"/>
        <v>0</v>
      </c>
      <c r="AI3414" s="47"/>
      <c r="AJ3414" s="126" t="e">
        <v>#N/A</v>
      </c>
      <c r="AK3414" s="80">
        <f t="shared" si="533"/>
        <v>0</v>
      </c>
      <c r="AM3414" s="85"/>
    </row>
    <row r="3415" spans="1:39" hidden="1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25"/>
        <v>45000.331500000029</v>
      </c>
      <c r="X3415" s="6">
        <f t="shared" si="526"/>
        <v>0</v>
      </c>
      <c r="Y3415" s="13">
        <f t="shared" si="531"/>
        <v>0</v>
      </c>
      <c r="Z3415" s="14">
        <v>0</v>
      </c>
      <c r="AA3415" s="6">
        <v>0</v>
      </c>
      <c r="AB3415" s="4">
        <f t="shared" si="532"/>
        <v>0</v>
      </c>
      <c r="AC3415" s="4">
        <f t="shared" si="534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35"/>
        <v>0</v>
      </c>
      <c r="AG3415" s="9">
        <v>0.15</v>
      </c>
      <c r="AH3415" s="11">
        <f t="shared" si="536"/>
        <v>0</v>
      </c>
      <c r="AI3415" s="47"/>
      <c r="AJ3415" s="126" t="e">
        <v>#N/A</v>
      </c>
      <c r="AK3415" s="80">
        <f t="shared" si="533"/>
        <v>0</v>
      </c>
      <c r="AM3415" s="85"/>
    </row>
    <row r="3416" spans="1:39" hidden="1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25"/>
        <v>-0.48100000011618249</v>
      </c>
      <c r="X3416" s="6">
        <f t="shared" si="526"/>
        <v>0</v>
      </c>
      <c r="Y3416" s="13">
        <f t="shared" si="531"/>
        <v>0</v>
      </c>
      <c r="Z3416" s="14">
        <v>0</v>
      </c>
      <c r="AA3416" s="6">
        <v>0</v>
      </c>
      <c r="AB3416" s="4">
        <f t="shared" si="532"/>
        <v>0</v>
      </c>
      <c r="AC3416" s="4">
        <f t="shared" si="534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35"/>
        <v>0</v>
      </c>
      <c r="AG3416" s="9">
        <v>0.15</v>
      </c>
      <c r="AH3416" s="11">
        <f t="shared" si="536"/>
        <v>0</v>
      </c>
      <c r="AI3416" s="47"/>
      <c r="AJ3416" s="126" t="e">
        <v>#N/A</v>
      </c>
      <c r="AK3416" s="80">
        <f t="shared" si="533"/>
        <v>0</v>
      </c>
      <c r="AM3416" s="85"/>
    </row>
    <row r="3417" spans="1:39" hidden="1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25"/>
        <v>675.27800000000207</v>
      </c>
      <c r="X3417" s="6">
        <f t="shared" si="526"/>
        <v>0</v>
      </c>
      <c r="Y3417" s="13">
        <f t="shared" si="531"/>
        <v>0</v>
      </c>
      <c r="Z3417" s="14">
        <v>0</v>
      </c>
      <c r="AA3417" s="6">
        <v>0</v>
      </c>
      <c r="AB3417" s="4">
        <f t="shared" si="532"/>
        <v>0</v>
      </c>
      <c r="AC3417" s="4">
        <f t="shared" si="534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35"/>
        <v>0</v>
      </c>
      <c r="AG3417" s="9">
        <v>0.15</v>
      </c>
      <c r="AH3417" s="11">
        <f t="shared" si="536"/>
        <v>0</v>
      </c>
      <c r="AI3417" s="47"/>
      <c r="AJ3417" s="126" t="e">
        <v>#N/A</v>
      </c>
      <c r="AK3417" s="80">
        <f t="shared" si="533"/>
        <v>0</v>
      </c>
      <c r="AM3417" s="85"/>
    </row>
    <row r="3418" spans="1:39" hidden="1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25"/>
        <v>13132.321499999998</v>
      </c>
      <c r="X3418" s="6">
        <f t="shared" si="526"/>
        <v>0</v>
      </c>
      <c r="Y3418" s="13">
        <f t="shared" si="531"/>
        <v>0</v>
      </c>
      <c r="Z3418" s="14">
        <v>0</v>
      </c>
      <c r="AA3418" s="6">
        <v>0</v>
      </c>
      <c r="AB3418" s="4">
        <f t="shared" si="532"/>
        <v>0</v>
      </c>
      <c r="AC3418" s="4">
        <f t="shared" si="534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35"/>
        <v>0</v>
      </c>
      <c r="AG3418" s="9">
        <v>0.15</v>
      </c>
      <c r="AH3418" s="11">
        <f t="shared" si="536"/>
        <v>0</v>
      </c>
      <c r="AI3418" s="47"/>
      <c r="AJ3418" s="126" t="e">
        <v>#N/A</v>
      </c>
      <c r="AK3418" s="80">
        <f t="shared" si="533"/>
        <v>0</v>
      </c>
      <c r="AM3418" s="85"/>
    </row>
    <row r="3419" spans="1:39" hidden="1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25"/>
        <v>1.4499999999088686E-2</v>
      </c>
      <c r="X3419" s="6">
        <f t="shared" si="526"/>
        <v>0</v>
      </c>
      <c r="Y3419" s="13">
        <f t="shared" si="531"/>
        <v>0</v>
      </c>
      <c r="Z3419" s="14">
        <v>0</v>
      </c>
      <c r="AA3419" s="6">
        <v>0</v>
      </c>
      <c r="AB3419" s="4">
        <f t="shared" si="532"/>
        <v>0</v>
      </c>
      <c r="AC3419" s="4">
        <f t="shared" si="534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35"/>
        <v>0</v>
      </c>
      <c r="AG3419" s="9">
        <v>0.15</v>
      </c>
      <c r="AH3419" s="11">
        <f t="shared" si="536"/>
        <v>0</v>
      </c>
      <c r="AI3419" s="47"/>
      <c r="AJ3419" s="126" t="e">
        <v>#N/A</v>
      </c>
      <c r="AK3419" s="80">
        <f t="shared" si="533"/>
        <v>0</v>
      </c>
      <c r="AM3419" s="85"/>
    </row>
    <row r="3420" spans="1:39" hidden="1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25"/>
        <v>1.3999999999668944E-2</v>
      </c>
      <c r="X3420" s="6">
        <f t="shared" si="526"/>
        <v>0</v>
      </c>
      <c r="Y3420" s="13">
        <f t="shared" si="531"/>
        <v>0</v>
      </c>
      <c r="Z3420" s="14">
        <v>0</v>
      </c>
      <c r="AA3420" s="6">
        <v>0</v>
      </c>
      <c r="AB3420" s="4">
        <f t="shared" si="532"/>
        <v>0</v>
      </c>
      <c r="AC3420" s="4">
        <f t="shared" si="534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35"/>
        <v>0</v>
      </c>
      <c r="AG3420" s="9">
        <v>0.15</v>
      </c>
      <c r="AH3420" s="11">
        <f t="shared" si="536"/>
        <v>0</v>
      </c>
      <c r="AI3420" s="47"/>
      <c r="AJ3420" s="126" t="e">
        <v>#N/A</v>
      </c>
      <c r="AK3420" s="80">
        <f t="shared" si="533"/>
        <v>0</v>
      </c>
      <c r="AM3420" s="85"/>
    </row>
    <row r="3421" spans="1:39" hidden="1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26"/>
        <v>0</v>
      </c>
      <c r="Y3421" s="13">
        <f t="shared" si="531"/>
        <v>0</v>
      </c>
      <c r="Z3421" s="14">
        <v>0</v>
      </c>
      <c r="AA3421" s="6">
        <v>0</v>
      </c>
      <c r="AB3421" s="4">
        <f t="shared" si="532"/>
        <v>0</v>
      </c>
      <c r="AC3421" s="4">
        <f t="shared" si="534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35"/>
        <v>0</v>
      </c>
      <c r="AG3421" s="9">
        <v>0.15</v>
      </c>
      <c r="AH3421" s="11">
        <f t="shared" si="536"/>
        <v>0</v>
      </c>
      <c r="AI3421" s="47"/>
      <c r="AJ3421" s="126" t="e">
        <v>#N/A</v>
      </c>
      <c r="AK3421" s="80">
        <f t="shared" si="533"/>
        <v>0</v>
      </c>
      <c r="AM3421" s="85"/>
    </row>
    <row r="3422" spans="1:39" hidden="1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25"/>
        <v>9.9999999802093953E-3</v>
      </c>
      <c r="X3422" s="6">
        <f t="shared" si="526"/>
        <v>0</v>
      </c>
      <c r="Y3422" s="13">
        <f t="shared" si="531"/>
        <v>0</v>
      </c>
      <c r="Z3422" s="14">
        <v>0</v>
      </c>
      <c r="AA3422" s="6">
        <v>0</v>
      </c>
      <c r="AB3422" s="4">
        <f t="shared" si="532"/>
        <v>0</v>
      </c>
      <c r="AC3422" s="4">
        <f t="shared" si="534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35"/>
        <v>0</v>
      </c>
      <c r="AG3422" s="9">
        <v>0.2</v>
      </c>
      <c r="AH3422" s="11">
        <f t="shared" si="536"/>
        <v>0</v>
      </c>
      <c r="AI3422" s="47"/>
      <c r="AJ3422" s="126" t="e">
        <v>#N/A</v>
      </c>
      <c r="AK3422" s="80">
        <f t="shared" si="533"/>
        <v>0</v>
      </c>
      <c r="AM3422" s="85"/>
    </row>
    <row r="3423" spans="1:39" hidden="1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25"/>
        <v>-128.19200000000077</v>
      </c>
      <c r="X3423" s="6">
        <f t="shared" si="526"/>
        <v>0</v>
      </c>
      <c r="Y3423" s="13">
        <f t="shared" si="531"/>
        <v>0</v>
      </c>
      <c r="Z3423" s="14">
        <v>0</v>
      </c>
      <c r="AA3423" s="6">
        <v>0</v>
      </c>
      <c r="AB3423" s="4">
        <f t="shared" si="532"/>
        <v>0</v>
      </c>
      <c r="AC3423" s="4">
        <f t="shared" si="534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35"/>
        <v>0</v>
      </c>
      <c r="AG3423" s="9">
        <v>0.2</v>
      </c>
      <c r="AH3423" s="11">
        <f t="shared" si="536"/>
        <v>0</v>
      </c>
      <c r="AI3423" s="47"/>
      <c r="AJ3423" s="126" t="e">
        <v>#N/A</v>
      </c>
      <c r="AK3423" s="80">
        <f t="shared" si="533"/>
        <v>0</v>
      </c>
      <c r="AM3423" s="85"/>
    </row>
    <row r="3424" spans="1:39" hidden="1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25"/>
        <v>-0.314</v>
      </c>
      <c r="X3424" s="6">
        <f t="shared" si="526"/>
        <v>0</v>
      </c>
      <c r="Y3424" s="13">
        <f t="shared" si="531"/>
        <v>0</v>
      </c>
      <c r="Z3424" s="14">
        <v>0</v>
      </c>
      <c r="AA3424" s="6">
        <v>0</v>
      </c>
      <c r="AB3424" s="4">
        <f t="shared" si="532"/>
        <v>0</v>
      </c>
      <c r="AC3424" s="4">
        <f t="shared" si="534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35"/>
        <v>0</v>
      </c>
      <c r="AG3424" s="9">
        <v>0.2</v>
      </c>
      <c r="AH3424" s="11">
        <f t="shared" si="536"/>
        <v>0</v>
      </c>
      <c r="AI3424" s="47"/>
      <c r="AJ3424" s="126" t="e">
        <v>#N/A</v>
      </c>
      <c r="AK3424" s="80">
        <f t="shared" si="533"/>
        <v>0</v>
      </c>
      <c r="AM3424" s="85"/>
    </row>
    <row r="3425" spans="1:39" hidden="1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25"/>
        <v>8125.5360000000001</v>
      </c>
      <c r="X3425" s="6">
        <f t="shared" si="526"/>
        <v>0</v>
      </c>
      <c r="Y3425" s="13">
        <f t="shared" si="531"/>
        <v>0</v>
      </c>
      <c r="Z3425" s="14">
        <v>0</v>
      </c>
      <c r="AA3425" s="6">
        <v>0</v>
      </c>
      <c r="AB3425" s="4">
        <f t="shared" si="532"/>
        <v>0</v>
      </c>
      <c r="AC3425" s="4">
        <f t="shared" si="534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35"/>
        <v>0</v>
      </c>
      <c r="AG3425" s="9">
        <v>0.2</v>
      </c>
      <c r="AH3425" s="11">
        <f t="shared" si="536"/>
        <v>0</v>
      </c>
      <c r="AI3425" s="47"/>
      <c r="AJ3425" s="126" t="e">
        <v>#N/A</v>
      </c>
      <c r="AK3425" s="80">
        <f t="shared" si="533"/>
        <v>0</v>
      </c>
      <c r="AM3425" s="85"/>
    </row>
    <row r="3426" spans="1:39" hidden="1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25"/>
        <v>57026.803999999996</v>
      </c>
      <c r="X3426" s="6">
        <f t="shared" si="526"/>
        <v>0</v>
      </c>
      <c r="Y3426" s="13">
        <f t="shared" si="531"/>
        <v>0</v>
      </c>
      <c r="Z3426" s="14">
        <v>0</v>
      </c>
      <c r="AA3426" s="6">
        <v>0</v>
      </c>
      <c r="AB3426" s="4">
        <f t="shared" si="532"/>
        <v>0</v>
      </c>
      <c r="AC3426" s="4">
        <f t="shared" si="534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35"/>
        <v>0</v>
      </c>
      <c r="AG3426" s="9">
        <v>0.2</v>
      </c>
      <c r="AH3426" s="11">
        <f t="shared" si="536"/>
        <v>0</v>
      </c>
      <c r="AI3426" s="47"/>
      <c r="AJ3426" s="126" t="e">
        <v>#N/A</v>
      </c>
      <c r="AK3426" s="80">
        <f t="shared" si="533"/>
        <v>0</v>
      </c>
      <c r="AM3426" s="85"/>
    </row>
    <row r="3427" spans="1:39" hidden="1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25"/>
        <v>59550.84</v>
      </c>
      <c r="X3427" s="6">
        <f t="shared" si="526"/>
        <v>24849.17</v>
      </c>
      <c r="Y3427" s="13">
        <f t="shared" si="531"/>
        <v>0</v>
      </c>
      <c r="Z3427" s="14">
        <v>0</v>
      </c>
      <c r="AA3427" s="6">
        <v>0</v>
      </c>
      <c r="AB3427" s="4">
        <f t="shared" si="532"/>
        <v>24849.17</v>
      </c>
      <c r="AC3427" s="4">
        <f t="shared" si="534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35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33"/>
        <v>0</v>
      </c>
      <c r="AM3427" s="85"/>
    </row>
    <row r="3428" spans="1:39" hidden="1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25"/>
        <v>58198.920000000006</v>
      </c>
      <c r="X3428" s="6">
        <f t="shared" si="526"/>
        <v>24880.090000000004</v>
      </c>
      <c r="Y3428" s="13">
        <f t="shared" si="531"/>
        <v>0</v>
      </c>
      <c r="Z3428" s="14">
        <v>0</v>
      </c>
      <c r="AA3428" s="6">
        <v>0</v>
      </c>
      <c r="AB3428" s="4">
        <f t="shared" si="532"/>
        <v>24880.090000000004</v>
      </c>
      <c r="AC3428" s="4">
        <f t="shared" si="534"/>
        <v>1492.8054000000002</v>
      </c>
      <c r="AD3428" s="6">
        <f t="shared" ref="AD3428:AD3491" si="537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35"/>
        <v>1741.6063000000004</v>
      </c>
      <c r="AG3428" s="14">
        <v>0</v>
      </c>
      <c r="AH3428" s="64">
        <f t="shared" ref="AH3428:AH3491" si="538">V3428</f>
        <v>24880.090000000004</v>
      </c>
      <c r="AI3428" s="47"/>
      <c r="AJ3428" s="126" t="e">
        <v>#N/A</v>
      </c>
      <c r="AK3428" s="80">
        <f t="shared" si="533"/>
        <v>0</v>
      </c>
      <c r="AM3428" s="85"/>
    </row>
    <row r="3429" spans="1:39" hidden="1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25"/>
        <v>8709.1000000000095</v>
      </c>
      <c r="X3429" s="6">
        <f t="shared" si="526"/>
        <v>20168.039215686273</v>
      </c>
      <c r="Y3429" s="13">
        <f t="shared" si="531"/>
        <v>0</v>
      </c>
      <c r="Z3429" s="14">
        <v>0</v>
      </c>
      <c r="AA3429" s="6">
        <v>0</v>
      </c>
      <c r="AB3429" s="4">
        <f t="shared" si="532"/>
        <v>20168.039215686273</v>
      </c>
      <c r="AC3429" s="4">
        <f t="shared" si="534"/>
        <v>403.36078431372516</v>
      </c>
      <c r="AD3429" s="6">
        <f t="shared" si="537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35"/>
        <v>1439.998</v>
      </c>
      <c r="AG3429" s="14">
        <v>0</v>
      </c>
      <c r="AH3429" s="64">
        <f t="shared" si="538"/>
        <v>20571.399999999998</v>
      </c>
      <c r="AI3429" s="47"/>
      <c r="AJ3429" s="126" t="e">
        <v>#N/A</v>
      </c>
      <c r="AK3429" s="80">
        <f t="shared" si="533"/>
        <v>0</v>
      </c>
      <c r="AM3429" s="85"/>
    </row>
    <row r="3430" spans="1:39" hidden="1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39">T3430+U3430-V3430</f>
        <v>19660.699999999983</v>
      </c>
      <c r="X3430" s="6">
        <f t="shared" si="526"/>
        <v>95097.828000000023</v>
      </c>
      <c r="Y3430" s="13">
        <f t="shared" si="531"/>
        <v>0</v>
      </c>
      <c r="Z3430" s="14">
        <v>0</v>
      </c>
      <c r="AA3430" s="6">
        <v>0</v>
      </c>
      <c r="AB3430" s="4">
        <f t="shared" si="532"/>
        <v>95097.828000000023</v>
      </c>
      <c r="AC3430" s="4">
        <f t="shared" si="534"/>
        <v>1940.7719999999972</v>
      </c>
      <c r="AD3430" s="6">
        <f t="shared" si="537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35"/>
        <v>6792.702000000002</v>
      </c>
      <c r="AG3430" s="14">
        <v>0</v>
      </c>
      <c r="AH3430" s="64">
        <f t="shared" si="538"/>
        <v>97038.60000000002</v>
      </c>
      <c r="AI3430" s="47"/>
      <c r="AJ3430" s="126" t="e">
        <v>#N/A</v>
      </c>
      <c r="AK3430" s="80">
        <f t="shared" si="533"/>
        <v>0</v>
      </c>
      <c r="AM3430" s="85"/>
    </row>
    <row r="3431" spans="1:39" hidden="1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39"/>
        <v>52690.329999999973</v>
      </c>
      <c r="X3431" s="6">
        <f t="shared" ref="X3431:X3494" si="540">IF(P3431="折扣",V3431*Q3431,IF(P3431="返现",V3431,V3431/(1+Q3431)))</f>
        <v>77280.55</v>
      </c>
      <c r="Y3431" s="13">
        <f t="shared" si="531"/>
        <v>0</v>
      </c>
      <c r="Z3431" s="14">
        <v>0</v>
      </c>
      <c r="AA3431" s="6">
        <v>0</v>
      </c>
      <c r="AB3431" s="4">
        <f t="shared" si="532"/>
        <v>77280.55</v>
      </c>
      <c r="AC3431" s="4">
        <f t="shared" si="534"/>
        <v>0</v>
      </c>
      <c r="AD3431" s="6">
        <f t="shared" si="537"/>
        <v>77280.55</v>
      </c>
      <c r="AE3431" s="2">
        <f>VLOOKUP(I3431,[1]媒体政策预估表!A:N,MATCH(O3431,[1]媒体政策预估表!$A$2:$M$2,0),0)</f>
        <v>7.0000000000000007E-2</v>
      </c>
      <c r="AF3431" s="6">
        <f t="shared" si="535"/>
        <v>5409.6385000000009</v>
      </c>
      <c r="AG3431" s="14">
        <v>0</v>
      </c>
      <c r="AH3431" s="64">
        <f t="shared" si="538"/>
        <v>77280.55</v>
      </c>
      <c r="AI3431" s="47"/>
      <c r="AJ3431" s="126" t="e">
        <v>#N/A</v>
      </c>
      <c r="AK3431" s="80">
        <f t="shared" si="533"/>
        <v>0</v>
      </c>
      <c r="AM3431" s="85"/>
    </row>
    <row r="3432" spans="1:39" hidden="1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39"/>
        <v>34810.119999999995</v>
      </c>
      <c r="X3432" s="6">
        <f t="shared" si="540"/>
        <v>93323.411764705888</v>
      </c>
      <c r="Y3432" s="13">
        <f t="shared" si="531"/>
        <v>0</v>
      </c>
      <c r="Z3432" s="14">
        <v>0</v>
      </c>
      <c r="AA3432" s="6">
        <v>0</v>
      </c>
      <c r="AB3432" s="4">
        <f t="shared" si="532"/>
        <v>93323.411764705888</v>
      </c>
      <c r="AC3432" s="4">
        <f t="shared" si="534"/>
        <v>1866.4682352941163</v>
      </c>
      <c r="AD3432" s="6">
        <f t="shared" si="537"/>
        <v>95189.88</v>
      </c>
      <c r="AE3432" s="2">
        <f>VLOOKUP(I3432,[1]媒体政策预估表!A:N,MATCH(O3432,[1]媒体政策预估表!$A$2:$M$2,0),0)</f>
        <v>7.0000000000000007E-2</v>
      </c>
      <c r="AF3432" s="6">
        <f t="shared" si="535"/>
        <v>6663.2916000000014</v>
      </c>
      <c r="AG3432" s="14">
        <v>0</v>
      </c>
      <c r="AH3432" s="64">
        <f t="shared" si="538"/>
        <v>95189.88</v>
      </c>
      <c r="AI3432" s="47"/>
      <c r="AJ3432" s="126" t="e">
        <v>#N/A</v>
      </c>
      <c r="AK3432" s="80">
        <f t="shared" si="533"/>
        <v>0</v>
      </c>
      <c r="AM3432" s="85"/>
    </row>
    <row r="3433" spans="1:39" hidden="1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39"/>
        <v>59923.180000000008</v>
      </c>
      <c r="X3433" s="6">
        <f t="shared" si="540"/>
        <v>94238.833333333328</v>
      </c>
      <c r="Y3433" s="13">
        <f t="shared" si="531"/>
        <v>0</v>
      </c>
      <c r="Z3433" s="14">
        <v>0</v>
      </c>
      <c r="AA3433" s="6">
        <v>0</v>
      </c>
      <c r="AB3433" s="4">
        <f t="shared" si="532"/>
        <v>94238.833333333328</v>
      </c>
      <c r="AC3433" s="4">
        <f t="shared" si="534"/>
        <v>1884.7766666666721</v>
      </c>
      <c r="AD3433" s="6">
        <f t="shared" si="537"/>
        <v>96123.61</v>
      </c>
      <c r="AE3433" s="2">
        <f>VLOOKUP(I3433,[1]媒体政策预估表!A:N,MATCH(O3433,[1]媒体政策预估表!$A$2:$M$2,0),0)</f>
        <v>7.0000000000000007E-2</v>
      </c>
      <c r="AF3433" s="6">
        <f t="shared" si="535"/>
        <v>6728.6527000000006</v>
      </c>
      <c r="AG3433" s="14">
        <v>0</v>
      </c>
      <c r="AH3433" s="64">
        <f t="shared" si="538"/>
        <v>96123.61</v>
      </c>
      <c r="AI3433" s="47"/>
      <c r="AJ3433" s="126" t="e">
        <v>#N/A</v>
      </c>
      <c r="AK3433" s="80">
        <f t="shared" si="533"/>
        <v>0</v>
      </c>
      <c r="AM3433" s="85"/>
    </row>
    <row r="3434" spans="1:39" hidden="1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39"/>
        <v>45809.75</v>
      </c>
      <c r="X3434" s="6">
        <f t="shared" si="540"/>
        <v>0</v>
      </c>
      <c r="Y3434" s="13">
        <f t="shared" si="531"/>
        <v>0</v>
      </c>
      <c r="Z3434" s="14">
        <v>0</v>
      </c>
      <c r="AA3434" s="6">
        <v>0</v>
      </c>
      <c r="AB3434" s="4">
        <f t="shared" si="532"/>
        <v>0</v>
      </c>
      <c r="AC3434" s="4">
        <f t="shared" si="534"/>
        <v>0</v>
      </c>
      <c r="AD3434" s="6">
        <f t="shared" si="537"/>
        <v>0</v>
      </c>
      <c r="AE3434" s="2">
        <f>VLOOKUP(I3434,[1]媒体政策预估表!A:N,MATCH(O3434,[1]媒体政策预估表!$A$2:$M$2,0),0)</f>
        <v>0.12</v>
      </c>
      <c r="AF3434" s="6">
        <f t="shared" si="535"/>
        <v>0</v>
      </c>
      <c r="AG3434" s="14">
        <v>0</v>
      </c>
      <c r="AH3434" s="64">
        <f t="shared" si="538"/>
        <v>0</v>
      </c>
      <c r="AI3434" s="47"/>
      <c r="AJ3434" s="126" t="e">
        <v>#N/A</v>
      </c>
      <c r="AK3434" s="80">
        <f t="shared" si="533"/>
        <v>0</v>
      </c>
      <c r="AM3434" s="85"/>
    </row>
    <row r="3435" spans="1:39" hidden="1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39"/>
        <v>4340.6499999999987</v>
      </c>
      <c r="X3435" s="6">
        <f t="shared" si="540"/>
        <v>5659.3500000000013</v>
      </c>
      <c r="Y3435" s="13">
        <f t="shared" si="531"/>
        <v>0</v>
      </c>
      <c r="Z3435" s="14">
        <v>0</v>
      </c>
      <c r="AA3435" s="6">
        <v>0</v>
      </c>
      <c r="AB3435" s="4">
        <f t="shared" si="532"/>
        <v>5659.3500000000013</v>
      </c>
      <c r="AC3435" s="4">
        <f t="shared" si="534"/>
        <v>0</v>
      </c>
      <c r="AD3435" s="6">
        <f t="shared" si="537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35"/>
        <v>396.15450000000016</v>
      </c>
      <c r="AG3435" s="14">
        <v>0</v>
      </c>
      <c r="AH3435" s="64">
        <f t="shared" si="538"/>
        <v>5659.3500000000013</v>
      </c>
      <c r="AI3435" s="47"/>
      <c r="AJ3435" s="126" t="e">
        <v>#N/A</v>
      </c>
      <c r="AK3435" s="80">
        <f t="shared" si="533"/>
        <v>0</v>
      </c>
      <c r="AM3435" s="85"/>
    </row>
    <row r="3436" spans="1:39" hidden="1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39"/>
        <v>22257.57</v>
      </c>
      <c r="X3436" s="6">
        <f t="shared" si="540"/>
        <v>3960.67</v>
      </c>
      <c r="Y3436" s="13">
        <f t="shared" si="531"/>
        <v>0</v>
      </c>
      <c r="Z3436" s="14">
        <v>0</v>
      </c>
      <c r="AA3436" s="6">
        <v>0</v>
      </c>
      <c r="AB3436" s="4">
        <f t="shared" si="532"/>
        <v>3960.67</v>
      </c>
      <c r="AC3436" s="4">
        <f t="shared" si="534"/>
        <v>0</v>
      </c>
      <c r="AD3436" s="6">
        <f t="shared" si="537"/>
        <v>3960.67</v>
      </c>
      <c r="AE3436" s="2">
        <f>VLOOKUP(I3436,[1]媒体政策预估表!A:N,MATCH(O3436,[1]媒体政策预估表!$A$2:$M$2,0),0)</f>
        <v>7.0000000000000007E-2</v>
      </c>
      <c r="AF3436" s="6">
        <f t="shared" si="535"/>
        <v>277.24690000000004</v>
      </c>
      <c r="AG3436" s="14">
        <v>0</v>
      </c>
      <c r="AH3436" s="64">
        <f t="shared" si="538"/>
        <v>3960.67</v>
      </c>
      <c r="AI3436" s="47"/>
      <c r="AJ3436" s="126" t="e">
        <v>#N/A</v>
      </c>
      <c r="AK3436" s="80">
        <f t="shared" si="533"/>
        <v>0</v>
      </c>
      <c r="AM3436" s="85"/>
    </row>
    <row r="3437" spans="1:39" hidden="1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39"/>
        <v>40366.769999999997</v>
      </c>
      <c r="X3437" s="6">
        <f t="shared" si="540"/>
        <v>6416.21</v>
      </c>
      <c r="Y3437" s="13">
        <f t="shared" si="531"/>
        <v>0</v>
      </c>
      <c r="Z3437" s="14">
        <v>0</v>
      </c>
      <c r="AA3437" s="6">
        <v>0</v>
      </c>
      <c r="AB3437" s="4">
        <f t="shared" si="532"/>
        <v>6416.21</v>
      </c>
      <c r="AC3437" s="4">
        <f t="shared" si="534"/>
        <v>0</v>
      </c>
      <c r="AD3437" s="6">
        <f t="shared" si="537"/>
        <v>6416.21</v>
      </c>
      <c r="AE3437" s="2">
        <f>VLOOKUP(I3437,[1]媒体政策预估表!A:N,MATCH(O3437,[1]媒体政策预估表!$A$2:$M$2,0),0)</f>
        <v>7.0000000000000007E-2</v>
      </c>
      <c r="AF3437" s="6">
        <f t="shared" si="535"/>
        <v>449.13470000000007</v>
      </c>
      <c r="AG3437" s="14">
        <v>0</v>
      </c>
      <c r="AH3437" s="64">
        <f t="shared" si="538"/>
        <v>6416.21</v>
      </c>
      <c r="AI3437" s="47"/>
      <c r="AJ3437" s="126" t="e">
        <v>#N/A</v>
      </c>
      <c r="AK3437" s="80">
        <f t="shared" si="533"/>
        <v>0</v>
      </c>
      <c r="AM3437" s="85"/>
    </row>
    <row r="3438" spans="1:39" hidden="1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39"/>
        <v>21768.83</v>
      </c>
      <c r="X3438" s="6">
        <f t="shared" si="540"/>
        <v>59512.5</v>
      </c>
      <c r="Y3438" s="13">
        <f t="shared" si="531"/>
        <v>0</v>
      </c>
      <c r="Z3438" s="14">
        <v>0</v>
      </c>
      <c r="AA3438" s="6">
        <v>0</v>
      </c>
      <c r="AB3438" s="4">
        <f t="shared" si="532"/>
        <v>59512.5</v>
      </c>
      <c r="AC3438" s="4">
        <f t="shared" si="534"/>
        <v>0</v>
      </c>
      <c r="AD3438" s="6">
        <f t="shared" si="537"/>
        <v>59512.5</v>
      </c>
      <c r="AE3438" s="2">
        <f>VLOOKUP(I3438,[1]媒体政策预估表!A:N,MATCH(O3438,[1]媒体政策预估表!$A$2:$M$2,0),0)</f>
        <v>7.0000000000000007E-2</v>
      </c>
      <c r="AF3438" s="6">
        <f t="shared" si="535"/>
        <v>4165.875</v>
      </c>
      <c r="AG3438" s="14">
        <v>0</v>
      </c>
      <c r="AH3438" s="64">
        <f t="shared" si="538"/>
        <v>59512.5</v>
      </c>
      <c r="AI3438" s="47"/>
      <c r="AJ3438" s="126" t="e">
        <v>#N/A</v>
      </c>
      <c r="AK3438" s="80">
        <f t="shared" si="533"/>
        <v>0</v>
      </c>
      <c r="AM3438" s="85"/>
    </row>
    <row r="3439" spans="1:39" hidden="1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39"/>
        <v>4795.5</v>
      </c>
      <c r="X3439" s="6">
        <f t="shared" si="540"/>
        <v>5200</v>
      </c>
      <c r="Y3439" s="13">
        <f t="shared" si="531"/>
        <v>0</v>
      </c>
      <c r="Z3439" s="14">
        <v>0</v>
      </c>
      <c r="AA3439" s="6">
        <v>0</v>
      </c>
      <c r="AB3439" s="4">
        <f t="shared" si="532"/>
        <v>5200</v>
      </c>
      <c r="AC3439" s="4">
        <f t="shared" si="534"/>
        <v>0</v>
      </c>
      <c r="AD3439" s="6">
        <f t="shared" si="537"/>
        <v>5200</v>
      </c>
      <c r="AE3439" s="2">
        <f>VLOOKUP(I3439,[1]媒体政策预估表!A:N,MATCH(O3439,[1]媒体政策预估表!$A$2:$M$2,0),0)</f>
        <v>7.0000000000000007E-2</v>
      </c>
      <c r="AF3439" s="6">
        <f t="shared" si="535"/>
        <v>364.00000000000006</v>
      </c>
      <c r="AG3439" s="14">
        <v>0</v>
      </c>
      <c r="AH3439" s="64">
        <f t="shared" si="538"/>
        <v>5200</v>
      </c>
      <c r="AI3439" s="47"/>
      <c r="AJ3439" s="126" t="e">
        <v>#N/A</v>
      </c>
      <c r="AK3439" s="80">
        <f t="shared" si="533"/>
        <v>0</v>
      </c>
      <c r="AM3439" s="85"/>
    </row>
    <row r="3440" spans="1:39" hidden="1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39"/>
        <v>18384.61</v>
      </c>
      <c r="X3440" s="6">
        <f t="shared" si="540"/>
        <v>0</v>
      </c>
      <c r="Y3440" s="13">
        <f t="shared" si="531"/>
        <v>0</v>
      </c>
      <c r="Z3440" s="14">
        <v>0</v>
      </c>
      <c r="AA3440" s="6">
        <v>0</v>
      </c>
      <c r="AB3440" s="4">
        <f t="shared" si="532"/>
        <v>0</v>
      </c>
      <c r="AC3440" s="4">
        <f t="shared" si="534"/>
        <v>0</v>
      </c>
      <c r="AD3440" s="6">
        <f t="shared" si="537"/>
        <v>0</v>
      </c>
      <c r="AE3440" s="2">
        <f>VLOOKUP(I3440,[1]媒体政策预估表!A:N,MATCH(O3440,[1]媒体政策预估表!$A$2:$M$2,0),0)</f>
        <v>7.0000000000000007E-2</v>
      </c>
      <c r="AF3440" s="6">
        <f t="shared" si="535"/>
        <v>0</v>
      </c>
      <c r="AG3440" s="14">
        <v>0</v>
      </c>
      <c r="AH3440" s="64">
        <f t="shared" si="538"/>
        <v>0</v>
      </c>
      <c r="AI3440" s="47"/>
      <c r="AJ3440" s="126" t="e">
        <v>#N/A</v>
      </c>
      <c r="AK3440" s="80">
        <f t="shared" si="533"/>
        <v>0</v>
      </c>
      <c r="AM3440" s="85"/>
    </row>
    <row r="3441" spans="1:39" hidden="1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39"/>
        <v>477589.50000000012</v>
      </c>
      <c r="X3441" s="6">
        <f t="shared" si="540"/>
        <v>261514.07999999987</v>
      </c>
      <c r="Y3441" s="13">
        <f t="shared" si="531"/>
        <v>0</v>
      </c>
      <c r="Z3441" s="14">
        <v>0</v>
      </c>
      <c r="AA3441" s="6">
        <v>0</v>
      </c>
      <c r="AB3441" s="4">
        <f t="shared" si="532"/>
        <v>261514.07999999987</v>
      </c>
      <c r="AC3441" s="4">
        <f t="shared" si="534"/>
        <v>10896.420000000013</v>
      </c>
      <c r="AD3441" s="6">
        <f t="shared" si="537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35"/>
        <v>19068.734999999993</v>
      </c>
      <c r="AG3441" s="14">
        <v>0</v>
      </c>
      <c r="AH3441" s="64">
        <f t="shared" si="538"/>
        <v>272410.49999999988</v>
      </c>
      <c r="AI3441" s="47"/>
      <c r="AJ3441" s="126" t="e">
        <v>#N/A</v>
      </c>
      <c r="AK3441" s="80">
        <f t="shared" si="533"/>
        <v>0</v>
      </c>
      <c r="AM3441" s="85"/>
    </row>
    <row r="3442" spans="1:39" hidden="1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39"/>
        <v>37911.479999999981</v>
      </c>
      <c r="X3442" s="6">
        <f t="shared" si="540"/>
        <v>169550.36000000002</v>
      </c>
      <c r="Y3442" s="13">
        <f t="shared" si="531"/>
        <v>0</v>
      </c>
      <c r="Z3442" s="14">
        <v>0</v>
      </c>
      <c r="AA3442" s="6">
        <v>0</v>
      </c>
      <c r="AB3442" s="4">
        <f t="shared" si="532"/>
        <v>169550.36000000002</v>
      </c>
      <c r="AC3442" s="4">
        <f t="shared" si="534"/>
        <v>0</v>
      </c>
      <c r="AD3442" s="6">
        <f t="shared" si="537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35"/>
        <v>11868.525200000002</v>
      </c>
      <c r="AG3442" s="14">
        <v>0</v>
      </c>
      <c r="AH3442" s="64">
        <f t="shared" si="538"/>
        <v>169550.36000000002</v>
      </c>
      <c r="AI3442" s="47"/>
      <c r="AJ3442" s="126" t="e">
        <v>#N/A</v>
      </c>
      <c r="AK3442" s="80">
        <f t="shared" si="533"/>
        <v>0</v>
      </c>
      <c r="AM3442" s="85"/>
    </row>
    <row r="3443" spans="1:39" hidden="1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39"/>
        <v>8574.5299999999988</v>
      </c>
      <c r="X3443" s="6">
        <f t="shared" si="540"/>
        <v>2111.9499999999998</v>
      </c>
      <c r="Y3443" s="13">
        <f t="shared" si="531"/>
        <v>0</v>
      </c>
      <c r="Z3443" s="14">
        <v>0</v>
      </c>
      <c r="AA3443" s="6">
        <v>0</v>
      </c>
      <c r="AB3443" s="4"/>
      <c r="AC3443" s="4">
        <f t="shared" si="534"/>
        <v>0</v>
      </c>
      <c r="AD3443" s="6">
        <f t="shared" si="537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35"/>
        <v>147.8365</v>
      </c>
      <c r="AG3443" s="14">
        <v>0</v>
      </c>
      <c r="AH3443" s="64">
        <f t="shared" si="538"/>
        <v>2111.9499999999998</v>
      </c>
      <c r="AI3443" s="47"/>
      <c r="AJ3443" s="126">
        <v>21</v>
      </c>
      <c r="AK3443" s="80">
        <f t="shared" si="533"/>
        <v>2111.9499999999998</v>
      </c>
      <c r="AM3443" s="85"/>
    </row>
    <row r="3444" spans="1:39" hidden="1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39"/>
        <v>53991.729999999952</v>
      </c>
      <c r="X3444" s="6">
        <f t="shared" si="540"/>
        <v>233213.70588235295</v>
      </c>
      <c r="Y3444" s="13">
        <f t="shared" si="531"/>
        <v>0</v>
      </c>
      <c r="Z3444" s="14">
        <v>0</v>
      </c>
      <c r="AA3444" s="6">
        <v>0</v>
      </c>
      <c r="AB3444" s="4">
        <f t="shared" si="532"/>
        <v>233213.70588235295</v>
      </c>
      <c r="AC3444" s="4">
        <f t="shared" si="534"/>
        <v>4664.274117647059</v>
      </c>
      <c r="AD3444" s="6">
        <f t="shared" si="537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35"/>
        <v>16651.458600000002</v>
      </c>
      <c r="AG3444" s="14">
        <v>0</v>
      </c>
      <c r="AH3444" s="64">
        <f t="shared" si="538"/>
        <v>237877.98</v>
      </c>
      <c r="AI3444" s="47"/>
      <c r="AJ3444" s="126" t="e">
        <v>#N/A</v>
      </c>
      <c r="AK3444" s="80">
        <f t="shared" si="533"/>
        <v>0</v>
      </c>
      <c r="AM3444" s="85"/>
    </row>
    <row r="3445" spans="1:39" hidden="1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39"/>
        <v>5612.6399999999994</v>
      </c>
      <c r="X3445" s="6">
        <f t="shared" si="540"/>
        <v>12724.088235294117</v>
      </c>
      <c r="Y3445" s="13">
        <f t="shared" si="531"/>
        <v>0</v>
      </c>
      <c r="Z3445" s="14">
        <v>0</v>
      </c>
      <c r="AA3445" s="6">
        <v>0</v>
      </c>
      <c r="AB3445" s="4">
        <f t="shared" si="532"/>
        <v>12724.088235294117</v>
      </c>
      <c r="AC3445" s="4">
        <f t="shared" si="534"/>
        <v>254.4817647058826</v>
      </c>
      <c r="AD3445" s="6">
        <f t="shared" si="537"/>
        <v>12978.57</v>
      </c>
      <c r="AE3445" s="2">
        <f>VLOOKUP(I3445,[1]媒体政策预估表!A:N,MATCH(O3445,[1]媒体政策预估表!$A$2:$M$2,0),0)</f>
        <v>0.12</v>
      </c>
      <c r="AF3445" s="6">
        <f t="shared" si="535"/>
        <v>1557.4284</v>
      </c>
      <c r="AG3445" s="14">
        <v>0</v>
      </c>
      <c r="AH3445" s="64">
        <f t="shared" si="538"/>
        <v>12978.57</v>
      </c>
      <c r="AI3445" s="47"/>
      <c r="AJ3445" s="126" t="e">
        <v>#N/A</v>
      </c>
      <c r="AK3445" s="80">
        <f t="shared" si="533"/>
        <v>0</v>
      </c>
      <c r="AM3445" s="85"/>
    </row>
    <row r="3446" spans="1:39" hidden="1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39"/>
        <v>198089.60000000001</v>
      </c>
      <c r="X3446" s="6">
        <f t="shared" si="540"/>
        <v>1836.9230769230769</v>
      </c>
      <c r="Y3446" s="13">
        <f t="shared" si="531"/>
        <v>0</v>
      </c>
      <c r="Z3446" s="14">
        <v>0</v>
      </c>
      <c r="AA3446" s="6">
        <v>0</v>
      </c>
      <c r="AB3446" s="4">
        <f t="shared" si="532"/>
        <v>1836.9230769230769</v>
      </c>
      <c r="AC3446" s="4">
        <f t="shared" si="534"/>
        <v>73.476923076923185</v>
      </c>
      <c r="AD3446" s="6">
        <f t="shared" si="537"/>
        <v>1910.4</v>
      </c>
      <c r="AE3446" s="2">
        <f>VLOOKUP(I3446,[1]媒体政策预估表!A:N,MATCH(O3446,[1]媒体政策预估表!$A$2:$M$2,0),0)</f>
        <v>0.12</v>
      </c>
      <c r="AF3446" s="6">
        <f t="shared" si="535"/>
        <v>229.24799999999999</v>
      </c>
      <c r="AG3446" s="14">
        <v>0</v>
      </c>
      <c r="AH3446" s="64">
        <f t="shared" si="538"/>
        <v>1910.4</v>
      </c>
      <c r="AI3446" s="47"/>
      <c r="AJ3446" s="126" t="e">
        <v>#N/A</v>
      </c>
      <c r="AK3446" s="80">
        <f t="shared" si="533"/>
        <v>0</v>
      </c>
      <c r="AM3446" s="85"/>
    </row>
    <row r="3447" spans="1:39" hidden="1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39"/>
        <v>13924.520000000004</v>
      </c>
      <c r="X3447" s="6">
        <f t="shared" si="540"/>
        <v>61161.020000000004</v>
      </c>
      <c r="Y3447" s="13">
        <f t="shared" si="531"/>
        <v>0</v>
      </c>
      <c r="Z3447" s="14">
        <v>0</v>
      </c>
      <c r="AA3447" s="6">
        <v>0</v>
      </c>
      <c r="AB3447" s="4">
        <f t="shared" si="532"/>
        <v>61161.020000000004</v>
      </c>
      <c r="AC3447" s="4">
        <f t="shared" si="534"/>
        <v>0</v>
      </c>
      <c r="AD3447" s="6">
        <f t="shared" si="537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35"/>
        <v>4281.2714000000005</v>
      </c>
      <c r="AG3447" s="14">
        <v>0</v>
      </c>
      <c r="AH3447" s="64">
        <f t="shared" si="538"/>
        <v>61161.020000000004</v>
      </c>
      <c r="AI3447" s="47"/>
      <c r="AJ3447" s="126" t="e">
        <v>#N/A</v>
      </c>
      <c r="AK3447" s="80">
        <f t="shared" si="533"/>
        <v>0</v>
      </c>
      <c r="AM3447" s="85"/>
    </row>
    <row r="3448" spans="1:39" hidden="1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39"/>
        <v>42491.529999999868</v>
      </c>
      <c r="X3448" s="6">
        <f t="shared" si="540"/>
        <v>86263.400000000023</v>
      </c>
      <c r="Y3448" s="13">
        <f t="shared" si="531"/>
        <v>0</v>
      </c>
      <c r="Z3448" s="14">
        <v>0</v>
      </c>
      <c r="AA3448" s="6">
        <v>0</v>
      </c>
      <c r="AB3448" s="4">
        <f t="shared" si="532"/>
        <v>86263.400000000023</v>
      </c>
      <c r="AC3448" s="4">
        <f t="shared" si="534"/>
        <v>0</v>
      </c>
      <c r="AD3448" s="6">
        <f t="shared" si="537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35"/>
        <v>6038.4380000000019</v>
      </c>
      <c r="AG3448" s="14">
        <v>0</v>
      </c>
      <c r="AH3448" s="64">
        <f t="shared" si="538"/>
        <v>86263.400000000023</v>
      </c>
      <c r="AI3448" s="47"/>
      <c r="AJ3448" s="126" t="e">
        <v>#N/A</v>
      </c>
      <c r="AK3448" s="80">
        <f t="shared" si="533"/>
        <v>0</v>
      </c>
      <c r="AM3448" s="85"/>
    </row>
    <row r="3449" spans="1:39" hidden="1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39"/>
        <v>3269</v>
      </c>
      <c r="X3449" s="6">
        <f t="shared" si="540"/>
        <v>35416.5</v>
      </c>
      <c r="Y3449" s="13">
        <f t="shared" si="531"/>
        <v>0</v>
      </c>
      <c r="Z3449" s="14">
        <v>0</v>
      </c>
      <c r="AA3449" s="6">
        <v>0</v>
      </c>
      <c r="AB3449" s="4">
        <f t="shared" si="532"/>
        <v>35416.5</v>
      </c>
      <c r="AC3449" s="4">
        <f t="shared" si="534"/>
        <v>0</v>
      </c>
      <c r="AD3449" s="6">
        <f t="shared" si="537"/>
        <v>35416.5</v>
      </c>
      <c r="AE3449" s="2">
        <f>VLOOKUP(I3449,[1]媒体政策预估表!A:N,MATCH(O3449,[1]媒体政策预估表!$A$2:$M$2,0),0)</f>
        <v>7.0000000000000007E-2</v>
      </c>
      <c r="AF3449" s="6">
        <f t="shared" si="535"/>
        <v>2479.1550000000002</v>
      </c>
      <c r="AG3449" s="14">
        <v>0</v>
      </c>
      <c r="AH3449" s="64">
        <f t="shared" si="538"/>
        <v>35416.5</v>
      </c>
      <c r="AI3449" s="47"/>
      <c r="AJ3449" s="126" t="e">
        <v>#N/A</v>
      </c>
      <c r="AK3449" s="80">
        <f t="shared" si="533"/>
        <v>0</v>
      </c>
      <c r="AM3449" s="85"/>
    </row>
    <row r="3450" spans="1:39" hidden="1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39"/>
        <v>3368</v>
      </c>
      <c r="X3450" s="6">
        <f t="shared" si="540"/>
        <v>35716.5</v>
      </c>
      <c r="Y3450" s="13">
        <f t="shared" si="531"/>
        <v>0</v>
      </c>
      <c r="Z3450" s="14">
        <v>0</v>
      </c>
      <c r="AA3450" s="6">
        <v>0</v>
      </c>
      <c r="AB3450" s="4">
        <f t="shared" si="532"/>
        <v>35716.5</v>
      </c>
      <c r="AC3450" s="4">
        <f t="shared" si="534"/>
        <v>0</v>
      </c>
      <c r="AD3450" s="6">
        <f t="shared" si="537"/>
        <v>35716.5</v>
      </c>
      <c r="AE3450" s="2">
        <f>VLOOKUP(I3450,[1]媒体政策预估表!A:N,MATCH(O3450,[1]媒体政策预估表!$A$2:$M$2,0),0)</f>
        <v>7.0000000000000007E-2</v>
      </c>
      <c r="AF3450" s="6">
        <f t="shared" si="535"/>
        <v>2500.1550000000002</v>
      </c>
      <c r="AG3450" s="14">
        <v>0</v>
      </c>
      <c r="AH3450" s="64">
        <f t="shared" si="538"/>
        <v>35716.5</v>
      </c>
      <c r="AI3450" s="47"/>
      <c r="AJ3450" s="126" t="e">
        <v>#N/A</v>
      </c>
      <c r="AK3450" s="80">
        <f t="shared" si="533"/>
        <v>0</v>
      </c>
      <c r="AM3450" s="85"/>
    </row>
    <row r="3451" spans="1:39" hidden="1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39"/>
        <v>164046.3499999998</v>
      </c>
      <c r="X3451" s="6">
        <f t="shared" si="540"/>
        <v>360012.47000000009</v>
      </c>
      <c r="Y3451" s="13">
        <f t="shared" si="531"/>
        <v>0</v>
      </c>
      <c r="Z3451" s="14">
        <v>0</v>
      </c>
      <c r="AA3451" s="6">
        <v>0</v>
      </c>
      <c r="AB3451" s="4">
        <f t="shared" si="532"/>
        <v>360012.47000000009</v>
      </c>
      <c r="AC3451" s="4">
        <f t="shared" si="534"/>
        <v>0</v>
      </c>
      <c r="AD3451" s="6">
        <f t="shared" si="537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35"/>
        <v>25200.872900000009</v>
      </c>
      <c r="AG3451" s="14">
        <v>0</v>
      </c>
      <c r="AH3451" s="64">
        <f t="shared" si="538"/>
        <v>360012.47000000009</v>
      </c>
      <c r="AI3451" s="47"/>
      <c r="AJ3451" s="126" t="e">
        <v>#N/A</v>
      </c>
      <c r="AK3451" s="80">
        <f t="shared" si="533"/>
        <v>0</v>
      </c>
      <c r="AM3451" s="85"/>
    </row>
    <row r="3452" spans="1:39" hidden="1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39"/>
        <v>4078.7800000000016</v>
      </c>
      <c r="X3452" s="6">
        <f t="shared" si="540"/>
        <v>7801.3999999999987</v>
      </c>
      <c r="Y3452" s="13">
        <f t="shared" si="531"/>
        <v>0</v>
      </c>
      <c r="Z3452" s="14">
        <v>0</v>
      </c>
      <c r="AA3452" s="6">
        <v>0</v>
      </c>
      <c r="AB3452" s="4">
        <f t="shared" si="532"/>
        <v>7801.3999999999987</v>
      </c>
      <c r="AC3452" s="4">
        <f t="shared" si="534"/>
        <v>0</v>
      </c>
      <c r="AD3452" s="6">
        <f t="shared" si="537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35"/>
        <v>546.09799999999996</v>
      </c>
      <c r="AG3452" s="14">
        <v>0</v>
      </c>
      <c r="AH3452" s="64">
        <f t="shared" si="538"/>
        <v>7801.3999999999987</v>
      </c>
      <c r="AI3452" s="47"/>
      <c r="AJ3452" s="126" t="e">
        <v>#N/A</v>
      </c>
      <c r="AK3452" s="80">
        <f t="shared" si="533"/>
        <v>0</v>
      </c>
      <c r="AM3452" s="85"/>
    </row>
    <row r="3453" spans="1:39" hidden="1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39"/>
        <v>63566.319999999949</v>
      </c>
      <c r="X3453" s="6">
        <f t="shared" si="540"/>
        <v>209066.38</v>
      </c>
      <c r="Y3453" s="13">
        <f t="shared" si="531"/>
        <v>0</v>
      </c>
      <c r="Z3453" s="14">
        <v>0</v>
      </c>
      <c r="AA3453" s="6">
        <v>0</v>
      </c>
      <c r="AB3453" s="4">
        <f t="shared" si="532"/>
        <v>209066.38</v>
      </c>
      <c r="AC3453" s="4">
        <f t="shared" si="534"/>
        <v>0</v>
      </c>
      <c r="AD3453" s="6">
        <f t="shared" si="537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35"/>
        <v>14634.646600000002</v>
      </c>
      <c r="AG3453" s="14">
        <v>0</v>
      </c>
      <c r="AH3453" s="64">
        <f t="shared" si="538"/>
        <v>209066.38</v>
      </c>
      <c r="AI3453" s="47"/>
      <c r="AJ3453" s="126" t="e">
        <v>#N/A</v>
      </c>
      <c r="AK3453" s="80">
        <f t="shared" si="533"/>
        <v>0</v>
      </c>
      <c r="AM3453" s="85"/>
    </row>
    <row r="3454" spans="1:39" hidden="1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39"/>
        <v>35735.27999999997</v>
      </c>
      <c r="X3454" s="6">
        <f t="shared" si="540"/>
        <v>102415.51960784315</v>
      </c>
      <c r="Y3454" s="13">
        <f t="shared" si="531"/>
        <v>0</v>
      </c>
      <c r="Z3454" s="14">
        <v>0</v>
      </c>
      <c r="AA3454" s="6">
        <v>0</v>
      </c>
      <c r="AB3454" s="4">
        <f t="shared" si="532"/>
        <v>102415.51960784315</v>
      </c>
      <c r="AC3454" s="4">
        <f t="shared" si="534"/>
        <v>2048.3103921568691</v>
      </c>
      <c r="AD3454" s="6">
        <f t="shared" si="537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35"/>
        <v>7312.4681000000019</v>
      </c>
      <c r="AG3454" s="14">
        <v>0</v>
      </c>
      <c r="AH3454" s="64">
        <f t="shared" si="538"/>
        <v>104463.83000000002</v>
      </c>
      <c r="AI3454" s="47"/>
      <c r="AJ3454" s="126" t="e">
        <v>#N/A</v>
      </c>
      <c r="AK3454" s="80">
        <f t="shared" si="533"/>
        <v>0</v>
      </c>
      <c r="AM3454" s="85"/>
    </row>
    <row r="3455" spans="1:39" hidden="1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39"/>
        <v>15749.059999999998</v>
      </c>
      <c r="X3455" s="6">
        <f t="shared" si="540"/>
        <v>20376</v>
      </c>
      <c r="Y3455" s="13">
        <f t="shared" si="531"/>
        <v>0</v>
      </c>
      <c r="Z3455" s="14">
        <v>0</v>
      </c>
      <c r="AA3455" s="6">
        <v>0</v>
      </c>
      <c r="AB3455" s="4">
        <f t="shared" si="532"/>
        <v>20376</v>
      </c>
      <c r="AC3455" s="4">
        <f t="shared" si="534"/>
        <v>0</v>
      </c>
      <c r="AD3455" s="6">
        <f t="shared" si="537"/>
        <v>20376</v>
      </c>
      <c r="AE3455" s="2">
        <f>VLOOKUP(I3455,[1]媒体政策预估表!A:N,MATCH(O3455,[1]媒体政策预估表!$A$2:$M$2,0),0)</f>
        <v>7.0000000000000007E-2</v>
      </c>
      <c r="AF3455" s="6">
        <f t="shared" si="535"/>
        <v>1426.3200000000002</v>
      </c>
      <c r="AG3455" s="14">
        <v>0</v>
      </c>
      <c r="AH3455" s="64">
        <f t="shared" si="538"/>
        <v>20376</v>
      </c>
      <c r="AI3455" s="47"/>
      <c r="AJ3455" s="126" t="e">
        <v>#N/A</v>
      </c>
      <c r="AK3455" s="80">
        <f t="shared" si="533"/>
        <v>0</v>
      </c>
      <c r="AM3455" s="85"/>
    </row>
    <row r="3456" spans="1:39" hidden="1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39"/>
        <v>168044.16000000006</v>
      </c>
      <c r="X3456" s="6">
        <f t="shared" si="540"/>
        <v>131955.83999999994</v>
      </c>
      <c r="Y3456" s="13">
        <f t="shared" si="531"/>
        <v>0</v>
      </c>
      <c r="Z3456" s="14">
        <v>0</v>
      </c>
      <c r="AA3456" s="6">
        <v>0</v>
      </c>
      <c r="AB3456" s="4">
        <f t="shared" si="532"/>
        <v>131955.83999999994</v>
      </c>
      <c r="AC3456" s="4">
        <f t="shared" si="534"/>
        <v>0</v>
      </c>
      <c r="AD3456" s="6">
        <f t="shared" si="537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35"/>
        <v>9236.9087999999974</v>
      </c>
      <c r="AG3456" s="14">
        <v>0</v>
      </c>
      <c r="AH3456" s="64">
        <f t="shared" si="538"/>
        <v>131955.83999999994</v>
      </c>
      <c r="AI3456" s="47"/>
      <c r="AJ3456" s="126" t="e">
        <v>#N/A</v>
      </c>
      <c r="AK3456" s="80">
        <f t="shared" si="533"/>
        <v>0</v>
      </c>
      <c r="AM3456" s="85"/>
    </row>
    <row r="3457" spans="1:39" hidden="1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39"/>
        <v>222568.13</v>
      </c>
      <c r="X3457" s="6">
        <f t="shared" si="540"/>
        <v>427431.87</v>
      </c>
      <c r="Y3457" s="13">
        <f t="shared" si="531"/>
        <v>0</v>
      </c>
      <c r="Z3457" s="14">
        <v>0</v>
      </c>
      <c r="AA3457" s="6">
        <v>0</v>
      </c>
      <c r="AB3457" s="4">
        <f t="shared" si="532"/>
        <v>427431.87</v>
      </c>
      <c r="AC3457" s="4">
        <f t="shared" si="534"/>
        <v>0</v>
      </c>
      <c r="AD3457" s="6">
        <f t="shared" si="537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35"/>
        <v>29920.230900000002</v>
      </c>
      <c r="AG3457" s="14">
        <v>0</v>
      </c>
      <c r="AH3457" s="64">
        <f t="shared" si="538"/>
        <v>427431.87</v>
      </c>
      <c r="AI3457" s="47"/>
      <c r="AJ3457" s="126" t="e">
        <v>#N/A</v>
      </c>
      <c r="AK3457" s="80">
        <f t="shared" si="533"/>
        <v>0</v>
      </c>
      <c r="AM3457" s="85"/>
    </row>
    <row r="3458" spans="1:39" hidden="1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39"/>
        <v>7525.82</v>
      </c>
      <c r="X3458" s="6">
        <f t="shared" si="540"/>
        <v>31528.330097087379</v>
      </c>
      <c r="Y3458" s="13">
        <f t="shared" si="531"/>
        <v>0</v>
      </c>
      <c r="Z3458" s="14">
        <v>0</v>
      </c>
      <c r="AA3458" s="6">
        <v>0</v>
      </c>
      <c r="AB3458" s="4">
        <f t="shared" si="532"/>
        <v>31528.330097087379</v>
      </c>
      <c r="AC3458" s="4">
        <f t="shared" si="534"/>
        <v>945.84990291262147</v>
      </c>
      <c r="AD3458" s="6">
        <f t="shared" si="537"/>
        <v>32474.18</v>
      </c>
      <c r="AE3458" s="2">
        <f>VLOOKUP(I3458,[1]媒体政策预估表!A:N,MATCH(O3458,[1]媒体政策预估表!$A$2:$M$2,0),0)</f>
        <v>0.12</v>
      </c>
      <c r="AF3458" s="6">
        <f t="shared" si="535"/>
        <v>3896.9015999999997</v>
      </c>
      <c r="AG3458" s="14">
        <v>0</v>
      </c>
      <c r="AH3458" s="64">
        <f t="shared" si="538"/>
        <v>32474.18</v>
      </c>
      <c r="AI3458" s="47"/>
      <c r="AJ3458" s="126" t="e">
        <v>#N/A</v>
      </c>
      <c r="AK3458" s="80">
        <f t="shared" si="533"/>
        <v>0</v>
      </c>
      <c r="AM3458" s="85"/>
    </row>
    <row r="3459" spans="1:39" hidden="1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39"/>
        <v>10000</v>
      </c>
      <c r="X3459" s="6">
        <f t="shared" si="540"/>
        <v>0</v>
      </c>
      <c r="Y3459" s="13">
        <f t="shared" ref="Y3459:Y3522" si="541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42">X3459+AA3459</f>
        <v>0</v>
      </c>
      <c r="AC3459" s="4">
        <f t="shared" si="534"/>
        <v>0</v>
      </c>
      <c r="AD3459" s="6">
        <f t="shared" si="537"/>
        <v>0</v>
      </c>
      <c r="AE3459" s="2">
        <f>VLOOKUP(I3459,[1]媒体政策预估表!A:N,MATCH(O3459,[1]媒体政策预估表!$A$2:$M$2,0),0)</f>
        <v>0.12</v>
      </c>
      <c r="AF3459" s="6">
        <f t="shared" si="535"/>
        <v>0</v>
      </c>
      <c r="AG3459" s="14">
        <v>0</v>
      </c>
      <c r="AH3459" s="64">
        <f t="shared" si="538"/>
        <v>0</v>
      </c>
      <c r="AI3459" s="47"/>
      <c r="AJ3459" s="126" t="e">
        <v>#N/A</v>
      </c>
      <c r="AK3459" s="80">
        <f t="shared" ref="AK3459:AK3522" si="543">X3459+AA3459-AB3459</f>
        <v>0</v>
      </c>
      <c r="AM3459" s="85"/>
    </row>
    <row r="3460" spans="1:39" hidden="1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39"/>
        <v>20000</v>
      </c>
      <c r="X3460" s="6">
        <f t="shared" si="540"/>
        <v>0</v>
      </c>
      <c r="Y3460" s="13">
        <f t="shared" si="541"/>
        <v>0</v>
      </c>
      <c r="Z3460" s="14">
        <v>0</v>
      </c>
      <c r="AA3460" s="6">
        <v>0</v>
      </c>
      <c r="AB3460" s="4">
        <f t="shared" si="542"/>
        <v>0</v>
      </c>
      <c r="AC3460" s="4">
        <f t="shared" si="534"/>
        <v>0</v>
      </c>
      <c r="AD3460" s="6">
        <f t="shared" si="537"/>
        <v>0</v>
      </c>
      <c r="AE3460" s="2">
        <f>VLOOKUP(I3460,[1]媒体政策预估表!A:N,MATCH(O3460,[1]媒体政策预估表!$A$2:$M$2,0),0)</f>
        <v>7.0000000000000007E-2</v>
      </c>
      <c r="AF3460" s="6">
        <f t="shared" si="535"/>
        <v>0</v>
      </c>
      <c r="AG3460" s="14">
        <v>0</v>
      </c>
      <c r="AH3460" s="64">
        <f t="shared" si="538"/>
        <v>0</v>
      </c>
      <c r="AI3460" s="47"/>
      <c r="AJ3460" s="126" t="e">
        <v>#N/A</v>
      </c>
      <c r="AK3460" s="80">
        <f t="shared" si="543"/>
        <v>0</v>
      </c>
      <c r="AM3460" s="85"/>
    </row>
    <row r="3461" spans="1:39" hidden="1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39"/>
        <v>279298.66000000015</v>
      </c>
      <c r="X3461" s="6">
        <f t="shared" si="540"/>
        <v>1220701.3399999999</v>
      </c>
      <c r="Y3461" s="13">
        <f t="shared" si="541"/>
        <v>0</v>
      </c>
      <c r="Z3461" s="14">
        <v>0</v>
      </c>
      <c r="AA3461" s="6">
        <v>0</v>
      </c>
      <c r="AB3461" s="4">
        <f t="shared" si="542"/>
        <v>1220701.3399999999</v>
      </c>
      <c r="AC3461" s="4">
        <f t="shared" si="534"/>
        <v>0</v>
      </c>
      <c r="AD3461" s="6">
        <f t="shared" si="537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35"/>
        <v>85449.093800000002</v>
      </c>
      <c r="AG3461" s="14">
        <v>0</v>
      </c>
      <c r="AH3461" s="64">
        <f t="shared" si="538"/>
        <v>1220701.3399999999</v>
      </c>
      <c r="AI3461" s="47"/>
      <c r="AJ3461" s="126" t="e">
        <v>#N/A</v>
      </c>
      <c r="AK3461" s="80">
        <f t="shared" si="543"/>
        <v>0</v>
      </c>
      <c r="AM3461" s="85"/>
    </row>
    <row r="3462" spans="1:39" hidden="1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39"/>
        <v>60528.710000000079</v>
      </c>
      <c r="X3462" s="6">
        <f t="shared" si="540"/>
        <v>539471.28999999992</v>
      </c>
      <c r="Y3462" s="13">
        <f t="shared" si="541"/>
        <v>0</v>
      </c>
      <c r="Z3462" s="14">
        <v>0</v>
      </c>
      <c r="AA3462" s="6">
        <v>0</v>
      </c>
      <c r="AB3462" s="4">
        <f t="shared" si="542"/>
        <v>539471.28999999992</v>
      </c>
      <c r="AC3462" s="4">
        <f t="shared" si="534"/>
        <v>0</v>
      </c>
      <c r="AD3462" s="6">
        <f t="shared" si="537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35"/>
        <v>37762.990299999998</v>
      </c>
      <c r="AG3462" s="14">
        <v>0</v>
      </c>
      <c r="AH3462" s="64">
        <f t="shared" si="538"/>
        <v>539471.28999999992</v>
      </c>
      <c r="AI3462" s="47"/>
      <c r="AJ3462" s="126" t="e">
        <v>#N/A</v>
      </c>
      <c r="AK3462" s="80">
        <f t="shared" si="543"/>
        <v>0</v>
      </c>
      <c r="AM3462" s="85"/>
    </row>
    <row r="3463" spans="1:39" hidden="1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39"/>
        <v>73162.119999999937</v>
      </c>
      <c r="X3463" s="6">
        <f t="shared" si="540"/>
        <v>270378.93</v>
      </c>
      <c r="Y3463" s="13">
        <f t="shared" si="541"/>
        <v>0</v>
      </c>
      <c r="Z3463" s="14">
        <v>0</v>
      </c>
      <c r="AA3463" s="6">
        <v>0</v>
      </c>
      <c r="AB3463" s="4">
        <f t="shared" si="542"/>
        <v>270378.93</v>
      </c>
      <c r="AC3463" s="4">
        <f t="shared" si="534"/>
        <v>0</v>
      </c>
      <c r="AD3463" s="6">
        <f t="shared" si="537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35"/>
        <v>18926.525100000003</v>
      </c>
      <c r="AG3463" s="14">
        <v>0</v>
      </c>
      <c r="AH3463" s="64">
        <f t="shared" si="538"/>
        <v>270378.93</v>
      </c>
      <c r="AI3463" s="47"/>
      <c r="AJ3463" s="126" t="e">
        <v>#N/A</v>
      </c>
      <c r="AK3463" s="80">
        <f t="shared" si="543"/>
        <v>0</v>
      </c>
      <c r="AM3463" s="85"/>
    </row>
    <row r="3464" spans="1:39" hidden="1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39"/>
        <v>42152.55</v>
      </c>
      <c r="X3464" s="6">
        <f t="shared" si="540"/>
        <v>11183.759615384613</v>
      </c>
      <c r="Y3464" s="13">
        <f t="shared" si="541"/>
        <v>0</v>
      </c>
      <c r="Z3464" s="14">
        <v>0</v>
      </c>
      <c r="AA3464" s="6">
        <v>0</v>
      </c>
      <c r="AB3464" s="4">
        <f t="shared" si="542"/>
        <v>11183.759615384613</v>
      </c>
      <c r="AC3464" s="4">
        <f t="shared" si="534"/>
        <v>447.35038461538534</v>
      </c>
      <c r="AD3464" s="6">
        <f t="shared" si="537"/>
        <v>11631.109999999999</v>
      </c>
      <c r="AE3464" s="2">
        <f>VLOOKUP(I3464,[1]媒体政策预估表!A:N,MATCH(O3464,[1]媒体政策预估表!$A$2:$M$2,0),0)</f>
        <v>0.12</v>
      </c>
      <c r="AF3464" s="6">
        <f t="shared" si="535"/>
        <v>1395.7331999999999</v>
      </c>
      <c r="AG3464" s="14">
        <v>0</v>
      </c>
      <c r="AH3464" s="64">
        <f t="shared" si="538"/>
        <v>11631.109999999999</v>
      </c>
      <c r="AI3464" s="47"/>
      <c r="AJ3464" s="126" t="e">
        <v>#N/A</v>
      </c>
      <c r="AK3464" s="80">
        <f t="shared" si="543"/>
        <v>0</v>
      </c>
      <c r="AM3464" s="85"/>
    </row>
    <row r="3465" spans="1:39" hidden="1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39"/>
        <v>89495.6700000001</v>
      </c>
      <c r="X3465" s="6">
        <f t="shared" si="540"/>
        <v>212479.32352941175</v>
      </c>
      <c r="Y3465" s="13">
        <f t="shared" si="541"/>
        <v>0</v>
      </c>
      <c r="Z3465" s="14">
        <v>0</v>
      </c>
      <c r="AA3465" s="6">
        <v>0</v>
      </c>
      <c r="AB3465" s="4">
        <f t="shared" si="542"/>
        <v>212479.32352941175</v>
      </c>
      <c r="AC3465" s="4">
        <f t="shared" si="534"/>
        <v>4249.5864705882268</v>
      </c>
      <c r="AD3465" s="6">
        <f t="shared" si="537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35"/>
        <v>15171.0237</v>
      </c>
      <c r="AG3465" s="14">
        <v>0</v>
      </c>
      <c r="AH3465" s="64">
        <f t="shared" si="538"/>
        <v>216728.90999999997</v>
      </c>
      <c r="AI3465" s="47"/>
      <c r="AJ3465" s="126" t="e">
        <v>#N/A</v>
      </c>
      <c r="AK3465" s="80">
        <f t="shared" si="543"/>
        <v>0</v>
      </c>
      <c r="AM3465" s="85"/>
    </row>
    <row r="3466" spans="1:39" hidden="1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39"/>
        <v>0</v>
      </c>
      <c r="X3466" s="6">
        <f t="shared" si="540"/>
        <v>126990.72999999998</v>
      </c>
      <c r="Y3466" s="13">
        <f t="shared" si="541"/>
        <v>0</v>
      </c>
      <c r="Z3466" s="14">
        <v>0</v>
      </c>
      <c r="AA3466" s="6">
        <v>0</v>
      </c>
      <c r="AB3466" s="4">
        <f t="shared" si="542"/>
        <v>126990.72999999998</v>
      </c>
      <c r="AC3466" s="4">
        <f t="shared" si="534"/>
        <v>0</v>
      </c>
      <c r="AD3466" s="6">
        <f t="shared" si="537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35"/>
        <v>8889.3510999999999</v>
      </c>
      <c r="AG3466" s="14">
        <v>0</v>
      </c>
      <c r="AH3466" s="64">
        <f t="shared" si="538"/>
        <v>126990.72999999998</v>
      </c>
      <c r="AI3466" s="47"/>
      <c r="AJ3466" s="126" t="e">
        <v>#N/A</v>
      </c>
      <c r="AK3466" s="80">
        <f t="shared" si="543"/>
        <v>0</v>
      </c>
      <c r="AM3466" s="85"/>
    </row>
    <row r="3467" spans="1:39" hidden="1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39"/>
        <v>58239.450000000012</v>
      </c>
      <c r="X3467" s="6">
        <f t="shared" si="540"/>
        <v>10105.789999999997</v>
      </c>
      <c r="Y3467" s="13">
        <f t="shared" si="541"/>
        <v>0</v>
      </c>
      <c r="Z3467" s="14">
        <v>0</v>
      </c>
      <c r="AA3467" s="6">
        <v>0</v>
      </c>
      <c r="AB3467" s="4">
        <f t="shared" si="542"/>
        <v>10105.789999999997</v>
      </c>
      <c r="AC3467" s="4">
        <f t="shared" si="534"/>
        <v>0</v>
      </c>
      <c r="AD3467" s="6">
        <f t="shared" si="537"/>
        <v>10105.789999999997</v>
      </c>
      <c r="AE3467" s="2">
        <f>VLOOKUP(I3467,[1]媒体政策预估表!A:N,MATCH(O3467,[1]媒体政策预估表!$A$2:$M$2,0),0)</f>
        <v>0.12</v>
      </c>
      <c r="AF3467" s="6">
        <f t="shared" si="535"/>
        <v>1212.6947999999995</v>
      </c>
      <c r="AG3467" s="14">
        <v>0</v>
      </c>
      <c r="AH3467" s="64">
        <f t="shared" si="538"/>
        <v>10105.789999999997</v>
      </c>
      <c r="AI3467" s="47"/>
      <c r="AJ3467" s="126" t="e">
        <v>#N/A</v>
      </c>
      <c r="AK3467" s="80">
        <f t="shared" si="543"/>
        <v>0</v>
      </c>
      <c r="AM3467" s="85"/>
    </row>
    <row r="3468" spans="1:39" hidden="1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39"/>
        <v>0</v>
      </c>
      <c r="X3468" s="6">
        <f t="shared" si="540"/>
        <v>0</v>
      </c>
      <c r="Y3468" s="13">
        <f t="shared" si="541"/>
        <v>0</v>
      </c>
      <c r="Z3468" s="14">
        <v>0</v>
      </c>
      <c r="AA3468" s="6">
        <v>0</v>
      </c>
      <c r="AB3468" s="4">
        <f t="shared" si="542"/>
        <v>0</v>
      </c>
      <c r="AC3468" s="4">
        <f t="shared" ref="AC3468:AC3531" si="544">IF(P3468="返现",X3468*Q3468,V3468-X3468)</f>
        <v>0</v>
      </c>
      <c r="AD3468" s="6">
        <f t="shared" si="537"/>
        <v>0</v>
      </c>
      <c r="AE3468" s="2">
        <f>VLOOKUP(I3468,[1]媒体政策预估表!A:N,MATCH(O3468,[1]媒体政策预估表!$A$2:$M$2,0),0)</f>
        <v>0.12</v>
      </c>
      <c r="AF3468" s="6">
        <f t="shared" ref="AF3468:AF3531" si="545">AD3468*AE3468</f>
        <v>0</v>
      </c>
      <c r="AG3468" s="14">
        <v>0</v>
      </c>
      <c r="AH3468" s="64">
        <f t="shared" si="538"/>
        <v>0</v>
      </c>
      <c r="AI3468" s="47"/>
      <c r="AJ3468" s="126" t="e">
        <v>#N/A</v>
      </c>
      <c r="AK3468" s="80">
        <f t="shared" si="543"/>
        <v>0</v>
      </c>
      <c r="AM3468" s="85"/>
    </row>
    <row r="3469" spans="1:39" hidden="1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39"/>
        <v>0</v>
      </c>
      <c r="X3469" s="6">
        <f t="shared" si="540"/>
        <v>0</v>
      </c>
      <c r="Y3469" s="13">
        <f t="shared" si="541"/>
        <v>0</v>
      </c>
      <c r="Z3469" s="14">
        <v>0</v>
      </c>
      <c r="AA3469" s="6">
        <v>0</v>
      </c>
      <c r="AB3469" s="4">
        <f t="shared" si="542"/>
        <v>0</v>
      </c>
      <c r="AC3469" s="4">
        <f t="shared" si="544"/>
        <v>0</v>
      </c>
      <c r="AD3469" s="6">
        <f t="shared" si="537"/>
        <v>0</v>
      </c>
      <c r="AE3469" s="2">
        <f>VLOOKUP(I3469,[1]媒体政策预估表!A:N,MATCH(O3469,[1]媒体政策预估表!$A$2:$M$2,0),0)</f>
        <v>0.12</v>
      </c>
      <c r="AF3469" s="6">
        <f t="shared" si="545"/>
        <v>0</v>
      </c>
      <c r="AG3469" s="14">
        <v>0</v>
      </c>
      <c r="AH3469" s="64">
        <f t="shared" si="538"/>
        <v>0</v>
      </c>
      <c r="AI3469" s="47"/>
      <c r="AJ3469" s="126" t="e">
        <v>#N/A</v>
      </c>
      <c r="AK3469" s="80">
        <f t="shared" si="543"/>
        <v>0</v>
      </c>
      <c r="AM3469" s="85"/>
    </row>
    <row r="3470" spans="1:39" hidden="1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39"/>
        <v>0</v>
      </c>
      <c r="X3470" s="6">
        <f t="shared" si="540"/>
        <v>0</v>
      </c>
      <c r="Y3470" s="13">
        <f t="shared" si="541"/>
        <v>0</v>
      </c>
      <c r="Z3470" s="14">
        <v>0</v>
      </c>
      <c r="AA3470" s="6">
        <v>0</v>
      </c>
      <c r="AB3470" s="4">
        <f t="shared" si="542"/>
        <v>0</v>
      </c>
      <c r="AC3470" s="4">
        <f t="shared" si="544"/>
        <v>0</v>
      </c>
      <c r="AD3470" s="6">
        <f t="shared" si="537"/>
        <v>0</v>
      </c>
      <c r="AE3470" s="2">
        <f>VLOOKUP(I3470,[1]媒体政策预估表!A:N,MATCH(O3470,[1]媒体政策预估表!$A$2:$M$2,0),0)</f>
        <v>0.12</v>
      </c>
      <c r="AF3470" s="6">
        <f t="shared" si="545"/>
        <v>0</v>
      </c>
      <c r="AG3470" s="14">
        <v>0</v>
      </c>
      <c r="AH3470" s="64">
        <f t="shared" si="538"/>
        <v>0</v>
      </c>
      <c r="AI3470" s="47"/>
      <c r="AJ3470" s="126" t="e">
        <v>#N/A</v>
      </c>
      <c r="AK3470" s="80">
        <f t="shared" si="543"/>
        <v>0</v>
      </c>
      <c r="AM3470" s="85"/>
    </row>
    <row r="3471" spans="1:39" hidden="1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39"/>
        <v>0</v>
      </c>
      <c r="X3471" s="6">
        <f t="shared" si="540"/>
        <v>0</v>
      </c>
      <c r="Y3471" s="13">
        <f t="shared" si="541"/>
        <v>0</v>
      </c>
      <c r="Z3471" s="14">
        <v>0</v>
      </c>
      <c r="AA3471" s="6">
        <v>0</v>
      </c>
      <c r="AB3471" s="4">
        <f t="shared" si="542"/>
        <v>0</v>
      </c>
      <c r="AC3471" s="4">
        <f t="shared" si="544"/>
        <v>0</v>
      </c>
      <c r="AD3471" s="6">
        <f t="shared" si="537"/>
        <v>0</v>
      </c>
      <c r="AE3471" s="2">
        <f>VLOOKUP(I3471,[1]媒体政策预估表!A:N,MATCH(O3471,[1]媒体政策预估表!$A$2:$M$2,0),0)</f>
        <v>0.12</v>
      </c>
      <c r="AF3471" s="6">
        <f t="shared" si="545"/>
        <v>0</v>
      </c>
      <c r="AG3471" s="14">
        <v>0</v>
      </c>
      <c r="AH3471" s="64">
        <f t="shared" si="538"/>
        <v>0</v>
      </c>
      <c r="AI3471" s="47"/>
      <c r="AJ3471" s="126" t="e">
        <v>#N/A</v>
      </c>
      <c r="AK3471" s="80">
        <f t="shared" si="543"/>
        <v>0</v>
      </c>
      <c r="AM3471" s="85"/>
    </row>
    <row r="3472" spans="1:39" hidden="1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39"/>
        <v>0</v>
      </c>
      <c r="X3472" s="6">
        <f t="shared" si="540"/>
        <v>130032.90000000002</v>
      </c>
      <c r="Y3472" s="13">
        <f t="shared" si="541"/>
        <v>0</v>
      </c>
      <c r="Z3472" s="14">
        <v>0</v>
      </c>
      <c r="AA3472" s="6">
        <v>0</v>
      </c>
      <c r="AB3472" s="4">
        <f t="shared" si="542"/>
        <v>130032.90000000002</v>
      </c>
      <c r="AC3472" s="4">
        <f t="shared" si="544"/>
        <v>0</v>
      </c>
      <c r="AD3472" s="6">
        <f t="shared" si="537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45"/>
        <v>9102.3030000000017</v>
      </c>
      <c r="AG3472" s="14">
        <v>0</v>
      </c>
      <c r="AH3472" s="64">
        <f t="shared" si="538"/>
        <v>130032.90000000002</v>
      </c>
      <c r="AI3472" s="47"/>
      <c r="AJ3472" s="126" t="e">
        <v>#N/A</v>
      </c>
      <c r="AK3472" s="80">
        <f t="shared" si="543"/>
        <v>0</v>
      </c>
      <c r="AM3472" s="85"/>
    </row>
    <row r="3473" spans="1:39" hidden="1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39"/>
        <v>37479.999999999985</v>
      </c>
      <c r="X3473" s="6">
        <f t="shared" si="540"/>
        <v>92011.400000000023</v>
      </c>
      <c r="Y3473" s="13">
        <f t="shared" si="541"/>
        <v>0</v>
      </c>
      <c r="Z3473" s="14">
        <v>0</v>
      </c>
      <c r="AA3473" s="6">
        <v>0</v>
      </c>
      <c r="AB3473" s="4">
        <f t="shared" si="542"/>
        <v>92011.400000000023</v>
      </c>
      <c r="AC3473" s="4">
        <f t="shared" si="544"/>
        <v>0</v>
      </c>
      <c r="AD3473" s="6">
        <f t="shared" si="537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45"/>
        <v>6440.7980000000025</v>
      </c>
      <c r="AG3473" s="14">
        <v>0</v>
      </c>
      <c r="AH3473" s="64">
        <f t="shared" si="538"/>
        <v>92011.400000000023</v>
      </c>
      <c r="AI3473" s="47"/>
      <c r="AJ3473" s="126" t="e">
        <v>#N/A</v>
      </c>
      <c r="AK3473" s="80">
        <f t="shared" si="543"/>
        <v>0</v>
      </c>
      <c r="AM3473" s="85"/>
    </row>
    <row r="3474" spans="1:39" hidden="1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39"/>
        <v>20000</v>
      </c>
      <c r="X3474" s="6">
        <f t="shared" si="540"/>
        <v>0</v>
      </c>
      <c r="Y3474" s="13">
        <f t="shared" si="541"/>
        <v>0</v>
      </c>
      <c r="Z3474" s="14">
        <v>0</v>
      </c>
      <c r="AA3474" s="6">
        <v>0</v>
      </c>
      <c r="AB3474" s="4">
        <f t="shared" si="542"/>
        <v>0</v>
      </c>
      <c r="AC3474" s="4">
        <f t="shared" si="544"/>
        <v>0</v>
      </c>
      <c r="AD3474" s="6">
        <f t="shared" si="537"/>
        <v>0</v>
      </c>
      <c r="AE3474" s="2">
        <f>VLOOKUP(I3474,[1]媒体政策预估表!A:N,MATCH(O3474,[1]媒体政策预估表!$A$2:$M$2,0),0)</f>
        <v>7.0000000000000007E-2</v>
      </c>
      <c r="AF3474" s="6">
        <f t="shared" si="545"/>
        <v>0</v>
      </c>
      <c r="AG3474" s="14">
        <v>0</v>
      </c>
      <c r="AH3474" s="64">
        <f t="shared" si="538"/>
        <v>0</v>
      </c>
      <c r="AI3474" s="47"/>
      <c r="AJ3474" s="126" t="e">
        <v>#N/A</v>
      </c>
      <c r="AK3474" s="80">
        <f t="shared" si="543"/>
        <v>0</v>
      </c>
      <c r="AM3474" s="85"/>
    </row>
    <row r="3475" spans="1:39" hidden="1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39"/>
        <v>10289.099999999999</v>
      </c>
      <c r="X3475" s="6">
        <f t="shared" si="540"/>
        <v>19710.900000000001</v>
      </c>
      <c r="Y3475" s="13">
        <f t="shared" si="541"/>
        <v>0</v>
      </c>
      <c r="Z3475" s="14">
        <v>0</v>
      </c>
      <c r="AA3475" s="6">
        <v>0</v>
      </c>
      <c r="AB3475" s="4">
        <f t="shared" si="542"/>
        <v>19710.900000000001</v>
      </c>
      <c r="AC3475" s="4">
        <f t="shared" si="544"/>
        <v>0</v>
      </c>
      <c r="AD3475" s="6">
        <f t="shared" si="537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45"/>
        <v>1379.7630000000001</v>
      </c>
      <c r="AG3475" s="14">
        <v>0</v>
      </c>
      <c r="AH3475" s="64">
        <f t="shared" si="538"/>
        <v>19710.900000000001</v>
      </c>
      <c r="AI3475" s="47"/>
      <c r="AJ3475" s="126" t="e">
        <v>#N/A</v>
      </c>
      <c r="AK3475" s="80">
        <f t="shared" si="543"/>
        <v>0</v>
      </c>
      <c r="AM3475" s="85"/>
    </row>
    <row r="3476" spans="1:39" hidden="1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39"/>
        <v>15369.999999999942</v>
      </c>
      <c r="X3476" s="6">
        <f t="shared" si="540"/>
        <v>328912.93069306936</v>
      </c>
      <c r="Y3476" s="13">
        <f t="shared" si="541"/>
        <v>0</v>
      </c>
      <c r="Z3476" s="14">
        <v>0</v>
      </c>
      <c r="AA3476" s="6">
        <v>0</v>
      </c>
      <c r="AB3476" s="4">
        <f t="shared" si="542"/>
        <v>328912.93069306936</v>
      </c>
      <c r="AC3476" s="4">
        <f t="shared" si="544"/>
        <v>3289.1293069306994</v>
      </c>
      <c r="AD3476" s="6">
        <f t="shared" si="537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45"/>
        <v>23254.144200000006</v>
      </c>
      <c r="AG3476" s="14">
        <v>0</v>
      </c>
      <c r="AH3476" s="64">
        <f t="shared" si="538"/>
        <v>332202.06000000006</v>
      </c>
      <c r="AI3476" s="47"/>
      <c r="AJ3476" s="126" t="e">
        <v>#N/A</v>
      </c>
      <c r="AK3476" s="80">
        <f t="shared" si="543"/>
        <v>0</v>
      </c>
      <c r="AM3476" s="85"/>
    </row>
    <row r="3477" spans="1:39" hidden="1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39"/>
        <v>143190.6999999996</v>
      </c>
      <c r="X3477" s="6">
        <f t="shared" si="540"/>
        <v>781976.41</v>
      </c>
      <c r="Y3477" s="13">
        <f t="shared" si="541"/>
        <v>0</v>
      </c>
      <c r="Z3477" s="14">
        <v>0</v>
      </c>
      <c r="AA3477" s="6">
        <v>0</v>
      </c>
      <c r="AB3477" s="4">
        <f t="shared" si="542"/>
        <v>781976.41</v>
      </c>
      <c r="AC3477" s="4">
        <f t="shared" si="544"/>
        <v>0</v>
      </c>
      <c r="AD3477" s="6">
        <f t="shared" si="537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45"/>
        <v>54738.34870000001</v>
      </c>
      <c r="AG3477" s="14">
        <v>0</v>
      </c>
      <c r="AH3477" s="64">
        <f t="shared" si="538"/>
        <v>781976.41</v>
      </c>
      <c r="AI3477" s="47"/>
      <c r="AJ3477" s="126" t="e">
        <v>#N/A</v>
      </c>
      <c r="AK3477" s="80">
        <f t="shared" si="543"/>
        <v>0</v>
      </c>
      <c r="AM3477" s="85"/>
    </row>
    <row r="3478" spans="1:39" hidden="1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39"/>
        <v>113997</v>
      </c>
      <c r="X3478" s="6">
        <f t="shared" si="540"/>
        <v>5943.5643564356433</v>
      </c>
      <c r="Y3478" s="13">
        <f t="shared" si="541"/>
        <v>0</v>
      </c>
      <c r="Z3478" s="14">
        <v>0</v>
      </c>
      <c r="AA3478" s="6">
        <v>0</v>
      </c>
      <c r="AB3478" s="4">
        <f t="shared" si="542"/>
        <v>5943.5643564356433</v>
      </c>
      <c r="AC3478" s="4">
        <f t="shared" si="544"/>
        <v>59.435643564356724</v>
      </c>
      <c r="AD3478" s="6">
        <f t="shared" si="537"/>
        <v>6003</v>
      </c>
      <c r="AE3478" s="2">
        <f>VLOOKUP(I3478,[1]媒体政策预估表!A:N,MATCH(O3478,[1]媒体政策预估表!$A$2:$M$2,0),0)</f>
        <v>7.0000000000000007E-2</v>
      </c>
      <c r="AF3478" s="6">
        <f t="shared" si="545"/>
        <v>420.21000000000004</v>
      </c>
      <c r="AG3478" s="14">
        <v>0</v>
      </c>
      <c r="AH3478" s="64">
        <f t="shared" si="538"/>
        <v>6003</v>
      </c>
      <c r="AI3478" s="47"/>
      <c r="AJ3478" s="126" t="e">
        <v>#N/A</v>
      </c>
      <c r="AK3478" s="80">
        <f t="shared" si="543"/>
        <v>0</v>
      </c>
      <c r="AM3478" s="85"/>
    </row>
    <row r="3479" spans="1:39" hidden="1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39"/>
        <v>193606.82</v>
      </c>
      <c r="X3479" s="6">
        <f t="shared" si="540"/>
        <v>331560.99009900994</v>
      </c>
      <c r="Y3479" s="13">
        <f t="shared" si="541"/>
        <v>0</v>
      </c>
      <c r="Z3479" s="14">
        <v>0</v>
      </c>
      <c r="AA3479" s="6">
        <v>0</v>
      </c>
      <c r="AB3479" s="4">
        <f t="shared" si="542"/>
        <v>331560.99009900994</v>
      </c>
      <c r="AC3479" s="4">
        <f t="shared" si="544"/>
        <v>3315.6099009900936</v>
      </c>
      <c r="AD3479" s="6">
        <f t="shared" si="537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45"/>
        <v>23441.362000000005</v>
      </c>
      <c r="AG3479" s="14">
        <v>0</v>
      </c>
      <c r="AH3479" s="64">
        <f t="shared" si="538"/>
        <v>334876.60000000003</v>
      </c>
      <c r="AI3479" s="47"/>
      <c r="AJ3479" s="126" t="e">
        <v>#N/A</v>
      </c>
      <c r="AK3479" s="80">
        <f t="shared" si="543"/>
        <v>0</v>
      </c>
      <c r="AM3479" s="85"/>
    </row>
    <row r="3480" spans="1:39" hidden="1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39"/>
        <v>24892.720000000005</v>
      </c>
      <c r="X3480" s="6">
        <f t="shared" si="540"/>
        <v>18520.039999999997</v>
      </c>
      <c r="Y3480" s="13">
        <f t="shared" si="541"/>
        <v>0</v>
      </c>
      <c r="Z3480" s="14">
        <v>0</v>
      </c>
      <c r="AA3480" s="6">
        <v>0</v>
      </c>
      <c r="AB3480" s="4">
        <f t="shared" si="542"/>
        <v>18520.039999999997</v>
      </c>
      <c r="AC3480" s="4">
        <f t="shared" si="544"/>
        <v>0</v>
      </c>
      <c r="AD3480" s="6">
        <f t="shared" si="537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45"/>
        <v>1296.4027999999998</v>
      </c>
      <c r="AG3480" s="14">
        <v>0</v>
      </c>
      <c r="AH3480" s="64">
        <f t="shared" si="538"/>
        <v>18520.039999999997</v>
      </c>
      <c r="AI3480" s="47"/>
      <c r="AJ3480" s="126" t="e">
        <v>#N/A</v>
      </c>
      <c r="AK3480" s="80">
        <f t="shared" si="543"/>
        <v>0</v>
      </c>
      <c r="AM3480" s="85"/>
    </row>
    <row r="3481" spans="1:39" hidden="1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39"/>
        <v>89039.309999999969</v>
      </c>
      <c r="X3481" s="6">
        <f t="shared" si="540"/>
        <v>226159.24000000002</v>
      </c>
      <c r="Y3481" s="13">
        <f t="shared" si="541"/>
        <v>0</v>
      </c>
      <c r="Z3481" s="14">
        <v>0</v>
      </c>
      <c r="AA3481" s="6">
        <v>0</v>
      </c>
      <c r="AB3481" s="4">
        <f t="shared" si="542"/>
        <v>226159.24000000002</v>
      </c>
      <c r="AC3481" s="4">
        <f t="shared" si="544"/>
        <v>0</v>
      </c>
      <c r="AD3481" s="6">
        <f t="shared" si="537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45"/>
        <v>15831.146800000002</v>
      </c>
      <c r="AG3481" s="14">
        <v>0</v>
      </c>
      <c r="AH3481" s="64">
        <f t="shared" si="538"/>
        <v>226159.24000000002</v>
      </c>
      <c r="AI3481" s="47"/>
      <c r="AJ3481" s="126" t="e">
        <v>#N/A</v>
      </c>
      <c r="AK3481" s="80">
        <f t="shared" si="543"/>
        <v>0</v>
      </c>
      <c r="AM3481" s="85"/>
    </row>
    <row r="3482" spans="1:39" hidden="1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39"/>
        <v>162845.65000000005</v>
      </c>
      <c r="X3482" s="6">
        <f t="shared" si="540"/>
        <v>0</v>
      </c>
      <c r="Y3482" s="13">
        <f t="shared" si="541"/>
        <v>0</v>
      </c>
      <c r="Z3482" s="14">
        <v>0</v>
      </c>
      <c r="AA3482" s="6">
        <v>0</v>
      </c>
      <c r="AB3482" s="4">
        <f t="shared" si="542"/>
        <v>0</v>
      </c>
      <c r="AC3482" s="4">
        <f t="shared" si="544"/>
        <v>0</v>
      </c>
      <c r="AD3482" s="6">
        <f t="shared" si="537"/>
        <v>0</v>
      </c>
      <c r="AE3482" s="2">
        <f>VLOOKUP(I3482,[1]媒体政策预估表!A:N,MATCH(O3482,[1]媒体政策预估表!$A$2:$M$2,0),0)</f>
        <v>7.0000000000000007E-2</v>
      </c>
      <c r="AF3482" s="6">
        <f t="shared" si="545"/>
        <v>0</v>
      </c>
      <c r="AG3482" s="14">
        <v>0</v>
      </c>
      <c r="AH3482" s="64">
        <f t="shared" si="538"/>
        <v>0</v>
      </c>
      <c r="AI3482" s="47"/>
      <c r="AJ3482" s="126" t="e">
        <v>#N/A</v>
      </c>
      <c r="AK3482" s="80">
        <f t="shared" si="543"/>
        <v>0</v>
      </c>
      <c r="AM3482" s="85"/>
    </row>
    <row r="3483" spans="1:39" hidden="1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39"/>
        <v>20000</v>
      </c>
      <c r="X3483" s="6">
        <f t="shared" si="540"/>
        <v>0</v>
      </c>
      <c r="Y3483" s="13">
        <f t="shared" si="541"/>
        <v>0</v>
      </c>
      <c r="Z3483" s="14">
        <v>0</v>
      </c>
      <c r="AA3483" s="6">
        <v>0</v>
      </c>
      <c r="AB3483" s="4">
        <f t="shared" si="542"/>
        <v>0</v>
      </c>
      <c r="AC3483" s="4">
        <f t="shared" si="544"/>
        <v>0</v>
      </c>
      <c r="AD3483" s="6">
        <f t="shared" si="537"/>
        <v>0</v>
      </c>
      <c r="AE3483" s="2">
        <f>VLOOKUP(I3483,[1]媒体政策预估表!A:N,MATCH(O3483,[1]媒体政策预估表!$A$2:$M$2,0),0)</f>
        <v>0.12</v>
      </c>
      <c r="AF3483" s="6">
        <f t="shared" si="545"/>
        <v>0</v>
      </c>
      <c r="AG3483" s="14">
        <v>0</v>
      </c>
      <c r="AH3483" s="64">
        <f t="shared" si="538"/>
        <v>0</v>
      </c>
      <c r="AI3483" s="47"/>
      <c r="AJ3483" s="126" t="e">
        <v>#N/A</v>
      </c>
      <c r="AK3483" s="80">
        <f t="shared" si="543"/>
        <v>0</v>
      </c>
      <c r="AM3483" s="85"/>
    </row>
    <row r="3484" spans="1:39" hidden="1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39"/>
        <v>48928.3</v>
      </c>
      <c r="X3484" s="6">
        <f t="shared" si="540"/>
        <v>21071.7</v>
      </c>
      <c r="Y3484" s="13">
        <f t="shared" si="541"/>
        <v>0</v>
      </c>
      <c r="Z3484" s="14">
        <v>0</v>
      </c>
      <c r="AA3484" s="6">
        <v>0</v>
      </c>
      <c r="AB3484" s="4">
        <f t="shared" si="542"/>
        <v>21071.7</v>
      </c>
      <c r="AC3484" s="4">
        <f t="shared" si="544"/>
        <v>0</v>
      </c>
      <c r="AD3484" s="6">
        <f t="shared" si="537"/>
        <v>21071.7</v>
      </c>
      <c r="AE3484" s="2">
        <f>VLOOKUP(I3484,[1]媒体政策预估表!A:N,MATCH(O3484,[1]媒体政策预估表!$A$2:$M$2,0),0)</f>
        <v>7.0000000000000007E-2</v>
      </c>
      <c r="AF3484" s="6">
        <f t="shared" si="545"/>
        <v>1475.0190000000002</v>
      </c>
      <c r="AG3484" s="14">
        <v>0</v>
      </c>
      <c r="AH3484" s="64">
        <f t="shared" si="538"/>
        <v>21071.7</v>
      </c>
      <c r="AI3484" s="47"/>
      <c r="AJ3484" s="126" t="e">
        <v>#N/A</v>
      </c>
      <c r="AK3484" s="80">
        <f t="shared" si="543"/>
        <v>0</v>
      </c>
      <c r="AM3484" s="85"/>
    </row>
    <row r="3485" spans="1:39" hidden="1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39"/>
        <v>99510.010000000009</v>
      </c>
      <c r="X3485" s="6">
        <f t="shared" si="540"/>
        <v>245244.41999999998</v>
      </c>
      <c r="Y3485" s="13">
        <f t="shared" si="541"/>
        <v>0</v>
      </c>
      <c r="Z3485" s="14">
        <v>0</v>
      </c>
      <c r="AA3485" s="6">
        <v>0</v>
      </c>
      <c r="AB3485" s="4">
        <f t="shared" si="542"/>
        <v>245244.41999999998</v>
      </c>
      <c r="AC3485" s="4">
        <f t="shared" si="544"/>
        <v>0</v>
      </c>
      <c r="AD3485" s="6">
        <f t="shared" si="537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45"/>
        <v>17167.109400000001</v>
      </c>
      <c r="AG3485" s="14">
        <v>0</v>
      </c>
      <c r="AH3485" s="64">
        <f t="shared" si="538"/>
        <v>245244.41999999998</v>
      </c>
      <c r="AI3485" s="47"/>
      <c r="AJ3485" s="126" t="e">
        <v>#N/A</v>
      </c>
      <c r="AK3485" s="80">
        <f t="shared" si="543"/>
        <v>0</v>
      </c>
      <c r="AM3485" s="85"/>
    </row>
    <row r="3486" spans="1:39" hidden="1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39"/>
        <v>596.4600000000064</v>
      </c>
      <c r="X3486" s="6">
        <f t="shared" si="540"/>
        <v>23925.039215686269</v>
      </c>
      <c r="Y3486" s="13">
        <f t="shared" si="541"/>
        <v>0</v>
      </c>
      <c r="Z3486" s="14">
        <v>0</v>
      </c>
      <c r="AA3486" s="6">
        <v>0</v>
      </c>
      <c r="AB3486" s="4">
        <f t="shared" si="542"/>
        <v>23925.039215686269</v>
      </c>
      <c r="AC3486" s="4">
        <f t="shared" si="544"/>
        <v>478.50078431372458</v>
      </c>
      <c r="AD3486" s="6">
        <f t="shared" si="537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45"/>
        <v>1708.2477999999996</v>
      </c>
      <c r="AG3486" s="14">
        <v>0</v>
      </c>
      <c r="AH3486" s="64">
        <f t="shared" si="538"/>
        <v>24403.539999999994</v>
      </c>
      <c r="AI3486" s="47"/>
      <c r="AJ3486" s="126" t="e">
        <v>#N/A</v>
      </c>
      <c r="AK3486" s="80">
        <f t="shared" si="543"/>
        <v>0</v>
      </c>
      <c r="AM3486" s="85"/>
    </row>
    <row r="3487" spans="1:39" hidden="1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39"/>
        <v>14995.419999999991</v>
      </c>
      <c r="X3487" s="6">
        <f t="shared" si="540"/>
        <v>41908.00990099011</v>
      </c>
      <c r="Y3487" s="13">
        <f t="shared" si="541"/>
        <v>0</v>
      </c>
      <c r="Z3487" s="14">
        <v>0</v>
      </c>
      <c r="AA3487" s="6">
        <v>0</v>
      </c>
      <c r="AB3487" s="4">
        <v>41908.00990099011</v>
      </c>
      <c r="AC3487" s="4">
        <f t="shared" si="544"/>
        <v>419.08009900990146</v>
      </c>
      <c r="AD3487" s="6">
        <f t="shared" si="537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45"/>
        <v>2962.8963000000012</v>
      </c>
      <c r="AG3487" s="14">
        <v>0</v>
      </c>
      <c r="AH3487" s="64">
        <f t="shared" si="538"/>
        <v>42327.090000000011</v>
      </c>
      <c r="AI3487" s="47"/>
      <c r="AJ3487" s="126" t="s">
        <v>4216</v>
      </c>
      <c r="AK3487" s="80">
        <f t="shared" si="543"/>
        <v>0</v>
      </c>
      <c r="AM3487" s="85"/>
    </row>
    <row r="3488" spans="1:39" hidden="1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39"/>
        <v>16968.7</v>
      </c>
      <c r="X3488" s="6">
        <f t="shared" si="540"/>
        <v>2971.8627450980393</v>
      </c>
      <c r="Y3488" s="13">
        <f t="shared" si="541"/>
        <v>0</v>
      </c>
      <c r="Z3488" s="14">
        <v>0</v>
      </c>
      <c r="AA3488" s="6">
        <v>0</v>
      </c>
      <c r="AB3488" s="4">
        <f t="shared" si="542"/>
        <v>2971.8627450980393</v>
      </c>
      <c r="AC3488" s="4">
        <f t="shared" si="544"/>
        <v>59.437254901960841</v>
      </c>
      <c r="AD3488" s="6">
        <f t="shared" si="537"/>
        <v>3031.3</v>
      </c>
      <c r="AE3488" s="2">
        <f>VLOOKUP(I3488,[1]媒体政策预估表!A:N,MATCH(O3488,[1]媒体政策预估表!$A$2:$M$2,0),0)</f>
        <v>7.0000000000000007E-2</v>
      </c>
      <c r="AF3488" s="6">
        <f t="shared" si="545"/>
        <v>212.19100000000003</v>
      </c>
      <c r="AG3488" s="14">
        <v>0</v>
      </c>
      <c r="AH3488" s="64">
        <f t="shared" si="538"/>
        <v>3031.3</v>
      </c>
      <c r="AI3488" s="47"/>
      <c r="AJ3488" s="126" t="e">
        <v>#N/A</v>
      </c>
      <c r="AK3488" s="80">
        <f t="shared" si="543"/>
        <v>0</v>
      </c>
      <c r="AM3488" s="85"/>
    </row>
    <row r="3489" spans="1:39" hidden="1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39"/>
        <v>4997.5</v>
      </c>
      <c r="X3489" s="6">
        <f t="shared" si="540"/>
        <v>4810.0961538461534</v>
      </c>
      <c r="Y3489" s="13">
        <f t="shared" si="541"/>
        <v>0</v>
      </c>
      <c r="Z3489" s="14">
        <v>0</v>
      </c>
      <c r="AA3489" s="6">
        <v>0</v>
      </c>
      <c r="AB3489" s="4">
        <f t="shared" si="542"/>
        <v>4810.0961538461534</v>
      </c>
      <c r="AC3489" s="4">
        <f t="shared" si="544"/>
        <v>192.40384615384664</v>
      </c>
      <c r="AD3489" s="6">
        <f t="shared" si="537"/>
        <v>5002.5</v>
      </c>
      <c r="AE3489" s="2">
        <f>VLOOKUP(I3489,[1]媒体政策预估表!A:N,MATCH(O3489,[1]媒体政策预估表!$A$2:$M$2,0),0)</f>
        <v>7.0000000000000007E-2</v>
      </c>
      <c r="AF3489" s="6">
        <f t="shared" si="545"/>
        <v>350.17500000000001</v>
      </c>
      <c r="AG3489" s="14">
        <v>0</v>
      </c>
      <c r="AH3489" s="64">
        <f t="shared" si="538"/>
        <v>5002.5</v>
      </c>
      <c r="AI3489" s="47"/>
      <c r="AJ3489" s="126" t="e">
        <v>#N/A</v>
      </c>
      <c r="AK3489" s="80">
        <f t="shared" si="543"/>
        <v>0</v>
      </c>
      <c r="AM3489" s="85"/>
    </row>
    <row r="3490" spans="1:39" hidden="1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39"/>
        <v>127154.20000000001</v>
      </c>
      <c r="X3490" s="6">
        <f t="shared" si="540"/>
        <v>150904.29999999999</v>
      </c>
      <c r="Y3490" s="13">
        <f t="shared" si="541"/>
        <v>0</v>
      </c>
      <c r="Z3490" s="14">
        <v>0</v>
      </c>
      <c r="AA3490" s="6">
        <v>0</v>
      </c>
      <c r="AB3490" s="4">
        <f t="shared" si="542"/>
        <v>150904.29999999999</v>
      </c>
      <c r="AC3490" s="4">
        <f t="shared" si="544"/>
        <v>0</v>
      </c>
      <c r="AD3490" s="6">
        <f t="shared" si="537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45"/>
        <v>10563.300999999999</v>
      </c>
      <c r="AG3490" s="14">
        <v>0</v>
      </c>
      <c r="AH3490" s="64">
        <f t="shared" si="538"/>
        <v>150904.29999999999</v>
      </c>
      <c r="AI3490" s="47"/>
      <c r="AJ3490" s="126" t="e">
        <v>#N/A</v>
      </c>
      <c r="AK3490" s="80">
        <f t="shared" si="543"/>
        <v>0</v>
      </c>
      <c r="AM3490" s="85"/>
    </row>
    <row r="3491" spans="1:39" hidden="1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39"/>
        <v>502500</v>
      </c>
      <c r="X3491" s="6">
        <f t="shared" si="540"/>
        <v>0</v>
      </c>
      <c r="Y3491" s="13">
        <f t="shared" si="541"/>
        <v>0</v>
      </c>
      <c r="Z3491" s="14">
        <v>0</v>
      </c>
      <c r="AA3491" s="6">
        <v>0</v>
      </c>
      <c r="AB3491" s="4">
        <f t="shared" si="542"/>
        <v>0</v>
      </c>
      <c r="AC3491" s="4">
        <f t="shared" si="544"/>
        <v>0</v>
      </c>
      <c r="AD3491" s="6">
        <f t="shared" si="537"/>
        <v>0</v>
      </c>
      <c r="AE3491" s="2">
        <f>VLOOKUP(I3491,[1]媒体政策预估表!A:N,MATCH(O3491,[1]媒体政策预估表!$A$2:$M$2,0),0)</f>
        <v>7.0000000000000007E-2</v>
      </c>
      <c r="AF3491" s="6">
        <f t="shared" si="545"/>
        <v>0</v>
      </c>
      <c r="AG3491" s="14">
        <v>0</v>
      </c>
      <c r="AH3491" s="64">
        <f t="shared" si="538"/>
        <v>0</v>
      </c>
      <c r="AI3491" s="47"/>
      <c r="AJ3491" s="126" t="e">
        <v>#N/A</v>
      </c>
      <c r="AK3491" s="80">
        <f t="shared" si="543"/>
        <v>0</v>
      </c>
      <c r="AM3491" s="85"/>
    </row>
    <row r="3492" spans="1:39" hidden="1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39"/>
        <v>1015323.5300000003</v>
      </c>
      <c r="X3492" s="6">
        <f t="shared" si="540"/>
        <v>704780.50746268674</v>
      </c>
      <c r="Y3492" s="13">
        <f t="shared" si="541"/>
        <v>0</v>
      </c>
      <c r="Z3492" s="14">
        <v>0</v>
      </c>
      <c r="AA3492" s="6">
        <v>0</v>
      </c>
      <c r="AB3492" s="4">
        <f t="shared" si="542"/>
        <v>704780.50746268674</v>
      </c>
      <c r="AC3492" s="4">
        <f t="shared" si="544"/>
        <v>3523.9025373134064</v>
      </c>
      <c r="AD3492" s="6">
        <f t="shared" ref="AD3492:AD3555" si="546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45"/>
        <v>49581.308700000016</v>
      </c>
      <c r="AG3492" s="14">
        <v>0</v>
      </c>
      <c r="AH3492" s="64">
        <f t="shared" ref="AH3492:AH3555" si="547">V3492</f>
        <v>708304.41000000015</v>
      </c>
      <c r="AI3492" s="47"/>
      <c r="AJ3492" s="126" t="e">
        <v>#N/A</v>
      </c>
      <c r="AK3492" s="80">
        <f t="shared" si="543"/>
        <v>0</v>
      </c>
      <c r="AM3492" s="85"/>
    </row>
    <row r="3493" spans="1:39" hidden="1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39"/>
        <v>1137990.4499999997</v>
      </c>
      <c r="X3493" s="6">
        <f t="shared" si="540"/>
        <v>675443.70149253728</v>
      </c>
      <c r="Y3493" s="13">
        <f t="shared" si="541"/>
        <v>0</v>
      </c>
      <c r="Z3493" s="14">
        <v>0</v>
      </c>
      <c r="AA3493" s="6">
        <v>0</v>
      </c>
      <c r="AB3493" s="4">
        <f t="shared" si="542"/>
        <v>675443.70149253728</v>
      </c>
      <c r="AC3493" s="4">
        <f t="shared" si="544"/>
        <v>3377.2185074626468</v>
      </c>
      <c r="AD3493" s="6">
        <f t="shared" si="546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45"/>
        <v>47517.464399999997</v>
      </c>
      <c r="AG3493" s="14">
        <v>0</v>
      </c>
      <c r="AH3493" s="64">
        <f t="shared" si="547"/>
        <v>678820.91999999993</v>
      </c>
      <c r="AI3493" s="47"/>
      <c r="AJ3493" s="126" t="e">
        <v>#N/A</v>
      </c>
      <c r="AK3493" s="80">
        <f t="shared" si="543"/>
        <v>0</v>
      </c>
      <c r="AM3493" s="85"/>
    </row>
    <row r="3494" spans="1:39" hidden="1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48">T3494+U3494-V3494</f>
        <v>1.1368683772161603E-12</v>
      </c>
      <c r="X3494" s="6">
        <f t="shared" si="540"/>
        <v>0</v>
      </c>
      <c r="Y3494" s="13">
        <f t="shared" si="541"/>
        <v>0</v>
      </c>
      <c r="Z3494" s="14">
        <v>0</v>
      </c>
      <c r="AA3494" s="6">
        <v>0</v>
      </c>
      <c r="AB3494" s="4">
        <f t="shared" si="542"/>
        <v>0</v>
      </c>
      <c r="AC3494" s="4">
        <f t="shared" si="544"/>
        <v>0</v>
      </c>
      <c r="AD3494" s="6">
        <f t="shared" si="546"/>
        <v>0</v>
      </c>
      <c r="AE3494" s="2">
        <f>VLOOKUP(I3494,[1]媒体政策预估表!A:N,MATCH(O3494,[1]媒体政策预估表!$A$2:$M$2,0),0)</f>
        <v>7.0000000000000007E-2</v>
      </c>
      <c r="AF3494" s="6">
        <f t="shared" si="545"/>
        <v>0</v>
      </c>
      <c r="AG3494" s="14">
        <v>0</v>
      </c>
      <c r="AH3494" s="64">
        <f t="shared" si="547"/>
        <v>0</v>
      </c>
      <c r="AI3494" s="47"/>
      <c r="AJ3494" s="126" t="e">
        <v>#N/A</v>
      </c>
      <c r="AK3494" s="80">
        <f t="shared" si="543"/>
        <v>0</v>
      </c>
      <c r="AM3494" s="85"/>
    </row>
    <row r="3495" spans="1:39" hidden="1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48"/>
        <v>0</v>
      </c>
      <c r="X3495" s="6">
        <f t="shared" ref="X3495:X3558" si="549">IF(P3495="折扣",V3495*Q3495,IF(P3495="返现",V3495,V3495/(1+Q3495)))</f>
        <v>0</v>
      </c>
      <c r="Y3495" s="13">
        <f t="shared" si="541"/>
        <v>0</v>
      </c>
      <c r="Z3495" s="14">
        <v>0</v>
      </c>
      <c r="AA3495" s="6">
        <v>0</v>
      </c>
      <c r="AB3495" s="4">
        <f t="shared" si="542"/>
        <v>0</v>
      </c>
      <c r="AC3495" s="4">
        <f t="shared" si="544"/>
        <v>0</v>
      </c>
      <c r="AD3495" s="6">
        <f t="shared" si="546"/>
        <v>0</v>
      </c>
      <c r="AE3495" s="2">
        <f>VLOOKUP(I3495,[1]媒体政策预估表!A:N,MATCH(O3495,[1]媒体政策预估表!$A$2:$M$2,0),0)</f>
        <v>7.0000000000000007E-2</v>
      </c>
      <c r="AF3495" s="6">
        <f t="shared" si="545"/>
        <v>0</v>
      </c>
      <c r="AG3495" s="14">
        <v>0</v>
      </c>
      <c r="AH3495" s="64">
        <f t="shared" si="547"/>
        <v>0</v>
      </c>
      <c r="AI3495" s="47"/>
      <c r="AJ3495" s="126" t="e">
        <v>#N/A</v>
      </c>
      <c r="AK3495" s="80">
        <f t="shared" si="543"/>
        <v>0</v>
      </c>
      <c r="AM3495" s="85"/>
    </row>
    <row r="3496" spans="1:39" hidden="1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48"/>
        <v>42405.41</v>
      </c>
      <c r="X3496" s="6">
        <f t="shared" si="549"/>
        <v>67306.709999999992</v>
      </c>
      <c r="Y3496" s="13">
        <f t="shared" si="541"/>
        <v>0</v>
      </c>
      <c r="Z3496" s="14">
        <v>0</v>
      </c>
      <c r="AA3496" s="6">
        <v>0</v>
      </c>
      <c r="AB3496" s="4">
        <f t="shared" si="542"/>
        <v>67306.709999999992</v>
      </c>
      <c r="AC3496" s="4">
        <f t="shared" si="544"/>
        <v>0</v>
      </c>
      <c r="AD3496" s="6">
        <f t="shared" si="546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45"/>
        <v>4711.4696999999996</v>
      </c>
      <c r="AG3496" s="14">
        <v>0</v>
      </c>
      <c r="AH3496" s="64">
        <f t="shared" si="547"/>
        <v>67306.709999999992</v>
      </c>
      <c r="AI3496" s="47"/>
      <c r="AJ3496" s="126" t="e">
        <v>#N/A</v>
      </c>
      <c r="AK3496" s="80">
        <f t="shared" si="543"/>
        <v>0</v>
      </c>
      <c r="AM3496" s="85"/>
    </row>
    <row r="3497" spans="1:39" hidden="1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48"/>
        <v>295627.49000000011</v>
      </c>
      <c r="X3497" s="6">
        <f t="shared" si="549"/>
        <v>624843.90999999992</v>
      </c>
      <c r="Y3497" s="13">
        <f t="shared" si="541"/>
        <v>0</v>
      </c>
      <c r="Z3497" s="14">
        <v>0</v>
      </c>
      <c r="AA3497" s="6">
        <v>0</v>
      </c>
      <c r="AB3497" s="4">
        <f t="shared" si="542"/>
        <v>624843.90999999992</v>
      </c>
      <c r="AC3497" s="4">
        <f t="shared" si="544"/>
        <v>0</v>
      </c>
      <c r="AD3497" s="6">
        <f t="shared" si="546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45"/>
        <v>43739.073700000001</v>
      </c>
      <c r="AG3497" s="14">
        <v>0</v>
      </c>
      <c r="AH3497" s="64">
        <f t="shared" si="547"/>
        <v>624843.90999999992</v>
      </c>
      <c r="AI3497" s="47"/>
      <c r="AJ3497" s="126" t="e">
        <v>#N/A</v>
      </c>
      <c r="AK3497" s="80">
        <f t="shared" si="543"/>
        <v>0</v>
      </c>
      <c r="AM3497" s="85"/>
    </row>
    <row r="3498" spans="1:39" hidden="1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48"/>
        <v>3132.4500000000007</v>
      </c>
      <c r="X3498" s="6">
        <f t="shared" si="549"/>
        <v>5625.7699999999986</v>
      </c>
      <c r="Y3498" s="13">
        <f t="shared" si="541"/>
        <v>0</v>
      </c>
      <c r="Z3498" s="14">
        <v>0</v>
      </c>
      <c r="AA3498" s="6">
        <v>0</v>
      </c>
      <c r="AB3498" s="4">
        <f t="shared" si="542"/>
        <v>5625.7699999999986</v>
      </c>
      <c r="AC3498" s="4">
        <f t="shared" si="544"/>
        <v>0</v>
      </c>
      <c r="AD3498" s="6">
        <f t="shared" si="546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45"/>
        <v>393.80389999999994</v>
      </c>
      <c r="AG3498" s="14">
        <v>0</v>
      </c>
      <c r="AH3498" s="64">
        <f t="shared" si="547"/>
        <v>5625.7699999999986</v>
      </c>
      <c r="AI3498" s="47"/>
      <c r="AJ3498" s="126" t="e">
        <v>#N/A</v>
      </c>
      <c r="AK3498" s="80">
        <f t="shared" si="543"/>
        <v>0</v>
      </c>
      <c r="AM3498" s="85"/>
    </row>
    <row r="3499" spans="1:39" hidden="1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48"/>
        <v>450000</v>
      </c>
      <c r="X3499" s="6">
        <f t="shared" si="549"/>
        <v>0</v>
      </c>
      <c r="Y3499" s="13">
        <f t="shared" si="541"/>
        <v>0</v>
      </c>
      <c r="Z3499" s="14">
        <v>0</v>
      </c>
      <c r="AA3499" s="6">
        <v>0</v>
      </c>
      <c r="AB3499" s="4">
        <f t="shared" si="542"/>
        <v>0</v>
      </c>
      <c r="AC3499" s="4">
        <f t="shared" si="544"/>
        <v>0</v>
      </c>
      <c r="AD3499" s="6">
        <f t="shared" si="546"/>
        <v>0</v>
      </c>
      <c r="AE3499" s="2">
        <f>VLOOKUP(I3499,[1]媒体政策预估表!A:N,MATCH(O3499,[1]媒体政策预估表!$A$2:$M$2,0),0)</f>
        <v>0.12</v>
      </c>
      <c r="AF3499" s="6">
        <f t="shared" si="545"/>
        <v>0</v>
      </c>
      <c r="AG3499" s="14">
        <v>0</v>
      </c>
      <c r="AH3499" s="64">
        <f t="shared" si="547"/>
        <v>0</v>
      </c>
      <c r="AI3499" s="47"/>
      <c r="AJ3499" s="126" t="e">
        <v>#N/A</v>
      </c>
      <c r="AK3499" s="80">
        <f t="shared" si="543"/>
        <v>0</v>
      </c>
      <c r="AM3499" s="85"/>
    </row>
    <row r="3500" spans="1:39" hidden="1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48"/>
        <v>280355.32999999984</v>
      </c>
      <c r="X3500" s="6">
        <f t="shared" si="549"/>
        <v>741792.77000000014</v>
      </c>
      <c r="Y3500" s="13">
        <f t="shared" si="541"/>
        <v>0</v>
      </c>
      <c r="Z3500" s="14">
        <v>0</v>
      </c>
      <c r="AA3500" s="6">
        <v>0</v>
      </c>
      <c r="AB3500" s="4">
        <f t="shared" si="542"/>
        <v>741792.77000000014</v>
      </c>
      <c r="AC3500" s="4">
        <f t="shared" si="544"/>
        <v>0</v>
      </c>
      <c r="AD3500" s="6">
        <f t="shared" si="546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45"/>
        <v>51925.493900000016</v>
      </c>
      <c r="AG3500" s="14">
        <v>0</v>
      </c>
      <c r="AH3500" s="64">
        <f t="shared" si="547"/>
        <v>741792.77000000014</v>
      </c>
      <c r="AI3500" s="47"/>
      <c r="AJ3500" s="126" t="e">
        <v>#N/A</v>
      </c>
      <c r="AK3500" s="80">
        <f t="shared" si="543"/>
        <v>0</v>
      </c>
      <c r="AM3500" s="85"/>
    </row>
    <row r="3501" spans="1:39" hidden="1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48"/>
        <v>3479.0400000000009</v>
      </c>
      <c r="X3501" s="6">
        <f t="shared" si="549"/>
        <v>16871.510000000002</v>
      </c>
      <c r="Y3501" s="13">
        <f t="shared" si="541"/>
        <v>0</v>
      </c>
      <c r="Z3501" s="14">
        <v>0</v>
      </c>
      <c r="AA3501" s="6">
        <v>0</v>
      </c>
      <c r="AB3501" s="4">
        <f t="shared" si="542"/>
        <v>16871.510000000002</v>
      </c>
      <c r="AC3501" s="4">
        <f t="shared" si="544"/>
        <v>0</v>
      </c>
      <c r="AD3501" s="6">
        <f t="shared" si="546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45"/>
        <v>1181.0057000000002</v>
      </c>
      <c r="AG3501" s="14">
        <v>0</v>
      </c>
      <c r="AH3501" s="64">
        <f t="shared" si="547"/>
        <v>16871.510000000002</v>
      </c>
      <c r="AI3501" s="47"/>
      <c r="AJ3501" s="126" t="e">
        <v>#N/A</v>
      </c>
      <c r="AK3501" s="80">
        <f t="shared" si="543"/>
        <v>0</v>
      </c>
      <c r="AM3501" s="85"/>
    </row>
    <row r="3502" spans="1:39" hidden="1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48"/>
        <v>4248.5</v>
      </c>
      <c r="X3502" s="6">
        <f t="shared" si="549"/>
        <v>13491.176470588234</v>
      </c>
      <c r="Y3502" s="13">
        <f t="shared" si="541"/>
        <v>0</v>
      </c>
      <c r="Z3502" s="14">
        <v>0</v>
      </c>
      <c r="AA3502" s="6">
        <v>0</v>
      </c>
      <c r="AB3502" s="4">
        <f t="shared" si="542"/>
        <v>13491.176470588234</v>
      </c>
      <c r="AC3502" s="4">
        <f t="shared" si="544"/>
        <v>269.82352941176578</v>
      </c>
      <c r="AD3502" s="6">
        <f t="shared" si="546"/>
        <v>13761</v>
      </c>
      <c r="AE3502" s="2">
        <f>VLOOKUP(I3502,[1]媒体政策预估表!A:N,MATCH(O3502,[1]媒体政策预估表!$A$2:$M$2,0),0)</f>
        <v>7.0000000000000007E-2</v>
      </c>
      <c r="AF3502" s="6">
        <f t="shared" si="545"/>
        <v>963.2700000000001</v>
      </c>
      <c r="AG3502" s="14">
        <v>0</v>
      </c>
      <c r="AH3502" s="64">
        <f t="shared" si="547"/>
        <v>13761</v>
      </c>
      <c r="AI3502" s="47"/>
      <c r="AJ3502" s="126" t="e">
        <v>#N/A</v>
      </c>
      <c r="AK3502" s="80">
        <f t="shared" si="543"/>
        <v>0</v>
      </c>
      <c r="AM3502" s="85"/>
    </row>
    <row r="3503" spans="1:39" hidden="1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48"/>
        <v>4240.2599999999948</v>
      </c>
      <c r="X3503" s="6">
        <f t="shared" si="549"/>
        <v>55793.840000000004</v>
      </c>
      <c r="Y3503" s="13">
        <f t="shared" si="541"/>
        <v>0</v>
      </c>
      <c r="Z3503" s="14">
        <v>0</v>
      </c>
      <c r="AA3503" s="6">
        <v>0</v>
      </c>
      <c r="AB3503" s="4">
        <f t="shared" si="542"/>
        <v>55793.840000000004</v>
      </c>
      <c r="AC3503" s="4">
        <f t="shared" si="544"/>
        <v>0</v>
      </c>
      <c r="AD3503" s="6">
        <f t="shared" si="546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45"/>
        <v>3905.5688000000005</v>
      </c>
      <c r="AG3503" s="14">
        <v>0</v>
      </c>
      <c r="AH3503" s="64">
        <f t="shared" si="547"/>
        <v>55793.840000000004</v>
      </c>
      <c r="AI3503" s="47"/>
      <c r="AJ3503" s="126" t="e">
        <v>#N/A</v>
      </c>
      <c r="AK3503" s="80">
        <f t="shared" si="543"/>
        <v>0</v>
      </c>
      <c r="AM3503" s="85"/>
    </row>
    <row r="3504" spans="1:39" hidden="1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48"/>
        <v>6957.3899999999994</v>
      </c>
      <c r="X3504" s="6">
        <f t="shared" si="549"/>
        <v>3042.61</v>
      </c>
      <c r="Y3504" s="13">
        <f t="shared" si="541"/>
        <v>0</v>
      </c>
      <c r="Z3504" s="14">
        <v>0</v>
      </c>
      <c r="AA3504" s="6">
        <v>0</v>
      </c>
      <c r="AB3504" s="4">
        <f t="shared" si="542"/>
        <v>3042.61</v>
      </c>
      <c r="AC3504" s="4">
        <f t="shared" si="544"/>
        <v>0</v>
      </c>
      <c r="AD3504" s="6">
        <f t="shared" si="546"/>
        <v>3042.61</v>
      </c>
      <c r="AE3504" s="2">
        <f>VLOOKUP(I3504,[1]媒体政策预估表!A:N,MATCH(O3504,[1]媒体政策预估表!$A$2:$M$2,0),0)</f>
        <v>7.0000000000000007E-2</v>
      </c>
      <c r="AF3504" s="6">
        <f t="shared" si="545"/>
        <v>212.98270000000002</v>
      </c>
      <c r="AG3504" s="14">
        <v>0</v>
      </c>
      <c r="AH3504" s="64">
        <f t="shared" si="547"/>
        <v>3042.61</v>
      </c>
      <c r="AI3504" s="47"/>
      <c r="AJ3504" s="126" t="e">
        <v>#N/A</v>
      </c>
      <c r="AK3504" s="80">
        <f t="shared" si="543"/>
        <v>0</v>
      </c>
      <c r="AM3504" s="85"/>
    </row>
    <row r="3505" spans="1:39" hidden="1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48"/>
        <v>8061.5099999999984</v>
      </c>
      <c r="X3505" s="6">
        <f t="shared" si="549"/>
        <v>20660.609999999997</v>
      </c>
      <c r="Y3505" s="13">
        <f t="shared" si="541"/>
        <v>0</v>
      </c>
      <c r="Z3505" s="14">
        <v>0</v>
      </c>
      <c r="AA3505" s="6">
        <v>0</v>
      </c>
      <c r="AB3505" s="4">
        <f t="shared" si="542"/>
        <v>20660.609999999997</v>
      </c>
      <c r="AC3505" s="4">
        <f t="shared" si="544"/>
        <v>0</v>
      </c>
      <c r="AD3505" s="6">
        <f t="shared" si="546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45"/>
        <v>1446.2427</v>
      </c>
      <c r="AG3505" s="14">
        <v>0</v>
      </c>
      <c r="AH3505" s="64">
        <f t="shared" si="547"/>
        <v>20660.609999999997</v>
      </c>
      <c r="AI3505" s="47"/>
      <c r="AJ3505" s="126" t="e">
        <v>#N/A</v>
      </c>
      <c r="AK3505" s="80">
        <f t="shared" si="543"/>
        <v>0</v>
      </c>
      <c r="AM3505" s="85"/>
    </row>
    <row r="3506" spans="1:39" hidden="1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48"/>
        <v>753.34000000000015</v>
      </c>
      <c r="X3506" s="6">
        <f t="shared" si="549"/>
        <v>9327.0990099009887</v>
      </c>
      <c r="Y3506" s="13">
        <f t="shared" si="541"/>
        <v>0</v>
      </c>
      <c r="Z3506" s="14">
        <v>0</v>
      </c>
      <c r="AA3506" s="6">
        <v>0</v>
      </c>
      <c r="AB3506" s="4">
        <f t="shared" si="542"/>
        <v>9327.0990099009887</v>
      </c>
      <c r="AC3506" s="4">
        <f t="shared" si="544"/>
        <v>93.270990099010305</v>
      </c>
      <c r="AD3506" s="6">
        <f t="shared" si="546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45"/>
        <v>659.42589999999996</v>
      </c>
      <c r="AG3506" s="14">
        <v>0</v>
      </c>
      <c r="AH3506" s="64">
        <f t="shared" si="547"/>
        <v>9420.369999999999</v>
      </c>
      <c r="AI3506" s="47"/>
      <c r="AJ3506" s="126" t="e">
        <v>#N/A</v>
      </c>
      <c r="AK3506" s="80">
        <f t="shared" si="543"/>
        <v>0</v>
      </c>
      <c r="AM3506" s="85"/>
    </row>
    <row r="3507" spans="1:39" hidden="1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48"/>
        <v>86695.319999999949</v>
      </c>
      <c r="X3507" s="6">
        <f t="shared" si="549"/>
        <v>493392.03921568627</v>
      </c>
      <c r="Y3507" s="13">
        <f t="shared" si="541"/>
        <v>0</v>
      </c>
      <c r="Z3507" s="14">
        <v>0</v>
      </c>
      <c r="AA3507" s="6">
        <v>0</v>
      </c>
      <c r="AB3507" s="4">
        <f t="shared" si="542"/>
        <v>493392.03921568627</v>
      </c>
      <c r="AC3507" s="4">
        <f t="shared" si="544"/>
        <v>9867.8407843137393</v>
      </c>
      <c r="AD3507" s="6">
        <f t="shared" si="546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45"/>
        <v>35228.191600000006</v>
      </c>
      <c r="AG3507" s="14">
        <v>0</v>
      </c>
      <c r="AH3507" s="64">
        <f t="shared" si="547"/>
        <v>503259.88</v>
      </c>
      <c r="AI3507" s="47"/>
      <c r="AJ3507" s="126" t="e">
        <v>#N/A</v>
      </c>
      <c r="AK3507" s="80">
        <f t="shared" si="543"/>
        <v>0</v>
      </c>
      <c r="AM3507" s="85"/>
    </row>
    <row r="3508" spans="1:39" hidden="1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48"/>
        <v>17927.300000000003</v>
      </c>
      <c r="X3508" s="6">
        <f t="shared" si="549"/>
        <v>44245.5</v>
      </c>
      <c r="Y3508" s="13">
        <f t="shared" si="541"/>
        <v>0</v>
      </c>
      <c r="Z3508" s="14">
        <v>0</v>
      </c>
      <c r="AA3508" s="6">
        <v>0</v>
      </c>
      <c r="AB3508" s="4">
        <f t="shared" si="542"/>
        <v>44245.5</v>
      </c>
      <c r="AC3508" s="4">
        <f t="shared" si="544"/>
        <v>0</v>
      </c>
      <c r="AD3508" s="6">
        <f t="shared" si="546"/>
        <v>44245.5</v>
      </c>
      <c r="AE3508" s="2">
        <f>VLOOKUP(I3508,[1]媒体政策预估表!A:N,MATCH(O3508,[1]媒体政策预估表!$A$2:$M$2,0),0)</f>
        <v>7.0000000000000007E-2</v>
      </c>
      <c r="AF3508" s="6">
        <f t="shared" si="545"/>
        <v>3097.1850000000004</v>
      </c>
      <c r="AG3508" s="14">
        <v>0</v>
      </c>
      <c r="AH3508" s="64">
        <f t="shared" si="547"/>
        <v>44245.5</v>
      </c>
      <c r="AI3508" s="47"/>
      <c r="AJ3508" s="126" t="e">
        <v>#N/A</v>
      </c>
      <c r="AK3508" s="80">
        <f t="shared" si="543"/>
        <v>0</v>
      </c>
      <c r="AM3508" s="85"/>
    </row>
    <row r="3509" spans="1:39" hidden="1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48"/>
        <v>0</v>
      </c>
      <c r="X3509" s="6">
        <f t="shared" si="549"/>
        <v>9717.5980392156871</v>
      </c>
      <c r="Y3509" s="13">
        <f t="shared" si="541"/>
        <v>0</v>
      </c>
      <c r="Z3509" s="14">
        <v>0</v>
      </c>
      <c r="AA3509" s="6">
        <v>0</v>
      </c>
      <c r="AB3509" s="4">
        <f t="shared" si="542"/>
        <v>9717.5980392156871</v>
      </c>
      <c r="AC3509" s="4">
        <f t="shared" si="544"/>
        <v>194.35196078431363</v>
      </c>
      <c r="AD3509" s="6">
        <f t="shared" si="546"/>
        <v>9911.9500000000007</v>
      </c>
      <c r="AE3509" s="2">
        <f>VLOOKUP(I3509,[1]媒体政策预估表!A:N,MATCH(O3509,[1]媒体政策预估表!$A$2:$M$2,0),0)</f>
        <v>0.12</v>
      </c>
      <c r="AF3509" s="6">
        <f t="shared" si="545"/>
        <v>1189.434</v>
      </c>
      <c r="AG3509" s="14">
        <v>0</v>
      </c>
      <c r="AH3509" s="64">
        <f t="shared" si="547"/>
        <v>9911.9500000000007</v>
      </c>
      <c r="AI3509" s="47"/>
      <c r="AJ3509" s="126" t="e">
        <v>#N/A</v>
      </c>
      <c r="AK3509" s="80">
        <f t="shared" si="543"/>
        <v>0</v>
      </c>
      <c r="AM3509" s="85"/>
    </row>
    <row r="3510" spans="1:39" hidden="1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48"/>
        <v>0</v>
      </c>
      <c r="X3510" s="6">
        <f t="shared" si="549"/>
        <v>-167.08411214953333</v>
      </c>
      <c r="Y3510" s="13">
        <f t="shared" si="541"/>
        <v>11.695887850467329</v>
      </c>
      <c r="Z3510" s="14">
        <v>0</v>
      </c>
      <c r="AA3510" s="6">
        <v>0</v>
      </c>
      <c r="AB3510" s="4">
        <f t="shared" si="542"/>
        <v>-167.08411214953333</v>
      </c>
      <c r="AC3510" s="4">
        <f t="shared" si="544"/>
        <v>-11.695887850467329</v>
      </c>
      <c r="AD3510" s="6">
        <f t="shared" si="546"/>
        <v>-178.78000000000065</v>
      </c>
      <c r="AE3510" s="2">
        <f>VLOOKUP(I3510,[1]媒体政策预估表!A:N,MATCH(O3510,[1]媒体政策预估表!$A$2:$M$2,0),0)</f>
        <v>0.12</v>
      </c>
      <c r="AF3510" s="6">
        <f t="shared" si="545"/>
        <v>-21.453600000000076</v>
      </c>
      <c r="AG3510" s="14">
        <v>0</v>
      </c>
      <c r="AH3510" s="64">
        <f t="shared" si="547"/>
        <v>-178.78000000000065</v>
      </c>
      <c r="AI3510" s="47"/>
      <c r="AJ3510" s="126" t="e">
        <v>#N/A</v>
      </c>
      <c r="AK3510" s="80">
        <f t="shared" si="543"/>
        <v>0</v>
      </c>
      <c r="AM3510" s="85"/>
    </row>
    <row r="3511" spans="1:39" hidden="1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48"/>
        <v>0</v>
      </c>
      <c r="X3511" s="6">
        <f t="shared" si="549"/>
        <v>-9733.17</v>
      </c>
      <c r="Y3511" s="13">
        <f t="shared" si="541"/>
        <v>0</v>
      </c>
      <c r="Z3511" s="14">
        <v>0</v>
      </c>
      <c r="AA3511" s="6">
        <v>0</v>
      </c>
      <c r="AB3511" s="4">
        <f t="shared" si="542"/>
        <v>-9733.17</v>
      </c>
      <c r="AC3511" s="4">
        <f t="shared" si="544"/>
        <v>0</v>
      </c>
      <c r="AD3511" s="6">
        <f t="shared" si="546"/>
        <v>-9733.17</v>
      </c>
      <c r="AE3511" s="2">
        <f>VLOOKUP(I3511,[1]媒体政策预估表!A:N,MATCH(O3511,[1]媒体政策预估表!$A$2:$M$2,0),0)</f>
        <v>0.12</v>
      </c>
      <c r="AF3511" s="6">
        <f t="shared" si="545"/>
        <v>-1167.9803999999999</v>
      </c>
      <c r="AG3511" s="14">
        <v>0</v>
      </c>
      <c r="AH3511" s="64">
        <f t="shared" si="547"/>
        <v>-9733.17</v>
      </c>
      <c r="AI3511" s="47"/>
      <c r="AJ3511" s="126" t="e">
        <v>#N/A</v>
      </c>
      <c r="AK3511" s="80">
        <f t="shared" si="543"/>
        <v>0</v>
      </c>
      <c r="AM3511" s="85"/>
    </row>
    <row r="3512" spans="1:39" hidden="1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48"/>
        <v>9733.17</v>
      </c>
      <c r="X3512" s="6">
        <f t="shared" si="549"/>
        <v>0</v>
      </c>
      <c r="Y3512" s="13">
        <f t="shared" si="541"/>
        <v>0</v>
      </c>
      <c r="Z3512" s="14">
        <v>0</v>
      </c>
      <c r="AA3512" s="6">
        <v>0</v>
      </c>
      <c r="AB3512" s="4">
        <f t="shared" si="542"/>
        <v>0</v>
      </c>
      <c r="AC3512" s="4">
        <f t="shared" si="544"/>
        <v>0</v>
      </c>
      <c r="AD3512" s="6">
        <f t="shared" si="546"/>
        <v>0</v>
      </c>
      <c r="AE3512" s="2">
        <f>VLOOKUP(I3512,[1]媒体政策预估表!A:N,MATCH(O3512,[1]媒体政策预估表!$A$2:$M$2,0),0)</f>
        <v>7.0000000000000007E-2</v>
      </c>
      <c r="AF3512" s="6">
        <f t="shared" si="545"/>
        <v>0</v>
      </c>
      <c r="AG3512" s="14">
        <v>0</v>
      </c>
      <c r="AH3512" s="64">
        <f t="shared" si="547"/>
        <v>0</v>
      </c>
      <c r="AI3512" s="47"/>
      <c r="AJ3512" s="126" t="e">
        <v>#N/A</v>
      </c>
      <c r="AK3512" s="80">
        <f t="shared" si="543"/>
        <v>0</v>
      </c>
      <c r="AM3512" s="85"/>
    </row>
    <row r="3513" spans="1:39" hidden="1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48"/>
        <v>12213.649999999994</v>
      </c>
      <c r="X3513" s="6">
        <f t="shared" si="549"/>
        <v>122485.73529411762</v>
      </c>
      <c r="Y3513" s="13">
        <f t="shared" si="541"/>
        <v>0</v>
      </c>
      <c r="Z3513" s="14">
        <v>0</v>
      </c>
      <c r="AA3513" s="6">
        <v>0</v>
      </c>
      <c r="AB3513" s="4">
        <f t="shared" si="542"/>
        <v>122485.73529411762</v>
      </c>
      <c r="AC3513" s="4">
        <f t="shared" si="544"/>
        <v>2449.7147058823612</v>
      </c>
      <c r="AD3513" s="6">
        <f t="shared" si="546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45"/>
        <v>8745.4814999999999</v>
      </c>
      <c r="AG3513" s="14">
        <v>0</v>
      </c>
      <c r="AH3513" s="64">
        <f t="shared" si="547"/>
        <v>124935.44999999998</v>
      </c>
      <c r="AI3513" s="47"/>
      <c r="AJ3513" s="126" t="e">
        <v>#N/A</v>
      </c>
      <c r="AK3513" s="80">
        <f t="shared" si="543"/>
        <v>0</v>
      </c>
      <c r="AM3513" s="85"/>
    </row>
    <row r="3514" spans="1:39" hidden="1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48"/>
        <v>1958.5999999999985</v>
      </c>
      <c r="X3514" s="6">
        <f t="shared" si="549"/>
        <v>60566.078431372553</v>
      </c>
      <c r="Y3514" s="13">
        <f t="shared" si="541"/>
        <v>0</v>
      </c>
      <c r="Z3514" s="14">
        <v>0</v>
      </c>
      <c r="AA3514" s="6">
        <v>0</v>
      </c>
      <c r="AB3514" s="4">
        <f t="shared" si="542"/>
        <v>60566.078431372553</v>
      </c>
      <c r="AC3514" s="4">
        <f t="shared" si="544"/>
        <v>1211.3215686274489</v>
      </c>
      <c r="AD3514" s="6">
        <f t="shared" si="546"/>
        <v>61777.4</v>
      </c>
      <c r="AE3514" s="2">
        <f>VLOOKUP(I3514,[1]媒体政策预估表!A:N,MATCH(O3514,[1]媒体政策预估表!$A$2:$M$2,0),0)</f>
        <v>7.0000000000000007E-2</v>
      </c>
      <c r="AF3514" s="6">
        <f t="shared" si="545"/>
        <v>4324.4180000000006</v>
      </c>
      <c r="AG3514" s="14">
        <v>0</v>
      </c>
      <c r="AH3514" s="64">
        <f t="shared" si="547"/>
        <v>61777.4</v>
      </c>
      <c r="AI3514" s="47"/>
      <c r="AJ3514" s="126" t="s">
        <v>4219</v>
      </c>
      <c r="AK3514" s="80">
        <f t="shared" si="543"/>
        <v>0</v>
      </c>
      <c r="AL3514" s="150"/>
      <c r="AM3514" s="85"/>
    </row>
    <row r="3515" spans="1:39" hidden="1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48"/>
        <v>280025.90999999997</v>
      </c>
      <c r="X3515" s="6">
        <f t="shared" si="549"/>
        <v>341594.68627450982</v>
      </c>
      <c r="Y3515" s="13">
        <f t="shared" si="541"/>
        <v>0</v>
      </c>
      <c r="Z3515" s="14">
        <v>0</v>
      </c>
      <c r="AA3515" s="6">
        <v>0</v>
      </c>
      <c r="AB3515" s="4">
        <f t="shared" si="542"/>
        <v>341594.68627450982</v>
      </c>
      <c r="AC3515" s="4">
        <f t="shared" si="544"/>
        <v>6831.8937254901975</v>
      </c>
      <c r="AD3515" s="6">
        <f t="shared" si="546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45"/>
        <v>24389.860600000004</v>
      </c>
      <c r="AG3515" s="14">
        <v>0</v>
      </c>
      <c r="AH3515" s="64">
        <f t="shared" si="547"/>
        <v>348426.58</v>
      </c>
      <c r="AI3515" s="47"/>
      <c r="AJ3515" s="126" t="e">
        <v>#N/A</v>
      </c>
      <c r="AK3515" s="80">
        <f t="shared" si="543"/>
        <v>0</v>
      </c>
      <c r="AM3515" s="85"/>
    </row>
    <row r="3516" spans="1:39" hidden="1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48"/>
        <v>25524.500000000004</v>
      </c>
      <c r="X3516" s="6">
        <f t="shared" si="549"/>
        <v>12546.689999999999</v>
      </c>
      <c r="Y3516" s="13">
        <f t="shared" si="541"/>
        <v>0</v>
      </c>
      <c r="Z3516" s="14">
        <v>0</v>
      </c>
      <c r="AA3516" s="6">
        <v>0</v>
      </c>
      <c r="AB3516" s="4">
        <f t="shared" si="542"/>
        <v>12546.689999999999</v>
      </c>
      <c r="AC3516" s="4">
        <f t="shared" si="544"/>
        <v>0</v>
      </c>
      <c r="AD3516" s="6">
        <f t="shared" si="546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45"/>
        <v>878.26829999999995</v>
      </c>
      <c r="AG3516" s="14">
        <v>0</v>
      </c>
      <c r="AH3516" s="64">
        <f t="shared" si="547"/>
        <v>12546.689999999999</v>
      </c>
      <c r="AI3516" s="47"/>
      <c r="AJ3516" s="126" t="e">
        <v>#N/A</v>
      </c>
      <c r="AK3516" s="80">
        <f t="shared" si="543"/>
        <v>0</v>
      </c>
      <c r="AM3516" s="85"/>
    </row>
    <row r="3517" spans="1:39" hidden="1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48"/>
        <v>45407.789999999994</v>
      </c>
      <c r="X3517" s="6">
        <f t="shared" si="549"/>
        <v>48948.44</v>
      </c>
      <c r="Y3517" s="13">
        <f t="shared" si="541"/>
        <v>0</v>
      </c>
      <c r="Z3517" s="14">
        <v>0</v>
      </c>
      <c r="AA3517" s="6">
        <v>0</v>
      </c>
      <c r="AB3517" s="4">
        <f t="shared" si="542"/>
        <v>48948.44</v>
      </c>
      <c r="AC3517" s="4">
        <f t="shared" si="544"/>
        <v>0</v>
      </c>
      <c r="AD3517" s="6">
        <f t="shared" si="546"/>
        <v>48948.44</v>
      </c>
      <c r="AE3517" s="2">
        <f>VLOOKUP(I3517,[1]媒体政策预估表!A:N,MATCH(O3517,[1]媒体政策预估表!$A$2:$M$2,0),0)</f>
        <v>7.0000000000000007E-2</v>
      </c>
      <c r="AF3517" s="6">
        <f t="shared" si="545"/>
        <v>3426.3908000000006</v>
      </c>
      <c r="AG3517" s="14">
        <v>0</v>
      </c>
      <c r="AH3517" s="64">
        <f t="shared" si="547"/>
        <v>48948.44</v>
      </c>
      <c r="AI3517" s="47"/>
      <c r="AJ3517" s="126" t="e">
        <v>#N/A</v>
      </c>
      <c r="AK3517" s="80">
        <f t="shared" si="543"/>
        <v>0</v>
      </c>
      <c r="AM3517" s="85"/>
    </row>
    <row r="3518" spans="1:39" hidden="1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48"/>
        <v>513139.04999999993</v>
      </c>
      <c r="X3518" s="6">
        <f t="shared" si="549"/>
        <v>176421.16000000003</v>
      </c>
      <c r="Y3518" s="13">
        <f t="shared" si="541"/>
        <v>0</v>
      </c>
      <c r="Z3518" s="14">
        <v>0</v>
      </c>
      <c r="AA3518" s="6">
        <v>0</v>
      </c>
      <c r="AB3518" s="4">
        <f t="shared" si="542"/>
        <v>176421.16000000003</v>
      </c>
      <c r="AC3518" s="4">
        <f t="shared" si="544"/>
        <v>0</v>
      </c>
      <c r="AD3518" s="6">
        <f t="shared" si="546"/>
        <v>176421.16000000003</v>
      </c>
      <c r="AE3518" s="2">
        <f>VLOOKUP(I3518,[1]媒体政策预估表!A:N,MATCH(O3518,[1]媒体政策预估表!$A$2:$M$2,0),0)</f>
        <v>0.12</v>
      </c>
      <c r="AF3518" s="6">
        <f t="shared" si="545"/>
        <v>21170.539200000003</v>
      </c>
      <c r="AG3518" s="14">
        <v>0</v>
      </c>
      <c r="AH3518" s="64">
        <f t="shared" si="547"/>
        <v>176421.16000000003</v>
      </c>
      <c r="AI3518" s="47"/>
      <c r="AJ3518" s="126" t="e">
        <v>#N/A</v>
      </c>
      <c r="AK3518" s="80">
        <f t="shared" si="543"/>
        <v>0</v>
      </c>
      <c r="AM3518" s="85"/>
    </row>
    <row r="3519" spans="1:39" hidden="1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48"/>
        <v>3426914.4699999997</v>
      </c>
      <c r="X3519" s="6">
        <f t="shared" si="549"/>
        <v>631673.79</v>
      </c>
      <c r="Y3519" s="13">
        <f t="shared" si="541"/>
        <v>0</v>
      </c>
      <c r="Z3519" s="14">
        <v>0</v>
      </c>
      <c r="AA3519" s="6">
        <v>0</v>
      </c>
      <c r="AB3519" s="4">
        <f t="shared" si="542"/>
        <v>631673.79</v>
      </c>
      <c r="AC3519" s="4">
        <f t="shared" si="544"/>
        <v>0</v>
      </c>
      <c r="AD3519" s="6">
        <f t="shared" si="546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45"/>
        <v>44217.165300000008</v>
      </c>
      <c r="AG3519" s="14">
        <v>0</v>
      </c>
      <c r="AH3519" s="64">
        <f t="shared" si="547"/>
        <v>631673.79</v>
      </c>
      <c r="AI3519" s="47"/>
      <c r="AJ3519" s="126" t="e">
        <v>#N/A</v>
      </c>
      <c r="AK3519" s="80">
        <f t="shared" si="543"/>
        <v>0</v>
      </c>
      <c r="AM3519" s="85"/>
    </row>
    <row r="3520" spans="1:39" hidden="1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48"/>
        <v>7222.4199999999983</v>
      </c>
      <c r="X3520" s="6">
        <f t="shared" si="549"/>
        <v>2777.5800000000017</v>
      </c>
      <c r="Y3520" s="13">
        <f t="shared" si="541"/>
        <v>0</v>
      </c>
      <c r="Z3520" s="14">
        <v>0</v>
      </c>
      <c r="AA3520" s="6">
        <v>0</v>
      </c>
      <c r="AB3520" s="4">
        <f t="shared" si="542"/>
        <v>2777.5800000000017</v>
      </c>
      <c r="AC3520" s="4">
        <f t="shared" si="544"/>
        <v>0</v>
      </c>
      <c r="AD3520" s="6">
        <f t="shared" si="546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45"/>
        <v>194.43060000000014</v>
      </c>
      <c r="AG3520" s="14">
        <v>0</v>
      </c>
      <c r="AH3520" s="64">
        <f t="shared" si="547"/>
        <v>2777.5800000000017</v>
      </c>
      <c r="AI3520" s="47"/>
      <c r="AJ3520" s="126" t="e">
        <v>#N/A</v>
      </c>
      <c r="AK3520" s="80">
        <f t="shared" si="543"/>
        <v>0</v>
      </c>
      <c r="AM3520" s="85"/>
    </row>
    <row r="3521" spans="1:39" hidden="1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48"/>
        <v>174977.62000000011</v>
      </c>
      <c r="X3521" s="6">
        <f t="shared" si="549"/>
        <v>1179037.3039215687</v>
      </c>
      <c r="Y3521" s="13">
        <f t="shared" si="541"/>
        <v>0</v>
      </c>
      <c r="Z3521" s="14">
        <v>0</v>
      </c>
      <c r="AA3521" s="6">
        <v>0</v>
      </c>
      <c r="AB3521" s="4">
        <f t="shared" si="542"/>
        <v>1179037.3039215687</v>
      </c>
      <c r="AC3521" s="4">
        <f t="shared" si="544"/>
        <v>23580.746078431373</v>
      </c>
      <c r="AD3521" s="6">
        <f t="shared" si="546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45"/>
        <v>84183.263500000015</v>
      </c>
      <c r="AG3521" s="14">
        <v>0</v>
      </c>
      <c r="AH3521" s="64">
        <f t="shared" si="547"/>
        <v>1202618.05</v>
      </c>
      <c r="AI3521" s="47"/>
      <c r="AJ3521" s="126" t="e">
        <v>#N/A</v>
      </c>
      <c r="AK3521" s="80">
        <f t="shared" si="543"/>
        <v>0</v>
      </c>
      <c r="AM3521" s="85"/>
    </row>
    <row r="3522" spans="1:39" hidden="1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48"/>
        <v>303942.01999999862</v>
      </c>
      <c r="X3522" s="6">
        <f t="shared" si="549"/>
        <v>2694258.5980392164</v>
      </c>
      <c r="Y3522" s="13">
        <f t="shared" si="541"/>
        <v>0</v>
      </c>
      <c r="Z3522" s="14">
        <v>0</v>
      </c>
      <c r="AA3522" s="6">
        <v>0</v>
      </c>
      <c r="AB3522" s="4">
        <f t="shared" si="542"/>
        <v>2694258.5980392164</v>
      </c>
      <c r="AC3522" s="4">
        <f t="shared" si="544"/>
        <v>53885.171960784588</v>
      </c>
      <c r="AD3522" s="6">
        <f t="shared" si="546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45"/>
        <v>192370.0639000001</v>
      </c>
      <c r="AG3522" s="14">
        <v>0</v>
      </c>
      <c r="AH3522" s="64">
        <f t="shared" si="547"/>
        <v>2748143.7700000009</v>
      </c>
      <c r="AI3522" s="47"/>
      <c r="AJ3522" s="126" t="e">
        <v>#N/A</v>
      </c>
      <c r="AK3522" s="80">
        <f t="shared" si="543"/>
        <v>0</v>
      </c>
      <c r="AM3522" s="85"/>
    </row>
    <row r="3523" spans="1:39" hidden="1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48"/>
        <v>4307.570000000007</v>
      </c>
      <c r="X3523" s="6">
        <f t="shared" si="549"/>
        <v>51129.459999999992</v>
      </c>
      <c r="Y3523" s="13">
        <f t="shared" ref="Y3523:Y3586" si="550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51">X3523+AA3523</f>
        <v>51129.459999999992</v>
      </c>
      <c r="AC3523" s="4">
        <f t="shared" si="544"/>
        <v>0</v>
      </c>
      <c r="AD3523" s="6">
        <f t="shared" si="546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45"/>
        <v>3579.0621999999998</v>
      </c>
      <c r="AG3523" s="14">
        <v>0</v>
      </c>
      <c r="AH3523" s="64">
        <f t="shared" si="547"/>
        <v>51129.459999999992</v>
      </c>
      <c r="AI3523" s="47"/>
      <c r="AJ3523" s="126" t="e">
        <v>#N/A</v>
      </c>
      <c r="AK3523" s="80">
        <f t="shared" ref="AK3523:AK3586" si="552">X3523+AA3523-AB3523</f>
        <v>0</v>
      </c>
      <c r="AM3523" s="85"/>
    </row>
    <row r="3524" spans="1:39" hidden="1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48"/>
        <v>-12504.580000000002</v>
      </c>
      <c r="X3524" s="6">
        <f t="shared" si="549"/>
        <v>38450.49</v>
      </c>
      <c r="Y3524" s="13">
        <f t="shared" si="550"/>
        <v>0</v>
      </c>
      <c r="Z3524" s="14">
        <v>0</v>
      </c>
      <c r="AA3524" s="6">
        <v>0</v>
      </c>
      <c r="AB3524" s="4">
        <f t="shared" si="551"/>
        <v>38450.49</v>
      </c>
      <c r="AC3524" s="4">
        <f t="shared" si="544"/>
        <v>0</v>
      </c>
      <c r="AD3524" s="6">
        <f t="shared" si="546"/>
        <v>38450.49</v>
      </c>
      <c r="AE3524" s="2">
        <f>VLOOKUP(I3524,[1]媒体政策预估表!A:N,MATCH(O3524,[1]媒体政策预估表!$A$2:$M$2,0),0)</f>
        <v>0.12</v>
      </c>
      <c r="AF3524" s="6">
        <f t="shared" si="545"/>
        <v>4614.0587999999998</v>
      </c>
      <c r="AG3524" s="14">
        <v>0</v>
      </c>
      <c r="AH3524" s="64">
        <f t="shared" si="547"/>
        <v>38450.49</v>
      </c>
      <c r="AI3524" s="47"/>
      <c r="AJ3524" s="126" t="e">
        <v>#N/A</v>
      </c>
      <c r="AK3524" s="80">
        <f t="shared" si="552"/>
        <v>0</v>
      </c>
      <c r="AM3524" s="85"/>
    </row>
    <row r="3525" spans="1:39" hidden="1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48"/>
        <v>23000</v>
      </c>
      <c r="X3525" s="6">
        <f t="shared" si="549"/>
        <v>0</v>
      </c>
      <c r="Y3525" s="13">
        <f t="shared" si="550"/>
        <v>0</v>
      </c>
      <c r="Z3525" s="14">
        <v>0</v>
      </c>
      <c r="AA3525" s="6">
        <v>0</v>
      </c>
      <c r="AB3525" s="4">
        <f t="shared" si="551"/>
        <v>0</v>
      </c>
      <c r="AC3525" s="4">
        <f t="shared" si="544"/>
        <v>0</v>
      </c>
      <c r="AD3525" s="6">
        <f t="shared" si="546"/>
        <v>0</v>
      </c>
      <c r="AE3525" s="2">
        <f>VLOOKUP(I3525,[1]媒体政策预估表!A:N,MATCH(O3525,[1]媒体政策预估表!$A$2:$M$2,0),0)</f>
        <v>7.0000000000000007E-2</v>
      </c>
      <c r="AF3525" s="6">
        <f t="shared" si="545"/>
        <v>0</v>
      </c>
      <c r="AG3525" s="14">
        <v>0</v>
      </c>
      <c r="AH3525" s="64">
        <f t="shared" si="547"/>
        <v>0</v>
      </c>
      <c r="AI3525" s="47"/>
      <c r="AJ3525" s="126" t="e">
        <v>#N/A</v>
      </c>
      <c r="AK3525" s="80">
        <f t="shared" si="552"/>
        <v>0</v>
      </c>
      <c r="AM3525" s="85"/>
    </row>
    <row r="3526" spans="1:39" hidden="1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48"/>
        <v>-28035.849999999595</v>
      </c>
      <c r="X3526" s="6">
        <f t="shared" si="549"/>
        <v>26235.289999999997</v>
      </c>
      <c r="Y3526" s="13">
        <f t="shared" si="550"/>
        <v>0</v>
      </c>
      <c r="Z3526" s="14">
        <v>0</v>
      </c>
      <c r="AA3526" s="6">
        <v>0</v>
      </c>
      <c r="AB3526" s="4">
        <f t="shared" si="551"/>
        <v>26235.289999999997</v>
      </c>
      <c r="AC3526" s="4">
        <f t="shared" si="544"/>
        <v>0</v>
      </c>
      <c r="AD3526" s="6">
        <f t="shared" si="546"/>
        <v>26235.289999999997</v>
      </c>
      <c r="AE3526" s="2">
        <f>VLOOKUP(I3526,[1]媒体政策预估表!A:N,MATCH(O3526,[1]媒体政策预估表!$A$2:$M$2,0),0)</f>
        <v>0.12</v>
      </c>
      <c r="AF3526" s="6">
        <f t="shared" si="545"/>
        <v>3148.2347999999997</v>
      </c>
      <c r="AG3526" s="14">
        <v>0</v>
      </c>
      <c r="AH3526" s="64">
        <f t="shared" si="547"/>
        <v>26235.289999999997</v>
      </c>
      <c r="AI3526" s="47"/>
      <c r="AJ3526" s="126" t="e">
        <v>#N/A</v>
      </c>
      <c r="AK3526" s="80">
        <f t="shared" si="552"/>
        <v>0</v>
      </c>
      <c r="AM3526" s="85"/>
    </row>
    <row r="3527" spans="1:39" hidden="1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48"/>
        <v>38153.85</v>
      </c>
      <c r="X3527" s="6">
        <f t="shared" si="549"/>
        <v>0</v>
      </c>
      <c r="Y3527" s="13">
        <f t="shared" si="550"/>
        <v>0</v>
      </c>
      <c r="Z3527" s="14">
        <v>0</v>
      </c>
      <c r="AA3527" s="6">
        <v>0</v>
      </c>
      <c r="AB3527" s="4">
        <f t="shared" si="551"/>
        <v>0</v>
      </c>
      <c r="AC3527" s="4">
        <f t="shared" si="544"/>
        <v>0</v>
      </c>
      <c r="AD3527" s="6">
        <f t="shared" si="546"/>
        <v>0</v>
      </c>
      <c r="AE3527" s="2">
        <f>VLOOKUP(I3527,[1]媒体政策预估表!A:N,MATCH(O3527,[1]媒体政策预估表!$A$2:$M$2,0),0)</f>
        <v>7.0000000000000007E-2</v>
      </c>
      <c r="AF3527" s="6">
        <f t="shared" si="545"/>
        <v>0</v>
      </c>
      <c r="AG3527" s="14">
        <v>0</v>
      </c>
      <c r="AH3527" s="64">
        <f t="shared" si="547"/>
        <v>0</v>
      </c>
      <c r="AI3527" s="47"/>
      <c r="AJ3527" s="126" t="e">
        <v>#N/A</v>
      </c>
      <c r="AK3527" s="80">
        <f t="shared" si="552"/>
        <v>0</v>
      </c>
      <c r="AM3527" s="85"/>
    </row>
    <row r="3528" spans="1:39" hidden="1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48"/>
        <v>40165.920000000042</v>
      </c>
      <c r="X3528" s="6">
        <f t="shared" si="549"/>
        <v>186548.49999999997</v>
      </c>
      <c r="Y3528" s="13">
        <f t="shared" si="550"/>
        <v>0</v>
      </c>
      <c r="Z3528" s="14">
        <v>0</v>
      </c>
      <c r="AA3528" s="6">
        <v>0</v>
      </c>
      <c r="AB3528" s="4">
        <f t="shared" si="551"/>
        <v>186548.49999999997</v>
      </c>
      <c r="AC3528" s="4">
        <f t="shared" si="544"/>
        <v>0</v>
      </c>
      <c r="AD3528" s="6">
        <f t="shared" si="546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45"/>
        <v>13058.394999999999</v>
      </c>
      <c r="AG3528" s="14">
        <v>0</v>
      </c>
      <c r="AH3528" s="64">
        <f t="shared" si="547"/>
        <v>186548.49999999997</v>
      </c>
      <c r="AI3528" s="47"/>
      <c r="AJ3528" s="126" t="e">
        <v>#N/A</v>
      </c>
      <c r="AK3528" s="80">
        <f t="shared" si="552"/>
        <v>0</v>
      </c>
      <c r="AM3528" s="85"/>
    </row>
    <row r="3529" spans="1:39" hidden="1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48"/>
        <v>0</v>
      </c>
      <c r="X3529" s="6">
        <f t="shared" si="549"/>
        <v>5883.3039215686322</v>
      </c>
      <c r="Y3529" s="13">
        <f t="shared" si="550"/>
        <v>0</v>
      </c>
      <c r="Z3529" s="14">
        <v>0</v>
      </c>
      <c r="AA3529" s="6">
        <v>0</v>
      </c>
      <c r="AB3529" s="4"/>
      <c r="AC3529" s="4">
        <f t="shared" si="544"/>
        <v>117.66607843137263</v>
      </c>
      <c r="AD3529" s="6">
        <f t="shared" si="546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45"/>
        <v>420.06790000000035</v>
      </c>
      <c r="AG3529" s="14">
        <v>0</v>
      </c>
      <c r="AH3529" s="64">
        <f t="shared" si="547"/>
        <v>6000.9700000000048</v>
      </c>
      <c r="AI3529" s="47"/>
      <c r="AJ3529" s="126">
        <v>115</v>
      </c>
      <c r="AK3529" s="80">
        <f t="shared" si="552"/>
        <v>5883.3039215686322</v>
      </c>
      <c r="AM3529" s="85"/>
    </row>
    <row r="3530" spans="1:39" hidden="1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48"/>
        <v>32516.050000000007</v>
      </c>
      <c r="X3530" s="6">
        <f t="shared" si="549"/>
        <v>17141.127450980384</v>
      </c>
      <c r="Y3530" s="13">
        <f t="shared" si="550"/>
        <v>0</v>
      </c>
      <c r="Z3530" s="14">
        <v>0</v>
      </c>
      <c r="AA3530" s="6">
        <v>0</v>
      </c>
      <c r="AB3530" s="4">
        <f t="shared" si="551"/>
        <v>17141.127450980384</v>
      </c>
      <c r="AC3530" s="4">
        <f t="shared" si="544"/>
        <v>342.82254901960914</v>
      </c>
      <c r="AD3530" s="6">
        <f t="shared" si="546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45"/>
        <v>1223.8764999999996</v>
      </c>
      <c r="AG3530" s="14">
        <v>0</v>
      </c>
      <c r="AH3530" s="64">
        <f t="shared" si="547"/>
        <v>17483.949999999993</v>
      </c>
      <c r="AI3530" s="47"/>
      <c r="AJ3530" s="126" t="e">
        <v>#N/A</v>
      </c>
      <c r="AK3530" s="80">
        <f t="shared" si="552"/>
        <v>0</v>
      </c>
      <c r="AM3530" s="85"/>
    </row>
    <row r="3531" spans="1:39" hidden="1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48"/>
        <v>0</v>
      </c>
      <c r="X3531" s="6">
        <f t="shared" si="549"/>
        <v>20000</v>
      </c>
      <c r="Y3531" s="13">
        <f t="shared" si="550"/>
        <v>0</v>
      </c>
      <c r="Z3531" s="14">
        <v>0</v>
      </c>
      <c r="AA3531" s="6">
        <v>0</v>
      </c>
      <c r="AB3531" s="4">
        <f t="shared" si="551"/>
        <v>20000</v>
      </c>
      <c r="AC3531" s="4">
        <f t="shared" si="544"/>
        <v>0</v>
      </c>
      <c r="AD3531" s="6">
        <f t="shared" si="546"/>
        <v>20000</v>
      </c>
      <c r="AE3531" s="2">
        <f>VLOOKUP(I3531,[1]媒体政策预估表!A:N,MATCH(O3531,[1]媒体政策预估表!$A$2:$M$2,0),0)</f>
        <v>7.0000000000000007E-2</v>
      </c>
      <c r="AF3531" s="6">
        <f t="shared" si="545"/>
        <v>1400.0000000000002</v>
      </c>
      <c r="AG3531" s="14">
        <v>0</v>
      </c>
      <c r="AH3531" s="64">
        <f t="shared" si="547"/>
        <v>20000</v>
      </c>
      <c r="AI3531" s="47"/>
      <c r="AJ3531" s="126" t="e">
        <v>#N/A</v>
      </c>
      <c r="AK3531" s="80">
        <f t="shared" si="552"/>
        <v>0</v>
      </c>
      <c r="AM3531" s="85"/>
    </row>
    <row r="3532" spans="1:39" hidden="1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48"/>
        <v>148469.36000000004</v>
      </c>
      <c r="X3532" s="6">
        <f t="shared" si="549"/>
        <v>56041.200000000012</v>
      </c>
      <c r="Y3532" s="13">
        <f t="shared" si="550"/>
        <v>0</v>
      </c>
      <c r="Z3532" s="14">
        <v>0</v>
      </c>
      <c r="AA3532" s="6">
        <v>0</v>
      </c>
      <c r="AB3532" s="4">
        <f t="shared" si="551"/>
        <v>56041.200000000012</v>
      </c>
      <c r="AC3532" s="4">
        <f t="shared" ref="AC3532:AC3595" si="553">IF(P3532="返现",X3532*Q3532,V3532-X3532)</f>
        <v>0</v>
      </c>
      <c r="AD3532" s="6">
        <f t="shared" si="546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54">AD3532*AE3532</f>
        <v>3922.8840000000014</v>
      </c>
      <c r="AG3532" s="14">
        <v>0</v>
      </c>
      <c r="AH3532" s="64">
        <f t="shared" si="547"/>
        <v>56041.200000000012</v>
      </c>
      <c r="AI3532" s="47"/>
      <c r="AJ3532" s="126" t="e">
        <v>#N/A</v>
      </c>
      <c r="AK3532" s="80">
        <f t="shared" si="552"/>
        <v>0</v>
      </c>
      <c r="AM3532" s="85"/>
    </row>
    <row r="3533" spans="1:39" hidden="1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48"/>
        <v>889856.20000000298</v>
      </c>
      <c r="X3533" s="6">
        <f t="shared" si="549"/>
        <v>13358743.019230766</v>
      </c>
      <c r="Y3533" s="13">
        <f t="shared" si="550"/>
        <v>0</v>
      </c>
      <c r="Z3533" s="14">
        <v>0</v>
      </c>
      <c r="AA3533" s="6">
        <v>0</v>
      </c>
      <c r="AB3533" s="4">
        <f t="shared" si="551"/>
        <v>13358743.019230766</v>
      </c>
      <c r="AC3533" s="4">
        <f t="shared" si="553"/>
        <v>534349.72076923028</v>
      </c>
      <c r="AD3533" s="6">
        <f t="shared" si="546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54"/>
        <v>972516.49179999984</v>
      </c>
      <c r="AG3533" s="14">
        <v>0</v>
      </c>
      <c r="AH3533" s="64">
        <f t="shared" si="547"/>
        <v>13893092.739999996</v>
      </c>
      <c r="AI3533" s="47"/>
      <c r="AJ3533" s="126" t="e">
        <v>#N/A</v>
      </c>
      <c r="AK3533" s="80">
        <f t="shared" si="552"/>
        <v>0</v>
      </c>
      <c r="AM3533" s="85"/>
    </row>
    <row r="3534" spans="1:39" hidden="1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48"/>
        <v>3437.3099999999977</v>
      </c>
      <c r="X3534" s="6">
        <f t="shared" si="549"/>
        <v>42616.87</v>
      </c>
      <c r="Y3534" s="13">
        <f t="shared" si="550"/>
        <v>0</v>
      </c>
      <c r="Z3534" s="14">
        <v>0</v>
      </c>
      <c r="AA3534" s="6">
        <v>0</v>
      </c>
      <c r="AB3534" s="4">
        <f t="shared" si="551"/>
        <v>42616.87</v>
      </c>
      <c r="AC3534" s="4">
        <f t="shared" si="553"/>
        <v>0</v>
      </c>
      <c r="AD3534" s="6">
        <f t="shared" si="546"/>
        <v>42616.87</v>
      </c>
      <c r="AE3534" s="2">
        <f>VLOOKUP(I3534,[1]媒体政策预估表!A:N,MATCH(O3534,[1]媒体政策预估表!$A$2:$M$2,0),0)</f>
        <v>7.0000000000000007E-2</v>
      </c>
      <c r="AF3534" s="6">
        <f t="shared" si="554"/>
        <v>2983.1809000000003</v>
      </c>
      <c r="AG3534" s="14">
        <v>0</v>
      </c>
      <c r="AH3534" s="64">
        <f t="shared" si="547"/>
        <v>42616.87</v>
      </c>
      <c r="AI3534" s="47"/>
      <c r="AJ3534" s="126" t="e">
        <v>#N/A</v>
      </c>
      <c r="AK3534" s="80">
        <f t="shared" si="552"/>
        <v>0</v>
      </c>
      <c r="AM3534" s="85"/>
    </row>
    <row r="3535" spans="1:39" hidden="1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48"/>
        <v>22694.01999999996</v>
      </c>
      <c r="X3535" s="6">
        <f t="shared" si="549"/>
        <v>184343.47000000003</v>
      </c>
      <c r="Y3535" s="13">
        <f t="shared" si="550"/>
        <v>0</v>
      </c>
      <c r="Z3535" s="14">
        <v>0</v>
      </c>
      <c r="AA3535" s="6">
        <v>0</v>
      </c>
      <c r="AB3535" s="4">
        <f t="shared" si="551"/>
        <v>184343.47000000003</v>
      </c>
      <c r="AC3535" s="4">
        <f t="shared" si="553"/>
        <v>0</v>
      </c>
      <c r="AD3535" s="6">
        <f t="shared" si="546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54"/>
        <v>12904.042900000004</v>
      </c>
      <c r="AG3535" s="14">
        <v>0</v>
      </c>
      <c r="AH3535" s="64">
        <f t="shared" si="547"/>
        <v>184343.47000000003</v>
      </c>
      <c r="AI3535" s="47"/>
      <c r="AJ3535" s="126" t="e">
        <v>#N/A</v>
      </c>
      <c r="AK3535" s="80">
        <f t="shared" si="552"/>
        <v>0</v>
      </c>
      <c r="AM3535" s="85"/>
    </row>
    <row r="3536" spans="1:39" hidden="1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48"/>
        <v>22200.75</v>
      </c>
      <c r="X3536" s="6">
        <f t="shared" si="549"/>
        <v>124987.35</v>
      </c>
      <c r="Y3536" s="13">
        <f t="shared" si="550"/>
        <v>0</v>
      </c>
      <c r="Z3536" s="14">
        <v>0</v>
      </c>
      <c r="AA3536" s="6">
        <v>0</v>
      </c>
      <c r="AB3536" s="4">
        <f t="shared" si="551"/>
        <v>124987.35</v>
      </c>
      <c r="AC3536" s="4">
        <f t="shared" si="553"/>
        <v>0</v>
      </c>
      <c r="AD3536" s="6">
        <f t="shared" si="546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54"/>
        <v>8749.1145000000015</v>
      </c>
      <c r="AG3536" s="14">
        <v>0</v>
      </c>
      <c r="AH3536" s="64">
        <f t="shared" si="547"/>
        <v>124987.35</v>
      </c>
      <c r="AI3536" s="47"/>
      <c r="AJ3536" s="126" t="e">
        <v>#N/A</v>
      </c>
      <c r="AK3536" s="80">
        <f t="shared" si="552"/>
        <v>0</v>
      </c>
      <c r="AM3536" s="85"/>
    </row>
    <row r="3537" spans="1:39" hidden="1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48"/>
        <v>11517.169999999984</v>
      </c>
      <c r="X3537" s="6">
        <f t="shared" si="549"/>
        <v>162037.61386138614</v>
      </c>
      <c r="Y3537" s="13">
        <f t="shared" si="550"/>
        <v>0</v>
      </c>
      <c r="Z3537" s="14">
        <v>0</v>
      </c>
      <c r="AA3537" s="6">
        <v>0</v>
      </c>
      <c r="AB3537" s="4">
        <f t="shared" si="551"/>
        <v>162037.61386138614</v>
      </c>
      <c r="AC3537" s="4">
        <f t="shared" si="553"/>
        <v>1620.3761386138503</v>
      </c>
      <c r="AD3537" s="6">
        <f t="shared" si="546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54"/>
        <v>11456.059300000001</v>
      </c>
      <c r="AG3537" s="14">
        <v>0</v>
      </c>
      <c r="AH3537" s="64">
        <f t="shared" si="547"/>
        <v>163657.99</v>
      </c>
      <c r="AI3537" s="47"/>
      <c r="AJ3537" s="126" t="e">
        <v>#N/A</v>
      </c>
      <c r="AK3537" s="80">
        <f t="shared" si="552"/>
        <v>0</v>
      </c>
      <c r="AM3537" s="85"/>
    </row>
    <row r="3538" spans="1:39" hidden="1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48"/>
        <v>4748.3600000000006</v>
      </c>
      <c r="X3538" s="6">
        <f t="shared" si="549"/>
        <v>384.76923076923072</v>
      </c>
      <c r="Y3538" s="13">
        <f t="shared" si="550"/>
        <v>0</v>
      </c>
      <c r="Z3538" s="14">
        <v>0</v>
      </c>
      <c r="AA3538" s="6">
        <v>0</v>
      </c>
      <c r="AB3538" s="4">
        <f t="shared" si="551"/>
        <v>384.76923076923072</v>
      </c>
      <c r="AC3538" s="4">
        <f t="shared" si="553"/>
        <v>15.390769230769251</v>
      </c>
      <c r="AD3538" s="6">
        <f t="shared" si="546"/>
        <v>400.15999999999997</v>
      </c>
      <c r="AE3538" s="2">
        <f>VLOOKUP(I3538,[1]媒体政策预估表!A:N,MATCH(O3538,[1]媒体政策预估表!$A$2:$M$2,0),0)</f>
        <v>0.12</v>
      </c>
      <c r="AF3538" s="6">
        <f t="shared" si="554"/>
        <v>48.019199999999998</v>
      </c>
      <c r="AG3538" s="14">
        <v>0</v>
      </c>
      <c r="AH3538" s="64">
        <f t="shared" si="547"/>
        <v>400.15999999999997</v>
      </c>
      <c r="AI3538" s="47"/>
      <c r="AJ3538" s="126" t="e">
        <v>#N/A</v>
      </c>
      <c r="AK3538" s="80">
        <f t="shared" si="552"/>
        <v>0</v>
      </c>
      <c r="AM3538" s="85"/>
    </row>
    <row r="3539" spans="1:39" hidden="1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48"/>
        <v>5148.5200000000004</v>
      </c>
      <c r="X3539" s="6">
        <f t="shared" si="549"/>
        <v>0</v>
      </c>
      <c r="Y3539" s="13">
        <f t="shared" si="550"/>
        <v>0</v>
      </c>
      <c r="Z3539" s="14">
        <v>0</v>
      </c>
      <c r="AA3539" s="6">
        <v>0</v>
      </c>
      <c r="AB3539" s="4">
        <f t="shared" si="551"/>
        <v>0</v>
      </c>
      <c r="AC3539" s="4">
        <f t="shared" si="553"/>
        <v>0</v>
      </c>
      <c r="AD3539" s="6">
        <f t="shared" si="546"/>
        <v>0</v>
      </c>
      <c r="AE3539" s="2">
        <f>VLOOKUP(I3539,[1]媒体政策预估表!A:N,MATCH(O3539,[1]媒体政策预估表!$A$2:$M$2,0),0)</f>
        <v>0.12</v>
      </c>
      <c r="AF3539" s="6">
        <f t="shared" si="554"/>
        <v>0</v>
      </c>
      <c r="AG3539" s="14">
        <v>0</v>
      </c>
      <c r="AH3539" s="64">
        <f t="shared" si="547"/>
        <v>0</v>
      </c>
      <c r="AI3539" s="47"/>
      <c r="AJ3539" s="126" t="e">
        <v>#N/A</v>
      </c>
      <c r="AK3539" s="80">
        <f t="shared" si="552"/>
        <v>0</v>
      </c>
      <c r="AM3539" s="85"/>
    </row>
    <row r="3540" spans="1:39" hidden="1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48"/>
        <v>4748.1100000000006</v>
      </c>
      <c r="X3540" s="6">
        <f t="shared" si="549"/>
        <v>385.00961538461542</v>
      </c>
      <c r="Y3540" s="13">
        <f t="shared" si="550"/>
        <v>0</v>
      </c>
      <c r="Z3540" s="14">
        <v>0</v>
      </c>
      <c r="AA3540" s="6">
        <v>0</v>
      </c>
      <c r="AB3540" s="4">
        <f t="shared" si="551"/>
        <v>385.00961538461542</v>
      </c>
      <c r="AC3540" s="4">
        <f t="shared" si="553"/>
        <v>15.40038461538461</v>
      </c>
      <c r="AD3540" s="6">
        <f t="shared" si="546"/>
        <v>400.41</v>
      </c>
      <c r="AE3540" s="2">
        <f>VLOOKUP(I3540,[1]媒体政策预估表!A:N,MATCH(O3540,[1]媒体政策预估表!$A$2:$M$2,0),0)</f>
        <v>0.12</v>
      </c>
      <c r="AF3540" s="6">
        <f t="shared" si="554"/>
        <v>48.049199999999999</v>
      </c>
      <c r="AG3540" s="14">
        <v>0</v>
      </c>
      <c r="AH3540" s="64">
        <f t="shared" si="547"/>
        <v>400.41</v>
      </c>
      <c r="AI3540" s="47"/>
      <c r="AJ3540" s="126" t="e">
        <v>#N/A</v>
      </c>
      <c r="AK3540" s="80">
        <f t="shared" si="552"/>
        <v>0</v>
      </c>
      <c r="AM3540" s="85"/>
    </row>
    <row r="3541" spans="1:39" hidden="1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48"/>
        <v>5148.5200000000004</v>
      </c>
      <c r="X3541" s="6">
        <f t="shared" si="549"/>
        <v>0</v>
      </c>
      <c r="Y3541" s="13">
        <f t="shared" si="550"/>
        <v>0</v>
      </c>
      <c r="Z3541" s="14">
        <v>0</v>
      </c>
      <c r="AA3541" s="6">
        <v>0</v>
      </c>
      <c r="AB3541" s="4">
        <f t="shared" si="551"/>
        <v>0</v>
      </c>
      <c r="AC3541" s="4">
        <f t="shared" si="553"/>
        <v>0</v>
      </c>
      <c r="AD3541" s="6">
        <f t="shared" si="546"/>
        <v>0</v>
      </c>
      <c r="AE3541" s="2">
        <f>VLOOKUP(I3541,[1]媒体政策预估表!A:N,MATCH(O3541,[1]媒体政策预估表!$A$2:$M$2,0),0)</f>
        <v>0.12</v>
      </c>
      <c r="AF3541" s="6">
        <f t="shared" si="554"/>
        <v>0</v>
      </c>
      <c r="AG3541" s="14">
        <v>0</v>
      </c>
      <c r="AH3541" s="64">
        <f t="shared" si="547"/>
        <v>0</v>
      </c>
      <c r="AI3541" s="47"/>
      <c r="AJ3541" s="126" t="e">
        <v>#N/A</v>
      </c>
      <c r="AK3541" s="80">
        <f t="shared" si="552"/>
        <v>0</v>
      </c>
      <c r="AM3541" s="85"/>
    </row>
    <row r="3542" spans="1:39" hidden="1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48"/>
        <v>43467.600000000035</v>
      </c>
      <c r="X3542" s="6">
        <f t="shared" si="549"/>
        <v>170566.99999999994</v>
      </c>
      <c r="Y3542" s="13">
        <f t="shared" si="550"/>
        <v>0</v>
      </c>
      <c r="Z3542" s="14">
        <v>0</v>
      </c>
      <c r="AA3542" s="6">
        <v>0</v>
      </c>
      <c r="AB3542" s="4">
        <f t="shared" si="551"/>
        <v>170566.99999999994</v>
      </c>
      <c r="AC3542" s="4">
        <f t="shared" si="553"/>
        <v>1705.6700000000128</v>
      </c>
      <c r="AD3542" s="6">
        <f t="shared" si="546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54"/>
        <v>12059.086899999998</v>
      </c>
      <c r="AG3542" s="14">
        <v>0</v>
      </c>
      <c r="AH3542" s="64">
        <f t="shared" si="547"/>
        <v>172272.66999999995</v>
      </c>
      <c r="AI3542" s="47"/>
      <c r="AJ3542" s="126" t="e">
        <v>#N/A</v>
      </c>
      <c r="AK3542" s="80">
        <f t="shared" si="552"/>
        <v>0</v>
      </c>
      <c r="AM3542" s="85"/>
    </row>
    <row r="3543" spans="1:39" hidden="1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48"/>
        <v>24396.6</v>
      </c>
      <c r="X3543" s="6">
        <f t="shared" si="549"/>
        <v>26541.499999999996</v>
      </c>
      <c r="Y3543" s="13">
        <f t="shared" si="550"/>
        <v>0</v>
      </c>
      <c r="Z3543" s="14">
        <v>0</v>
      </c>
      <c r="AA3543" s="6">
        <v>0</v>
      </c>
      <c r="AB3543" s="4">
        <f t="shared" si="551"/>
        <v>26541.499999999996</v>
      </c>
      <c r="AC3543" s="4">
        <f t="shared" si="553"/>
        <v>1061.6599999999999</v>
      </c>
      <c r="AD3543" s="6">
        <f t="shared" si="546"/>
        <v>27603.159999999996</v>
      </c>
      <c r="AE3543" s="2">
        <f>VLOOKUP(I3543,[1]媒体政策预估表!A:N,MATCH(O3543,[1]媒体政策预估表!$A$2:$M$2,0),0)</f>
        <v>0.12</v>
      </c>
      <c r="AF3543" s="6">
        <f t="shared" si="554"/>
        <v>3312.3791999999994</v>
      </c>
      <c r="AG3543" s="14">
        <v>0</v>
      </c>
      <c r="AH3543" s="64">
        <f t="shared" si="547"/>
        <v>27603.159999999996</v>
      </c>
      <c r="AI3543" s="47"/>
      <c r="AJ3543" s="126" t="e">
        <v>#N/A</v>
      </c>
      <c r="AK3543" s="80">
        <f t="shared" si="552"/>
        <v>0</v>
      </c>
      <c r="AM3543" s="85"/>
    </row>
    <row r="3544" spans="1:39" hidden="1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48"/>
        <v>0</v>
      </c>
      <c r="X3544" s="6">
        <f t="shared" si="549"/>
        <v>28846.153846153844</v>
      </c>
      <c r="Y3544" s="13">
        <f t="shared" si="550"/>
        <v>0</v>
      </c>
      <c r="Z3544" s="14">
        <v>0</v>
      </c>
      <c r="AA3544" s="6">
        <v>0</v>
      </c>
      <c r="AB3544" s="4">
        <f t="shared" si="551"/>
        <v>28846.153846153844</v>
      </c>
      <c r="AC3544" s="4">
        <f t="shared" si="553"/>
        <v>1153.8461538461561</v>
      </c>
      <c r="AD3544" s="6">
        <f t="shared" si="546"/>
        <v>30000</v>
      </c>
      <c r="AE3544" s="2">
        <f>VLOOKUP(I3544,[1]媒体政策预估表!A:N,MATCH(O3544,[1]媒体政策预估表!$A$2:$M$2,0),0)</f>
        <v>0.12</v>
      </c>
      <c r="AF3544" s="6">
        <f t="shared" si="554"/>
        <v>3600</v>
      </c>
      <c r="AG3544" s="14">
        <v>0</v>
      </c>
      <c r="AH3544" s="64">
        <f t="shared" si="547"/>
        <v>30000</v>
      </c>
      <c r="AI3544" s="47"/>
      <c r="AJ3544" s="126" t="e">
        <v>#N/A</v>
      </c>
      <c r="AK3544" s="80">
        <f t="shared" si="552"/>
        <v>0</v>
      </c>
      <c r="AM3544" s="85"/>
    </row>
    <row r="3545" spans="1:39" hidden="1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48"/>
        <v>27564.04</v>
      </c>
      <c r="X3545" s="6">
        <f>IF(P3545="折扣",V3545*Q3545,IF(P3545="返现",V3545,V3545/(1+Q3545)))+0.7</f>
        <v>2342.9692307692308</v>
      </c>
      <c r="Y3545" s="13">
        <f t="shared" si="550"/>
        <v>0</v>
      </c>
      <c r="Z3545" s="14">
        <v>0</v>
      </c>
      <c r="AA3545" s="6">
        <v>0</v>
      </c>
      <c r="AB3545" s="4">
        <f t="shared" si="551"/>
        <v>2342.9692307692308</v>
      </c>
      <c r="AC3545" s="4">
        <f t="shared" si="553"/>
        <v>92.990769230769274</v>
      </c>
      <c r="AD3545" s="6">
        <f t="shared" si="546"/>
        <v>2435.96</v>
      </c>
      <c r="AE3545" s="2">
        <f>VLOOKUP(I3545,[1]媒体政策预估表!A:N,MATCH(O3545,[1]媒体政策预估表!$A$2:$M$2,0),0)</f>
        <v>0.12</v>
      </c>
      <c r="AF3545" s="6">
        <f t="shared" si="554"/>
        <v>292.3152</v>
      </c>
      <c r="AG3545" s="14">
        <v>0</v>
      </c>
      <c r="AH3545" s="64">
        <f t="shared" si="547"/>
        <v>2435.96</v>
      </c>
      <c r="AI3545" s="47"/>
      <c r="AJ3545" s="126" t="e">
        <v>#N/A</v>
      </c>
      <c r="AK3545" s="80">
        <f t="shared" si="552"/>
        <v>0</v>
      </c>
      <c r="AM3545" s="85"/>
    </row>
    <row r="3546" spans="1:39" hidden="1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48"/>
        <v>0</v>
      </c>
      <c r="X3546" s="6">
        <f t="shared" si="549"/>
        <v>0</v>
      </c>
      <c r="Y3546" s="13">
        <f t="shared" si="550"/>
        <v>0</v>
      </c>
      <c r="Z3546" s="14">
        <v>0</v>
      </c>
      <c r="AA3546" s="6">
        <v>0</v>
      </c>
      <c r="AB3546" s="4">
        <f t="shared" si="551"/>
        <v>0</v>
      </c>
      <c r="AC3546" s="4">
        <f t="shared" si="553"/>
        <v>0</v>
      </c>
      <c r="AD3546" s="6">
        <f t="shared" si="546"/>
        <v>0</v>
      </c>
      <c r="AE3546" s="2">
        <f>VLOOKUP(I3546,[1]媒体政策预估表!A:N,MATCH(O3546,[1]媒体政策预估表!$A$2:$M$2,0),0)</f>
        <v>0.12</v>
      </c>
      <c r="AF3546" s="6">
        <f t="shared" si="554"/>
        <v>0</v>
      </c>
      <c r="AG3546" s="14">
        <v>0</v>
      </c>
      <c r="AH3546" s="64">
        <f t="shared" si="547"/>
        <v>0</v>
      </c>
      <c r="AI3546" s="47"/>
      <c r="AJ3546" s="126" t="e">
        <v>#N/A</v>
      </c>
      <c r="AK3546" s="80">
        <f t="shared" si="552"/>
        <v>0</v>
      </c>
      <c r="AM3546" s="85"/>
    </row>
    <row r="3547" spans="1:39" hidden="1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48"/>
        <v>0</v>
      </c>
      <c r="X3547" s="6">
        <f t="shared" si="549"/>
        <v>0</v>
      </c>
      <c r="Y3547" s="13">
        <f t="shared" si="550"/>
        <v>0</v>
      </c>
      <c r="Z3547" s="14">
        <v>0</v>
      </c>
      <c r="AA3547" s="6">
        <v>0</v>
      </c>
      <c r="AB3547" s="4">
        <f t="shared" si="551"/>
        <v>0</v>
      </c>
      <c r="AC3547" s="4">
        <f t="shared" si="553"/>
        <v>0</v>
      </c>
      <c r="AD3547" s="6">
        <f t="shared" si="546"/>
        <v>0</v>
      </c>
      <c r="AE3547" s="2">
        <f>VLOOKUP(I3547,[1]媒体政策预估表!A:N,MATCH(O3547,[1]媒体政策预估表!$A$2:$M$2,0),0)</f>
        <v>0.12</v>
      </c>
      <c r="AF3547" s="6">
        <f t="shared" si="554"/>
        <v>0</v>
      </c>
      <c r="AG3547" s="14">
        <v>0</v>
      </c>
      <c r="AH3547" s="64">
        <f t="shared" si="547"/>
        <v>0</v>
      </c>
      <c r="AI3547" s="47"/>
      <c r="AJ3547" s="126" t="e">
        <v>#N/A</v>
      </c>
      <c r="AK3547" s="80">
        <f t="shared" si="552"/>
        <v>0</v>
      </c>
      <c r="AM3547" s="85"/>
    </row>
    <row r="3548" spans="1:39" hidden="1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48"/>
        <v>26049.1</v>
      </c>
      <c r="X3548" s="6">
        <f t="shared" si="549"/>
        <v>13414.326923076922</v>
      </c>
      <c r="Y3548" s="13">
        <f t="shared" si="550"/>
        <v>0</v>
      </c>
      <c r="Z3548" s="14">
        <v>0</v>
      </c>
      <c r="AA3548" s="6">
        <v>0</v>
      </c>
      <c r="AB3548" s="4">
        <f t="shared" si="551"/>
        <v>13414.326923076922</v>
      </c>
      <c r="AC3548" s="4">
        <f t="shared" si="553"/>
        <v>536.57307692307768</v>
      </c>
      <c r="AD3548" s="6">
        <f t="shared" si="546"/>
        <v>13950.9</v>
      </c>
      <c r="AE3548" s="2">
        <f>VLOOKUP(I3548,[1]媒体政策预估表!A:N,MATCH(O3548,[1]媒体政策预估表!$A$2:$M$2,0),0)</f>
        <v>0.12</v>
      </c>
      <c r="AF3548" s="6">
        <f t="shared" si="554"/>
        <v>1674.1079999999999</v>
      </c>
      <c r="AG3548" s="14">
        <v>0</v>
      </c>
      <c r="AH3548" s="64">
        <f t="shared" si="547"/>
        <v>13950.9</v>
      </c>
      <c r="AI3548" s="47"/>
      <c r="AJ3548" s="126" t="e">
        <v>#N/A</v>
      </c>
      <c r="AK3548" s="80">
        <f t="shared" si="552"/>
        <v>0</v>
      </c>
      <c r="AM3548" s="85"/>
    </row>
    <row r="3549" spans="1:39" hidden="1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48"/>
        <v>29955.9</v>
      </c>
      <c r="X3549" s="6">
        <f t="shared" si="549"/>
        <v>28023.4</v>
      </c>
      <c r="Y3549" s="13">
        <f t="shared" si="550"/>
        <v>0</v>
      </c>
      <c r="Z3549" s="14">
        <v>0</v>
      </c>
      <c r="AA3549" s="6">
        <v>0</v>
      </c>
      <c r="AB3549" s="4">
        <f t="shared" si="551"/>
        <v>28023.4</v>
      </c>
      <c r="AC3549" s="4">
        <f t="shared" si="553"/>
        <v>0</v>
      </c>
      <c r="AD3549" s="6">
        <f t="shared" si="546"/>
        <v>28023.4</v>
      </c>
      <c r="AE3549" s="2">
        <f>VLOOKUP(I3549,[1]媒体政策预估表!A:N,MATCH(O3549,[1]媒体政策预估表!$A$2:$M$2,0),0)</f>
        <v>7.0000000000000007E-2</v>
      </c>
      <c r="AF3549" s="6">
        <f t="shared" si="554"/>
        <v>1961.6380000000004</v>
      </c>
      <c r="AG3549" s="14">
        <v>0</v>
      </c>
      <c r="AH3549" s="64">
        <f t="shared" si="547"/>
        <v>28023.4</v>
      </c>
      <c r="AI3549" s="47"/>
      <c r="AJ3549" s="126" t="e">
        <v>#N/A</v>
      </c>
      <c r="AK3549" s="80">
        <f t="shared" si="552"/>
        <v>0</v>
      </c>
      <c r="AM3549" s="85"/>
    </row>
    <row r="3550" spans="1:39" hidden="1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48"/>
        <v>142001.24000000002</v>
      </c>
      <c r="X3550" s="6">
        <f t="shared" si="549"/>
        <v>5142.0288461538457</v>
      </c>
      <c r="Y3550" s="13">
        <f t="shared" si="550"/>
        <v>0</v>
      </c>
      <c r="Z3550" s="14">
        <v>0</v>
      </c>
      <c r="AA3550" s="6">
        <v>0</v>
      </c>
      <c r="AB3550" s="4">
        <f t="shared" si="551"/>
        <v>5142.0288461538457</v>
      </c>
      <c r="AC3550" s="4">
        <f t="shared" si="553"/>
        <v>205.6811538461543</v>
      </c>
      <c r="AD3550" s="6">
        <f t="shared" si="546"/>
        <v>5347.71</v>
      </c>
      <c r="AE3550" s="2">
        <f>VLOOKUP(I3550,[1]媒体政策预估表!A:N,MATCH(O3550,[1]媒体政策预估表!$A$2:$M$2,0),0)</f>
        <v>0.12</v>
      </c>
      <c r="AF3550" s="6">
        <f t="shared" si="554"/>
        <v>641.72519999999997</v>
      </c>
      <c r="AG3550" s="14">
        <v>0</v>
      </c>
      <c r="AH3550" s="64">
        <f t="shared" si="547"/>
        <v>5347.71</v>
      </c>
      <c r="AI3550" s="47"/>
      <c r="AJ3550" s="126" t="e">
        <v>#N/A</v>
      </c>
      <c r="AK3550" s="80">
        <f t="shared" si="552"/>
        <v>0</v>
      </c>
      <c r="AM3550" s="85"/>
    </row>
    <row r="3551" spans="1:39" hidden="1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48"/>
        <v>413233.26</v>
      </c>
      <c r="X3551" s="6">
        <f t="shared" si="549"/>
        <v>73.653846153846146</v>
      </c>
      <c r="Y3551" s="13">
        <f t="shared" si="550"/>
        <v>0</v>
      </c>
      <c r="Z3551" s="14">
        <v>0</v>
      </c>
      <c r="AA3551" s="6">
        <v>0</v>
      </c>
      <c r="AB3551" s="4">
        <f t="shared" si="551"/>
        <v>73.653846153846146</v>
      </c>
      <c r="AC3551" s="4">
        <f t="shared" si="553"/>
        <v>2.9461538461538481</v>
      </c>
      <c r="AD3551" s="6">
        <f t="shared" si="546"/>
        <v>76.599999999999994</v>
      </c>
      <c r="AE3551" s="2">
        <f>VLOOKUP(I3551,[1]媒体政策预估表!A:N,MATCH(O3551,[1]媒体政策预估表!$A$2:$M$2,0),0)</f>
        <v>0.12</v>
      </c>
      <c r="AF3551" s="6">
        <f t="shared" si="554"/>
        <v>9.1919999999999984</v>
      </c>
      <c r="AG3551" s="14">
        <v>0</v>
      </c>
      <c r="AH3551" s="64">
        <f t="shared" si="547"/>
        <v>76.599999999999994</v>
      </c>
      <c r="AI3551" s="47"/>
      <c r="AJ3551" s="126" t="e">
        <v>#N/A</v>
      </c>
      <c r="AK3551" s="80">
        <f t="shared" si="552"/>
        <v>0</v>
      </c>
      <c r="AM3551" s="85"/>
    </row>
    <row r="3552" spans="1:39" hidden="1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48"/>
        <v>820383.9800000001</v>
      </c>
      <c r="X3552" s="6">
        <f t="shared" si="549"/>
        <v>5838.1730769230762</v>
      </c>
      <c r="Y3552" s="13">
        <f t="shared" si="550"/>
        <v>0</v>
      </c>
      <c r="Z3552" s="14">
        <v>0</v>
      </c>
      <c r="AA3552" s="6">
        <v>0</v>
      </c>
      <c r="AB3552" s="4">
        <f t="shared" si="551"/>
        <v>5838.1730769230762</v>
      </c>
      <c r="AC3552" s="4">
        <f t="shared" si="553"/>
        <v>233.52692307692359</v>
      </c>
      <c r="AD3552" s="6">
        <f t="shared" si="546"/>
        <v>6071.7</v>
      </c>
      <c r="AE3552" s="2">
        <f>VLOOKUP(I3552,[1]媒体政策预估表!A:N,MATCH(O3552,[1]媒体政策预估表!$A$2:$M$2,0),0)</f>
        <v>0.12</v>
      </c>
      <c r="AF3552" s="6">
        <f t="shared" si="554"/>
        <v>728.60399999999993</v>
      </c>
      <c r="AG3552" s="14">
        <v>0</v>
      </c>
      <c r="AH3552" s="64">
        <f t="shared" si="547"/>
        <v>6071.7</v>
      </c>
      <c r="AI3552" s="47"/>
      <c r="AJ3552" s="126" t="e">
        <v>#N/A</v>
      </c>
      <c r="AK3552" s="80">
        <f t="shared" si="552"/>
        <v>0</v>
      </c>
      <c r="AM3552" s="85"/>
    </row>
    <row r="3553" spans="1:39" hidden="1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48"/>
        <v>119147.54000000001</v>
      </c>
      <c r="X3553" s="6">
        <f t="shared" si="549"/>
        <v>320.67307692307696</v>
      </c>
      <c r="Y3553" s="13">
        <f t="shared" si="550"/>
        <v>0</v>
      </c>
      <c r="Z3553" s="14">
        <v>0</v>
      </c>
      <c r="AA3553" s="6">
        <v>0</v>
      </c>
      <c r="AB3553" s="4">
        <f t="shared" si="551"/>
        <v>320.67307692307696</v>
      </c>
      <c r="AC3553" s="4">
        <f t="shared" si="553"/>
        <v>12.826923076923094</v>
      </c>
      <c r="AD3553" s="6">
        <f t="shared" si="546"/>
        <v>333.50000000000006</v>
      </c>
      <c r="AE3553" s="2">
        <f>VLOOKUP(I3553,[1]媒体政策预估表!A:N,MATCH(O3553,[1]媒体政策预估表!$A$2:$M$2,0),0)</f>
        <v>0.12</v>
      </c>
      <c r="AF3553" s="6">
        <f t="shared" si="554"/>
        <v>40.020000000000003</v>
      </c>
      <c r="AG3553" s="14">
        <v>0</v>
      </c>
      <c r="AH3553" s="64">
        <f t="shared" si="547"/>
        <v>333.50000000000006</v>
      </c>
      <c r="AI3553" s="47"/>
      <c r="AJ3553" s="126" t="e">
        <v>#N/A</v>
      </c>
      <c r="AK3553" s="80">
        <f t="shared" si="552"/>
        <v>0</v>
      </c>
      <c r="AM3553" s="85"/>
    </row>
    <row r="3554" spans="1:39" hidden="1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48"/>
        <v>110000</v>
      </c>
      <c r="X3554" s="6">
        <f t="shared" si="549"/>
        <v>0</v>
      </c>
      <c r="Y3554" s="13">
        <f t="shared" si="550"/>
        <v>0</v>
      </c>
      <c r="Z3554" s="14">
        <v>0</v>
      </c>
      <c r="AA3554" s="6">
        <v>0</v>
      </c>
      <c r="AB3554" s="4">
        <f t="shared" si="551"/>
        <v>0</v>
      </c>
      <c r="AC3554" s="4">
        <f t="shared" si="553"/>
        <v>0</v>
      </c>
      <c r="AD3554" s="6">
        <f t="shared" si="546"/>
        <v>0</v>
      </c>
      <c r="AE3554" s="2">
        <f>VLOOKUP(I3554,[1]媒体政策预估表!A:N,MATCH(O3554,[1]媒体政策预估表!$A$2:$M$2,0),0)</f>
        <v>0.12</v>
      </c>
      <c r="AF3554" s="6">
        <f t="shared" si="554"/>
        <v>0</v>
      </c>
      <c r="AG3554" s="14">
        <v>0</v>
      </c>
      <c r="AH3554" s="64">
        <f t="shared" si="547"/>
        <v>0</v>
      </c>
      <c r="AI3554" s="47"/>
      <c r="AJ3554" s="126" t="e">
        <v>#N/A</v>
      </c>
      <c r="AK3554" s="80">
        <f t="shared" si="552"/>
        <v>0</v>
      </c>
      <c r="AM3554" s="85"/>
    </row>
    <row r="3555" spans="1:39" hidden="1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48"/>
        <v>343100.67</v>
      </c>
      <c r="X3555" s="6">
        <f t="shared" si="549"/>
        <v>879.23076923076917</v>
      </c>
      <c r="Y3555" s="13">
        <f t="shared" si="550"/>
        <v>0</v>
      </c>
      <c r="Z3555" s="14">
        <v>0</v>
      </c>
      <c r="AA3555" s="6">
        <v>0</v>
      </c>
      <c r="AB3555" s="4">
        <f t="shared" si="551"/>
        <v>879.23076923076917</v>
      </c>
      <c r="AC3555" s="4">
        <f t="shared" si="553"/>
        <v>35.169230769230808</v>
      </c>
      <c r="AD3555" s="6">
        <f t="shared" si="546"/>
        <v>914.4</v>
      </c>
      <c r="AE3555" s="2">
        <f>VLOOKUP(I3555,[1]媒体政策预估表!A:N,MATCH(O3555,[1]媒体政策预估表!$A$2:$M$2,0),0)</f>
        <v>0.12</v>
      </c>
      <c r="AF3555" s="6">
        <f t="shared" si="554"/>
        <v>109.72799999999999</v>
      </c>
      <c r="AG3555" s="14">
        <v>0</v>
      </c>
      <c r="AH3555" s="64">
        <f t="shared" si="547"/>
        <v>914.4</v>
      </c>
      <c r="AI3555" s="47"/>
      <c r="AJ3555" s="126" t="e">
        <v>#N/A</v>
      </c>
      <c r="AK3555" s="80">
        <f t="shared" si="552"/>
        <v>0</v>
      </c>
      <c r="AM3555" s="85"/>
    </row>
    <row r="3556" spans="1:39" hidden="1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48"/>
        <v>379224.2</v>
      </c>
      <c r="X3556" s="6">
        <f t="shared" si="549"/>
        <v>217.82692307692307</v>
      </c>
      <c r="Y3556" s="13">
        <f t="shared" si="550"/>
        <v>0</v>
      </c>
      <c r="Z3556" s="14">
        <v>0</v>
      </c>
      <c r="AA3556" s="6">
        <v>0</v>
      </c>
      <c r="AB3556" s="4">
        <f t="shared" si="551"/>
        <v>217.82692307692307</v>
      </c>
      <c r="AC3556" s="4">
        <f t="shared" si="553"/>
        <v>8.7130769230769261</v>
      </c>
      <c r="AD3556" s="6">
        <f t="shared" ref="AD3556:AD3619" si="555">V3556</f>
        <v>226.54</v>
      </c>
      <c r="AE3556" s="2">
        <f>VLOOKUP(I3556,[1]媒体政策预估表!A:N,MATCH(O3556,[1]媒体政策预估表!$A$2:$M$2,0),0)</f>
        <v>0.12</v>
      </c>
      <c r="AF3556" s="6">
        <f t="shared" si="554"/>
        <v>27.184799999999999</v>
      </c>
      <c r="AG3556" s="14">
        <v>0</v>
      </c>
      <c r="AH3556" s="64">
        <f t="shared" ref="AH3556:AH3619" si="556">V3556</f>
        <v>226.54</v>
      </c>
      <c r="AI3556" s="47"/>
      <c r="AJ3556" s="126" t="e">
        <v>#N/A</v>
      </c>
      <c r="AK3556" s="80">
        <f t="shared" si="552"/>
        <v>0</v>
      </c>
      <c r="AM3556" s="85"/>
    </row>
    <row r="3557" spans="1:39" hidden="1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48"/>
        <v>5106.3300000000017</v>
      </c>
      <c r="X3557" s="6">
        <f t="shared" si="549"/>
        <v>14601.637254901958</v>
      </c>
      <c r="Y3557" s="13">
        <f t="shared" si="550"/>
        <v>0</v>
      </c>
      <c r="Z3557" s="14">
        <v>0</v>
      </c>
      <c r="AA3557" s="6">
        <v>0</v>
      </c>
      <c r="AB3557" s="4">
        <f t="shared" si="551"/>
        <v>14601.637254901958</v>
      </c>
      <c r="AC3557" s="4">
        <f t="shared" si="553"/>
        <v>292.03274509804032</v>
      </c>
      <c r="AD3557" s="6">
        <f t="shared" si="555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54"/>
        <v>1042.5569</v>
      </c>
      <c r="AG3557" s="14">
        <v>0</v>
      </c>
      <c r="AH3557" s="64">
        <f t="shared" si="556"/>
        <v>14893.669999999998</v>
      </c>
      <c r="AI3557" s="47"/>
      <c r="AJ3557" s="126" t="e">
        <v>#N/A</v>
      </c>
      <c r="AK3557" s="80">
        <f t="shared" si="552"/>
        <v>0</v>
      </c>
      <c r="AM3557" s="85"/>
    </row>
    <row r="3558" spans="1:39" hidden="1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57">T3558+U3558-V3558</f>
        <v>120501.72999999952</v>
      </c>
      <c r="X3558" s="6">
        <f t="shared" si="549"/>
        <v>1140183.2135922334</v>
      </c>
      <c r="Y3558" s="13">
        <f t="shared" si="550"/>
        <v>0</v>
      </c>
      <c r="Z3558" s="14">
        <v>0</v>
      </c>
      <c r="AA3558" s="6">
        <v>0</v>
      </c>
      <c r="AB3558" s="4">
        <f t="shared" si="551"/>
        <v>1140183.2135922334</v>
      </c>
      <c r="AC3558" s="4">
        <f t="shared" si="553"/>
        <v>34205.496407767059</v>
      </c>
      <c r="AD3558" s="6">
        <f t="shared" si="555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54"/>
        <v>82207.209700000036</v>
      </c>
      <c r="AG3558" s="14">
        <v>0</v>
      </c>
      <c r="AH3558" s="64">
        <f t="shared" si="556"/>
        <v>1174388.7100000004</v>
      </c>
      <c r="AI3558" s="47"/>
      <c r="AJ3558" s="126" t="e">
        <v>#N/A</v>
      </c>
      <c r="AK3558" s="80">
        <f t="shared" si="552"/>
        <v>0</v>
      </c>
      <c r="AM3558" s="85"/>
    </row>
    <row r="3559" spans="1:39" hidden="1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57"/>
        <v>125616.29999999981</v>
      </c>
      <c r="X3559" s="6">
        <f t="shared" ref="X3559:X3622" si="558">IF(P3559="折扣",V3559*Q3559,IF(P3559="返现",V3559,V3559/(1+Q3559)))</f>
        <v>1539499.3980582522</v>
      </c>
      <c r="Y3559" s="13">
        <f t="shared" si="550"/>
        <v>0</v>
      </c>
      <c r="Z3559" s="14">
        <v>0</v>
      </c>
      <c r="AA3559" s="6">
        <v>0</v>
      </c>
      <c r="AB3559" s="4">
        <f t="shared" si="551"/>
        <v>1539499.3980582522</v>
      </c>
      <c r="AC3559" s="4">
        <f t="shared" si="553"/>
        <v>46184.981941747712</v>
      </c>
      <c r="AD3559" s="6">
        <f t="shared" si="555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54"/>
        <v>110997.9066</v>
      </c>
      <c r="AG3559" s="14">
        <v>0</v>
      </c>
      <c r="AH3559" s="64">
        <f t="shared" si="556"/>
        <v>1585684.38</v>
      </c>
      <c r="AI3559" s="47"/>
      <c r="AJ3559" s="126" t="e">
        <v>#N/A</v>
      </c>
      <c r="AK3559" s="80">
        <f t="shared" si="552"/>
        <v>0</v>
      </c>
      <c r="AM3559" s="85"/>
    </row>
    <row r="3560" spans="1:39" hidden="1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57"/>
        <v>2536.8000000000002</v>
      </c>
      <c r="X3560" s="6">
        <f t="shared" si="558"/>
        <v>0</v>
      </c>
      <c r="Y3560" s="13">
        <f t="shared" si="550"/>
        <v>0</v>
      </c>
      <c r="Z3560" s="14">
        <v>0</v>
      </c>
      <c r="AA3560" s="6">
        <v>0</v>
      </c>
      <c r="AB3560" s="4">
        <f t="shared" si="551"/>
        <v>0</v>
      </c>
      <c r="AC3560" s="4">
        <f t="shared" si="553"/>
        <v>0</v>
      </c>
      <c r="AD3560" s="6">
        <f t="shared" si="555"/>
        <v>0</v>
      </c>
      <c r="AE3560" s="2">
        <f>VLOOKUP(I3560,[1]媒体政策预估表!A:N,MATCH(O3560,[1]媒体政策预估表!$A$2:$M$2,0),0)</f>
        <v>0.12</v>
      </c>
      <c r="AF3560" s="6">
        <f t="shared" si="554"/>
        <v>0</v>
      </c>
      <c r="AG3560" s="14">
        <v>0</v>
      </c>
      <c r="AH3560" s="64">
        <f t="shared" si="556"/>
        <v>0</v>
      </c>
      <c r="AI3560" s="47"/>
      <c r="AJ3560" s="126" t="e">
        <v>#N/A</v>
      </c>
      <c r="AK3560" s="80">
        <f t="shared" si="552"/>
        <v>0</v>
      </c>
      <c r="AM3560" s="85"/>
    </row>
    <row r="3561" spans="1:39" hidden="1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57"/>
        <v>501051.50000000012</v>
      </c>
      <c r="X3561" s="6">
        <f t="shared" si="558"/>
        <v>221153.9901960784</v>
      </c>
      <c r="Y3561" s="13">
        <f t="shared" si="550"/>
        <v>0</v>
      </c>
      <c r="Z3561" s="14">
        <v>0</v>
      </c>
      <c r="AA3561" s="6">
        <v>0</v>
      </c>
      <c r="AB3561" s="4">
        <f t="shared" si="551"/>
        <v>221153.9901960784</v>
      </c>
      <c r="AC3561" s="4">
        <f t="shared" si="553"/>
        <v>4423.0798039215733</v>
      </c>
      <c r="AD3561" s="6">
        <f t="shared" si="555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54"/>
        <v>15790.394899999999</v>
      </c>
      <c r="AG3561" s="14">
        <v>0</v>
      </c>
      <c r="AH3561" s="64">
        <f t="shared" si="556"/>
        <v>225577.06999999998</v>
      </c>
      <c r="AI3561" s="47"/>
      <c r="AJ3561" s="126" t="e">
        <v>#N/A</v>
      </c>
      <c r="AK3561" s="80">
        <f t="shared" si="552"/>
        <v>0</v>
      </c>
      <c r="AM3561" s="85"/>
    </row>
    <row r="3562" spans="1:39" hidden="1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57"/>
        <v>148257.65000000002</v>
      </c>
      <c r="X3562" s="6">
        <f t="shared" si="558"/>
        <v>146421.28571428568</v>
      </c>
      <c r="Y3562" s="13">
        <f t="shared" si="550"/>
        <v>0</v>
      </c>
      <c r="Z3562" s="14">
        <v>0</v>
      </c>
      <c r="AA3562" s="6">
        <v>0</v>
      </c>
      <c r="AB3562" s="4">
        <f t="shared" si="551"/>
        <v>146421.28571428568</v>
      </c>
      <c r="AC3562" s="4">
        <f t="shared" si="553"/>
        <v>7321.0642857142957</v>
      </c>
      <c r="AD3562" s="6">
        <f t="shared" si="555"/>
        <v>153742.34999999998</v>
      </c>
      <c r="AE3562" s="2">
        <f>VLOOKUP(I3562,[1]媒体政策预估表!A:N,MATCH(O3562,[1]媒体政策预估表!$A$2:$M$2,0),0)</f>
        <v>0.12</v>
      </c>
      <c r="AF3562" s="6">
        <f t="shared" si="554"/>
        <v>18449.081999999995</v>
      </c>
      <c r="AG3562" s="14">
        <v>0</v>
      </c>
      <c r="AH3562" s="64">
        <f t="shared" si="556"/>
        <v>153742.34999999998</v>
      </c>
      <c r="AI3562" s="47"/>
      <c r="AJ3562" s="126" t="e">
        <v>#N/A</v>
      </c>
      <c r="AK3562" s="80">
        <f t="shared" si="552"/>
        <v>0</v>
      </c>
      <c r="AM3562" s="85"/>
    </row>
    <row r="3563" spans="1:39" hidden="1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57"/>
        <v>24658.599999999991</v>
      </c>
      <c r="X3563" s="6">
        <f t="shared" si="558"/>
        <v>55341.400000000009</v>
      </c>
      <c r="Y3563" s="13">
        <f t="shared" si="550"/>
        <v>0</v>
      </c>
      <c r="Z3563" s="14">
        <v>0</v>
      </c>
      <c r="AA3563" s="6">
        <v>0</v>
      </c>
      <c r="AB3563" s="4">
        <f t="shared" si="551"/>
        <v>55341.400000000009</v>
      </c>
      <c r="AC3563" s="4">
        <f t="shared" si="553"/>
        <v>0</v>
      </c>
      <c r="AD3563" s="6">
        <f t="shared" si="555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54"/>
        <v>3873.898000000001</v>
      </c>
      <c r="AG3563" s="14">
        <v>0</v>
      </c>
      <c r="AH3563" s="64">
        <f t="shared" si="556"/>
        <v>55341.400000000009</v>
      </c>
      <c r="AI3563" s="47"/>
      <c r="AJ3563" s="126" t="e">
        <v>#N/A</v>
      </c>
      <c r="AK3563" s="80">
        <f t="shared" si="552"/>
        <v>0</v>
      </c>
      <c r="AM3563" s="85"/>
    </row>
    <row r="3564" spans="1:39" hidden="1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57"/>
        <v>1865.6000000000004</v>
      </c>
      <c r="X3564" s="6">
        <f t="shared" si="558"/>
        <v>1003.1372549019605</v>
      </c>
      <c r="Y3564" s="13">
        <f t="shared" si="550"/>
        <v>0</v>
      </c>
      <c r="Z3564" s="14">
        <v>0</v>
      </c>
      <c r="AA3564" s="6">
        <v>0</v>
      </c>
      <c r="AB3564" s="4">
        <f t="shared" si="551"/>
        <v>1003.1372549019605</v>
      </c>
      <c r="AC3564" s="4">
        <f t="shared" si="553"/>
        <v>20.062745098039272</v>
      </c>
      <c r="AD3564" s="6">
        <f t="shared" si="555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54"/>
        <v>71.623999999999995</v>
      </c>
      <c r="AG3564" s="14">
        <v>0</v>
      </c>
      <c r="AH3564" s="64">
        <f t="shared" si="556"/>
        <v>1023.1999999999998</v>
      </c>
      <c r="AI3564" s="47"/>
      <c r="AJ3564" s="126" t="e">
        <v>#N/A</v>
      </c>
      <c r="AK3564" s="80">
        <f t="shared" si="552"/>
        <v>0</v>
      </c>
      <c r="AM3564" s="85"/>
    </row>
    <row r="3565" spans="1:39" hidden="1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57"/>
        <v>-6.3948846218409017E-13</v>
      </c>
      <c r="X3565" s="6">
        <f t="shared" si="558"/>
        <v>0</v>
      </c>
      <c r="Y3565" s="13">
        <f t="shared" si="550"/>
        <v>0</v>
      </c>
      <c r="Z3565" s="14">
        <v>0</v>
      </c>
      <c r="AA3565" s="6">
        <v>0</v>
      </c>
      <c r="AB3565" s="4">
        <f t="shared" si="551"/>
        <v>0</v>
      </c>
      <c r="AC3565" s="4">
        <f t="shared" si="553"/>
        <v>0</v>
      </c>
      <c r="AD3565" s="6">
        <f t="shared" si="555"/>
        <v>0</v>
      </c>
      <c r="AE3565" s="2">
        <f>VLOOKUP(I3565,[1]媒体政策预估表!A:N,MATCH(O3565,[1]媒体政策预估表!$A$2:$M$2,0),0)</f>
        <v>7.0000000000000007E-2</v>
      </c>
      <c r="AF3565" s="6">
        <f t="shared" si="554"/>
        <v>0</v>
      </c>
      <c r="AG3565" s="14">
        <v>0</v>
      </c>
      <c r="AH3565" s="64">
        <f t="shared" si="556"/>
        <v>0</v>
      </c>
      <c r="AI3565" s="47"/>
      <c r="AJ3565" s="126" t="e">
        <v>#N/A</v>
      </c>
      <c r="AK3565" s="80">
        <f t="shared" si="552"/>
        <v>0</v>
      </c>
      <c r="AM3565" s="85"/>
    </row>
    <row r="3566" spans="1:39" hidden="1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57"/>
        <v>35689.5</v>
      </c>
      <c r="X3566" s="6">
        <f t="shared" si="558"/>
        <v>54310.5</v>
      </c>
      <c r="Y3566" s="13">
        <f t="shared" si="550"/>
        <v>0</v>
      </c>
      <c r="Z3566" s="14">
        <v>0</v>
      </c>
      <c r="AA3566" s="6">
        <v>0</v>
      </c>
      <c r="AB3566" s="4"/>
      <c r="AC3566" s="4">
        <f t="shared" si="553"/>
        <v>0</v>
      </c>
      <c r="AD3566" s="6">
        <f t="shared" si="555"/>
        <v>54310.5</v>
      </c>
      <c r="AE3566" s="2">
        <f>VLOOKUP(I3566,[1]媒体政策预估表!A:N,MATCH(O3566,[1]媒体政策预估表!$A$2:$M$2,0),0)</f>
        <v>7.0000000000000007E-2</v>
      </c>
      <c r="AF3566" s="6">
        <f t="shared" si="554"/>
        <v>3801.7350000000006</v>
      </c>
      <c r="AG3566" s="14">
        <v>0</v>
      </c>
      <c r="AH3566" s="64">
        <f t="shared" si="556"/>
        <v>54310.5</v>
      </c>
      <c r="AI3566" s="47"/>
      <c r="AJ3566" s="126">
        <v>109</v>
      </c>
      <c r="AK3566" s="80">
        <f t="shared" si="552"/>
        <v>54310.5</v>
      </c>
      <c r="AM3566" s="85"/>
    </row>
    <row r="3567" spans="1:39" hidden="1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57"/>
        <v>0</v>
      </c>
      <c r="X3567" s="6">
        <f t="shared" si="558"/>
        <v>19999.7</v>
      </c>
      <c r="Y3567" s="13">
        <f t="shared" si="550"/>
        <v>0</v>
      </c>
      <c r="Z3567" s="14">
        <v>0</v>
      </c>
      <c r="AA3567" s="6">
        <v>0</v>
      </c>
      <c r="AB3567" s="4"/>
      <c r="AC3567" s="4">
        <f t="shared" si="553"/>
        <v>0</v>
      </c>
      <c r="AD3567" s="6">
        <f t="shared" si="555"/>
        <v>19999.7</v>
      </c>
      <c r="AE3567" s="2">
        <f>VLOOKUP(I3567,[1]媒体政策预估表!A:N,MATCH(O3567,[1]媒体政策预估表!$A$2:$M$2,0),0)</f>
        <v>7.0000000000000007E-2</v>
      </c>
      <c r="AF3567" s="6">
        <f t="shared" si="554"/>
        <v>1399.9790000000003</v>
      </c>
      <c r="AG3567" s="14">
        <v>0</v>
      </c>
      <c r="AH3567" s="64">
        <f t="shared" si="556"/>
        <v>19999.7</v>
      </c>
      <c r="AI3567" s="47"/>
      <c r="AJ3567" s="126">
        <v>109</v>
      </c>
      <c r="AK3567" s="80">
        <f t="shared" si="552"/>
        <v>19999.7</v>
      </c>
      <c r="AM3567" s="85"/>
    </row>
    <row r="3568" spans="1:39" hidden="1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57"/>
        <v>12170.349999999999</v>
      </c>
      <c r="X3568" s="6">
        <f t="shared" si="558"/>
        <v>47829.65</v>
      </c>
      <c r="Y3568" s="13">
        <f t="shared" si="550"/>
        <v>0</v>
      </c>
      <c r="Z3568" s="14">
        <v>0</v>
      </c>
      <c r="AA3568" s="6">
        <v>0</v>
      </c>
      <c r="AB3568" s="4">
        <f t="shared" si="551"/>
        <v>47829.65</v>
      </c>
      <c r="AC3568" s="4">
        <f t="shared" si="553"/>
        <v>0</v>
      </c>
      <c r="AD3568" s="6">
        <f t="shared" si="555"/>
        <v>47829.65</v>
      </c>
      <c r="AE3568" s="2">
        <f>VLOOKUP(I3568,[1]媒体政策预估表!A:N,MATCH(O3568,[1]媒体政策预估表!$A$2:$M$2,0),0)</f>
        <v>7.0000000000000007E-2</v>
      </c>
      <c r="AF3568" s="6">
        <f t="shared" si="554"/>
        <v>3348.0755000000004</v>
      </c>
      <c r="AG3568" s="14">
        <v>0</v>
      </c>
      <c r="AH3568" s="64">
        <f t="shared" si="556"/>
        <v>47829.65</v>
      </c>
      <c r="AI3568" s="47"/>
      <c r="AJ3568" s="126" t="e">
        <v>#N/A</v>
      </c>
      <c r="AK3568" s="80">
        <f t="shared" si="552"/>
        <v>0</v>
      </c>
      <c r="AM3568" s="85"/>
    </row>
    <row r="3569" spans="1:39" hidden="1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57"/>
        <v>4499.8999999999996</v>
      </c>
      <c r="X3569" s="6">
        <f t="shared" si="558"/>
        <v>500.1</v>
      </c>
      <c r="Y3569" s="13">
        <f t="shared" si="550"/>
        <v>0</v>
      </c>
      <c r="Z3569" s="14">
        <v>0</v>
      </c>
      <c r="AA3569" s="6">
        <v>0</v>
      </c>
      <c r="AB3569" s="4">
        <f t="shared" si="551"/>
        <v>500.1</v>
      </c>
      <c r="AC3569" s="4">
        <f t="shared" si="553"/>
        <v>0</v>
      </c>
      <c r="AD3569" s="6">
        <f t="shared" si="555"/>
        <v>500.1</v>
      </c>
      <c r="AE3569" s="2">
        <f>VLOOKUP(I3569,[1]媒体政策预估表!A:N,MATCH(O3569,[1]媒体政策预估表!$A$2:$M$2,0),0)</f>
        <v>0.12</v>
      </c>
      <c r="AF3569" s="6">
        <f t="shared" si="554"/>
        <v>60.012</v>
      </c>
      <c r="AG3569" s="14">
        <v>0</v>
      </c>
      <c r="AH3569" s="64">
        <f t="shared" si="556"/>
        <v>500.1</v>
      </c>
      <c r="AI3569" s="47"/>
      <c r="AJ3569" s="126" t="e">
        <v>#N/A</v>
      </c>
      <c r="AK3569" s="80">
        <f t="shared" si="552"/>
        <v>0</v>
      </c>
      <c r="AM3569" s="85"/>
    </row>
    <row r="3570" spans="1:39" hidden="1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57"/>
        <v>8093</v>
      </c>
      <c r="X3570" s="6">
        <f t="shared" si="558"/>
        <v>5983.8235294117649</v>
      </c>
      <c r="Y3570" s="13">
        <f t="shared" si="550"/>
        <v>0</v>
      </c>
      <c r="Z3570" s="14">
        <v>0</v>
      </c>
      <c r="AA3570" s="6">
        <v>0</v>
      </c>
      <c r="AB3570" s="4">
        <f t="shared" si="551"/>
        <v>5983.8235294117649</v>
      </c>
      <c r="AC3570" s="4">
        <f t="shared" si="553"/>
        <v>119.67647058823513</v>
      </c>
      <c r="AD3570" s="6">
        <f t="shared" si="555"/>
        <v>6103.5</v>
      </c>
      <c r="AE3570" s="2">
        <f>VLOOKUP(I3570,[1]媒体政策预估表!A:N,MATCH(O3570,[1]媒体政策预估表!$A$2:$M$2,0),0)</f>
        <v>7.0000000000000007E-2</v>
      </c>
      <c r="AF3570" s="6">
        <f t="shared" si="554"/>
        <v>427.24500000000006</v>
      </c>
      <c r="AG3570" s="14">
        <v>0</v>
      </c>
      <c r="AH3570" s="64">
        <f t="shared" si="556"/>
        <v>6103.5</v>
      </c>
      <c r="AI3570" s="47"/>
      <c r="AJ3570" s="126" t="e">
        <v>#N/A</v>
      </c>
      <c r="AK3570" s="80">
        <f t="shared" si="552"/>
        <v>0</v>
      </c>
      <c r="AM3570" s="85"/>
    </row>
    <row r="3571" spans="1:39" hidden="1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57"/>
        <v>5949</v>
      </c>
      <c r="X3571" s="6">
        <f t="shared" si="558"/>
        <v>56026.5</v>
      </c>
      <c r="Y3571" s="13">
        <f t="shared" si="550"/>
        <v>0</v>
      </c>
      <c r="Z3571" s="14">
        <v>0</v>
      </c>
      <c r="AA3571" s="6">
        <v>0</v>
      </c>
      <c r="AB3571" s="4">
        <f t="shared" si="551"/>
        <v>56026.5</v>
      </c>
      <c r="AC3571" s="4">
        <f t="shared" si="553"/>
        <v>0</v>
      </c>
      <c r="AD3571" s="6">
        <f t="shared" si="555"/>
        <v>56026.5</v>
      </c>
      <c r="AE3571" s="2">
        <f>VLOOKUP(I3571,[1]媒体政策预估表!A:N,MATCH(O3571,[1]媒体政策预估表!$A$2:$M$2,0),0)</f>
        <v>7.0000000000000007E-2</v>
      </c>
      <c r="AF3571" s="6">
        <f t="shared" si="554"/>
        <v>3921.8550000000005</v>
      </c>
      <c r="AG3571" s="14">
        <v>0</v>
      </c>
      <c r="AH3571" s="64">
        <f t="shared" si="556"/>
        <v>56026.5</v>
      </c>
      <c r="AI3571" s="47"/>
      <c r="AJ3571" s="126" t="e">
        <v>#N/A</v>
      </c>
      <c r="AK3571" s="80">
        <f t="shared" si="552"/>
        <v>0</v>
      </c>
      <c r="AM3571" s="85"/>
    </row>
    <row r="3572" spans="1:39" hidden="1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57"/>
        <v>41291.299999999988</v>
      </c>
      <c r="X3572" s="6">
        <f t="shared" si="558"/>
        <v>48877.91</v>
      </c>
      <c r="Y3572" s="13">
        <f t="shared" si="550"/>
        <v>0</v>
      </c>
      <c r="Z3572" s="14">
        <v>0</v>
      </c>
      <c r="AA3572" s="6">
        <v>0</v>
      </c>
      <c r="AB3572" s="4">
        <f t="shared" si="551"/>
        <v>48877.91</v>
      </c>
      <c r="AC3572" s="4">
        <f t="shared" si="553"/>
        <v>0</v>
      </c>
      <c r="AD3572" s="6">
        <f t="shared" si="555"/>
        <v>48877.91</v>
      </c>
      <c r="AE3572" s="2">
        <f>VLOOKUP(I3572,[1]媒体政策预估表!A:N,MATCH(O3572,[1]媒体政策预估表!$A$2:$M$2,0),0)</f>
        <v>7.0000000000000007E-2</v>
      </c>
      <c r="AF3572" s="6">
        <f t="shared" si="554"/>
        <v>3421.4537000000005</v>
      </c>
      <c r="AG3572" s="14">
        <v>0</v>
      </c>
      <c r="AH3572" s="64">
        <f t="shared" si="556"/>
        <v>48877.91</v>
      </c>
      <c r="AI3572" s="47"/>
      <c r="AJ3572" s="126" t="e">
        <v>#N/A</v>
      </c>
      <c r="AK3572" s="80">
        <f t="shared" si="552"/>
        <v>0</v>
      </c>
      <c r="AM3572" s="85"/>
    </row>
    <row r="3573" spans="1:39" hidden="1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558"/>
        <v>958.84615384615381</v>
      </c>
      <c r="Y3573" s="13">
        <f t="shared" si="550"/>
        <v>0</v>
      </c>
      <c r="Z3573" s="14">
        <v>0</v>
      </c>
      <c r="AA3573" s="6">
        <v>0</v>
      </c>
      <c r="AB3573" s="4">
        <f t="shared" si="551"/>
        <v>958.84615384615381</v>
      </c>
      <c r="AC3573" s="4">
        <f t="shared" si="553"/>
        <v>38.353846153846234</v>
      </c>
      <c r="AD3573" s="6">
        <f t="shared" si="555"/>
        <v>997.2</v>
      </c>
      <c r="AE3573" s="2">
        <f>VLOOKUP(I3573,[1]媒体政策预估表!A:N,MATCH(O3573,[1]媒体政策预估表!$A$2:$M$2,0),0)</f>
        <v>0.12</v>
      </c>
      <c r="AF3573" s="6">
        <f t="shared" si="554"/>
        <v>119.664</v>
      </c>
      <c r="AG3573" s="14">
        <v>0</v>
      </c>
      <c r="AH3573" s="64">
        <f t="shared" si="556"/>
        <v>997.2</v>
      </c>
      <c r="AI3573" s="47"/>
      <c r="AJ3573" s="126" t="e">
        <v>#N/A</v>
      </c>
      <c r="AK3573" s="80">
        <f t="shared" si="552"/>
        <v>0</v>
      </c>
      <c r="AM3573" s="85"/>
    </row>
    <row r="3574" spans="1:39" hidden="1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57"/>
        <v>44018.229999999981</v>
      </c>
      <c r="X3574" s="6">
        <f t="shared" si="558"/>
        <v>83139.8</v>
      </c>
      <c r="Y3574" s="13">
        <f t="shared" si="550"/>
        <v>0</v>
      </c>
      <c r="Z3574" s="14">
        <v>0</v>
      </c>
      <c r="AA3574" s="6">
        <v>0</v>
      </c>
      <c r="AB3574" s="4">
        <f t="shared" si="551"/>
        <v>83139.8</v>
      </c>
      <c r="AC3574" s="4">
        <f t="shared" si="553"/>
        <v>0</v>
      </c>
      <c r="AD3574" s="6">
        <f t="shared" si="555"/>
        <v>83139.8</v>
      </c>
      <c r="AE3574" s="2">
        <f>VLOOKUP(I3574,[1]媒体政策预估表!A:N,MATCH(O3574,[1]媒体政策预估表!$A$2:$M$2,0),0)</f>
        <v>7.0000000000000007E-2</v>
      </c>
      <c r="AF3574" s="6">
        <f t="shared" si="554"/>
        <v>5819.786000000001</v>
      </c>
      <c r="AG3574" s="14">
        <v>0</v>
      </c>
      <c r="AH3574" s="64">
        <f t="shared" si="556"/>
        <v>83139.8</v>
      </c>
      <c r="AI3574" s="47"/>
      <c r="AJ3574" s="126" t="e">
        <v>#N/A</v>
      </c>
      <c r="AK3574" s="80">
        <f t="shared" si="552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57"/>
        <v>8425.8000000000011</v>
      </c>
      <c r="X3575" s="6">
        <f t="shared" si="558"/>
        <v>12349.199999999999</v>
      </c>
      <c r="Y3575" s="13">
        <f t="shared" si="550"/>
        <v>0</v>
      </c>
      <c r="Z3575" s="14">
        <v>0</v>
      </c>
      <c r="AA3575" s="6">
        <v>0</v>
      </c>
      <c r="AB3575" s="4">
        <f t="shared" si="551"/>
        <v>12349.199999999999</v>
      </c>
      <c r="AC3575" s="4">
        <f t="shared" si="553"/>
        <v>0</v>
      </c>
      <c r="AD3575" s="6">
        <f t="shared" si="555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54"/>
        <v>864.44399999999996</v>
      </c>
      <c r="AG3575" s="14">
        <v>0</v>
      </c>
      <c r="AH3575" s="64">
        <f t="shared" si="556"/>
        <v>12349.199999999999</v>
      </c>
      <c r="AI3575" s="47"/>
      <c r="AJ3575" s="126" t="e">
        <v>#N/A</v>
      </c>
      <c r="AK3575" s="80">
        <f t="shared" si="552"/>
        <v>0</v>
      </c>
      <c r="AM3575" s="85"/>
    </row>
    <row r="3576" spans="1:39" hidden="1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57"/>
        <v>0</v>
      </c>
      <c r="X3576" s="6">
        <f t="shared" si="558"/>
        <v>4309.0599999999995</v>
      </c>
      <c r="Y3576" s="13">
        <f t="shared" si="550"/>
        <v>0</v>
      </c>
      <c r="Z3576" s="14">
        <v>0</v>
      </c>
      <c r="AA3576" s="6">
        <v>0</v>
      </c>
      <c r="AB3576" s="4">
        <f t="shared" si="551"/>
        <v>4309.0599999999995</v>
      </c>
      <c r="AC3576" s="4">
        <f t="shared" si="553"/>
        <v>87.940000000000509</v>
      </c>
      <c r="AD3576" s="6">
        <f t="shared" si="555"/>
        <v>4397</v>
      </c>
      <c r="AE3576" s="2">
        <f>VLOOKUP(I3576,[1]媒体政策预估表!A:N,MATCH(O3576,[1]媒体政策预估表!$A$2:$M$2,0),0)</f>
        <v>7.0000000000000007E-2</v>
      </c>
      <c r="AF3576" s="6">
        <f t="shared" si="554"/>
        <v>307.79000000000002</v>
      </c>
      <c r="AG3576" s="14">
        <v>0</v>
      </c>
      <c r="AH3576" s="64">
        <f t="shared" si="556"/>
        <v>4397</v>
      </c>
      <c r="AI3576" s="47"/>
      <c r="AJ3576" s="126" t="e">
        <v>#N/A</v>
      </c>
      <c r="AK3576" s="80">
        <f t="shared" si="552"/>
        <v>0</v>
      </c>
      <c r="AM3576" s="85"/>
    </row>
    <row r="3577" spans="1:39" hidden="1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57"/>
        <v>13167.41</v>
      </c>
      <c r="X3577" s="6">
        <f t="shared" si="558"/>
        <v>6698.6176470588234</v>
      </c>
      <c r="Y3577" s="13">
        <f t="shared" si="550"/>
        <v>0</v>
      </c>
      <c r="Z3577" s="14">
        <v>0</v>
      </c>
      <c r="AA3577" s="6">
        <v>0</v>
      </c>
      <c r="AB3577" s="4">
        <f t="shared" si="551"/>
        <v>6698.6176470588234</v>
      </c>
      <c r="AC3577" s="4">
        <f t="shared" si="553"/>
        <v>133.97235294117672</v>
      </c>
      <c r="AD3577" s="6">
        <f t="shared" si="555"/>
        <v>6832.59</v>
      </c>
      <c r="AE3577" s="2">
        <f>VLOOKUP(I3577,[1]媒体政策预估表!A:N,MATCH(O3577,[1]媒体政策预估表!$A$2:$M$2,0),0)</f>
        <v>7.0000000000000007E-2</v>
      </c>
      <c r="AF3577" s="6">
        <f t="shared" si="554"/>
        <v>478.28130000000004</v>
      </c>
      <c r="AG3577" s="14">
        <v>0</v>
      </c>
      <c r="AH3577" s="64">
        <f t="shared" si="556"/>
        <v>6832.59</v>
      </c>
      <c r="AI3577" s="47"/>
      <c r="AJ3577" s="126" t="e">
        <v>#N/A</v>
      </c>
      <c r="AK3577" s="80">
        <f t="shared" si="552"/>
        <v>0</v>
      </c>
      <c r="AM3577" s="85"/>
    </row>
    <row r="3578" spans="1:39" hidden="1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57"/>
        <v>0</v>
      </c>
      <c r="X3578" s="6">
        <f t="shared" si="558"/>
        <v>347761.35000000009</v>
      </c>
      <c r="Y3578" s="13">
        <f t="shared" si="550"/>
        <v>0</v>
      </c>
      <c r="Z3578" s="14">
        <v>0</v>
      </c>
      <c r="AA3578" s="6">
        <v>0</v>
      </c>
      <c r="AB3578" s="4">
        <f t="shared" si="551"/>
        <v>347761.35000000009</v>
      </c>
      <c r="AC3578" s="4">
        <f t="shared" si="553"/>
        <v>0</v>
      </c>
      <c r="AD3578" s="6">
        <f t="shared" si="555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54"/>
        <v>24343.294500000007</v>
      </c>
      <c r="AG3578" s="14">
        <v>0</v>
      </c>
      <c r="AH3578" s="64">
        <f t="shared" si="556"/>
        <v>347761.35000000009</v>
      </c>
      <c r="AI3578" s="47"/>
      <c r="AJ3578" s="126" t="e">
        <v>#N/A</v>
      </c>
      <c r="AK3578" s="80">
        <f t="shared" si="552"/>
        <v>0</v>
      </c>
      <c r="AM3578" s="85"/>
    </row>
    <row r="3579" spans="1:39" hidden="1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57"/>
        <v>3.5811353882309049E-12</v>
      </c>
      <c r="X3579" s="6">
        <f t="shared" si="558"/>
        <v>331.08</v>
      </c>
      <c r="Y3579" s="13">
        <f t="shared" si="550"/>
        <v>0</v>
      </c>
      <c r="Z3579" s="14">
        <v>0</v>
      </c>
      <c r="AA3579" s="6">
        <v>0</v>
      </c>
      <c r="AB3579" s="4">
        <f t="shared" si="551"/>
        <v>331.08</v>
      </c>
      <c r="AC3579" s="4">
        <f t="shared" si="553"/>
        <v>0</v>
      </c>
      <c r="AD3579" s="6">
        <f t="shared" si="555"/>
        <v>331.08</v>
      </c>
      <c r="AE3579" s="2">
        <f>VLOOKUP(I3579,[1]媒体政策预估表!A:N,MATCH(O3579,[1]媒体政策预估表!$A$2:$M$2,0),0)</f>
        <v>7.0000000000000007E-2</v>
      </c>
      <c r="AF3579" s="6">
        <f t="shared" si="554"/>
        <v>23.175600000000003</v>
      </c>
      <c r="AG3579" s="14">
        <v>0</v>
      </c>
      <c r="AH3579" s="64">
        <f t="shared" si="556"/>
        <v>331.08</v>
      </c>
      <c r="AI3579" s="47"/>
      <c r="AJ3579" s="126" t="e">
        <v>#N/A</v>
      </c>
      <c r="AK3579" s="80">
        <f t="shared" si="552"/>
        <v>0</v>
      </c>
      <c r="AM3579" s="85"/>
    </row>
    <row r="3580" spans="1:39" hidden="1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57"/>
        <v>7962.2000000000216</v>
      </c>
      <c r="X3580" s="6">
        <f t="shared" si="558"/>
        <v>1472.97</v>
      </c>
      <c r="Y3580" s="13">
        <f t="shared" si="550"/>
        <v>0</v>
      </c>
      <c r="Z3580" s="14">
        <v>0</v>
      </c>
      <c r="AA3580" s="6">
        <v>0</v>
      </c>
      <c r="AB3580" s="4"/>
      <c r="AC3580" s="4">
        <f t="shared" si="553"/>
        <v>0</v>
      </c>
      <c r="AD3580" s="6">
        <f t="shared" si="555"/>
        <v>1472.97</v>
      </c>
      <c r="AE3580" s="2">
        <f>VLOOKUP(I3580,[1]媒体政策预估表!A:N,MATCH(O3580,[1]媒体政策预估表!$A$2:$M$2,0),0)</f>
        <v>0.12</v>
      </c>
      <c r="AF3580" s="6">
        <f t="shared" si="554"/>
        <v>176.75639999999999</v>
      </c>
      <c r="AG3580" s="14">
        <v>0</v>
      </c>
      <c r="AH3580" s="64">
        <f t="shared" si="556"/>
        <v>1472.97</v>
      </c>
      <c r="AI3580" s="47"/>
      <c r="AJ3580" s="126">
        <v>21</v>
      </c>
      <c r="AK3580" s="80">
        <f t="shared" si="552"/>
        <v>1472.97</v>
      </c>
      <c r="AM3580" s="85"/>
    </row>
    <row r="3581" spans="1:39" hidden="1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57"/>
        <v>20000</v>
      </c>
      <c r="X3581" s="6">
        <f t="shared" si="558"/>
        <v>0</v>
      </c>
      <c r="Y3581" s="13">
        <f t="shared" si="550"/>
        <v>0</v>
      </c>
      <c r="Z3581" s="14">
        <v>0</v>
      </c>
      <c r="AA3581" s="6">
        <v>0</v>
      </c>
      <c r="AB3581" s="4"/>
      <c r="AC3581" s="4">
        <f t="shared" si="553"/>
        <v>0</v>
      </c>
      <c r="AD3581" s="6">
        <f t="shared" si="555"/>
        <v>0</v>
      </c>
      <c r="AE3581" s="2">
        <f>VLOOKUP(I3581,[1]媒体政策预估表!A:N,MATCH(O3581,[1]媒体政策预估表!$A$2:$M$2,0),0)</f>
        <v>7.0000000000000007E-2</v>
      </c>
      <c r="AF3581" s="6">
        <f t="shared" si="554"/>
        <v>0</v>
      </c>
      <c r="AG3581" s="14">
        <v>0</v>
      </c>
      <c r="AH3581" s="64">
        <f t="shared" si="556"/>
        <v>0</v>
      </c>
      <c r="AI3581" s="47"/>
      <c r="AJ3581" s="126">
        <v>96</v>
      </c>
      <c r="AK3581" s="80">
        <f t="shared" si="552"/>
        <v>0</v>
      </c>
      <c r="AM3581" s="85"/>
    </row>
    <row r="3582" spans="1:39" hidden="1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57"/>
        <v>0</v>
      </c>
      <c r="X3582" s="6">
        <f t="shared" si="558"/>
        <v>95402.890000000072</v>
      </c>
      <c r="Y3582" s="13">
        <f t="shared" si="550"/>
        <v>0</v>
      </c>
      <c r="Z3582" s="14">
        <v>0</v>
      </c>
      <c r="AA3582" s="6">
        <v>0</v>
      </c>
      <c r="AB3582" s="4">
        <f t="shared" si="551"/>
        <v>95402.890000000072</v>
      </c>
      <c r="AC3582" s="4">
        <f t="shared" si="553"/>
        <v>0</v>
      </c>
      <c r="AD3582" s="6">
        <f t="shared" si="555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54"/>
        <v>6678.2023000000054</v>
      </c>
      <c r="AG3582" s="14">
        <v>0</v>
      </c>
      <c r="AH3582" s="64">
        <f t="shared" si="556"/>
        <v>95402.890000000072</v>
      </c>
      <c r="AI3582" s="47"/>
      <c r="AJ3582" s="126" t="e">
        <v>#N/A</v>
      </c>
      <c r="AK3582" s="80">
        <f t="shared" si="552"/>
        <v>0</v>
      </c>
      <c r="AM3582" s="85"/>
    </row>
    <row r="3583" spans="1:39" hidden="1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57"/>
        <v>50000</v>
      </c>
      <c r="X3583" s="6">
        <f t="shared" si="558"/>
        <v>0</v>
      </c>
      <c r="Y3583" s="13">
        <f t="shared" si="550"/>
        <v>0</v>
      </c>
      <c r="Z3583" s="14">
        <v>0</v>
      </c>
      <c r="AA3583" s="6">
        <v>0</v>
      </c>
      <c r="AB3583" s="4">
        <f t="shared" si="551"/>
        <v>0</v>
      </c>
      <c r="AC3583" s="4">
        <f t="shared" si="553"/>
        <v>0</v>
      </c>
      <c r="AD3583" s="6">
        <f t="shared" si="555"/>
        <v>0</v>
      </c>
      <c r="AE3583" s="2">
        <f>VLOOKUP(I3583,[1]媒体政策预估表!A:N,MATCH(O3583,[1]媒体政策预估表!$A$2:$M$2,0),0)</f>
        <v>7.0000000000000007E-2</v>
      </c>
      <c r="AF3583" s="6">
        <f t="shared" si="554"/>
        <v>0</v>
      </c>
      <c r="AG3583" s="14">
        <v>0</v>
      </c>
      <c r="AH3583" s="64">
        <f t="shared" si="556"/>
        <v>0</v>
      </c>
      <c r="AI3583" s="47"/>
      <c r="AJ3583" s="126" t="e">
        <v>#N/A</v>
      </c>
      <c r="AK3583" s="80">
        <f t="shared" si="552"/>
        <v>0</v>
      </c>
      <c r="AM3583" s="85"/>
    </row>
    <row r="3584" spans="1:39" hidden="1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57"/>
        <v>5903.7299999999959</v>
      </c>
      <c r="X3584" s="6">
        <f t="shared" si="558"/>
        <v>13088.800000000003</v>
      </c>
      <c r="Y3584" s="13">
        <f t="shared" si="550"/>
        <v>0</v>
      </c>
      <c r="Z3584" s="14">
        <v>0</v>
      </c>
      <c r="AA3584" s="6">
        <v>0</v>
      </c>
      <c r="AB3584" s="4">
        <f t="shared" si="551"/>
        <v>13088.800000000003</v>
      </c>
      <c r="AC3584" s="4">
        <f t="shared" si="553"/>
        <v>0</v>
      </c>
      <c r="AD3584" s="6">
        <f t="shared" si="555"/>
        <v>13088.800000000003</v>
      </c>
      <c r="AE3584" s="2">
        <f>VLOOKUP(I3584,[1]媒体政策预估表!A:N,MATCH(O3584,[1]媒体政策预估表!$A$2:$M$2,0),0)</f>
        <v>0.12</v>
      </c>
      <c r="AF3584" s="6">
        <f t="shared" si="554"/>
        <v>1570.6560000000004</v>
      </c>
      <c r="AG3584" s="14">
        <v>0</v>
      </c>
      <c r="AH3584" s="64">
        <f t="shared" si="556"/>
        <v>13088.800000000003</v>
      </c>
      <c r="AI3584" s="47"/>
      <c r="AJ3584" s="126" t="e">
        <v>#N/A</v>
      </c>
      <c r="AK3584" s="80">
        <f t="shared" si="552"/>
        <v>0</v>
      </c>
      <c r="AM3584" s="85"/>
    </row>
    <row r="3585" spans="1:39" hidden="1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57"/>
        <v>10000</v>
      </c>
      <c r="X3585" s="6">
        <f t="shared" si="558"/>
        <v>0</v>
      </c>
      <c r="Y3585" s="13">
        <f t="shared" si="550"/>
        <v>0</v>
      </c>
      <c r="Z3585" s="14">
        <v>0</v>
      </c>
      <c r="AA3585" s="6">
        <v>0</v>
      </c>
      <c r="AB3585" s="4">
        <f t="shared" si="551"/>
        <v>0</v>
      </c>
      <c r="AC3585" s="4">
        <f t="shared" si="553"/>
        <v>0</v>
      </c>
      <c r="AD3585" s="6">
        <f t="shared" si="555"/>
        <v>0</v>
      </c>
      <c r="AE3585" s="2">
        <f>VLOOKUP(I3585,[1]媒体政策预估表!A:N,MATCH(O3585,[1]媒体政策预估表!$A$2:$M$2,0),0)</f>
        <v>0.12</v>
      </c>
      <c r="AF3585" s="6">
        <f t="shared" si="554"/>
        <v>0</v>
      </c>
      <c r="AG3585" s="14">
        <v>0</v>
      </c>
      <c r="AH3585" s="64">
        <f t="shared" si="556"/>
        <v>0</v>
      </c>
      <c r="AI3585" s="47"/>
      <c r="AJ3585" s="126" t="e">
        <v>#N/A</v>
      </c>
      <c r="AK3585" s="80">
        <f t="shared" si="552"/>
        <v>0</v>
      </c>
      <c r="AM3585" s="85"/>
    </row>
    <row r="3586" spans="1:39" hidden="1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57"/>
        <v>10000</v>
      </c>
      <c r="X3586" s="6">
        <f t="shared" si="558"/>
        <v>0</v>
      </c>
      <c r="Y3586" s="13">
        <f t="shared" si="550"/>
        <v>0</v>
      </c>
      <c r="Z3586" s="14">
        <v>0</v>
      </c>
      <c r="AA3586" s="6">
        <v>0</v>
      </c>
      <c r="AB3586" s="4">
        <f t="shared" si="551"/>
        <v>0</v>
      </c>
      <c r="AC3586" s="4">
        <f t="shared" si="553"/>
        <v>0</v>
      </c>
      <c r="AD3586" s="6">
        <f t="shared" si="555"/>
        <v>0</v>
      </c>
      <c r="AE3586" s="2">
        <f>VLOOKUP(I3586,[1]媒体政策预估表!A:N,MATCH(O3586,[1]媒体政策预估表!$A$2:$M$2,0),0)</f>
        <v>0.12</v>
      </c>
      <c r="AF3586" s="6">
        <f t="shared" si="554"/>
        <v>0</v>
      </c>
      <c r="AG3586" s="14">
        <v>0</v>
      </c>
      <c r="AH3586" s="64">
        <f t="shared" si="556"/>
        <v>0</v>
      </c>
      <c r="AI3586" s="47"/>
      <c r="AJ3586" s="126" t="e">
        <v>#N/A</v>
      </c>
      <c r="AK3586" s="80">
        <f t="shared" si="552"/>
        <v>0</v>
      </c>
      <c r="AM3586" s="85"/>
    </row>
    <row r="3587" spans="1:39" hidden="1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57"/>
        <v>20000</v>
      </c>
      <c r="X3587" s="6">
        <f t="shared" si="558"/>
        <v>0</v>
      </c>
      <c r="Y3587" s="13">
        <f t="shared" ref="Y3587:Y3650" si="559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560">X3587+AA3587</f>
        <v>0</v>
      </c>
      <c r="AC3587" s="4">
        <f t="shared" si="553"/>
        <v>0</v>
      </c>
      <c r="AD3587" s="6">
        <f t="shared" si="555"/>
        <v>0</v>
      </c>
      <c r="AE3587" s="2">
        <f>VLOOKUP(I3587,[1]媒体政策预估表!A:N,MATCH(O3587,[1]媒体政策预估表!$A$2:$M$2,0),0)</f>
        <v>0.12</v>
      </c>
      <c r="AF3587" s="6">
        <f t="shared" si="554"/>
        <v>0</v>
      </c>
      <c r="AG3587" s="14">
        <v>0</v>
      </c>
      <c r="AH3587" s="64">
        <f t="shared" si="556"/>
        <v>0</v>
      </c>
      <c r="AI3587" s="47"/>
      <c r="AJ3587" s="126" t="e">
        <v>#N/A</v>
      </c>
      <c r="AK3587" s="80">
        <f t="shared" ref="AK3587:AK3650" si="561">X3587+AA3587-AB3587</f>
        <v>0</v>
      </c>
      <c r="AM3587" s="85"/>
    </row>
    <row r="3588" spans="1:39" hidden="1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57"/>
        <v>0</v>
      </c>
      <c r="X3588" s="6">
        <f t="shared" si="558"/>
        <v>199033.60000000009</v>
      </c>
      <c r="Y3588" s="13">
        <f t="shared" si="559"/>
        <v>0</v>
      </c>
      <c r="Z3588" s="14">
        <v>0</v>
      </c>
      <c r="AA3588" s="6">
        <v>0</v>
      </c>
      <c r="AB3588" s="4">
        <f t="shared" si="560"/>
        <v>199033.60000000009</v>
      </c>
      <c r="AC3588" s="4">
        <f t="shared" si="553"/>
        <v>0</v>
      </c>
      <c r="AD3588" s="6">
        <f t="shared" si="555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54"/>
        <v>13932.352000000008</v>
      </c>
      <c r="AG3588" s="14">
        <v>0</v>
      </c>
      <c r="AH3588" s="64">
        <f t="shared" si="556"/>
        <v>199033.60000000009</v>
      </c>
      <c r="AI3588" s="47"/>
      <c r="AJ3588" s="126" t="e">
        <v>#N/A</v>
      </c>
      <c r="AK3588" s="80">
        <f t="shared" si="561"/>
        <v>0</v>
      </c>
      <c r="AM3588" s="85"/>
    </row>
    <row r="3589" spans="1:39" hidden="1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57"/>
        <v>0</v>
      </c>
      <c r="X3589" s="6">
        <f t="shared" si="558"/>
        <v>11685.989999999998</v>
      </c>
      <c r="Y3589" s="13">
        <f t="shared" si="559"/>
        <v>0</v>
      </c>
      <c r="Z3589" s="14">
        <v>0</v>
      </c>
      <c r="AA3589" s="6">
        <v>0</v>
      </c>
      <c r="AB3589" s="4">
        <f t="shared" si="560"/>
        <v>11685.989999999998</v>
      </c>
      <c r="AC3589" s="4">
        <f t="shared" si="553"/>
        <v>0</v>
      </c>
      <c r="AD3589" s="6">
        <f t="shared" si="555"/>
        <v>11685.989999999998</v>
      </c>
      <c r="AE3589" s="2">
        <f>VLOOKUP(I3589,[1]媒体政策预估表!A:N,MATCH(O3589,[1]媒体政策预估表!$A$2:$M$2,0),0)</f>
        <v>0.12</v>
      </c>
      <c r="AF3589" s="6">
        <f t="shared" si="554"/>
        <v>1402.3187999999998</v>
      </c>
      <c r="AG3589" s="14">
        <v>0</v>
      </c>
      <c r="AH3589" s="64">
        <f t="shared" si="556"/>
        <v>11685.989999999998</v>
      </c>
      <c r="AI3589" s="47"/>
      <c r="AJ3589" s="126" t="e">
        <v>#N/A</v>
      </c>
      <c r="AK3589" s="80">
        <f t="shared" si="561"/>
        <v>0</v>
      </c>
      <c r="AM3589" s="85"/>
    </row>
    <row r="3590" spans="1:39" hidden="1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57"/>
        <v>54960.28</v>
      </c>
      <c r="X3590" s="6">
        <f t="shared" si="558"/>
        <v>30139.705882352941</v>
      </c>
      <c r="Y3590" s="13">
        <f t="shared" si="559"/>
        <v>0</v>
      </c>
      <c r="Z3590" s="14">
        <v>0</v>
      </c>
      <c r="AA3590" s="6">
        <v>0</v>
      </c>
      <c r="AB3590" s="4">
        <f t="shared" si="560"/>
        <v>30139.705882352941</v>
      </c>
      <c r="AC3590" s="4">
        <f t="shared" si="553"/>
        <v>602.79411764705947</v>
      </c>
      <c r="AD3590" s="6">
        <f t="shared" si="555"/>
        <v>30742.5</v>
      </c>
      <c r="AE3590" s="2">
        <f>VLOOKUP(I3590,[1]媒体政策预估表!A:N,MATCH(O3590,[1]媒体政策预估表!$A$2:$M$2,0),0)</f>
        <v>7.0000000000000007E-2</v>
      </c>
      <c r="AF3590" s="6">
        <f t="shared" si="554"/>
        <v>2151.9750000000004</v>
      </c>
      <c r="AG3590" s="14">
        <v>0</v>
      </c>
      <c r="AH3590" s="64">
        <f t="shared" si="556"/>
        <v>30742.5</v>
      </c>
      <c r="AI3590" s="47"/>
      <c r="AJ3590" s="126" t="e">
        <v>#N/A</v>
      </c>
      <c r="AK3590" s="80">
        <f t="shared" si="561"/>
        <v>0</v>
      </c>
      <c r="AM3590" s="85"/>
    </row>
    <row r="3591" spans="1:39" hidden="1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57"/>
        <v>5000</v>
      </c>
      <c r="X3591" s="6">
        <f t="shared" si="558"/>
        <v>0</v>
      </c>
      <c r="Y3591" s="13">
        <f t="shared" si="559"/>
        <v>0</v>
      </c>
      <c r="Z3591" s="14">
        <v>0</v>
      </c>
      <c r="AA3591" s="6">
        <v>0</v>
      </c>
      <c r="AB3591" s="4">
        <f t="shared" si="560"/>
        <v>0</v>
      </c>
      <c r="AC3591" s="4">
        <f t="shared" si="553"/>
        <v>0</v>
      </c>
      <c r="AD3591" s="6">
        <f t="shared" si="555"/>
        <v>0</v>
      </c>
      <c r="AE3591" s="2">
        <f>VLOOKUP(I3591,[1]媒体政策预估表!A:N,MATCH(O3591,[1]媒体政策预估表!$A$2:$M$2,0),0)</f>
        <v>7.0000000000000007E-2</v>
      </c>
      <c r="AF3591" s="6">
        <f t="shared" si="554"/>
        <v>0</v>
      </c>
      <c r="AG3591" s="14">
        <v>0</v>
      </c>
      <c r="AH3591" s="64">
        <f t="shared" si="556"/>
        <v>0</v>
      </c>
      <c r="AI3591" s="47"/>
      <c r="AJ3591" s="126" t="e">
        <v>#N/A</v>
      </c>
      <c r="AK3591" s="80">
        <f t="shared" si="561"/>
        <v>0</v>
      </c>
      <c r="AM3591" s="85"/>
    </row>
    <row r="3592" spans="1:39" hidden="1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57"/>
        <v>5000</v>
      </c>
      <c r="X3592" s="6">
        <f t="shared" si="558"/>
        <v>0</v>
      </c>
      <c r="Y3592" s="13">
        <f t="shared" si="559"/>
        <v>0</v>
      </c>
      <c r="Z3592" s="14">
        <v>0</v>
      </c>
      <c r="AA3592" s="6">
        <v>0</v>
      </c>
      <c r="AB3592" s="4">
        <f t="shared" si="560"/>
        <v>0</v>
      </c>
      <c r="AC3592" s="4">
        <f t="shared" si="553"/>
        <v>0</v>
      </c>
      <c r="AD3592" s="6">
        <f t="shared" si="555"/>
        <v>0</v>
      </c>
      <c r="AE3592" s="2">
        <f>VLOOKUP(I3592,[1]媒体政策预估表!A:N,MATCH(O3592,[1]媒体政策预估表!$A$2:$M$2,0),0)</f>
        <v>7.0000000000000007E-2</v>
      </c>
      <c r="AF3592" s="6">
        <f t="shared" si="554"/>
        <v>0</v>
      </c>
      <c r="AG3592" s="14">
        <v>0</v>
      </c>
      <c r="AH3592" s="64">
        <f t="shared" si="556"/>
        <v>0</v>
      </c>
      <c r="AI3592" s="47"/>
      <c r="AJ3592" s="126" t="e">
        <v>#N/A</v>
      </c>
      <c r="AK3592" s="80">
        <f t="shared" si="561"/>
        <v>0</v>
      </c>
      <c r="AM3592" s="85"/>
    </row>
    <row r="3593" spans="1:39" hidden="1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57"/>
        <v>27114.780000000002</v>
      </c>
      <c r="X3593" s="6">
        <f t="shared" si="558"/>
        <v>13080.029411764706</v>
      </c>
      <c r="Y3593" s="13">
        <f t="shared" si="559"/>
        <v>0</v>
      </c>
      <c r="Z3593" s="14">
        <v>0</v>
      </c>
      <c r="AA3593" s="6">
        <v>0</v>
      </c>
      <c r="AB3593" s="4">
        <f t="shared" si="560"/>
        <v>13080.029411764706</v>
      </c>
      <c r="AC3593" s="4">
        <f t="shared" si="553"/>
        <v>261.60058823529471</v>
      </c>
      <c r="AD3593" s="6">
        <f t="shared" si="555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54"/>
        <v>933.91410000000019</v>
      </c>
      <c r="AG3593" s="14">
        <v>0</v>
      </c>
      <c r="AH3593" s="64">
        <f t="shared" si="556"/>
        <v>13341.630000000001</v>
      </c>
      <c r="AI3593" s="47"/>
      <c r="AJ3593" s="126" t="e">
        <v>#N/A</v>
      </c>
      <c r="AK3593" s="80">
        <f t="shared" si="561"/>
        <v>0</v>
      </c>
      <c r="AM3593" s="85"/>
    </row>
    <row r="3594" spans="1:39" hidden="1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57"/>
        <v>182208.97</v>
      </c>
      <c r="X3594" s="6">
        <f t="shared" si="558"/>
        <v>0</v>
      </c>
      <c r="Y3594" s="13">
        <f t="shared" si="559"/>
        <v>0</v>
      </c>
      <c r="Z3594" s="14">
        <v>0</v>
      </c>
      <c r="AA3594" s="6">
        <v>0</v>
      </c>
      <c r="AB3594" s="4">
        <f t="shared" si="560"/>
        <v>0</v>
      </c>
      <c r="AC3594" s="4">
        <f t="shared" si="553"/>
        <v>0</v>
      </c>
      <c r="AD3594" s="6">
        <f t="shared" si="555"/>
        <v>0</v>
      </c>
      <c r="AE3594" s="2">
        <f>VLOOKUP(I3594,[1]媒体政策预估表!A:N,MATCH(O3594,[1]媒体政策预估表!$A$2:$M$2,0),0)</f>
        <v>7.0000000000000007E-2</v>
      </c>
      <c r="AF3594" s="6">
        <f t="shared" si="554"/>
        <v>0</v>
      </c>
      <c r="AG3594" s="14">
        <v>0</v>
      </c>
      <c r="AH3594" s="64">
        <f t="shared" si="556"/>
        <v>0</v>
      </c>
      <c r="AI3594" s="47"/>
      <c r="AJ3594" s="126" t="e">
        <v>#N/A</v>
      </c>
      <c r="AK3594" s="80">
        <f t="shared" si="561"/>
        <v>0</v>
      </c>
      <c r="AM3594" s="85"/>
    </row>
    <row r="3595" spans="1:39" hidden="1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57"/>
        <v>8692.9</v>
      </c>
      <c r="X3595" s="6">
        <f t="shared" si="558"/>
        <v>1307.0999999999999</v>
      </c>
      <c r="Y3595" s="13">
        <f t="shared" si="559"/>
        <v>0</v>
      </c>
      <c r="Z3595" s="14">
        <v>0</v>
      </c>
      <c r="AA3595" s="6">
        <v>0</v>
      </c>
      <c r="AB3595" s="4">
        <f t="shared" si="560"/>
        <v>1307.0999999999999</v>
      </c>
      <c r="AC3595" s="4">
        <f t="shared" si="553"/>
        <v>0</v>
      </c>
      <c r="AD3595" s="6">
        <f t="shared" si="555"/>
        <v>1307.0999999999999</v>
      </c>
      <c r="AE3595" s="2">
        <f>VLOOKUP(I3595,[1]媒体政策预估表!A:N,MATCH(O3595,[1]媒体政策预估表!$A$2:$M$2,0),0)</f>
        <v>0.12</v>
      </c>
      <c r="AF3595" s="6">
        <f t="shared" si="554"/>
        <v>156.85199999999998</v>
      </c>
      <c r="AG3595" s="14">
        <v>0</v>
      </c>
      <c r="AH3595" s="64">
        <f t="shared" si="556"/>
        <v>1307.0999999999999</v>
      </c>
      <c r="AI3595" s="47"/>
      <c r="AJ3595" s="126" t="e">
        <v>#N/A</v>
      </c>
      <c r="AK3595" s="80">
        <f t="shared" si="561"/>
        <v>0</v>
      </c>
      <c r="AM3595" s="85"/>
    </row>
    <row r="3596" spans="1:39" hidden="1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57"/>
        <v>20000</v>
      </c>
      <c r="X3596" s="6">
        <f t="shared" si="558"/>
        <v>0</v>
      </c>
      <c r="Y3596" s="13">
        <f t="shared" si="559"/>
        <v>0</v>
      </c>
      <c r="Z3596" s="14">
        <v>0</v>
      </c>
      <c r="AA3596" s="6">
        <v>0</v>
      </c>
      <c r="AB3596" s="4">
        <f t="shared" si="560"/>
        <v>0</v>
      </c>
      <c r="AC3596" s="4">
        <f t="shared" ref="AC3596:AC3659" si="562">IF(P3596="返现",X3596*Q3596,V3596-X3596)</f>
        <v>0</v>
      </c>
      <c r="AD3596" s="6">
        <f t="shared" si="555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563">AD3596*AE3596</f>
        <v>0</v>
      </c>
      <c r="AG3596" s="14">
        <v>0</v>
      </c>
      <c r="AH3596" s="64">
        <f t="shared" si="556"/>
        <v>0</v>
      </c>
      <c r="AI3596" s="47"/>
      <c r="AJ3596" s="126" t="e">
        <v>#N/A</v>
      </c>
      <c r="AK3596" s="80">
        <f t="shared" si="561"/>
        <v>0</v>
      </c>
      <c r="AM3596" s="85"/>
    </row>
    <row r="3597" spans="1:39" hidden="1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57"/>
        <v>2776.5000000000009</v>
      </c>
      <c r="X3597" s="6">
        <f t="shared" si="558"/>
        <v>6509.8942307692305</v>
      </c>
      <c r="Y3597" s="13">
        <f t="shared" si="559"/>
        <v>0</v>
      </c>
      <c r="Z3597" s="14">
        <v>0</v>
      </c>
      <c r="AA3597" s="6">
        <v>0</v>
      </c>
      <c r="AB3597" s="4">
        <f t="shared" si="560"/>
        <v>6509.8942307692305</v>
      </c>
      <c r="AC3597" s="4">
        <f t="shared" si="562"/>
        <v>260.39576923076947</v>
      </c>
      <c r="AD3597" s="6">
        <f t="shared" si="555"/>
        <v>6770.29</v>
      </c>
      <c r="AE3597" s="2">
        <f>VLOOKUP(I3597,[1]媒体政策预估表!A:N,MATCH(O3597,[1]媒体政策预估表!$A$2:$M$2,0),0)</f>
        <v>0.12</v>
      </c>
      <c r="AF3597" s="6">
        <f t="shared" si="563"/>
        <v>812.4348</v>
      </c>
      <c r="AG3597" s="14">
        <v>0</v>
      </c>
      <c r="AH3597" s="64">
        <f t="shared" si="556"/>
        <v>6770.29</v>
      </c>
      <c r="AI3597" s="47"/>
      <c r="AJ3597" s="126" t="e">
        <v>#N/A</v>
      </c>
      <c r="AK3597" s="80">
        <f t="shared" si="561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57"/>
        <v>13053.919999999998</v>
      </c>
      <c r="X3598" s="6">
        <f t="shared" si="558"/>
        <v>7733.52</v>
      </c>
      <c r="Y3598" s="13">
        <f t="shared" si="559"/>
        <v>0</v>
      </c>
      <c r="Z3598" s="14">
        <v>0</v>
      </c>
      <c r="AA3598" s="6">
        <v>0</v>
      </c>
      <c r="AB3598" s="4">
        <f t="shared" si="560"/>
        <v>7733.52</v>
      </c>
      <c r="AC3598" s="4">
        <f t="shared" si="562"/>
        <v>0</v>
      </c>
      <c r="AD3598" s="6">
        <f t="shared" si="555"/>
        <v>7733.52</v>
      </c>
      <c r="AE3598" s="2">
        <f>VLOOKUP(I3598,[1]媒体政策预估表!A:N,MATCH(O3598,[1]媒体政策预估表!$A$2:$M$2,0),0)</f>
        <v>7.0000000000000007E-2</v>
      </c>
      <c r="AF3598" s="6">
        <f t="shared" si="563"/>
        <v>541.34640000000013</v>
      </c>
      <c r="AG3598" s="14">
        <v>0</v>
      </c>
      <c r="AH3598" s="64">
        <f t="shared" si="556"/>
        <v>7733.52</v>
      </c>
      <c r="AI3598" s="47"/>
      <c r="AJ3598" s="126" t="e">
        <v>#N/A</v>
      </c>
      <c r="AK3598" s="80">
        <f t="shared" si="561"/>
        <v>0</v>
      </c>
      <c r="AM3598" s="85"/>
    </row>
    <row r="3599" spans="1:39" hidden="1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57"/>
        <v>3727.3700000000031</v>
      </c>
      <c r="X3599" s="6">
        <f t="shared" si="558"/>
        <v>2453.0490196078431</v>
      </c>
      <c r="Y3599" s="13">
        <f t="shared" si="559"/>
        <v>0</v>
      </c>
      <c r="Z3599" s="14">
        <v>0</v>
      </c>
      <c r="AA3599" s="6">
        <v>0</v>
      </c>
      <c r="AB3599" s="4">
        <f t="shared" si="560"/>
        <v>2453.0490196078431</v>
      </c>
      <c r="AC3599" s="4">
        <f t="shared" si="562"/>
        <v>49.060980392157035</v>
      </c>
      <c r="AD3599" s="6">
        <f t="shared" si="555"/>
        <v>2502.11</v>
      </c>
      <c r="AE3599" s="2">
        <f>VLOOKUP(I3599,[1]媒体政策预估表!A:N,MATCH(O3599,[1]媒体政策预估表!$A$2:$M$2,0),0)</f>
        <v>7.0000000000000007E-2</v>
      </c>
      <c r="AF3599" s="6">
        <f t="shared" si="563"/>
        <v>175.14770000000001</v>
      </c>
      <c r="AG3599" s="14">
        <v>0</v>
      </c>
      <c r="AH3599" s="64">
        <f t="shared" si="556"/>
        <v>2502.11</v>
      </c>
      <c r="AI3599" s="47"/>
      <c r="AJ3599" s="126" t="e">
        <v>#N/A</v>
      </c>
      <c r="AK3599" s="80">
        <f t="shared" si="561"/>
        <v>0</v>
      </c>
      <c r="AM3599" s="85"/>
    </row>
    <row r="3600" spans="1:39" hidden="1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57"/>
        <v>1151.67</v>
      </c>
      <c r="X3600" s="6">
        <f t="shared" si="558"/>
        <v>5383.49</v>
      </c>
      <c r="Y3600" s="13">
        <f t="shared" si="559"/>
        <v>0</v>
      </c>
      <c r="Z3600" s="14">
        <v>0</v>
      </c>
      <c r="AA3600" s="6">
        <v>0</v>
      </c>
      <c r="AB3600" s="4">
        <f t="shared" si="560"/>
        <v>5383.49</v>
      </c>
      <c r="AC3600" s="4">
        <f t="shared" si="562"/>
        <v>0</v>
      </c>
      <c r="AD3600" s="6">
        <f t="shared" si="555"/>
        <v>5383.49</v>
      </c>
      <c r="AE3600" s="2">
        <f>VLOOKUP(I3600,[1]媒体政策预估表!A:N,MATCH(O3600,[1]媒体政策预估表!$A$2:$M$2,0),0)</f>
        <v>7.0000000000000007E-2</v>
      </c>
      <c r="AF3600" s="6">
        <f t="shared" si="563"/>
        <v>376.84430000000003</v>
      </c>
      <c r="AG3600" s="14">
        <v>0</v>
      </c>
      <c r="AH3600" s="64">
        <f t="shared" si="556"/>
        <v>5383.49</v>
      </c>
      <c r="AI3600" s="47"/>
      <c r="AJ3600" s="126" t="e">
        <v>#N/A</v>
      </c>
      <c r="AK3600" s="80">
        <f t="shared" si="561"/>
        <v>0</v>
      </c>
      <c r="AM3600" s="85"/>
    </row>
    <row r="3601" spans="1:39" hidden="1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57"/>
        <v>4886.8899999999885</v>
      </c>
      <c r="X3601" s="6">
        <f t="shared" si="558"/>
        <v>16482.930000000004</v>
      </c>
      <c r="Y3601" s="13">
        <f t="shared" si="559"/>
        <v>0</v>
      </c>
      <c r="Z3601" s="14">
        <v>0</v>
      </c>
      <c r="AA3601" s="6">
        <v>0</v>
      </c>
      <c r="AB3601" s="4">
        <f t="shared" si="560"/>
        <v>16482.930000000004</v>
      </c>
      <c r="AC3601" s="4">
        <f t="shared" si="562"/>
        <v>0</v>
      </c>
      <c r="AD3601" s="6">
        <f t="shared" si="555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563"/>
        <v>1153.8051000000005</v>
      </c>
      <c r="AG3601" s="14">
        <v>0</v>
      </c>
      <c r="AH3601" s="64">
        <f t="shared" si="556"/>
        <v>16482.930000000004</v>
      </c>
      <c r="AI3601" s="47"/>
      <c r="AJ3601" s="126" t="e">
        <v>#N/A</v>
      </c>
      <c r="AK3601" s="80">
        <f t="shared" si="561"/>
        <v>0</v>
      </c>
      <c r="AM3601" s="85"/>
    </row>
    <row r="3602" spans="1:39" hidden="1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57"/>
        <v>14489</v>
      </c>
      <c r="X3602" s="6">
        <f t="shared" si="558"/>
        <v>0</v>
      </c>
      <c r="Y3602" s="13">
        <f t="shared" si="559"/>
        <v>0</v>
      </c>
      <c r="Z3602" s="14">
        <v>0</v>
      </c>
      <c r="AA3602" s="6">
        <v>0</v>
      </c>
      <c r="AB3602" s="4">
        <f t="shared" si="560"/>
        <v>0</v>
      </c>
      <c r="AC3602" s="4">
        <f t="shared" si="562"/>
        <v>0</v>
      </c>
      <c r="AD3602" s="6">
        <f t="shared" si="555"/>
        <v>0</v>
      </c>
      <c r="AE3602" s="2">
        <f>VLOOKUP(I3602,[1]媒体政策预估表!A:N,MATCH(O3602,[1]媒体政策预估表!$A$2:$M$2,0),0)</f>
        <v>7.0000000000000007E-2</v>
      </c>
      <c r="AF3602" s="6">
        <f t="shared" si="563"/>
        <v>0</v>
      </c>
      <c r="AG3602" s="14">
        <v>0</v>
      </c>
      <c r="AH3602" s="64">
        <f t="shared" si="556"/>
        <v>0</v>
      </c>
      <c r="AI3602" s="47"/>
      <c r="AJ3602" s="126" t="e">
        <v>#N/A</v>
      </c>
      <c r="AK3602" s="80">
        <f t="shared" si="561"/>
        <v>0</v>
      </c>
      <c r="AM3602" s="85"/>
    </row>
    <row r="3603" spans="1:39" hidden="1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57"/>
        <v>0</v>
      </c>
      <c r="X3603" s="6">
        <f t="shared" si="558"/>
        <v>1728.88</v>
      </c>
      <c r="Y3603" s="13">
        <f t="shared" si="559"/>
        <v>0</v>
      </c>
      <c r="Z3603" s="14">
        <v>0</v>
      </c>
      <c r="AA3603" s="6">
        <v>0</v>
      </c>
      <c r="AB3603" s="4">
        <f t="shared" si="560"/>
        <v>1728.88</v>
      </c>
      <c r="AC3603" s="4">
        <f t="shared" si="562"/>
        <v>0</v>
      </c>
      <c r="AD3603" s="6">
        <f t="shared" si="555"/>
        <v>1728.88</v>
      </c>
      <c r="AE3603" s="2">
        <f>VLOOKUP(I3603,[1]媒体政策预估表!A:N,MATCH(O3603,[1]媒体政策预估表!$A$2:$M$2,0),0)</f>
        <v>7.0000000000000007E-2</v>
      </c>
      <c r="AF3603" s="6">
        <f t="shared" si="563"/>
        <v>121.02160000000002</v>
      </c>
      <c r="AG3603" s="14">
        <v>0</v>
      </c>
      <c r="AH3603" s="64">
        <f t="shared" si="556"/>
        <v>1728.88</v>
      </c>
      <c r="AI3603" s="47"/>
      <c r="AJ3603" s="126" t="e">
        <v>#N/A</v>
      </c>
      <c r="AK3603" s="80">
        <f t="shared" si="561"/>
        <v>0</v>
      </c>
      <c r="AM3603" s="85"/>
    </row>
    <row r="3604" spans="1:39" hidden="1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3759</v>
      </c>
      <c r="F3604" s="15" t="s">
        <v>3759</v>
      </c>
      <c r="G3604" s="86" t="s">
        <v>3759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57"/>
        <v>5979.7199999999993</v>
      </c>
      <c r="X3604" s="6">
        <f t="shared" si="558"/>
        <v>0</v>
      </c>
      <c r="Y3604" s="13">
        <f t="shared" si="559"/>
        <v>0</v>
      </c>
      <c r="Z3604" s="14">
        <v>0</v>
      </c>
      <c r="AA3604" s="6">
        <v>0</v>
      </c>
      <c r="AB3604" s="4">
        <f t="shared" si="560"/>
        <v>0</v>
      </c>
      <c r="AC3604" s="4">
        <f t="shared" si="562"/>
        <v>0</v>
      </c>
      <c r="AD3604" s="6">
        <f t="shared" si="555"/>
        <v>0</v>
      </c>
      <c r="AE3604" s="2">
        <f>VLOOKUP(I3604,[1]媒体政策预估表!A:N,MATCH(O3604,[1]媒体政策预估表!$A$2:$M$2,0),0)</f>
        <v>7.0000000000000007E-2</v>
      </c>
      <c r="AF3604" s="6">
        <f t="shared" si="563"/>
        <v>0</v>
      </c>
      <c r="AG3604" s="14">
        <v>0</v>
      </c>
      <c r="AH3604" s="64">
        <f t="shared" si="556"/>
        <v>0</v>
      </c>
      <c r="AI3604" s="47"/>
      <c r="AJ3604" s="126" t="e">
        <v>#N/A</v>
      </c>
      <c r="AK3604" s="80">
        <f t="shared" si="561"/>
        <v>0</v>
      </c>
      <c r="AM3604" s="85"/>
    </row>
    <row r="3605" spans="1:39" hidden="1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57"/>
        <v>0</v>
      </c>
      <c r="X3605" s="6">
        <f t="shared" si="558"/>
        <v>0</v>
      </c>
      <c r="Y3605" s="13">
        <f t="shared" si="559"/>
        <v>0</v>
      </c>
      <c r="Z3605" s="14">
        <v>0</v>
      </c>
      <c r="AA3605" s="6">
        <v>0</v>
      </c>
      <c r="AB3605" s="4">
        <f t="shared" si="560"/>
        <v>0</v>
      </c>
      <c r="AC3605" s="4">
        <f t="shared" si="562"/>
        <v>0</v>
      </c>
      <c r="AD3605" s="6">
        <f t="shared" si="555"/>
        <v>0</v>
      </c>
      <c r="AE3605" s="2">
        <f>VLOOKUP(I3605,[1]媒体政策预估表!A:N,MATCH(O3605,[1]媒体政策预估表!$A$2:$M$2,0),0)</f>
        <v>0.12</v>
      </c>
      <c r="AF3605" s="6">
        <f t="shared" si="563"/>
        <v>0</v>
      </c>
      <c r="AG3605" s="14">
        <v>0</v>
      </c>
      <c r="AH3605" s="64">
        <f t="shared" si="556"/>
        <v>0</v>
      </c>
      <c r="AI3605" s="47"/>
      <c r="AJ3605" s="126" t="e">
        <v>#N/A</v>
      </c>
      <c r="AK3605" s="80">
        <f t="shared" si="561"/>
        <v>0</v>
      </c>
      <c r="AM3605" s="85"/>
    </row>
    <row r="3606" spans="1:39" hidden="1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57"/>
        <v>57180.73000000001</v>
      </c>
      <c r="X3606" s="6">
        <f t="shared" si="558"/>
        <v>13563.28</v>
      </c>
      <c r="Y3606" s="13">
        <f t="shared" si="559"/>
        <v>0</v>
      </c>
      <c r="Z3606" s="14">
        <v>0</v>
      </c>
      <c r="AA3606" s="6">
        <v>0</v>
      </c>
      <c r="AB3606" s="4">
        <f t="shared" si="560"/>
        <v>13563.28</v>
      </c>
      <c r="AC3606" s="4">
        <f t="shared" si="562"/>
        <v>0</v>
      </c>
      <c r="AD3606" s="6">
        <f t="shared" si="555"/>
        <v>13563.28</v>
      </c>
      <c r="AE3606" s="2">
        <f>VLOOKUP(I3606,[1]媒体政策预估表!A:N,MATCH(O3606,[1]媒体政策预估表!$A$2:$M$2,0),0)</f>
        <v>0.12</v>
      </c>
      <c r="AF3606" s="6">
        <f t="shared" si="563"/>
        <v>1627.5935999999999</v>
      </c>
      <c r="AG3606" s="14">
        <v>0</v>
      </c>
      <c r="AH3606" s="64">
        <f t="shared" si="556"/>
        <v>13563.28</v>
      </c>
      <c r="AI3606" s="47"/>
      <c r="AJ3606" s="126" t="e">
        <v>#N/A</v>
      </c>
      <c r="AK3606" s="80">
        <f t="shared" si="561"/>
        <v>0</v>
      </c>
      <c r="AM3606" s="85"/>
    </row>
    <row r="3607" spans="1:39" hidden="1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57"/>
        <v>70760.37</v>
      </c>
      <c r="X3607" s="6">
        <f t="shared" si="558"/>
        <v>14644.130000000005</v>
      </c>
      <c r="Y3607" s="13">
        <f t="shared" si="559"/>
        <v>0</v>
      </c>
      <c r="Z3607" s="14">
        <v>0</v>
      </c>
      <c r="AA3607" s="6">
        <v>0</v>
      </c>
      <c r="AB3607" s="4">
        <f t="shared" si="560"/>
        <v>14644.130000000005</v>
      </c>
      <c r="AC3607" s="4">
        <f t="shared" si="562"/>
        <v>0</v>
      </c>
      <c r="AD3607" s="6">
        <f t="shared" si="555"/>
        <v>14644.130000000005</v>
      </c>
      <c r="AE3607" s="2">
        <f>VLOOKUP(I3607,[1]媒体政策预估表!A:N,MATCH(O3607,[1]媒体政策预估表!$A$2:$M$2,0),0)</f>
        <v>0.12</v>
      </c>
      <c r="AF3607" s="6">
        <f t="shared" si="563"/>
        <v>1757.2956000000006</v>
      </c>
      <c r="AG3607" s="14">
        <v>0</v>
      </c>
      <c r="AH3607" s="64">
        <f t="shared" si="556"/>
        <v>14644.130000000005</v>
      </c>
      <c r="AI3607" s="47"/>
      <c r="AJ3607" s="126" t="e">
        <v>#N/A</v>
      </c>
      <c r="AK3607" s="80">
        <f t="shared" si="561"/>
        <v>0</v>
      </c>
      <c r="AM3607" s="85"/>
    </row>
    <row r="3608" spans="1:39" hidden="1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57"/>
        <v>6745.25</v>
      </c>
      <c r="X3608" s="6">
        <f t="shared" si="558"/>
        <v>0</v>
      </c>
      <c r="Y3608" s="13">
        <f t="shared" si="559"/>
        <v>0</v>
      </c>
      <c r="Z3608" s="14">
        <v>0</v>
      </c>
      <c r="AA3608" s="6">
        <v>0</v>
      </c>
      <c r="AB3608" s="4">
        <f t="shared" si="560"/>
        <v>0</v>
      </c>
      <c r="AC3608" s="4">
        <f t="shared" si="562"/>
        <v>0</v>
      </c>
      <c r="AD3608" s="6">
        <f t="shared" si="555"/>
        <v>0</v>
      </c>
      <c r="AE3608" s="2">
        <f>VLOOKUP(I3608,[1]媒体政策预估表!A:N,MATCH(O3608,[1]媒体政策预估表!$A$2:$M$2,0),0)</f>
        <v>7.0000000000000007E-2</v>
      </c>
      <c r="AF3608" s="6">
        <f t="shared" si="563"/>
        <v>0</v>
      </c>
      <c r="AG3608" s="14">
        <v>0</v>
      </c>
      <c r="AH3608" s="64">
        <f t="shared" si="556"/>
        <v>0</v>
      </c>
      <c r="AI3608" s="47"/>
      <c r="AJ3608" s="126" t="e">
        <v>#N/A</v>
      </c>
      <c r="AK3608" s="80">
        <f t="shared" si="561"/>
        <v>0</v>
      </c>
      <c r="AM3608" s="85"/>
    </row>
    <row r="3609" spans="1:39" hidden="1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57"/>
        <v>7072.96</v>
      </c>
      <c r="X3609" s="6">
        <f t="shared" si="558"/>
        <v>0</v>
      </c>
      <c r="Y3609" s="13">
        <f t="shared" si="559"/>
        <v>0</v>
      </c>
      <c r="Z3609" s="14">
        <v>0</v>
      </c>
      <c r="AA3609" s="6">
        <v>0</v>
      </c>
      <c r="AB3609" s="4">
        <f t="shared" si="560"/>
        <v>0</v>
      </c>
      <c r="AC3609" s="4">
        <f t="shared" si="562"/>
        <v>0</v>
      </c>
      <c r="AD3609" s="6">
        <f t="shared" si="555"/>
        <v>0</v>
      </c>
      <c r="AE3609" s="2">
        <f>VLOOKUP(I3609,[1]媒体政策预估表!A:N,MATCH(O3609,[1]媒体政策预估表!$A$2:$M$2,0),0)</f>
        <v>7.0000000000000007E-2</v>
      </c>
      <c r="AF3609" s="6">
        <f t="shared" si="563"/>
        <v>0</v>
      </c>
      <c r="AG3609" s="14">
        <v>0</v>
      </c>
      <c r="AH3609" s="64">
        <f t="shared" si="556"/>
        <v>0</v>
      </c>
      <c r="AI3609" s="47"/>
      <c r="AJ3609" s="126" t="e">
        <v>#N/A</v>
      </c>
      <c r="AK3609" s="80">
        <f t="shared" si="561"/>
        <v>0</v>
      </c>
      <c r="AM3609" s="85"/>
    </row>
    <row r="3610" spans="1:39" hidden="1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57"/>
        <v>9587.7999999999993</v>
      </c>
      <c r="X3610" s="6">
        <f t="shared" si="558"/>
        <v>412.2</v>
      </c>
      <c r="Y3610" s="13">
        <f t="shared" si="559"/>
        <v>0</v>
      </c>
      <c r="Z3610" s="14">
        <v>0</v>
      </c>
      <c r="AA3610" s="6">
        <v>0</v>
      </c>
      <c r="AB3610" s="4">
        <f t="shared" si="560"/>
        <v>412.2</v>
      </c>
      <c r="AC3610" s="4">
        <f t="shared" si="562"/>
        <v>0</v>
      </c>
      <c r="AD3610" s="6">
        <f t="shared" si="555"/>
        <v>412.2</v>
      </c>
      <c r="AE3610" s="2">
        <f>VLOOKUP(I3610,[1]媒体政策预估表!A:N,MATCH(O3610,[1]媒体政策预估表!$A$2:$M$2,0),0)</f>
        <v>0.12</v>
      </c>
      <c r="AF3610" s="6">
        <f t="shared" si="563"/>
        <v>49.463999999999999</v>
      </c>
      <c r="AG3610" s="14">
        <v>0</v>
      </c>
      <c r="AH3610" s="64">
        <f t="shared" si="556"/>
        <v>412.2</v>
      </c>
      <c r="AI3610" s="47"/>
      <c r="AJ3610" s="126" t="e">
        <v>#N/A</v>
      </c>
      <c r="AK3610" s="80">
        <f t="shared" si="561"/>
        <v>0</v>
      </c>
      <c r="AM3610" s="85"/>
    </row>
    <row r="3611" spans="1:39" hidden="1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57"/>
        <v>0</v>
      </c>
      <c r="X3611" s="6">
        <f t="shared" si="558"/>
        <v>8160.4000000000015</v>
      </c>
      <c r="Y3611" s="13">
        <f t="shared" si="559"/>
        <v>0</v>
      </c>
      <c r="Z3611" s="14">
        <v>0</v>
      </c>
      <c r="AA3611" s="6">
        <v>0</v>
      </c>
      <c r="AB3611" s="4"/>
      <c r="AC3611" s="4">
        <f t="shared" si="562"/>
        <v>0</v>
      </c>
      <c r="AD3611" s="6">
        <f t="shared" si="555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563"/>
        <v>571.22800000000018</v>
      </c>
      <c r="AG3611" s="14">
        <v>0</v>
      </c>
      <c r="AH3611" s="64">
        <f t="shared" si="556"/>
        <v>8160.4000000000015</v>
      </c>
      <c r="AI3611" s="47"/>
      <c r="AJ3611" s="126">
        <v>109</v>
      </c>
      <c r="AK3611" s="80">
        <f t="shared" si="561"/>
        <v>8160.4000000000015</v>
      </c>
      <c r="AM3611" s="85"/>
    </row>
    <row r="3612" spans="1:39" hidden="1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57"/>
        <v>0</v>
      </c>
      <c r="X3612" s="6">
        <f t="shared" si="558"/>
        <v>13738.230000000003</v>
      </c>
      <c r="Y3612" s="13">
        <f t="shared" si="559"/>
        <v>0</v>
      </c>
      <c r="Z3612" s="14">
        <v>0</v>
      </c>
      <c r="AA3612" s="6">
        <v>0</v>
      </c>
      <c r="AB3612" s="4">
        <f t="shared" si="560"/>
        <v>13738.230000000003</v>
      </c>
      <c r="AC3612" s="4">
        <f t="shared" si="562"/>
        <v>0</v>
      </c>
      <c r="AD3612" s="6">
        <f t="shared" si="555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563"/>
        <v>961.67610000000036</v>
      </c>
      <c r="AG3612" s="14">
        <v>0</v>
      </c>
      <c r="AH3612" s="64">
        <f t="shared" si="556"/>
        <v>13738.230000000003</v>
      </c>
      <c r="AI3612" s="47"/>
      <c r="AJ3612" s="126" t="e">
        <v>#N/A</v>
      </c>
      <c r="AK3612" s="80">
        <f t="shared" si="561"/>
        <v>0</v>
      </c>
      <c r="AM3612" s="85"/>
    </row>
    <row r="3613" spans="1:39" hidden="1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57"/>
        <v>13155.789999999999</v>
      </c>
      <c r="X3613" s="6">
        <f t="shared" si="558"/>
        <v>0</v>
      </c>
      <c r="Y3613" s="13">
        <f t="shared" si="559"/>
        <v>0</v>
      </c>
      <c r="Z3613" s="14">
        <v>0</v>
      </c>
      <c r="AA3613" s="6">
        <v>0</v>
      </c>
      <c r="AB3613" s="4">
        <f t="shared" si="560"/>
        <v>0</v>
      </c>
      <c r="AC3613" s="4">
        <f t="shared" si="562"/>
        <v>0</v>
      </c>
      <c r="AD3613" s="6">
        <f t="shared" si="555"/>
        <v>0</v>
      </c>
      <c r="AE3613" s="2">
        <f>VLOOKUP(I3613,[1]媒体政策预估表!A:N,MATCH(O3613,[1]媒体政策预估表!$A$2:$M$2,0),0)</f>
        <v>0.12</v>
      </c>
      <c r="AF3613" s="6">
        <f t="shared" si="563"/>
        <v>0</v>
      </c>
      <c r="AG3613" s="14">
        <v>0</v>
      </c>
      <c r="AH3613" s="64">
        <f t="shared" si="556"/>
        <v>0</v>
      </c>
      <c r="AI3613" s="47"/>
      <c r="AJ3613" s="126" t="e">
        <v>#N/A</v>
      </c>
      <c r="AK3613" s="80">
        <f t="shared" si="561"/>
        <v>0</v>
      </c>
      <c r="AM3613" s="85"/>
    </row>
    <row r="3614" spans="1:39" hidden="1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57"/>
        <v>6979.41</v>
      </c>
      <c r="X3614" s="6">
        <f t="shared" si="558"/>
        <v>0</v>
      </c>
      <c r="Y3614" s="13">
        <f t="shared" si="559"/>
        <v>0</v>
      </c>
      <c r="Z3614" s="14">
        <v>0</v>
      </c>
      <c r="AA3614" s="6">
        <v>0</v>
      </c>
      <c r="AB3614" s="4">
        <f t="shared" si="560"/>
        <v>0</v>
      </c>
      <c r="AC3614" s="4">
        <f t="shared" si="562"/>
        <v>0</v>
      </c>
      <c r="AD3614" s="6">
        <f t="shared" si="555"/>
        <v>0</v>
      </c>
      <c r="AE3614" s="2">
        <f>VLOOKUP(I3614,[1]媒体政策预估表!A:N,MATCH(O3614,[1]媒体政策预估表!$A$2:$M$2,0),0)</f>
        <v>7.0000000000000007E-2</v>
      </c>
      <c r="AF3614" s="6">
        <f t="shared" si="563"/>
        <v>0</v>
      </c>
      <c r="AG3614" s="14">
        <v>0</v>
      </c>
      <c r="AH3614" s="64">
        <f t="shared" si="556"/>
        <v>0</v>
      </c>
      <c r="AI3614" s="47"/>
      <c r="AJ3614" s="126" t="e">
        <v>#N/A</v>
      </c>
      <c r="AK3614" s="80">
        <f t="shared" si="561"/>
        <v>0</v>
      </c>
      <c r="AM3614" s="85"/>
    </row>
    <row r="3615" spans="1:39" hidden="1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57"/>
        <v>8329.7500000000018</v>
      </c>
      <c r="X3615" s="6">
        <f t="shared" si="558"/>
        <v>8063.26</v>
      </c>
      <c r="Y3615" s="13">
        <f t="shared" si="559"/>
        <v>0</v>
      </c>
      <c r="Z3615" s="14">
        <v>0</v>
      </c>
      <c r="AA3615" s="6">
        <v>0</v>
      </c>
      <c r="AB3615" s="4">
        <f t="shared" si="560"/>
        <v>8063.26</v>
      </c>
      <c r="AC3615" s="4">
        <f t="shared" si="562"/>
        <v>0</v>
      </c>
      <c r="AD3615" s="6">
        <f t="shared" si="555"/>
        <v>8063.26</v>
      </c>
      <c r="AE3615" s="2">
        <f>VLOOKUP(I3615,[1]媒体政策预估表!A:N,MATCH(O3615,[1]媒体政策预估表!$A$2:$M$2,0),0)</f>
        <v>7.0000000000000007E-2</v>
      </c>
      <c r="AF3615" s="6">
        <f t="shared" si="563"/>
        <v>564.42820000000006</v>
      </c>
      <c r="AG3615" s="14">
        <v>0</v>
      </c>
      <c r="AH3615" s="64">
        <f t="shared" si="556"/>
        <v>8063.26</v>
      </c>
      <c r="AI3615" s="47"/>
      <c r="AJ3615" s="126" t="e">
        <v>#N/A</v>
      </c>
      <c r="AK3615" s="80">
        <f t="shared" si="561"/>
        <v>0</v>
      </c>
      <c r="AM3615" s="85"/>
    </row>
    <row r="3616" spans="1:39" hidden="1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57"/>
        <v>37774.649999999987</v>
      </c>
      <c r="X3616" s="6">
        <f t="shared" si="558"/>
        <v>41049.35</v>
      </c>
      <c r="Y3616" s="13">
        <f t="shared" si="559"/>
        <v>0</v>
      </c>
      <c r="Z3616" s="14">
        <v>0</v>
      </c>
      <c r="AA3616" s="6">
        <v>0</v>
      </c>
      <c r="AB3616" s="4">
        <f t="shared" si="560"/>
        <v>41049.35</v>
      </c>
      <c r="AC3616" s="4">
        <f t="shared" si="562"/>
        <v>0</v>
      </c>
      <c r="AD3616" s="6">
        <f t="shared" si="555"/>
        <v>41049.35</v>
      </c>
      <c r="AE3616" s="2">
        <f>VLOOKUP(I3616,[1]媒体政策预估表!A:N,MATCH(O3616,[1]媒体政策预估表!$A$2:$M$2,0),0)</f>
        <v>7.0000000000000007E-2</v>
      </c>
      <c r="AF3616" s="6">
        <f t="shared" si="563"/>
        <v>2873.4545000000003</v>
      </c>
      <c r="AG3616" s="14">
        <v>0</v>
      </c>
      <c r="AH3616" s="64">
        <f t="shared" si="556"/>
        <v>41049.35</v>
      </c>
      <c r="AI3616" s="47"/>
      <c r="AJ3616" s="126" t="e">
        <v>#N/A</v>
      </c>
      <c r="AK3616" s="80">
        <f t="shared" si="561"/>
        <v>0</v>
      </c>
      <c r="AM3616" s="85"/>
    </row>
    <row r="3617" spans="1:39" hidden="1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57"/>
        <v>331904.61000000004</v>
      </c>
      <c r="X3617" s="6">
        <f t="shared" si="558"/>
        <v>373379.67647058831</v>
      </c>
      <c r="Y3617" s="13">
        <f t="shared" si="559"/>
        <v>0</v>
      </c>
      <c r="Z3617" s="14">
        <v>0</v>
      </c>
      <c r="AA3617" s="6">
        <v>0</v>
      </c>
      <c r="AB3617" s="4">
        <f t="shared" si="560"/>
        <v>373379.67647058831</v>
      </c>
      <c r="AC3617" s="4">
        <f t="shared" si="562"/>
        <v>7467.5935294117662</v>
      </c>
      <c r="AD3617" s="6">
        <f t="shared" si="555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563"/>
        <v>26659.308900000007</v>
      </c>
      <c r="AG3617" s="14">
        <v>0</v>
      </c>
      <c r="AH3617" s="64">
        <f t="shared" si="556"/>
        <v>380847.27000000008</v>
      </c>
      <c r="AI3617" s="47"/>
      <c r="AJ3617" s="126" t="e">
        <v>#N/A</v>
      </c>
      <c r="AK3617" s="80">
        <f t="shared" si="561"/>
        <v>0</v>
      </c>
      <c r="AM3617" s="85"/>
    </row>
    <row r="3618" spans="1:39" hidden="1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57"/>
        <v>1441</v>
      </c>
      <c r="X3618" s="6">
        <f t="shared" si="558"/>
        <v>0</v>
      </c>
      <c r="Y3618" s="13">
        <f t="shared" si="559"/>
        <v>0</v>
      </c>
      <c r="Z3618" s="14">
        <v>0</v>
      </c>
      <c r="AA3618" s="6">
        <v>0</v>
      </c>
      <c r="AB3618" s="4">
        <f t="shared" si="560"/>
        <v>0</v>
      </c>
      <c r="AC3618" s="4">
        <f t="shared" si="562"/>
        <v>0</v>
      </c>
      <c r="AD3618" s="6">
        <f t="shared" si="555"/>
        <v>0</v>
      </c>
      <c r="AE3618" s="2">
        <f>VLOOKUP(I3618,[1]媒体政策预估表!A:N,MATCH(O3618,[1]媒体政策预估表!$A$2:$M$2,0),0)</f>
        <v>7.0000000000000007E-2</v>
      </c>
      <c r="AF3618" s="6">
        <f t="shared" si="563"/>
        <v>0</v>
      </c>
      <c r="AG3618" s="14">
        <v>0</v>
      </c>
      <c r="AH3618" s="64">
        <f t="shared" si="556"/>
        <v>0</v>
      </c>
      <c r="AI3618" s="47"/>
      <c r="AJ3618" s="126" t="e">
        <v>#N/A</v>
      </c>
      <c r="AK3618" s="80">
        <f t="shared" si="561"/>
        <v>0</v>
      </c>
      <c r="AM3618" s="85"/>
    </row>
    <row r="3619" spans="1:39" hidden="1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57"/>
        <v>10000</v>
      </c>
      <c r="X3619" s="6">
        <f t="shared" si="558"/>
        <v>0</v>
      </c>
      <c r="Y3619" s="13">
        <f t="shared" si="559"/>
        <v>0</v>
      </c>
      <c r="Z3619" s="14">
        <v>0</v>
      </c>
      <c r="AA3619" s="6">
        <v>0</v>
      </c>
      <c r="AB3619" s="4">
        <f t="shared" si="560"/>
        <v>0</v>
      </c>
      <c r="AC3619" s="4">
        <f t="shared" si="562"/>
        <v>0</v>
      </c>
      <c r="AD3619" s="6">
        <f t="shared" si="555"/>
        <v>0</v>
      </c>
      <c r="AE3619" s="2">
        <f>VLOOKUP(I3619,[1]媒体政策预估表!A:N,MATCH(O3619,[1]媒体政策预估表!$A$2:$M$2,0),0)</f>
        <v>7.0000000000000007E-2</v>
      </c>
      <c r="AF3619" s="6">
        <f t="shared" si="563"/>
        <v>0</v>
      </c>
      <c r="AG3619" s="14">
        <v>0</v>
      </c>
      <c r="AH3619" s="64">
        <f t="shared" si="556"/>
        <v>0</v>
      </c>
      <c r="AI3619" s="47"/>
      <c r="AJ3619" s="126" t="e">
        <v>#N/A</v>
      </c>
      <c r="AK3619" s="80">
        <f t="shared" si="561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57"/>
        <v>-73667.62</v>
      </c>
      <c r="X3620" s="6">
        <f t="shared" si="558"/>
        <v>0</v>
      </c>
      <c r="Y3620" s="13">
        <f t="shared" si="559"/>
        <v>0</v>
      </c>
      <c r="Z3620" s="14">
        <v>0</v>
      </c>
      <c r="AA3620" s="6">
        <v>0</v>
      </c>
      <c r="AB3620" s="4">
        <f t="shared" si="560"/>
        <v>0</v>
      </c>
      <c r="AC3620" s="4">
        <f t="shared" si="562"/>
        <v>0</v>
      </c>
      <c r="AD3620" s="6">
        <f t="shared" ref="AD3620:AD3683" si="564">V3620</f>
        <v>0</v>
      </c>
      <c r="AE3620" s="2">
        <f>VLOOKUP(I3620,[1]媒体政策预估表!A:N,MATCH(O3620,[1]媒体政策预估表!$A$2:$M$2,0),0)</f>
        <v>7.0000000000000007E-2</v>
      </c>
      <c r="AF3620" s="6">
        <f t="shared" si="563"/>
        <v>0</v>
      </c>
      <c r="AG3620" s="14">
        <v>0</v>
      </c>
      <c r="AH3620" s="64">
        <f t="shared" ref="AH3620:AH3683" si="565">V3620</f>
        <v>0</v>
      </c>
      <c r="AI3620" s="47"/>
      <c r="AJ3620" s="126" t="e">
        <v>#N/A</v>
      </c>
      <c r="AK3620" s="80">
        <f t="shared" si="561"/>
        <v>0</v>
      </c>
      <c r="AM3620" s="85"/>
    </row>
    <row r="3621" spans="1:39" hidden="1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57"/>
        <v>2257.9300000000017</v>
      </c>
      <c r="X3621" s="6">
        <f t="shared" si="558"/>
        <v>186.27</v>
      </c>
      <c r="Y3621" s="13">
        <f t="shared" si="559"/>
        <v>0</v>
      </c>
      <c r="Z3621" s="14">
        <v>0</v>
      </c>
      <c r="AA3621" s="6">
        <v>0</v>
      </c>
      <c r="AB3621" s="4">
        <f t="shared" si="560"/>
        <v>186.27</v>
      </c>
      <c r="AC3621" s="4">
        <f t="shared" si="562"/>
        <v>0</v>
      </c>
      <c r="AD3621" s="6">
        <f t="shared" si="564"/>
        <v>186.27</v>
      </c>
      <c r="AE3621" s="2">
        <f>VLOOKUP(I3621,[1]媒体政策预估表!A:N,MATCH(O3621,[1]媒体政策预估表!$A$2:$M$2,0),0)</f>
        <v>7.0000000000000007E-2</v>
      </c>
      <c r="AF3621" s="6">
        <f t="shared" si="563"/>
        <v>13.038900000000002</v>
      </c>
      <c r="AG3621" s="14">
        <v>0</v>
      </c>
      <c r="AH3621" s="64">
        <f t="shared" si="565"/>
        <v>186.27</v>
      </c>
      <c r="AI3621" s="47"/>
      <c r="AJ3621" s="126" t="e">
        <v>#N/A</v>
      </c>
      <c r="AK3621" s="80">
        <f t="shared" si="561"/>
        <v>0</v>
      </c>
      <c r="AM3621" s="85"/>
    </row>
    <row r="3622" spans="1:39" hidden="1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566">T3622+U3622-V3622</f>
        <v>30000</v>
      </c>
      <c r="X3622" s="6">
        <f t="shared" si="558"/>
        <v>0</v>
      </c>
      <c r="Y3622" s="13">
        <f t="shared" si="559"/>
        <v>0</v>
      </c>
      <c r="Z3622" s="14">
        <v>0</v>
      </c>
      <c r="AA3622" s="6">
        <v>0</v>
      </c>
      <c r="AB3622" s="4">
        <f t="shared" si="560"/>
        <v>0</v>
      </c>
      <c r="AC3622" s="4">
        <f t="shared" si="562"/>
        <v>0</v>
      </c>
      <c r="AD3622" s="6">
        <f t="shared" si="564"/>
        <v>0</v>
      </c>
      <c r="AE3622" s="2">
        <f>VLOOKUP(I3622,[1]媒体政策预估表!A:N,MATCH(O3622,[1]媒体政策预估表!$A$2:$M$2,0),0)</f>
        <v>7.0000000000000007E-2</v>
      </c>
      <c r="AF3622" s="6">
        <f t="shared" si="563"/>
        <v>0</v>
      </c>
      <c r="AG3622" s="14">
        <v>0</v>
      </c>
      <c r="AH3622" s="64">
        <f t="shared" si="565"/>
        <v>0</v>
      </c>
      <c r="AI3622" s="47"/>
      <c r="AJ3622" s="126" t="e">
        <v>#N/A</v>
      </c>
      <c r="AK3622" s="80">
        <f t="shared" si="561"/>
        <v>0</v>
      </c>
      <c r="AM3622" s="85"/>
    </row>
    <row r="3623" spans="1:39" hidden="1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566"/>
        <v>981.01000000000022</v>
      </c>
      <c r="X3623" s="6">
        <f t="shared" ref="X3623:X3686" si="567">IF(P3623="折扣",V3623*Q3623,IF(P3623="返现",V3623,V3623/(1+Q3623)))</f>
        <v>7462.3365384615381</v>
      </c>
      <c r="Y3623" s="13">
        <f t="shared" si="559"/>
        <v>0</v>
      </c>
      <c r="Z3623" s="14">
        <v>0</v>
      </c>
      <c r="AA3623" s="6">
        <v>0</v>
      </c>
      <c r="AB3623" s="4"/>
      <c r="AC3623" s="4">
        <f t="shared" si="562"/>
        <v>298.49346153846182</v>
      </c>
      <c r="AD3623" s="6">
        <f t="shared" si="564"/>
        <v>7760.83</v>
      </c>
      <c r="AE3623" s="2">
        <f>VLOOKUP(I3623,[1]媒体政策预估表!A:N,MATCH(O3623,[1]媒体政策预估表!$A$2:$M$2,0),0)</f>
        <v>7.0000000000000007E-2</v>
      </c>
      <c r="AF3623" s="6">
        <f t="shared" si="563"/>
        <v>543.25810000000001</v>
      </c>
      <c r="AG3623" s="14">
        <v>0</v>
      </c>
      <c r="AH3623" s="64">
        <f t="shared" si="565"/>
        <v>7760.83</v>
      </c>
      <c r="AI3623" s="47"/>
      <c r="AJ3623" s="126">
        <v>112</v>
      </c>
      <c r="AK3623" s="80">
        <f t="shared" si="561"/>
        <v>7462.3365384615381</v>
      </c>
      <c r="AM3623" s="85"/>
    </row>
    <row r="3624" spans="1:39" hidden="1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566"/>
        <v>5000</v>
      </c>
      <c r="X3624" s="6">
        <f t="shared" si="567"/>
        <v>0</v>
      </c>
      <c r="Y3624" s="13">
        <f t="shared" si="559"/>
        <v>0</v>
      </c>
      <c r="Z3624" s="14">
        <v>0</v>
      </c>
      <c r="AA3624" s="6">
        <v>0</v>
      </c>
      <c r="AB3624" s="4">
        <f t="shared" si="560"/>
        <v>0</v>
      </c>
      <c r="AC3624" s="4">
        <f t="shared" si="562"/>
        <v>0</v>
      </c>
      <c r="AD3624" s="6">
        <f t="shared" si="564"/>
        <v>0</v>
      </c>
      <c r="AE3624" s="2">
        <f>VLOOKUP(I3624,[1]媒体政策预估表!A:N,MATCH(O3624,[1]媒体政策预估表!$A$2:$M$2,0),0)</f>
        <v>7.0000000000000007E-2</v>
      </c>
      <c r="AF3624" s="6">
        <f t="shared" si="563"/>
        <v>0</v>
      </c>
      <c r="AG3624" s="14">
        <v>0</v>
      </c>
      <c r="AH3624" s="64">
        <f t="shared" si="565"/>
        <v>0</v>
      </c>
      <c r="AI3624" s="47"/>
      <c r="AJ3624" s="126" t="e">
        <v>#N/A</v>
      </c>
      <c r="AK3624" s="80">
        <f t="shared" si="561"/>
        <v>0</v>
      </c>
      <c r="AM3624" s="85"/>
    </row>
    <row r="3625" spans="1:39" hidden="1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566"/>
        <v>5000</v>
      </c>
      <c r="X3625" s="6">
        <f t="shared" si="567"/>
        <v>0</v>
      </c>
      <c r="Y3625" s="13">
        <f t="shared" si="559"/>
        <v>0</v>
      </c>
      <c r="Z3625" s="14">
        <v>0</v>
      </c>
      <c r="AA3625" s="6">
        <v>0</v>
      </c>
      <c r="AB3625" s="4">
        <f t="shared" si="560"/>
        <v>0</v>
      </c>
      <c r="AC3625" s="4">
        <f t="shared" si="562"/>
        <v>0</v>
      </c>
      <c r="AD3625" s="6">
        <f t="shared" si="564"/>
        <v>0</v>
      </c>
      <c r="AE3625" s="2">
        <f>VLOOKUP(I3625,[1]媒体政策预估表!A:N,MATCH(O3625,[1]媒体政策预估表!$A$2:$M$2,0),0)</f>
        <v>0.12</v>
      </c>
      <c r="AF3625" s="6">
        <f t="shared" si="563"/>
        <v>0</v>
      </c>
      <c r="AG3625" s="14">
        <v>0</v>
      </c>
      <c r="AH3625" s="64">
        <f t="shared" si="565"/>
        <v>0</v>
      </c>
      <c r="AI3625" s="47"/>
      <c r="AJ3625" s="126" t="e">
        <v>#N/A</v>
      </c>
      <c r="AK3625" s="80">
        <f t="shared" si="561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566"/>
        <v>98000</v>
      </c>
      <c r="X3626" s="6">
        <f t="shared" si="567"/>
        <v>0</v>
      </c>
      <c r="Y3626" s="13">
        <f t="shared" si="559"/>
        <v>0</v>
      </c>
      <c r="Z3626" s="14">
        <v>0</v>
      </c>
      <c r="AA3626" s="6">
        <v>0</v>
      </c>
      <c r="AB3626" s="4">
        <f t="shared" si="560"/>
        <v>0</v>
      </c>
      <c r="AC3626" s="4">
        <f t="shared" si="562"/>
        <v>0</v>
      </c>
      <c r="AD3626" s="6">
        <f t="shared" si="564"/>
        <v>0</v>
      </c>
      <c r="AE3626" s="2">
        <f>VLOOKUP(I3626,[1]媒体政策预估表!A:N,MATCH(O3626,[1]媒体政策预估表!$A$2:$M$2,0),0)</f>
        <v>0.12</v>
      </c>
      <c r="AF3626" s="6">
        <f t="shared" si="563"/>
        <v>0</v>
      </c>
      <c r="AG3626" s="14">
        <v>0</v>
      </c>
      <c r="AH3626" s="64">
        <f t="shared" si="565"/>
        <v>0</v>
      </c>
      <c r="AI3626" s="47"/>
      <c r="AJ3626" s="126" t="e">
        <v>#N/A</v>
      </c>
      <c r="AK3626" s="80">
        <f t="shared" si="561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566"/>
        <v>5000</v>
      </c>
      <c r="X3627" s="6">
        <f t="shared" si="567"/>
        <v>0</v>
      </c>
      <c r="Y3627" s="13">
        <f t="shared" si="559"/>
        <v>0</v>
      </c>
      <c r="Z3627" s="14">
        <v>0</v>
      </c>
      <c r="AA3627" s="6">
        <v>0</v>
      </c>
      <c r="AB3627" s="4">
        <f t="shared" si="560"/>
        <v>0</v>
      </c>
      <c r="AC3627" s="4">
        <f t="shared" si="562"/>
        <v>0</v>
      </c>
      <c r="AD3627" s="6">
        <f t="shared" si="564"/>
        <v>0</v>
      </c>
      <c r="AE3627" s="2">
        <f>VLOOKUP(I3627,[1]媒体政策预估表!A:N,MATCH(O3627,[1]媒体政策预估表!$A$2:$M$2,0),0)</f>
        <v>0.12</v>
      </c>
      <c r="AF3627" s="6">
        <f t="shared" si="563"/>
        <v>0</v>
      </c>
      <c r="AG3627" s="14">
        <v>0</v>
      </c>
      <c r="AH3627" s="64">
        <f t="shared" si="565"/>
        <v>0</v>
      </c>
      <c r="AI3627" s="47"/>
      <c r="AJ3627" s="126" t="e">
        <v>#N/A</v>
      </c>
      <c r="AK3627" s="80">
        <f t="shared" si="561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566"/>
        <v>9834.090000000002</v>
      </c>
      <c r="X3628" s="6">
        <f t="shared" si="567"/>
        <v>0</v>
      </c>
      <c r="Y3628" s="13">
        <f t="shared" si="559"/>
        <v>0</v>
      </c>
      <c r="Z3628" s="14">
        <v>0</v>
      </c>
      <c r="AA3628" s="6">
        <v>0</v>
      </c>
      <c r="AB3628" s="4">
        <f t="shared" si="560"/>
        <v>0</v>
      </c>
      <c r="AC3628" s="4">
        <f t="shared" si="562"/>
        <v>0</v>
      </c>
      <c r="AD3628" s="6">
        <f t="shared" si="564"/>
        <v>0</v>
      </c>
      <c r="AE3628" s="2">
        <f>VLOOKUP(I3628,[1]媒体政策预估表!A:N,MATCH(O3628,[1]媒体政策预估表!$A$2:$M$2,0),0)</f>
        <v>0.12</v>
      </c>
      <c r="AF3628" s="6">
        <f t="shared" si="563"/>
        <v>0</v>
      </c>
      <c r="AG3628" s="14">
        <v>0</v>
      </c>
      <c r="AH3628" s="64">
        <f t="shared" si="565"/>
        <v>0</v>
      </c>
      <c r="AI3628" s="47"/>
      <c r="AJ3628" s="126" t="e">
        <v>#N/A</v>
      </c>
      <c r="AK3628" s="80">
        <f t="shared" si="561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566"/>
        <v>512</v>
      </c>
      <c r="X3629" s="6">
        <f t="shared" si="567"/>
        <v>0</v>
      </c>
      <c r="Y3629" s="13">
        <f t="shared" si="559"/>
        <v>0</v>
      </c>
      <c r="Z3629" s="14">
        <v>0</v>
      </c>
      <c r="AA3629" s="6">
        <v>0</v>
      </c>
      <c r="AB3629" s="4">
        <f t="shared" si="560"/>
        <v>0</v>
      </c>
      <c r="AC3629" s="4">
        <f t="shared" si="562"/>
        <v>0</v>
      </c>
      <c r="AD3629" s="6">
        <f t="shared" si="564"/>
        <v>0</v>
      </c>
      <c r="AE3629" s="2">
        <f>VLOOKUP(I3629,[1]媒体政策预估表!A:N,MATCH(O3629,[1]媒体政策预估表!$A$2:$M$2,0),0)</f>
        <v>0.12</v>
      </c>
      <c r="AF3629" s="6">
        <f t="shared" si="563"/>
        <v>0</v>
      </c>
      <c r="AG3629" s="14">
        <v>0</v>
      </c>
      <c r="AH3629" s="64">
        <f t="shared" si="565"/>
        <v>0</v>
      </c>
      <c r="AI3629" s="47"/>
      <c r="AJ3629" s="126" t="e">
        <v>#N/A</v>
      </c>
      <c r="AK3629" s="80">
        <f t="shared" si="561"/>
        <v>0</v>
      </c>
      <c r="AM3629" s="85"/>
    </row>
    <row r="3630" spans="1:39" hidden="1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566"/>
        <v>0.22</v>
      </c>
      <c r="X3630" s="6">
        <f t="shared" si="567"/>
        <v>0</v>
      </c>
      <c r="Y3630" s="13">
        <f t="shared" si="559"/>
        <v>0</v>
      </c>
      <c r="Z3630" s="14">
        <v>0</v>
      </c>
      <c r="AA3630" s="6">
        <v>0</v>
      </c>
      <c r="AB3630" s="4"/>
      <c r="AC3630" s="4">
        <f t="shared" si="562"/>
        <v>0</v>
      </c>
      <c r="AD3630" s="6">
        <f t="shared" si="564"/>
        <v>0</v>
      </c>
      <c r="AE3630" s="2">
        <f>VLOOKUP(I3630,[1]媒体政策预估表!A:N,MATCH(O3630,[1]媒体政策预估表!$A$2:$M$2,0),0)</f>
        <v>0.12</v>
      </c>
      <c r="AF3630" s="6">
        <f t="shared" si="563"/>
        <v>0</v>
      </c>
      <c r="AG3630" s="14">
        <v>0</v>
      </c>
      <c r="AH3630" s="64">
        <f t="shared" si="565"/>
        <v>0</v>
      </c>
      <c r="AI3630" s="47"/>
      <c r="AJ3630" s="126">
        <v>71</v>
      </c>
      <c r="AK3630" s="80">
        <f t="shared" si="561"/>
        <v>0</v>
      </c>
      <c r="AM3630" s="85"/>
    </row>
    <row r="3631" spans="1:39" hidden="1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566"/>
        <v>0.94</v>
      </c>
      <c r="X3631" s="6">
        <f t="shared" si="567"/>
        <v>0</v>
      </c>
      <c r="Y3631" s="13">
        <f t="shared" si="559"/>
        <v>0</v>
      </c>
      <c r="Z3631" s="14">
        <v>0</v>
      </c>
      <c r="AA3631" s="6">
        <v>0</v>
      </c>
      <c r="AB3631" s="4"/>
      <c r="AC3631" s="4">
        <f t="shared" si="562"/>
        <v>0</v>
      </c>
      <c r="AD3631" s="6">
        <f t="shared" si="564"/>
        <v>0</v>
      </c>
      <c r="AE3631" s="2">
        <f>VLOOKUP(I3631,[1]媒体政策预估表!A:N,MATCH(O3631,[1]媒体政策预估表!$A$2:$M$2,0),0)</f>
        <v>0.12</v>
      </c>
      <c r="AF3631" s="6">
        <f t="shared" si="563"/>
        <v>0</v>
      </c>
      <c r="AG3631" s="14">
        <v>0</v>
      </c>
      <c r="AH3631" s="64">
        <f t="shared" si="565"/>
        <v>0</v>
      </c>
      <c r="AI3631" s="47"/>
      <c r="AJ3631" s="126">
        <v>71</v>
      </c>
      <c r="AK3631" s="80">
        <f t="shared" si="561"/>
        <v>0</v>
      </c>
      <c r="AM3631" s="85"/>
    </row>
    <row r="3632" spans="1:39" hidden="1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566"/>
        <v>0.43</v>
      </c>
      <c r="X3632" s="6">
        <f t="shared" si="567"/>
        <v>0</v>
      </c>
      <c r="Y3632" s="13">
        <f t="shared" si="559"/>
        <v>0</v>
      </c>
      <c r="Z3632" s="14">
        <v>0</v>
      </c>
      <c r="AA3632" s="6">
        <v>0</v>
      </c>
      <c r="AB3632" s="4"/>
      <c r="AC3632" s="4">
        <f t="shared" si="562"/>
        <v>0</v>
      </c>
      <c r="AD3632" s="6">
        <f t="shared" si="564"/>
        <v>0</v>
      </c>
      <c r="AE3632" s="2">
        <f>VLOOKUP(I3632,[1]媒体政策预估表!A:N,MATCH(O3632,[1]媒体政策预估表!$A$2:$M$2,0),0)</f>
        <v>0.12</v>
      </c>
      <c r="AF3632" s="6">
        <f t="shared" si="563"/>
        <v>0</v>
      </c>
      <c r="AG3632" s="14">
        <v>0</v>
      </c>
      <c r="AH3632" s="64">
        <f t="shared" si="565"/>
        <v>0</v>
      </c>
      <c r="AI3632" s="47"/>
      <c r="AJ3632" s="126">
        <v>71</v>
      </c>
      <c r="AK3632" s="80">
        <f t="shared" si="561"/>
        <v>0</v>
      </c>
      <c r="AM3632" s="85"/>
    </row>
    <row r="3633" spans="1:39" hidden="1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566"/>
        <v>0.24</v>
      </c>
      <c r="X3633" s="6">
        <f t="shared" si="567"/>
        <v>0</v>
      </c>
      <c r="Y3633" s="13">
        <f t="shared" si="559"/>
        <v>0</v>
      </c>
      <c r="Z3633" s="14">
        <v>0</v>
      </c>
      <c r="AA3633" s="6">
        <v>0</v>
      </c>
      <c r="AB3633" s="4"/>
      <c r="AC3633" s="4">
        <f t="shared" si="562"/>
        <v>0</v>
      </c>
      <c r="AD3633" s="6">
        <f t="shared" si="564"/>
        <v>0</v>
      </c>
      <c r="AE3633" s="2">
        <f>VLOOKUP(I3633,[1]媒体政策预估表!A:N,MATCH(O3633,[1]媒体政策预估表!$A$2:$M$2,0),0)</f>
        <v>0.12</v>
      </c>
      <c r="AF3633" s="6">
        <f t="shared" si="563"/>
        <v>0</v>
      </c>
      <c r="AG3633" s="14">
        <v>0</v>
      </c>
      <c r="AH3633" s="64">
        <f t="shared" si="565"/>
        <v>0</v>
      </c>
      <c r="AI3633" s="47"/>
      <c r="AJ3633" s="126">
        <v>71</v>
      </c>
      <c r="AK3633" s="80">
        <f t="shared" si="561"/>
        <v>0</v>
      </c>
      <c r="AM3633" s="85"/>
    </row>
    <row r="3634" spans="1:39" hidden="1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566"/>
        <v>28964.959999999999</v>
      </c>
      <c r="X3634" s="6">
        <f t="shared" si="567"/>
        <v>0</v>
      </c>
      <c r="Y3634" s="13">
        <f t="shared" si="559"/>
        <v>0</v>
      </c>
      <c r="Z3634" s="14">
        <v>0</v>
      </c>
      <c r="AA3634" s="6">
        <v>0</v>
      </c>
      <c r="AB3634" s="4"/>
      <c r="AC3634" s="4">
        <f t="shared" si="562"/>
        <v>0</v>
      </c>
      <c r="AD3634" s="6">
        <f t="shared" si="564"/>
        <v>0</v>
      </c>
      <c r="AE3634" s="2">
        <f>VLOOKUP(I3634,[1]媒体政策预估表!A:N,MATCH(O3634,[1]媒体政策预估表!$A$2:$M$2,0),0)</f>
        <v>0.12</v>
      </c>
      <c r="AF3634" s="6">
        <f t="shared" si="563"/>
        <v>0</v>
      </c>
      <c r="AG3634" s="14">
        <v>0</v>
      </c>
      <c r="AH3634" s="64">
        <f t="shared" si="565"/>
        <v>0</v>
      </c>
      <c r="AI3634" s="47"/>
      <c r="AJ3634" s="126">
        <v>71</v>
      </c>
      <c r="AK3634" s="80">
        <f t="shared" si="561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566"/>
        <v>14781</v>
      </c>
      <c r="X3635" s="6">
        <f t="shared" si="567"/>
        <v>0</v>
      </c>
      <c r="Y3635" s="13">
        <f t="shared" si="559"/>
        <v>0</v>
      </c>
      <c r="Z3635" s="14">
        <v>0</v>
      </c>
      <c r="AA3635" s="6">
        <v>0</v>
      </c>
      <c r="AB3635" s="4"/>
      <c r="AC3635" s="4">
        <f t="shared" si="562"/>
        <v>0</v>
      </c>
      <c r="AD3635" s="6">
        <f t="shared" si="564"/>
        <v>0</v>
      </c>
      <c r="AE3635" s="2">
        <f>VLOOKUP(I3635,[1]媒体政策预估表!A:N,MATCH(O3635,[1]媒体政策预估表!$A$2:$M$2,0),0)</f>
        <v>0.12</v>
      </c>
      <c r="AF3635" s="6">
        <f t="shared" si="563"/>
        <v>0</v>
      </c>
      <c r="AG3635" s="14">
        <v>0</v>
      </c>
      <c r="AH3635" s="64">
        <f t="shared" si="565"/>
        <v>0</v>
      </c>
      <c r="AI3635" s="47"/>
      <c r="AJ3635" s="126">
        <v>71</v>
      </c>
      <c r="AK3635" s="80">
        <f t="shared" si="561"/>
        <v>0</v>
      </c>
      <c r="AM3635" s="85"/>
    </row>
    <row r="3636" spans="1:39" hidden="1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566"/>
        <v>-20000</v>
      </c>
      <c r="X3636" s="6">
        <f t="shared" si="567"/>
        <v>0</v>
      </c>
      <c r="Y3636" s="13">
        <f t="shared" si="559"/>
        <v>0</v>
      </c>
      <c r="Z3636" s="14">
        <v>0</v>
      </c>
      <c r="AA3636" s="6">
        <v>0</v>
      </c>
      <c r="AB3636" s="4"/>
      <c r="AC3636" s="4">
        <f t="shared" si="562"/>
        <v>0</v>
      </c>
      <c r="AD3636" s="6">
        <f t="shared" si="564"/>
        <v>0</v>
      </c>
      <c r="AE3636" s="2">
        <f>VLOOKUP(I3636,[1]媒体政策预估表!A:N,MATCH(O3636,[1]媒体政策预估表!$A$2:$M$2,0),0)</f>
        <v>0.12</v>
      </c>
      <c r="AF3636" s="6">
        <f t="shared" si="563"/>
        <v>0</v>
      </c>
      <c r="AG3636" s="14">
        <v>0</v>
      </c>
      <c r="AH3636" s="64">
        <f t="shared" si="565"/>
        <v>0</v>
      </c>
      <c r="AI3636" s="47"/>
      <c r="AJ3636" s="126">
        <v>96</v>
      </c>
      <c r="AK3636" s="80">
        <f t="shared" si="561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566"/>
        <v>14240.56</v>
      </c>
      <c r="X3637" s="6">
        <f t="shared" si="567"/>
        <v>0</v>
      </c>
      <c r="Y3637" s="13">
        <f t="shared" si="559"/>
        <v>0</v>
      </c>
      <c r="Z3637" s="14">
        <v>0</v>
      </c>
      <c r="AA3637" s="6">
        <v>0</v>
      </c>
      <c r="AB3637" s="4">
        <f t="shared" si="560"/>
        <v>0</v>
      </c>
      <c r="AC3637" s="4">
        <f t="shared" si="562"/>
        <v>0</v>
      </c>
      <c r="AD3637" s="6">
        <f t="shared" si="564"/>
        <v>0</v>
      </c>
      <c r="AE3637" s="2">
        <f>VLOOKUP(I3637,[1]媒体政策预估表!A:N,MATCH(O3637,[1]媒体政策预估表!$A$2:$M$2,0),0)</f>
        <v>7.0000000000000007E-2</v>
      </c>
      <c r="AF3637" s="6">
        <f t="shared" si="563"/>
        <v>0</v>
      </c>
      <c r="AG3637" s="14">
        <v>0</v>
      </c>
      <c r="AH3637" s="64">
        <f t="shared" si="565"/>
        <v>0</v>
      </c>
      <c r="AI3637" s="47"/>
      <c r="AJ3637" s="126" t="e">
        <v>#N/A</v>
      </c>
      <c r="AK3637" s="80">
        <f t="shared" si="561"/>
        <v>0</v>
      </c>
      <c r="AM3637" s="85"/>
    </row>
    <row r="3638" spans="1:39" hidden="1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566"/>
        <v>11576.1</v>
      </c>
      <c r="X3638" s="6">
        <f t="shared" si="567"/>
        <v>0</v>
      </c>
      <c r="Y3638" s="13">
        <f t="shared" si="559"/>
        <v>0</v>
      </c>
      <c r="Z3638" s="14">
        <v>0</v>
      </c>
      <c r="AA3638" s="6">
        <v>0</v>
      </c>
      <c r="AB3638" s="4">
        <f t="shared" si="560"/>
        <v>0</v>
      </c>
      <c r="AC3638" s="4">
        <f t="shared" si="562"/>
        <v>0</v>
      </c>
      <c r="AD3638" s="6">
        <f t="shared" si="564"/>
        <v>0</v>
      </c>
      <c r="AE3638" s="2">
        <f>VLOOKUP(I3638,[1]媒体政策预估表!A:N,MATCH(O3638,[1]媒体政策预估表!$A$2:$M$2,0),0)</f>
        <v>7.0000000000000007E-2</v>
      </c>
      <c r="AF3638" s="6">
        <f t="shared" si="563"/>
        <v>0</v>
      </c>
      <c r="AG3638" s="14">
        <v>0</v>
      </c>
      <c r="AH3638" s="64">
        <f t="shared" si="565"/>
        <v>0</v>
      </c>
      <c r="AI3638" s="47"/>
      <c r="AJ3638" s="126" t="e">
        <v>#N/A</v>
      </c>
      <c r="AK3638" s="80">
        <f t="shared" si="561"/>
        <v>0</v>
      </c>
      <c r="AM3638" s="85"/>
    </row>
    <row r="3639" spans="1:39" hidden="1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566"/>
        <v>3153.85</v>
      </c>
      <c r="X3639" s="6">
        <f t="shared" si="567"/>
        <v>0</v>
      </c>
      <c r="Y3639" s="13">
        <f t="shared" si="559"/>
        <v>0</v>
      </c>
      <c r="Z3639" s="14">
        <v>0</v>
      </c>
      <c r="AA3639" s="6">
        <v>0</v>
      </c>
      <c r="AB3639" s="4">
        <f t="shared" si="560"/>
        <v>0</v>
      </c>
      <c r="AC3639" s="4">
        <f t="shared" si="562"/>
        <v>0</v>
      </c>
      <c r="AD3639" s="6">
        <f t="shared" si="564"/>
        <v>0</v>
      </c>
      <c r="AE3639" s="2">
        <f>VLOOKUP(I3639,[1]媒体政策预估表!A:N,MATCH(O3639,[1]媒体政策预估表!$A$2:$M$2,0),0)</f>
        <v>0.12</v>
      </c>
      <c r="AF3639" s="6">
        <f t="shared" si="563"/>
        <v>0</v>
      </c>
      <c r="AG3639" s="14">
        <v>0</v>
      </c>
      <c r="AH3639" s="64">
        <f t="shared" si="565"/>
        <v>0</v>
      </c>
      <c r="AI3639" s="47"/>
      <c r="AJ3639" s="126" t="e">
        <v>#N/A</v>
      </c>
      <c r="AK3639" s="80">
        <f t="shared" si="561"/>
        <v>0</v>
      </c>
      <c r="AM3639" s="85"/>
    </row>
    <row r="3640" spans="1:39" hidden="1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566"/>
        <v>0.17</v>
      </c>
      <c r="X3640" s="6">
        <f t="shared" si="567"/>
        <v>0</v>
      </c>
      <c r="Y3640" s="13">
        <f t="shared" si="559"/>
        <v>0</v>
      </c>
      <c r="Z3640" s="14">
        <v>0</v>
      </c>
      <c r="AA3640" s="6">
        <v>0</v>
      </c>
      <c r="AB3640" s="4">
        <f t="shared" si="560"/>
        <v>0</v>
      </c>
      <c r="AC3640" s="4">
        <f t="shared" si="562"/>
        <v>0</v>
      </c>
      <c r="AD3640" s="6">
        <f t="shared" si="564"/>
        <v>0</v>
      </c>
      <c r="AE3640" s="2">
        <f>VLOOKUP(I3640,[1]媒体政策预估表!A:N,MATCH(O3640,[1]媒体政策预估表!$A$2:$M$2,0),0)</f>
        <v>0.12</v>
      </c>
      <c r="AF3640" s="6">
        <f t="shared" si="563"/>
        <v>0</v>
      </c>
      <c r="AG3640" s="14">
        <v>0</v>
      </c>
      <c r="AH3640" s="64">
        <f t="shared" si="565"/>
        <v>0</v>
      </c>
      <c r="AI3640" s="47"/>
      <c r="AJ3640" s="126" t="e">
        <v>#N/A</v>
      </c>
      <c r="AK3640" s="80">
        <f t="shared" si="561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566"/>
        <v>0.97</v>
      </c>
      <c r="X3641" s="6">
        <f t="shared" si="567"/>
        <v>0</v>
      </c>
      <c r="Y3641" s="13">
        <f t="shared" si="559"/>
        <v>0</v>
      </c>
      <c r="Z3641" s="14">
        <v>0</v>
      </c>
      <c r="AA3641" s="6">
        <v>0</v>
      </c>
      <c r="AB3641" s="4">
        <f t="shared" si="560"/>
        <v>0</v>
      </c>
      <c r="AC3641" s="4">
        <f t="shared" si="562"/>
        <v>0</v>
      </c>
      <c r="AD3641" s="6">
        <f t="shared" si="564"/>
        <v>0</v>
      </c>
      <c r="AE3641" s="2">
        <f>VLOOKUP(I3641,[1]媒体政策预估表!A:N,MATCH(O3641,[1]媒体政策预估表!$A$2:$M$2,0),0)</f>
        <v>0.12</v>
      </c>
      <c r="AF3641" s="6">
        <f t="shared" si="563"/>
        <v>0</v>
      </c>
      <c r="AG3641" s="14">
        <v>0</v>
      </c>
      <c r="AH3641" s="64">
        <f t="shared" si="565"/>
        <v>0</v>
      </c>
      <c r="AI3641" s="47"/>
      <c r="AJ3641" s="126" t="e">
        <v>#N/A</v>
      </c>
      <c r="AK3641" s="80">
        <f t="shared" si="561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566"/>
        <v>18046</v>
      </c>
      <c r="X3642" s="6">
        <f t="shared" si="567"/>
        <v>0</v>
      </c>
      <c r="Y3642" s="13">
        <f t="shared" si="559"/>
        <v>0</v>
      </c>
      <c r="Z3642" s="14">
        <v>0</v>
      </c>
      <c r="AA3642" s="6">
        <v>0</v>
      </c>
      <c r="AB3642" s="4">
        <f t="shared" si="560"/>
        <v>0</v>
      </c>
      <c r="AC3642" s="4">
        <f t="shared" si="562"/>
        <v>0</v>
      </c>
      <c r="AD3642" s="6">
        <f t="shared" si="564"/>
        <v>0</v>
      </c>
      <c r="AE3642" s="2">
        <f>VLOOKUP(I3642,[1]媒体政策预估表!A:N,MATCH(O3642,[1]媒体政策预估表!$A$2:$M$2,0),0)</f>
        <v>7.0000000000000007E-2</v>
      </c>
      <c r="AF3642" s="6">
        <f t="shared" si="563"/>
        <v>0</v>
      </c>
      <c r="AG3642" s="14">
        <v>0</v>
      </c>
      <c r="AH3642" s="64">
        <f t="shared" si="565"/>
        <v>0</v>
      </c>
      <c r="AI3642" s="47"/>
      <c r="AJ3642" s="126" t="e">
        <v>#N/A</v>
      </c>
      <c r="AK3642" s="80">
        <f t="shared" si="561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566"/>
        <v>19672.349999999999</v>
      </c>
      <c r="X3643" s="6">
        <f t="shared" si="567"/>
        <v>0</v>
      </c>
      <c r="Y3643" s="13">
        <f t="shared" si="559"/>
        <v>0</v>
      </c>
      <c r="Z3643" s="14">
        <v>0</v>
      </c>
      <c r="AA3643" s="6">
        <v>0</v>
      </c>
      <c r="AB3643" s="4">
        <f t="shared" si="560"/>
        <v>0</v>
      </c>
      <c r="AC3643" s="4">
        <f t="shared" si="562"/>
        <v>0</v>
      </c>
      <c r="AD3643" s="6">
        <f t="shared" si="564"/>
        <v>0</v>
      </c>
      <c r="AE3643" s="2">
        <f>VLOOKUP(I3643,[1]媒体政策预估表!A:N,MATCH(O3643,[1]媒体政策预估表!$A$2:$M$2,0),0)</f>
        <v>0.12</v>
      </c>
      <c r="AF3643" s="6">
        <f t="shared" si="563"/>
        <v>0</v>
      </c>
      <c r="AG3643" s="14">
        <v>0</v>
      </c>
      <c r="AH3643" s="64">
        <f t="shared" si="565"/>
        <v>0</v>
      </c>
      <c r="AI3643" s="47"/>
      <c r="AJ3643" s="126" t="e">
        <v>#N/A</v>
      </c>
      <c r="AK3643" s="80">
        <f t="shared" si="561"/>
        <v>0</v>
      </c>
      <c r="AM3643" s="85"/>
    </row>
    <row r="3644" spans="1:39" hidden="1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566"/>
        <v>6422</v>
      </c>
      <c r="X3644" s="6">
        <f t="shared" si="567"/>
        <v>0</v>
      </c>
      <c r="Y3644" s="13">
        <f t="shared" si="559"/>
        <v>0</v>
      </c>
      <c r="Z3644" s="14">
        <v>0</v>
      </c>
      <c r="AA3644" s="6">
        <v>0</v>
      </c>
      <c r="AB3644" s="4">
        <f t="shared" si="560"/>
        <v>0</v>
      </c>
      <c r="AC3644" s="4">
        <f t="shared" si="562"/>
        <v>0</v>
      </c>
      <c r="AD3644" s="6">
        <f t="shared" si="564"/>
        <v>0</v>
      </c>
      <c r="AE3644" s="2">
        <f>VLOOKUP(I3644,[1]媒体政策预估表!A:N,MATCH(O3644,[1]媒体政策预估表!$A$2:$M$2,0),0)</f>
        <v>7.0000000000000007E-2</v>
      </c>
      <c r="AF3644" s="6">
        <f t="shared" si="563"/>
        <v>0</v>
      </c>
      <c r="AG3644" s="14">
        <v>0</v>
      </c>
      <c r="AH3644" s="64">
        <f t="shared" si="565"/>
        <v>0</v>
      </c>
      <c r="AI3644" s="47"/>
      <c r="AJ3644" s="126" t="e">
        <v>#N/A</v>
      </c>
      <c r="AK3644" s="80">
        <f t="shared" si="561"/>
        <v>0</v>
      </c>
      <c r="AM3644" s="85"/>
    </row>
    <row r="3645" spans="1:39" hidden="1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566"/>
        <v>971.2</v>
      </c>
      <c r="X3645" s="6">
        <f t="shared" si="567"/>
        <v>0</v>
      </c>
      <c r="Y3645" s="13">
        <f t="shared" si="559"/>
        <v>0</v>
      </c>
      <c r="Z3645" s="14">
        <v>0</v>
      </c>
      <c r="AA3645" s="6">
        <v>0</v>
      </c>
      <c r="AB3645" s="4">
        <f t="shared" si="560"/>
        <v>0</v>
      </c>
      <c r="AC3645" s="4">
        <f t="shared" si="562"/>
        <v>0</v>
      </c>
      <c r="AD3645" s="6">
        <f t="shared" si="564"/>
        <v>0</v>
      </c>
      <c r="AE3645" s="2">
        <f>VLOOKUP(I3645,[1]媒体政策预估表!A:N,MATCH(O3645,[1]媒体政策预估表!$A$2:$M$2,0),0)</f>
        <v>7.0000000000000007E-2</v>
      </c>
      <c r="AF3645" s="6">
        <f t="shared" si="563"/>
        <v>0</v>
      </c>
      <c r="AG3645" s="14">
        <v>0</v>
      </c>
      <c r="AH3645" s="64">
        <f t="shared" si="565"/>
        <v>0</v>
      </c>
      <c r="AI3645" s="47"/>
      <c r="AJ3645" s="126" t="e">
        <v>#N/A</v>
      </c>
      <c r="AK3645" s="80">
        <f t="shared" si="561"/>
        <v>0</v>
      </c>
      <c r="AM3645" s="85"/>
    </row>
    <row r="3646" spans="1:39" hidden="1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566"/>
        <v>15309.18</v>
      </c>
      <c r="X3646" s="6">
        <f t="shared" si="567"/>
        <v>0</v>
      </c>
      <c r="Y3646" s="13">
        <f t="shared" si="559"/>
        <v>0</v>
      </c>
      <c r="Z3646" s="14">
        <v>0</v>
      </c>
      <c r="AA3646" s="6">
        <v>0</v>
      </c>
      <c r="AB3646" s="4">
        <f t="shared" si="560"/>
        <v>0</v>
      </c>
      <c r="AC3646" s="4">
        <f t="shared" si="562"/>
        <v>0</v>
      </c>
      <c r="AD3646" s="6">
        <f t="shared" si="564"/>
        <v>0</v>
      </c>
      <c r="AE3646" s="2">
        <f>VLOOKUP(I3646,[1]媒体政策预估表!A:N,MATCH(O3646,[1]媒体政策预估表!$A$2:$M$2,0),0)</f>
        <v>7.0000000000000007E-2</v>
      </c>
      <c r="AF3646" s="6">
        <f t="shared" si="563"/>
        <v>0</v>
      </c>
      <c r="AG3646" s="14">
        <v>0</v>
      </c>
      <c r="AH3646" s="64">
        <f t="shared" si="565"/>
        <v>0</v>
      </c>
      <c r="AI3646" s="47"/>
      <c r="AJ3646" s="126" t="e">
        <v>#N/A</v>
      </c>
      <c r="AK3646" s="80">
        <f t="shared" si="561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566"/>
        <v>9705.75</v>
      </c>
      <c r="X3647" s="6">
        <f t="shared" si="567"/>
        <v>0</v>
      </c>
      <c r="Y3647" s="13">
        <f t="shared" si="559"/>
        <v>0</v>
      </c>
      <c r="Z3647" s="14">
        <v>0</v>
      </c>
      <c r="AA3647" s="6">
        <v>0</v>
      </c>
      <c r="AB3647" s="4">
        <f t="shared" si="560"/>
        <v>0</v>
      </c>
      <c r="AC3647" s="4">
        <f t="shared" si="562"/>
        <v>0</v>
      </c>
      <c r="AD3647" s="6">
        <f t="shared" si="564"/>
        <v>0</v>
      </c>
      <c r="AE3647" s="2">
        <f>VLOOKUP(I3647,[1]媒体政策预估表!A:N,MATCH(O3647,[1]媒体政策预估表!$A$2:$M$2,0),0)</f>
        <v>7.0000000000000007E-2</v>
      </c>
      <c r="AF3647" s="6">
        <f t="shared" si="563"/>
        <v>0</v>
      </c>
      <c r="AG3647" s="14">
        <v>0</v>
      </c>
      <c r="AH3647" s="64">
        <f t="shared" si="565"/>
        <v>0</v>
      </c>
      <c r="AI3647" s="47"/>
      <c r="AJ3647" s="126" t="e">
        <v>#N/A</v>
      </c>
      <c r="AK3647" s="80">
        <f t="shared" si="561"/>
        <v>0</v>
      </c>
      <c r="AM3647" s="85"/>
    </row>
    <row r="3648" spans="1:39" hidden="1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566"/>
        <v>36787.019999999997</v>
      </c>
      <c r="X3648" s="6">
        <f t="shared" si="567"/>
        <v>0</v>
      </c>
      <c r="Y3648" s="13">
        <f t="shared" si="559"/>
        <v>0</v>
      </c>
      <c r="Z3648" s="14">
        <v>0</v>
      </c>
      <c r="AA3648" s="6">
        <v>0</v>
      </c>
      <c r="AB3648" s="4">
        <f t="shared" si="560"/>
        <v>0</v>
      </c>
      <c r="AC3648" s="4">
        <f t="shared" si="562"/>
        <v>0</v>
      </c>
      <c r="AD3648" s="6">
        <f t="shared" si="564"/>
        <v>0</v>
      </c>
      <c r="AE3648" s="2">
        <f>VLOOKUP(I3648,[1]媒体政策预估表!A:N,MATCH(O3648,[1]媒体政策预估表!$A$2:$M$2,0),0)</f>
        <v>7.0000000000000007E-2</v>
      </c>
      <c r="AF3648" s="6">
        <f t="shared" si="563"/>
        <v>0</v>
      </c>
      <c r="AG3648" s="14">
        <v>0</v>
      </c>
      <c r="AH3648" s="64">
        <f t="shared" si="565"/>
        <v>0</v>
      </c>
      <c r="AI3648" s="47"/>
      <c r="AJ3648" s="126" t="e">
        <v>#N/A</v>
      </c>
      <c r="AK3648" s="80">
        <f t="shared" si="561"/>
        <v>0</v>
      </c>
      <c r="AM3648" s="85"/>
    </row>
    <row r="3649" spans="1:39" hidden="1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566"/>
        <v>2099.6</v>
      </c>
      <c r="X3649" s="6">
        <f t="shared" si="567"/>
        <v>0</v>
      </c>
      <c r="Y3649" s="13">
        <f t="shared" si="559"/>
        <v>0</v>
      </c>
      <c r="Z3649" s="14">
        <v>0</v>
      </c>
      <c r="AA3649" s="6">
        <v>0</v>
      </c>
      <c r="AB3649" s="4">
        <f t="shared" si="560"/>
        <v>0</v>
      </c>
      <c r="AC3649" s="4">
        <f t="shared" si="562"/>
        <v>0</v>
      </c>
      <c r="AD3649" s="6">
        <f t="shared" si="564"/>
        <v>0</v>
      </c>
      <c r="AE3649" s="2">
        <f>VLOOKUP(I3649,[1]媒体政策预估表!A:N,MATCH(O3649,[1]媒体政策预估表!$A$2:$M$2,0),0)</f>
        <v>7.0000000000000007E-2</v>
      </c>
      <c r="AF3649" s="6">
        <f t="shared" si="563"/>
        <v>0</v>
      </c>
      <c r="AG3649" s="14">
        <v>0</v>
      </c>
      <c r="AH3649" s="64">
        <f t="shared" si="565"/>
        <v>0</v>
      </c>
      <c r="AI3649" s="47"/>
      <c r="AJ3649" s="126" t="e">
        <v>#N/A</v>
      </c>
      <c r="AK3649" s="80">
        <f t="shared" si="561"/>
        <v>0</v>
      </c>
      <c r="AM3649" s="85"/>
    </row>
    <row r="3650" spans="1:39" hidden="1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566"/>
        <v>193.16</v>
      </c>
      <c r="X3650" s="6">
        <f t="shared" si="567"/>
        <v>0</v>
      </c>
      <c r="Y3650" s="13">
        <f t="shared" si="559"/>
        <v>0</v>
      </c>
      <c r="Z3650" s="14">
        <v>0</v>
      </c>
      <c r="AA3650" s="6">
        <v>0</v>
      </c>
      <c r="AB3650" s="4">
        <f t="shared" si="560"/>
        <v>0</v>
      </c>
      <c r="AC3650" s="4">
        <f t="shared" si="562"/>
        <v>0</v>
      </c>
      <c r="AD3650" s="6">
        <f t="shared" si="564"/>
        <v>0</v>
      </c>
      <c r="AE3650" s="2">
        <f>VLOOKUP(I3650,[1]媒体政策预估表!A:N,MATCH(O3650,[1]媒体政策预估表!$A$2:$M$2,0),0)</f>
        <v>7.0000000000000007E-2</v>
      </c>
      <c r="AF3650" s="6">
        <f t="shared" si="563"/>
        <v>0</v>
      </c>
      <c r="AG3650" s="14">
        <v>0</v>
      </c>
      <c r="AH3650" s="64">
        <f t="shared" si="565"/>
        <v>0</v>
      </c>
      <c r="AI3650" s="47"/>
      <c r="AJ3650" s="126" t="e">
        <v>#N/A</v>
      </c>
      <c r="AK3650" s="80">
        <f t="shared" si="561"/>
        <v>0</v>
      </c>
      <c r="AM3650" s="85"/>
    </row>
    <row r="3651" spans="1:39" hidden="1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566"/>
        <v>4000.15</v>
      </c>
      <c r="X3651" s="6">
        <f t="shared" si="567"/>
        <v>0</v>
      </c>
      <c r="Y3651" s="13">
        <f t="shared" ref="Y3651:Y3714" si="568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569">X3651+AA3651</f>
        <v>0</v>
      </c>
      <c r="AC3651" s="4">
        <f t="shared" si="562"/>
        <v>0</v>
      </c>
      <c r="AD3651" s="6">
        <f t="shared" si="564"/>
        <v>0</v>
      </c>
      <c r="AE3651" s="2">
        <f>VLOOKUP(I3651,[1]媒体政策预估表!A:N,MATCH(O3651,[1]媒体政策预估表!$A$2:$M$2,0),0)</f>
        <v>7.0000000000000007E-2</v>
      </c>
      <c r="AF3651" s="6">
        <f t="shared" si="563"/>
        <v>0</v>
      </c>
      <c r="AG3651" s="14">
        <v>0</v>
      </c>
      <c r="AH3651" s="64">
        <f t="shared" si="565"/>
        <v>0</v>
      </c>
      <c r="AI3651" s="47"/>
      <c r="AJ3651" s="126" t="e">
        <v>#N/A</v>
      </c>
      <c r="AK3651" s="80">
        <f t="shared" ref="AK3651:AK3714" si="570">X3651+AA3651-AB3651</f>
        <v>0</v>
      </c>
      <c r="AM3651" s="85"/>
    </row>
    <row r="3652" spans="1:39" hidden="1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566"/>
        <v>15691</v>
      </c>
      <c r="X3652" s="6">
        <f t="shared" si="567"/>
        <v>0</v>
      </c>
      <c r="Y3652" s="13">
        <f t="shared" si="568"/>
        <v>0</v>
      </c>
      <c r="Z3652" s="14">
        <v>0</v>
      </c>
      <c r="AA3652" s="6">
        <v>0</v>
      </c>
      <c r="AB3652" s="4">
        <f t="shared" si="569"/>
        <v>0</v>
      </c>
      <c r="AC3652" s="4">
        <f t="shared" si="562"/>
        <v>0</v>
      </c>
      <c r="AD3652" s="6">
        <f t="shared" si="564"/>
        <v>0</v>
      </c>
      <c r="AE3652" s="2">
        <f>VLOOKUP(I3652,[1]媒体政策预估表!A:N,MATCH(O3652,[1]媒体政策预估表!$A$2:$M$2,0),0)</f>
        <v>7.0000000000000007E-2</v>
      </c>
      <c r="AF3652" s="6">
        <f t="shared" si="563"/>
        <v>0</v>
      </c>
      <c r="AG3652" s="14">
        <v>0</v>
      </c>
      <c r="AH3652" s="64">
        <f t="shared" si="565"/>
        <v>0</v>
      </c>
      <c r="AI3652" s="47"/>
      <c r="AJ3652" s="126" t="e">
        <v>#N/A</v>
      </c>
      <c r="AK3652" s="80">
        <f t="shared" si="570"/>
        <v>0</v>
      </c>
      <c r="AM3652" s="85"/>
    </row>
    <row r="3653" spans="1:39" hidden="1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566"/>
        <v>4469.6000000000004</v>
      </c>
      <c r="X3653" s="6">
        <f t="shared" si="567"/>
        <v>0</v>
      </c>
      <c r="Y3653" s="13">
        <f t="shared" si="568"/>
        <v>0</v>
      </c>
      <c r="Z3653" s="14">
        <v>0</v>
      </c>
      <c r="AA3653" s="6">
        <v>0</v>
      </c>
      <c r="AB3653" s="4">
        <f t="shared" si="569"/>
        <v>0</v>
      </c>
      <c r="AC3653" s="4">
        <f t="shared" si="562"/>
        <v>0</v>
      </c>
      <c r="AD3653" s="6">
        <f t="shared" si="564"/>
        <v>0</v>
      </c>
      <c r="AE3653" s="2">
        <f>VLOOKUP(I3653,[1]媒体政策预估表!A:N,MATCH(O3653,[1]媒体政策预估表!$A$2:$M$2,0),0)</f>
        <v>7.0000000000000007E-2</v>
      </c>
      <c r="AF3653" s="6">
        <f t="shared" si="563"/>
        <v>0</v>
      </c>
      <c r="AG3653" s="14">
        <v>0</v>
      </c>
      <c r="AH3653" s="64">
        <f t="shared" si="565"/>
        <v>0</v>
      </c>
      <c r="AI3653" s="47"/>
      <c r="AJ3653" s="126" t="e">
        <v>#N/A</v>
      </c>
      <c r="AK3653" s="80">
        <f t="shared" si="570"/>
        <v>0</v>
      </c>
      <c r="AM3653" s="85"/>
    </row>
    <row r="3654" spans="1:39" hidden="1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566"/>
        <v>6886.9</v>
      </c>
      <c r="X3654" s="6">
        <f t="shared" si="567"/>
        <v>0</v>
      </c>
      <c r="Y3654" s="13">
        <f t="shared" si="568"/>
        <v>0</v>
      </c>
      <c r="Z3654" s="14">
        <v>0</v>
      </c>
      <c r="AA3654" s="6">
        <v>0</v>
      </c>
      <c r="AB3654" s="4">
        <f t="shared" si="569"/>
        <v>0</v>
      </c>
      <c r="AC3654" s="4">
        <f t="shared" si="562"/>
        <v>0</v>
      </c>
      <c r="AD3654" s="6">
        <f t="shared" si="564"/>
        <v>0</v>
      </c>
      <c r="AE3654" s="2">
        <f>VLOOKUP(I3654,[1]媒体政策预估表!A:N,MATCH(O3654,[1]媒体政策预估表!$A$2:$M$2,0),0)</f>
        <v>7.0000000000000007E-2</v>
      </c>
      <c r="AF3654" s="6">
        <f t="shared" si="563"/>
        <v>0</v>
      </c>
      <c r="AG3654" s="14">
        <v>0</v>
      </c>
      <c r="AH3654" s="64">
        <f t="shared" si="565"/>
        <v>0</v>
      </c>
      <c r="AI3654" s="47"/>
      <c r="AJ3654" s="126" t="e">
        <v>#N/A</v>
      </c>
      <c r="AK3654" s="80">
        <f t="shared" si="570"/>
        <v>0</v>
      </c>
      <c r="AM3654" s="85"/>
    </row>
    <row r="3655" spans="1:39" hidden="1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566"/>
        <v>2384.46</v>
      </c>
      <c r="X3655" s="6">
        <f t="shared" si="567"/>
        <v>0</v>
      </c>
      <c r="Y3655" s="13">
        <f t="shared" si="568"/>
        <v>0</v>
      </c>
      <c r="Z3655" s="14">
        <v>0</v>
      </c>
      <c r="AA3655" s="6">
        <v>0</v>
      </c>
      <c r="AB3655" s="4">
        <f t="shared" si="569"/>
        <v>0</v>
      </c>
      <c r="AC3655" s="4">
        <f t="shared" si="562"/>
        <v>0</v>
      </c>
      <c r="AD3655" s="6">
        <f t="shared" si="564"/>
        <v>0</v>
      </c>
      <c r="AE3655" s="2">
        <f>VLOOKUP(I3655,[1]媒体政策预估表!A:N,MATCH(O3655,[1]媒体政策预估表!$A$2:$M$2,0),0)</f>
        <v>7.0000000000000007E-2</v>
      </c>
      <c r="AF3655" s="6">
        <f t="shared" si="563"/>
        <v>0</v>
      </c>
      <c r="AG3655" s="14">
        <v>0</v>
      </c>
      <c r="AH3655" s="64">
        <f t="shared" si="565"/>
        <v>0</v>
      </c>
      <c r="AI3655" s="47"/>
      <c r="AJ3655" s="126" t="e">
        <v>#N/A</v>
      </c>
      <c r="AK3655" s="80">
        <f t="shared" si="570"/>
        <v>0</v>
      </c>
      <c r="AM3655" s="85"/>
    </row>
    <row r="3656" spans="1:39" hidden="1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566"/>
        <v>27993.81</v>
      </c>
      <c r="X3656" s="6">
        <f t="shared" si="567"/>
        <v>0</v>
      </c>
      <c r="Y3656" s="13">
        <f t="shared" si="568"/>
        <v>0</v>
      </c>
      <c r="Z3656" s="14">
        <v>0</v>
      </c>
      <c r="AA3656" s="6">
        <v>0</v>
      </c>
      <c r="AB3656" s="4">
        <f t="shared" si="569"/>
        <v>0</v>
      </c>
      <c r="AC3656" s="4">
        <f t="shared" si="562"/>
        <v>0</v>
      </c>
      <c r="AD3656" s="6">
        <f t="shared" si="564"/>
        <v>0</v>
      </c>
      <c r="AE3656" s="2">
        <f>VLOOKUP(I3656,[1]媒体政策预估表!A:N,MATCH(O3656,[1]媒体政策预估表!$A$2:$M$2,0),0)</f>
        <v>7.0000000000000007E-2</v>
      </c>
      <c r="AF3656" s="6">
        <f t="shared" si="563"/>
        <v>0</v>
      </c>
      <c r="AG3656" s="14">
        <v>0</v>
      </c>
      <c r="AH3656" s="64">
        <f t="shared" si="565"/>
        <v>0</v>
      </c>
      <c r="AI3656" s="47"/>
      <c r="AJ3656" s="126" t="e">
        <v>#N/A</v>
      </c>
      <c r="AK3656" s="80">
        <f t="shared" si="570"/>
        <v>0</v>
      </c>
      <c r="AM3656" s="85"/>
    </row>
    <row r="3657" spans="1:39" hidden="1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566"/>
        <v>768.6</v>
      </c>
      <c r="X3657" s="6">
        <f t="shared" si="567"/>
        <v>0</v>
      </c>
      <c r="Y3657" s="13">
        <f t="shared" si="568"/>
        <v>0</v>
      </c>
      <c r="Z3657" s="14">
        <v>0</v>
      </c>
      <c r="AA3657" s="6">
        <v>0</v>
      </c>
      <c r="AB3657" s="4">
        <f t="shared" si="569"/>
        <v>0</v>
      </c>
      <c r="AC3657" s="4">
        <f t="shared" si="562"/>
        <v>0</v>
      </c>
      <c r="AD3657" s="6">
        <f t="shared" si="564"/>
        <v>0</v>
      </c>
      <c r="AE3657" s="2">
        <f>VLOOKUP(I3657,[1]媒体政策预估表!A:N,MATCH(O3657,[1]媒体政策预估表!$A$2:$M$2,0),0)</f>
        <v>7.0000000000000007E-2</v>
      </c>
      <c r="AF3657" s="6">
        <f t="shared" si="563"/>
        <v>0</v>
      </c>
      <c r="AG3657" s="14">
        <v>0</v>
      </c>
      <c r="AH3657" s="64">
        <f t="shared" si="565"/>
        <v>0</v>
      </c>
      <c r="AI3657" s="47"/>
      <c r="AJ3657" s="126" t="e">
        <v>#N/A</v>
      </c>
      <c r="AK3657" s="80">
        <f t="shared" si="570"/>
        <v>0</v>
      </c>
      <c r="AM3657" s="85"/>
    </row>
    <row r="3658" spans="1:39" hidden="1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566"/>
        <v>6557.88</v>
      </c>
      <c r="X3658" s="6">
        <f t="shared" si="567"/>
        <v>0</v>
      </c>
      <c r="Y3658" s="13">
        <f t="shared" si="568"/>
        <v>0</v>
      </c>
      <c r="Z3658" s="14">
        <v>0</v>
      </c>
      <c r="AA3658" s="6">
        <v>0</v>
      </c>
      <c r="AB3658" s="4">
        <f t="shared" si="569"/>
        <v>0</v>
      </c>
      <c r="AC3658" s="4">
        <f t="shared" si="562"/>
        <v>0</v>
      </c>
      <c r="AD3658" s="6">
        <f t="shared" si="564"/>
        <v>0</v>
      </c>
      <c r="AE3658" s="2">
        <f>VLOOKUP(I3658,[1]媒体政策预估表!A:N,MATCH(O3658,[1]媒体政策预估表!$A$2:$M$2,0),0)</f>
        <v>7.0000000000000007E-2</v>
      </c>
      <c r="AF3658" s="6">
        <f t="shared" si="563"/>
        <v>0</v>
      </c>
      <c r="AG3658" s="14">
        <v>0</v>
      </c>
      <c r="AH3658" s="64">
        <f t="shared" si="565"/>
        <v>0</v>
      </c>
      <c r="AI3658" s="47"/>
      <c r="AJ3658" s="126" t="e">
        <v>#N/A</v>
      </c>
      <c r="AK3658" s="80">
        <f t="shared" si="570"/>
        <v>0</v>
      </c>
      <c r="AM3658" s="85"/>
    </row>
    <row r="3659" spans="1:39" hidden="1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566"/>
        <v>150.1</v>
      </c>
      <c r="X3659" s="6">
        <f t="shared" si="567"/>
        <v>0</v>
      </c>
      <c r="Y3659" s="13">
        <f t="shared" si="568"/>
        <v>0</v>
      </c>
      <c r="Z3659" s="14">
        <v>0</v>
      </c>
      <c r="AA3659" s="6">
        <v>0</v>
      </c>
      <c r="AB3659" s="4">
        <f t="shared" si="569"/>
        <v>0</v>
      </c>
      <c r="AC3659" s="4">
        <f t="shared" si="562"/>
        <v>0</v>
      </c>
      <c r="AD3659" s="6">
        <f t="shared" si="564"/>
        <v>0</v>
      </c>
      <c r="AE3659" s="2">
        <f>VLOOKUP(I3659,[1]媒体政策预估表!A:N,MATCH(O3659,[1]媒体政策预估表!$A$2:$M$2,0),0)</f>
        <v>7.0000000000000007E-2</v>
      </c>
      <c r="AF3659" s="6">
        <f t="shared" si="563"/>
        <v>0</v>
      </c>
      <c r="AG3659" s="14">
        <v>0</v>
      </c>
      <c r="AH3659" s="64">
        <f t="shared" si="565"/>
        <v>0</v>
      </c>
      <c r="AI3659" s="47"/>
      <c r="AJ3659" s="126" t="e">
        <v>#N/A</v>
      </c>
      <c r="AK3659" s="80">
        <f t="shared" si="570"/>
        <v>0</v>
      </c>
      <c r="AM3659" s="85"/>
    </row>
    <row r="3660" spans="1:39" hidden="1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566"/>
        <v>1336.7</v>
      </c>
      <c r="X3660" s="6">
        <f t="shared" si="567"/>
        <v>0</v>
      </c>
      <c r="Y3660" s="13">
        <f t="shared" si="568"/>
        <v>0</v>
      </c>
      <c r="Z3660" s="14">
        <v>0</v>
      </c>
      <c r="AA3660" s="6">
        <v>0</v>
      </c>
      <c r="AB3660" s="4">
        <f t="shared" si="569"/>
        <v>0</v>
      </c>
      <c r="AC3660" s="4">
        <f t="shared" ref="AC3660:AC3723" si="571">IF(P3660="返现",X3660*Q3660,V3660-X3660)</f>
        <v>0</v>
      </c>
      <c r="AD3660" s="6">
        <f t="shared" si="564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572">AD3660*AE3660</f>
        <v>0</v>
      </c>
      <c r="AG3660" s="14">
        <v>0</v>
      </c>
      <c r="AH3660" s="64">
        <f t="shared" si="565"/>
        <v>0</v>
      </c>
      <c r="AI3660" s="47"/>
      <c r="AJ3660" s="126" t="e">
        <v>#N/A</v>
      </c>
      <c r="AK3660" s="80">
        <f t="shared" si="570"/>
        <v>0</v>
      </c>
      <c r="AM3660" s="85"/>
    </row>
    <row r="3661" spans="1:39" hidden="1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566"/>
        <v>356.31</v>
      </c>
      <c r="X3661" s="6">
        <f t="shared" si="567"/>
        <v>0</v>
      </c>
      <c r="Y3661" s="13">
        <f t="shared" si="568"/>
        <v>0</v>
      </c>
      <c r="Z3661" s="14">
        <v>0</v>
      </c>
      <c r="AA3661" s="6">
        <v>0</v>
      </c>
      <c r="AB3661" s="4">
        <f t="shared" si="569"/>
        <v>0</v>
      </c>
      <c r="AC3661" s="4">
        <f t="shared" si="571"/>
        <v>0</v>
      </c>
      <c r="AD3661" s="6">
        <f t="shared" si="564"/>
        <v>0</v>
      </c>
      <c r="AE3661" s="2">
        <f>VLOOKUP(I3661,[1]媒体政策预估表!A:N,MATCH(O3661,[1]媒体政策预估表!$A$2:$M$2,0),0)</f>
        <v>7.0000000000000007E-2</v>
      </c>
      <c r="AF3661" s="6">
        <f t="shared" si="572"/>
        <v>0</v>
      </c>
      <c r="AG3661" s="14">
        <v>0</v>
      </c>
      <c r="AH3661" s="64">
        <f t="shared" si="565"/>
        <v>0</v>
      </c>
      <c r="AI3661" s="47"/>
      <c r="AJ3661" s="126" t="e">
        <v>#N/A</v>
      </c>
      <c r="AK3661" s="80">
        <f t="shared" si="570"/>
        <v>0</v>
      </c>
      <c r="AM3661" s="85"/>
    </row>
    <row r="3662" spans="1:39" hidden="1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566"/>
        <v>10166.4</v>
      </c>
      <c r="X3662" s="6">
        <f t="shared" si="567"/>
        <v>0</v>
      </c>
      <c r="Y3662" s="13">
        <f t="shared" si="568"/>
        <v>0</v>
      </c>
      <c r="Z3662" s="14">
        <v>0</v>
      </c>
      <c r="AA3662" s="6">
        <v>0</v>
      </c>
      <c r="AB3662" s="4">
        <f t="shared" si="569"/>
        <v>0</v>
      </c>
      <c r="AC3662" s="4">
        <f t="shared" si="571"/>
        <v>0</v>
      </c>
      <c r="AD3662" s="6">
        <f t="shared" si="564"/>
        <v>0</v>
      </c>
      <c r="AE3662" s="2">
        <f>VLOOKUP(I3662,[1]媒体政策预估表!A:N,MATCH(O3662,[1]媒体政策预估表!$A$2:$M$2,0),0)</f>
        <v>7.0000000000000007E-2</v>
      </c>
      <c r="AF3662" s="6">
        <f t="shared" si="572"/>
        <v>0</v>
      </c>
      <c r="AG3662" s="14">
        <v>0</v>
      </c>
      <c r="AH3662" s="64">
        <f t="shared" si="565"/>
        <v>0</v>
      </c>
      <c r="AI3662" s="47"/>
      <c r="AJ3662" s="126" t="e">
        <v>#N/A</v>
      </c>
      <c r="AK3662" s="80">
        <f t="shared" si="570"/>
        <v>0</v>
      </c>
      <c r="AM3662" s="85"/>
    </row>
    <row r="3663" spans="1:39" hidden="1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566"/>
        <v>145.04</v>
      </c>
      <c r="X3663" s="6">
        <f t="shared" si="567"/>
        <v>0</v>
      </c>
      <c r="Y3663" s="13">
        <f t="shared" si="568"/>
        <v>0</v>
      </c>
      <c r="Z3663" s="14">
        <v>0</v>
      </c>
      <c r="AA3663" s="6">
        <v>0</v>
      </c>
      <c r="AB3663" s="4">
        <f t="shared" si="569"/>
        <v>0</v>
      </c>
      <c r="AC3663" s="4">
        <f t="shared" si="571"/>
        <v>0</v>
      </c>
      <c r="AD3663" s="6">
        <f t="shared" si="564"/>
        <v>0</v>
      </c>
      <c r="AE3663" s="2">
        <f>VLOOKUP(I3663,[1]媒体政策预估表!A:N,MATCH(O3663,[1]媒体政策预估表!$A$2:$M$2,0),0)</f>
        <v>7.0000000000000007E-2</v>
      </c>
      <c r="AF3663" s="6">
        <f t="shared" si="572"/>
        <v>0</v>
      </c>
      <c r="AG3663" s="14">
        <v>0</v>
      </c>
      <c r="AH3663" s="64">
        <f t="shared" si="565"/>
        <v>0</v>
      </c>
      <c r="AI3663" s="47"/>
      <c r="AJ3663" s="126" t="e">
        <v>#N/A</v>
      </c>
      <c r="AK3663" s="80">
        <f t="shared" si="570"/>
        <v>0</v>
      </c>
      <c r="AM3663" s="85"/>
    </row>
    <row r="3664" spans="1:39" hidden="1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566"/>
        <v>4027.61</v>
      </c>
      <c r="X3664" s="6">
        <f t="shared" si="567"/>
        <v>0</v>
      </c>
      <c r="Y3664" s="13">
        <f t="shared" si="568"/>
        <v>0</v>
      </c>
      <c r="Z3664" s="14">
        <v>0</v>
      </c>
      <c r="AA3664" s="6">
        <v>0</v>
      </c>
      <c r="AB3664" s="4">
        <f t="shared" si="569"/>
        <v>0</v>
      </c>
      <c r="AC3664" s="4">
        <f t="shared" si="571"/>
        <v>0</v>
      </c>
      <c r="AD3664" s="6">
        <f t="shared" si="564"/>
        <v>0</v>
      </c>
      <c r="AE3664" s="2">
        <f>VLOOKUP(I3664,[1]媒体政策预估表!A:N,MATCH(O3664,[1]媒体政策预估表!$A$2:$M$2,0),0)</f>
        <v>7.0000000000000007E-2</v>
      </c>
      <c r="AF3664" s="6">
        <f t="shared" si="572"/>
        <v>0</v>
      </c>
      <c r="AG3664" s="14">
        <v>0</v>
      </c>
      <c r="AH3664" s="64">
        <f t="shared" si="565"/>
        <v>0</v>
      </c>
      <c r="AI3664" s="47"/>
      <c r="AJ3664" s="126" t="e">
        <v>#N/A</v>
      </c>
      <c r="AK3664" s="80">
        <f t="shared" si="570"/>
        <v>0</v>
      </c>
      <c r="AM3664" s="85"/>
    </row>
    <row r="3665" spans="1:39" hidden="1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566"/>
        <v>5617.1800000000012</v>
      </c>
      <c r="X3665" s="6">
        <f t="shared" si="567"/>
        <v>0</v>
      </c>
      <c r="Y3665" s="13">
        <f t="shared" si="568"/>
        <v>0</v>
      </c>
      <c r="Z3665" s="14">
        <v>0</v>
      </c>
      <c r="AA3665" s="6">
        <v>0</v>
      </c>
      <c r="AB3665" s="4">
        <f t="shared" si="569"/>
        <v>0</v>
      </c>
      <c r="AC3665" s="4">
        <f t="shared" si="571"/>
        <v>0</v>
      </c>
      <c r="AD3665" s="6">
        <f t="shared" si="564"/>
        <v>0</v>
      </c>
      <c r="AE3665" s="2">
        <f>VLOOKUP(I3665,[1]媒体政策预估表!A:N,MATCH(O3665,[1]媒体政策预估表!$A$2:$M$2,0),0)</f>
        <v>7.0000000000000007E-2</v>
      </c>
      <c r="AF3665" s="6">
        <f t="shared" si="572"/>
        <v>0</v>
      </c>
      <c r="AG3665" s="14">
        <v>0</v>
      </c>
      <c r="AH3665" s="64">
        <f t="shared" si="565"/>
        <v>0</v>
      </c>
      <c r="AI3665" s="47"/>
      <c r="AJ3665" s="126" t="e">
        <v>#N/A</v>
      </c>
      <c r="AK3665" s="80">
        <f t="shared" si="570"/>
        <v>0</v>
      </c>
      <c r="AM3665" s="85"/>
    </row>
    <row r="3666" spans="1:39" hidden="1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566"/>
        <v>8.6</v>
      </c>
      <c r="X3666" s="6">
        <f t="shared" si="567"/>
        <v>0</v>
      </c>
      <c r="Y3666" s="13">
        <f t="shared" si="568"/>
        <v>0</v>
      </c>
      <c r="Z3666" s="14">
        <v>0</v>
      </c>
      <c r="AA3666" s="6">
        <v>0</v>
      </c>
      <c r="AB3666" s="4">
        <f t="shared" si="569"/>
        <v>0</v>
      </c>
      <c r="AC3666" s="4">
        <f t="shared" si="571"/>
        <v>0</v>
      </c>
      <c r="AD3666" s="6">
        <f t="shared" si="564"/>
        <v>0</v>
      </c>
      <c r="AE3666" s="2">
        <f>VLOOKUP(I3666,[1]媒体政策预估表!A:N,MATCH(O3666,[1]媒体政策预估表!$A$2:$M$2,0),0)</f>
        <v>7.0000000000000007E-2</v>
      </c>
      <c r="AF3666" s="6">
        <f t="shared" si="572"/>
        <v>0</v>
      </c>
      <c r="AG3666" s="14">
        <v>0</v>
      </c>
      <c r="AH3666" s="64">
        <f t="shared" si="565"/>
        <v>0</v>
      </c>
      <c r="AI3666" s="47"/>
      <c r="AJ3666" s="126" t="e">
        <v>#N/A</v>
      </c>
      <c r="AK3666" s="80">
        <f t="shared" si="570"/>
        <v>0</v>
      </c>
      <c r="AM3666" s="85"/>
    </row>
    <row r="3667" spans="1:39" hidden="1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566"/>
        <v>117244.06</v>
      </c>
      <c r="X3667" s="6">
        <f t="shared" si="567"/>
        <v>0</v>
      </c>
      <c r="Y3667" s="13">
        <f t="shared" si="568"/>
        <v>0</v>
      </c>
      <c r="Z3667" s="14">
        <v>0</v>
      </c>
      <c r="AA3667" s="6">
        <v>0</v>
      </c>
      <c r="AB3667" s="4">
        <f t="shared" si="569"/>
        <v>0</v>
      </c>
      <c r="AC3667" s="4">
        <f t="shared" si="571"/>
        <v>0</v>
      </c>
      <c r="AD3667" s="6">
        <f t="shared" si="564"/>
        <v>0</v>
      </c>
      <c r="AE3667" s="2">
        <f>VLOOKUP(I3667,[1]媒体政策预估表!A:N,MATCH(O3667,[1]媒体政策预估表!$A$2:$M$2,0),0)</f>
        <v>7.0000000000000007E-2</v>
      </c>
      <c r="AF3667" s="6">
        <f t="shared" si="572"/>
        <v>0</v>
      </c>
      <c r="AG3667" s="14">
        <v>0</v>
      </c>
      <c r="AH3667" s="64">
        <f t="shared" si="565"/>
        <v>0</v>
      </c>
      <c r="AI3667" s="47"/>
      <c r="AJ3667" s="126" t="e">
        <v>#N/A</v>
      </c>
      <c r="AK3667" s="80">
        <f t="shared" si="570"/>
        <v>0</v>
      </c>
      <c r="AM3667" s="85"/>
    </row>
    <row r="3668" spans="1:39" hidden="1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566"/>
        <v>484</v>
      </c>
      <c r="X3668" s="6">
        <f t="shared" si="567"/>
        <v>0</v>
      </c>
      <c r="Y3668" s="13">
        <f t="shared" si="568"/>
        <v>0</v>
      </c>
      <c r="Z3668" s="14">
        <v>0</v>
      </c>
      <c r="AA3668" s="6">
        <v>0</v>
      </c>
      <c r="AB3668" s="4">
        <f t="shared" si="569"/>
        <v>0</v>
      </c>
      <c r="AC3668" s="4">
        <f t="shared" si="571"/>
        <v>0</v>
      </c>
      <c r="AD3668" s="6">
        <f t="shared" si="564"/>
        <v>0</v>
      </c>
      <c r="AE3668" s="2">
        <f>VLOOKUP(I3668,[1]媒体政策预估表!A:N,MATCH(O3668,[1]媒体政策预估表!$A$2:$M$2,0),0)</f>
        <v>7.0000000000000007E-2</v>
      </c>
      <c r="AF3668" s="6">
        <f t="shared" si="572"/>
        <v>0</v>
      </c>
      <c r="AG3668" s="14">
        <v>0</v>
      </c>
      <c r="AH3668" s="64">
        <f t="shared" si="565"/>
        <v>0</v>
      </c>
      <c r="AI3668" s="47"/>
      <c r="AJ3668" s="126" t="e">
        <v>#N/A</v>
      </c>
      <c r="AK3668" s="80">
        <f t="shared" si="570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566"/>
        <v>778.26</v>
      </c>
      <c r="X3669" s="6">
        <f t="shared" si="567"/>
        <v>0</v>
      </c>
      <c r="Y3669" s="13">
        <f t="shared" si="568"/>
        <v>0</v>
      </c>
      <c r="Z3669" s="14">
        <v>0</v>
      </c>
      <c r="AA3669" s="6">
        <v>0</v>
      </c>
      <c r="AB3669" s="4">
        <f t="shared" si="569"/>
        <v>0</v>
      </c>
      <c r="AC3669" s="4">
        <f t="shared" si="571"/>
        <v>0</v>
      </c>
      <c r="AD3669" s="6">
        <f t="shared" si="564"/>
        <v>0</v>
      </c>
      <c r="AE3669" s="2">
        <f>VLOOKUP(I3669,[1]媒体政策预估表!A:N,MATCH(O3669,[1]媒体政策预估表!$A$2:$M$2,0),0)</f>
        <v>7.0000000000000007E-2</v>
      </c>
      <c r="AF3669" s="6">
        <f t="shared" si="572"/>
        <v>0</v>
      </c>
      <c r="AG3669" s="14">
        <v>0</v>
      </c>
      <c r="AH3669" s="64">
        <f t="shared" si="565"/>
        <v>0</v>
      </c>
      <c r="AI3669" s="47"/>
      <c r="AJ3669" s="126" t="e">
        <v>#N/A</v>
      </c>
      <c r="AK3669" s="80">
        <f t="shared" si="570"/>
        <v>0</v>
      </c>
      <c r="AM3669" s="85"/>
    </row>
    <row r="3670" spans="1:39" hidden="1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566"/>
        <v>10200</v>
      </c>
      <c r="X3670" s="6">
        <f t="shared" si="567"/>
        <v>0</v>
      </c>
      <c r="Y3670" s="13">
        <f t="shared" si="568"/>
        <v>0</v>
      </c>
      <c r="Z3670" s="14">
        <v>0</v>
      </c>
      <c r="AA3670" s="6">
        <v>0</v>
      </c>
      <c r="AB3670" s="4">
        <f t="shared" si="569"/>
        <v>0</v>
      </c>
      <c r="AC3670" s="4">
        <f t="shared" si="571"/>
        <v>0</v>
      </c>
      <c r="AD3670" s="6">
        <f t="shared" si="564"/>
        <v>0</v>
      </c>
      <c r="AE3670" s="2">
        <f>VLOOKUP(I3670,[1]媒体政策预估表!A:N,MATCH(O3670,[1]媒体政策预估表!$A$2:$M$2,0),0)</f>
        <v>0.12</v>
      </c>
      <c r="AF3670" s="6">
        <f t="shared" si="572"/>
        <v>0</v>
      </c>
      <c r="AG3670" s="14">
        <v>0</v>
      </c>
      <c r="AH3670" s="64">
        <f t="shared" si="565"/>
        <v>0</v>
      </c>
      <c r="AI3670" s="47"/>
      <c r="AJ3670" s="126" t="e">
        <v>#N/A</v>
      </c>
      <c r="AK3670" s="80">
        <f t="shared" si="570"/>
        <v>0</v>
      </c>
      <c r="AM3670" s="85"/>
    </row>
    <row r="3671" spans="1:39" hidden="1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566"/>
        <v>49.5</v>
      </c>
      <c r="X3671" s="6">
        <f t="shared" si="567"/>
        <v>0</v>
      </c>
      <c r="Y3671" s="13">
        <f t="shared" si="568"/>
        <v>0</v>
      </c>
      <c r="Z3671" s="14">
        <v>0</v>
      </c>
      <c r="AA3671" s="6">
        <v>0</v>
      </c>
      <c r="AB3671" s="4">
        <f t="shared" si="569"/>
        <v>0</v>
      </c>
      <c r="AC3671" s="4">
        <f t="shared" si="571"/>
        <v>0</v>
      </c>
      <c r="AD3671" s="6">
        <f t="shared" si="564"/>
        <v>0</v>
      </c>
      <c r="AE3671" s="2">
        <f>VLOOKUP(I3671,[1]媒体政策预估表!A:N,MATCH(O3671,[1]媒体政策预估表!$A$2:$M$2,0),0)</f>
        <v>7.0000000000000007E-2</v>
      </c>
      <c r="AF3671" s="6">
        <f t="shared" si="572"/>
        <v>0</v>
      </c>
      <c r="AG3671" s="14">
        <v>0</v>
      </c>
      <c r="AH3671" s="64">
        <f t="shared" si="565"/>
        <v>0</v>
      </c>
      <c r="AI3671" s="47"/>
      <c r="AJ3671" s="126" t="e">
        <v>#N/A</v>
      </c>
      <c r="AK3671" s="80">
        <f t="shared" si="570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566"/>
        <v>3542.3</v>
      </c>
      <c r="X3672" s="6">
        <f t="shared" si="567"/>
        <v>0</v>
      </c>
      <c r="Y3672" s="13">
        <f t="shared" si="568"/>
        <v>0</v>
      </c>
      <c r="Z3672" s="14">
        <v>0</v>
      </c>
      <c r="AA3672" s="6">
        <v>0</v>
      </c>
      <c r="AB3672" s="4">
        <f t="shared" si="569"/>
        <v>0</v>
      </c>
      <c r="AC3672" s="4">
        <f t="shared" si="571"/>
        <v>0</v>
      </c>
      <c r="AD3672" s="6">
        <f t="shared" si="564"/>
        <v>0</v>
      </c>
      <c r="AE3672" s="2">
        <f>VLOOKUP(I3672,[1]媒体政策预估表!A:N,MATCH(O3672,[1]媒体政策预估表!$A$2:$M$2,0),0)</f>
        <v>7.0000000000000007E-2</v>
      </c>
      <c r="AF3672" s="6">
        <f t="shared" si="572"/>
        <v>0</v>
      </c>
      <c r="AG3672" s="14">
        <v>0</v>
      </c>
      <c r="AH3672" s="64">
        <f t="shared" si="565"/>
        <v>0</v>
      </c>
      <c r="AI3672" s="47"/>
      <c r="AJ3672" s="126" t="e">
        <v>#N/A</v>
      </c>
      <c r="AK3672" s="80">
        <f t="shared" si="570"/>
        <v>0</v>
      </c>
      <c r="AM3672" s="85"/>
    </row>
    <row r="3673" spans="1:39" hidden="1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566"/>
        <v>4203.45</v>
      </c>
      <c r="X3673" s="6">
        <f t="shared" si="567"/>
        <v>0</v>
      </c>
      <c r="Y3673" s="13">
        <f t="shared" si="568"/>
        <v>0</v>
      </c>
      <c r="Z3673" s="14">
        <v>0</v>
      </c>
      <c r="AA3673" s="6">
        <v>0</v>
      </c>
      <c r="AB3673" s="4">
        <f t="shared" si="569"/>
        <v>0</v>
      </c>
      <c r="AC3673" s="4">
        <f t="shared" si="571"/>
        <v>0</v>
      </c>
      <c r="AD3673" s="6">
        <f t="shared" si="564"/>
        <v>0</v>
      </c>
      <c r="AE3673" s="2">
        <f>VLOOKUP(I3673,[1]媒体政策预估表!A:N,MATCH(O3673,[1]媒体政策预估表!$A$2:$M$2,0),0)</f>
        <v>7.0000000000000007E-2</v>
      </c>
      <c r="AF3673" s="6">
        <f t="shared" si="572"/>
        <v>0</v>
      </c>
      <c r="AG3673" s="14">
        <v>0</v>
      </c>
      <c r="AH3673" s="64">
        <f t="shared" si="565"/>
        <v>0</v>
      </c>
      <c r="AI3673" s="47"/>
      <c r="AJ3673" s="126" t="e">
        <v>#N/A</v>
      </c>
      <c r="AK3673" s="80">
        <f t="shared" si="570"/>
        <v>0</v>
      </c>
      <c r="AM3673" s="85"/>
    </row>
    <row r="3674" spans="1:39" hidden="1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566"/>
        <v>33599.269999999997</v>
      </c>
      <c r="X3674" s="6">
        <f t="shared" si="567"/>
        <v>0</v>
      </c>
      <c r="Y3674" s="13">
        <f t="shared" si="568"/>
        <v>0</v>
      </c>
      <c r="Z3674" s="14">
        <v>0</v>
      </c>
      <c r="AA3674" s="6">
        <v>0</v>
      </c>
      <c r="AB3674" s="4">
        <f t="shared" si="569"/>
        <v>0</v>
      </c>
      <c r="AC3674" s="4">
        <f t="shared" si="571"/>
        <v>0</v>
      </c>
      <c r="AD3674" s="6">
        <f t="shared" si="564"/>
        <v>0</v>
      </c>
      <c r="AE3674" s="2">
        <f>VLOOKUP(I3674,[1]媒体政策预估表!A:N,MATCH(O3674,[1]媒体政策预估表!$A$2:$M$2,0),0)</f>
        <v>7.0000000000000007E-2</v>
      </c>
      <c r="AF3674" s="6">
        <f t="shared" si="572"/>
        <v>0</v>
      </c>
      <c r="AG3674" s="14">
        <v>0</v>
      </c>
      <c r="AH3674" s="64">
        <f t="shared" si="565"/>
        <v>0</v>
      </c>
      <c r="AI3674" s="47"/>
      <c r="AJ3674" s="126" t="e">
        <v>#N/A</v>
      </c>
      <c r="AK3674" s="80">
        <f t="shared" si="570"/>
        <v>0</v>
      </c>
      <c r="AM3674" s="85"/>
    </row>
    <row r="3675" spans="1:39" hidden="1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566"/>
        <v>5730.1</v>
      </c>
      <c r="X3675" s="6">
        <f t="shared" si="567"/>
        <v>0</v>
      </c>
      <c r="Y3675" s="13">
        <f t="shared" si="568"/>
        <v>0</v>
      </c>
      <c r="Z3675" s="14">
        <v>0</v>
      </c>
      <c r="AA3675" s="6">
        <v>0</v>
      </c>
      <c r="AB3675" s="4">
        <f t="shared" si="569"/>
        <v>0</v>
      </c>
      <c r="AC3675" s="4">
        <f t="shared" si="571"/>
        <v>0</v>
      </c>
      <c r="AD3675" s="6">
        <f t="shared" si="564"/>
        <v>0</v>
      </c>
      <c r="AE3675" s="2">
        <f>VLOOKUP(I3675,[1]媒体政策预估表!A:N,MATCH(O3675,[1]媒体政策预估表!$A$2:$M$2,0),0)</f>
        <v>7.0000000000000007E-2</v>
      </c>
      <c r="AF3675" s="6">
        <f t="shared" si="572"/>
        <v>0</v>
      </c>
      <c r="AG3675" s="14">
        <v>0</v>
      </c>
      <c r="AH3675" s="64">
        <f t="shared" si="565"/>
        <v>0</v>
      </c>
      <c r="AI3675" s="47"/>
      <c r="AJ3675" s="126" t="e">
        <v>#N/A</v>
      </c>
      <c r="AK3675" s="80">
        <f t="shared" si="570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566"/>
        <v>4648.87</v>
      </c>
      <c r="X3676" s="6">
        <f t="shared" si="567"/>
        <v>0</v>
      </c>
      <c r="Y3676" s="13">
        <f t="shared" si="568"/>
        <v>0</v>
      </c>
      <c r="Z3676" s="14">
        <v>0</v>
      </c>
      <c r="AA3676" s="6">
        <v>0</v>
      </c>
      <c r="AB3676" s="4">
        <f t="shared" si="569"/>
        <v>0</v>
      </c>
      <c r="AC3676" s="4">
        <f t="shared" si="571"/>
        <v>0</v>
      </c>
      <c r="AD3676" s="6">
        <f t="shared" si="564"/>
        <v>0</v>
      </c>
      <c r="AE3676" s="2">
        <f>VLOOKUP(I3676,[1]媒体政策预估表!A:N,MATCH(O3676,[1]媒体政策预估表!$A$2:$M$2,0),0)</f>
        <v>0.12</v>
      </c>
      <c r="AF3676" s="6">
        <f t="shared" si="572"/>
        <v>0</v>
      </c>
      <c r="AG3676" s="14">
        <v>0</v>
      </c>
      <c r="AH3676" s="64">
        <f t="shared" si="565"/>
        <v>0</v>
      </c>
      <c r="AI3676" s="47"/>
      <c r="AJ3676" s="126" t="e">
        <v>#N/A</v>
      </c>
      <c r="AK3676" s="80">
        <f t="shared" si="570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566"/>
        <v>110</v>
      </c>
      <c r="X3677" s="6">
        <f t="shared" si="567"/>
        <v>0</v>
      </c>
      <c r="Y3677" s="13">
        <f t="shared" si="568"/>
        <v>0</v>
      </c>
      <c r="Z3677" s="14">
        <v>0</v>
      </c>
      <c r="AA3677" s="6">
        <v>0</v>
      </c>
      <c r="AB3677" s="4">
        <f t="shared" si="569"/>
        <v>0</v>
      </c>
      <c r="AC3677" s="4">
        <f t="shared" si="571"/>
        <v>0</v>
      </c>
      <c r="AD3677" s="6">
        <f t="shared" si="564"/>
        <v>0</v>
      </c>
      <c r="AE3677" s="2">
        <f>VLOOKUP(I3677,[1]媒体政策预估表!A:N,MATCH(O3677,[1]媒体政策预估表!$A$2:$M$2,0),0)</f>
        <v>7.0000000000000007E-2</v>
      </c>
      <c r="AF3677" s="6">
        <f t="shared" si="572"/>
        <v>0</v>
      </c>
      <c r="AG3677" s="14">
        <v>0</v>
      </c>
      <c r="AH3677" s="64">
        <f t="shared" si="565"/>
        <v>0</v>
      </c>
      <c r="AI3677" s="47"/>
      <c r="AJ3677" s="126" t="e">
        <v>#N/A</v>
      </c>
      <c r="AK3677" s="80">
        <f t="shared" si="570"/>
        <v>0</v>
      </c>
      <c r="AM3677" s="85"/>
    </row>
    <row r="3678" spans="1:39" hidden="1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566"/>
        <v>9231.0499999999993</v>
      </c>
      <c r="X3678" s="6">
        <f t="shared" si="567"/>
        <v>0</v>
      </c>
      <c r="Y3678" s="13">
        <f t="shared" si="568"/>
        <v>0</v>
      </c>
      <c r="Z3678" s="14">
        <v>0</v>
      </c>
      <c r="AA3678" s="6">
        <v>0</v>
      </c>
      <c r="AB3678" s="4">
        <f t="shared" si="569"/>
        <v>0</v>
      </c>
      <c r="AC3678" s="4">
        <f t="shared" si="571"/>
        <v>0</v>
      </c>
      <c r="AD3678" s="6">
        <f t="shared" si="564"/>
        <v>0</v>
      </c>
      <c r="AE3678" s="2">
        <f>VLOOKUP(I3678,[1]媒体政策预估表!A:N,MATCH(O3678,[1]媒体政策预估表!$A$2:$M$2,0),0)</f>
        <v>7.0000000000000007E-2</v>
      </c>
      <c r="AF3678" s="6">
        <f t="shared" si="572"/>
        <v>0</v>
      </c>
      <c r="AG3678" s="14">
        <v>0</v>
      </c>
      <c r="AH3678" s="64">
        <f t="shared" si="565"/>
        <v>0</v>
      </c>
      <c r="AI3678" s="47"/>
      <c r="AJ3678" s="126" t="e">
        <v>#N/A</v>
      </c>
      <c r="AK3678" s="80">
        <f t="shared" si="570"/>
        <v>0</v>
      </c>
      <c r="AM3678" s="85"/>
    </row>
    <row r="3679" spans="1:39" hidden="1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566"/>
        <v>11400</v>
      </c>
      <c r="X3679" s="6">
        <f t="shared" si="567"/>
        <v>0</v>
      </c>
      <c r="Y3679" s="13">
        <f t="shared" si="568"/>
        <v>0</v>
      </c>
      <c r="Z3679" s="14">
        <v>0</v>
      </c>
      <c r="AA3679" s="6">
        <v>0</v>
      </c>
      <c r="AB3679" s="4">
        <f t="shared" si="569"/>
        <v>0</v>
      </c>
      <c r="AC3679" s="4">
        <f t="shared" si="571"/>
        <v>0</v>
      </c>
      <c r="AD3679" s="6">
        <f t="shared" si="564"/>
        <v>0</v>
      </c>
      <c r="AE3679" s="2">
        <f>VLOOKUP(I3679,[1]媒体政策预估表!A:N,MATCH(O3679,[1]媒体政策预估表!$A$2:$M$2,0),0)</f>
        <v>7.0000000000000007E-2</v>
      </c>
      <c r="AF3679" s="6">
        <f t="shared" si="572"/>
        <v>0</v>
      </c>
      <c r="AG3679" s="14">
        <v>0</v>
      </c>
      <c r="AH3679" s="64">
        <f t="shared" si="565"/>
        <v>0</v>
      </c>
      <c r="AI3679" s="47"/>
      <c r="AJ3679" s="126" t="e">
        <v>#N/A</v>
      </c>
      <c r="AK3679" s="80">
        <f t="shared" si="570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566"/>
        <v>5000</v>
      </c>
      <c r="X3680" s="6">
        <f t="shared" si="567"/>
        <v>0</v>
      </c>
      <c r="Y3680" s="13">
        <f t="shared" si="568"/>
        <v>0</v>
      </c>
      <c r="Z3680" s="14">
        <v>0</v>
      </c>
      <c r="AA3680" s="6">
        <v>0</v>
      </c>
      <c r="AB3680" s="4"/>
      <c r="AC3680" s="4">
        <f t="shared" si="571"/>
        <v>0</v>
      </c>
      <c r="AD3680" s="6">
        <f t="shared" si="564"/>
        <v>0</v>
      </c>
      <c r="AE3680" s="2">
        <f>VLOOKUP(I3680,[1]媒体政策预估表!A:N,MATCH(O3680,[1]媒体政策预估表!$A$2:$M$2,0),0)</f>
        <v>0.12</v>
      </c>
      <c r="AF3680" s="6">
        <f t="shared" si="572"/>
        <v>0</v>
      </c>
      <c r="AG3680" s="14">
        <v>0</v>
      </c>
      <c r="AH3680" s="64">
        <f t="shared" si="565"/>
        <v>0</v>
      </c>
      <c r="AI3680" s="47"/>
      <c r="AJ3680" s="126">
        <v>28</v>
      </c>
      <c r="AK3680" s="80">
        <f t="shared" si="570"/>
        <v>0</v>
      </c>
      <c r="AM3680" s="85"/>
    </row>
    <row r="3681" spans="1:39" hidden="1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566"/>
        <v>4566.68</v>
      </c>
      <c r="X3681" s="6">
        <f t="shared" si="567"/>
        <v>0</v>
      </c>
      <c r="Y3681" s="13">
        <f t="shared" si="568"/>
        <v>0</v>
      </c>
      <c r="Z3681" s="14">
        <v>0</v>
      </c>
      <c r="AA3681" s="6">
        <v>0</v>
      </c>
      <c r="AB3681" s="4"/>
      <c r="AC3681" s="4">
        <f t="shared" si="571"/>
        <v>0</v>
      </c>
      <c r="AD3681" s="6">
        <f t="shared" si="564"/>
        <v>0</v>
      </c>
      <c r="AE3681" s="2">
        <f>VLOOKUP(I3681,[1]媒体政策预估表!A:N,MATCH(O3681,[1]媒体政策预估表!$A$2:$M$2,0),0)</f>
        <v>0.12</v>
      </c>
      <c r="AF3681" s="6">
        <f t="shared" si="572"/>
        <v>0</v>
      </c>
      <c r="AG3681" s="14">
        <v>0</v>
      </c>
      <c r="AH3681" s="64">
        <f t="shared" si="565"/>
        <v>0</v>
      </c>
      <c r="AI3681" s="47"/>
      <c r="AJ3681" s="126">
        <v>28</v>
      </c>
      <c r="AK3681" s="80">
        <f t="shared" si="570"/>
        <v>0</v>
      </c>
      <c r="AM3681" s="85"/>
    </row>
    <row r="3682" spans="1:39" hidden="1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566"/>
        <v>4893.2</v>
      </c>
      <c r="X3682" s="6">
        <f t="shared" si="567"/>
        <v>0</v>
      </c>
      <c r="Y3682" s="13">
        <f t="shared" si="568"/>
        <v>0</v>
      </c>
      <c r="Z3682" s="14">
        <v>0</v>
      </c>
      <c r="AA3682" s="6">
        <v>0</v>
      </c>
      <c r="AB3682" s="4">
        <f t="shared" si="569"/>
        <v>0</v>
      </c>
      <c r="AC3682" s="4">
        <f t="shared" si="571"/>
        <v>0</v>
      </c>
      <c r="AD3682" s="6">
        <f t="shared" si="564"/>
        <v>0</v>
      </c>
      <c r="AE3682" s="2">
        <f>VLOOKUP(I3682,[1]媒体政策预估表!A:N,MATCH(O3682,[1]媒体政策预估表!$A$2:$M$2,0),0)</f>
        <v>7.0000000000000007E-2</v>
      </c>
      <c r="AF3682" s="6">
        <f t="shared" si="572"/>
        <v>0</v>
      </c>
      <c r="AG3682" s="14">
        <v>0</v>
      </c>
      <c r="AH3682" s="64">
        <f t="shared" si="565"/>
        <v>0</v>
      </c>
      <c r="AI3682" s="47"/>
      <c r="AJ3682" s="126" t="e">
        <v>#N/A</v>
      </c>
      <c r="AK3682" s="80">
        <f t="shared" si="570"/>
        <v>0</v>
      </c>
      <c r="AM3682" s="85"/>
    </row>
    <row r="3683" spans="1:39" hidden="1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566"/>
        <v>188113.3</v>
      </c>
      <c r="X3683" s="6">
        <f t="shared" si="567"/>
        <v>0</v>
      </c>
      <c r="Y3683" s="13">
        <f t="shared" si="568"/>
        <v>0</v>
      </c>
      <c r="Z3683" s="14">
        <v>0</v>
      </c>
      <c r="AA3683" s="6">
        <v>0</v>
      </c>
      <c r="AB3683" s="4"/>
      <c r="AC3683" s="4">
        <f t="shared" si="571"/>
        <v>0</v>
      </c>
      <c r="AD3683" s="6">
        <f t="shared" si="564"/>
        <v>0</v>
      </c>
      <c r="AE3683" s="2">
        <f>VLOOKUP(I3683,[1]媒体政策预估表!A:N,MATCH(O3683,[1]媒体政策预估表!$A$2:$M$2,0),0)</f>
        <v>0.12</v>
      </c>
      <c r="AF3683" s="6">
        <f t="shared" si="572"/>
        <v>0</v>
      </c>
      <c r="AG3683" s="14">
        <v>0</v>
      </c>
      <c r="AH3683" s="64">
        <f t="shared" si="565"/>
        <v>0</v>
      </c>
      <c r="AI3683" s="47"/>
      <c r="AJ3683" s="126">
        <v>25</v>
      </c>
      <c r="AK3683" s="80">
        <f t="shared" si="570"/>
        <v>0</v>
      </c>
      <c r="AM3683" s="85"/>
    </row>
    <row r="3684" spans="1:39" hidden="1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566"/>
        <v>9056.2000000000007</v>
      </c>
      <c r="X3684" s="6">
        <f t="shared" si="567"/>
        <v>0</v>
      </c>
      <c r="Y3684" s="13">
        <f t="shared" si="568"/>
        <v>0</v>
      </c>
      <c r="Z3684" s="14">
        <v>0</v>
      </c>
      <c r="AA3684" s="6">
        <v>0</v>
      </c>
      <c r="AB3684" s="4">
        <f t="shared" si="569"/>
        <v>0</v>
      </c>
      <c r="AC3684" s="4">
        <f t="shared" si="571"/>
        <v>0</v>
      </c>
      <c r="AD3684" s="6">
        <f t="shared" ref="AD3684:AD3747" si="573">V3684</f>
        <v>0</v>
      </c>
      <c r="AE3684" s="2">
        <f>VLOOKUP(I3684,[1]媒体政策预估表!A:N,MATCH(O3684,[1]媒体政策预估表!$A$2:$M$2,0),0)</f>
        <v>7.0000000000000007E-2</v>
      </c>
      <c r="AF3684" s="6">
        <f t="shared" si="572"/>
        <v>0</v>
      </c>
      <c r="AG3684" s="14">
        <v>0</v>
      </c>
      <c r="AH3684" s="64">
        <f t="shared" ref="AH3684:AH3747" si="574">V3684</f>
        <v>0</v>
      </c>
      <c r="AI3684" s="47"/>
      <c r="AJ3684" s="126" t="e">
        <v>#N/A</v>
      </c>
      <c r="AK3684" s="80">
        <f t="shared" si="570"/>
        <v>0</v>
      </c>
      <c r="AM3684" s="85"/>
    </row>
    <row r="3685" spans="1:39" hidden="1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566"/>
        <v>3920.2</v>
      </c>
      <c r="X3685" s="6">
        <f t="shared" si="567"/>
        <v>0</v>
      </c>
      <c r="Y3685" s="13">
        <f t="shared" si="568"/>
        <v>0</v>
      </c>
      <c r="Z3685" s="14">
        <v>0</v>
      </c>
      <c r="AA3685" s="6">
        <v>0</v>
      </c>
      <c r="AB3685" s="4"/>
      <c r="AC3685" s="4">
        <f t="shared" si="571"/>
        <v>0</v>
      </c>
      <c r="AD3685" s="6">
        <f t="shared" si="573"/>
        <v>0</v>
      </c>
      <c r="AE3685" s="2">
        <f>VLOOKUP(I3685,[1]媒体政策预估表!A:N,MATCH(O3685,[1]媒体政策预估表!$A$2:$M$2,0),0)</f>
        <v>7.0000000000000007E-2</v>
      </c>
      <c r="AF3685" s="6">
        <f t="shared" si="572"/>
        <v>0</v>
      </c>
      <c r="AG3685" s="14">
        <v>0</v>
      </c>
      <c r="AH3685" s="64">
        <f t="shared" si="574"/>
        <v>0</v>
      </c>
      <c r="AI3685" s="47"/>
      <c r="AJ3685" s="126">
        <v>14</v>
      </c>
      <c r="AK3685" s="80">
        <f t="shared" si="570"/>
        <v>0</v>
      </c>
      <c r="AM3685" s="85"/>
    </row>
    <row r="3686" spans="1:39" hidden="1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575">T3686+U3686-V3686</f>
        <v>3210.89</v>
      </c>
      <c r="X3686" s="6">
        <f t="shared" si="567"/>
        <v>0</v>
      </c>
      <c r="Y3686" s="13">
        <f t="shared" si="568"/>
        <v>0</v>
      </c>
      <c r="Z3686" s="14">
        <v>0</v>
      </c>
      <c r="AA3686" s="6">
        <v>0</v>
      </c>
      <c r="AB3686" s="4">
        <f t="shared" si="569"/>
        <v>0</v>
      </c>
      <c r="AC3686" s="4">
        <f t="shared" si="571"/>
        <v>0</v>
      </c>
      <c r="AD3686" s="6">
        <f t="shared" si="573"/>
        <v>0</v>
      </c>
      <c r="AE3686" s="2">
        <f>VLOOKUP(I3686,[1]媒体政策预估表!A:N,MATCH(O3686,[1]媒体政策预估表!$A$2:$M$2,0),0)</f>
        <v>7.0000000000000007E-2</v>
      </c>
      <c r="AF3686" s="6">
        <f t="shared" si="572"/>
        <v>0</v>
      </c>
      <c r="AG3686" s="14">
        <v>0</v>
      </c>
      <c r="AH3686" s="64">
        <f t="shared" si="574"/>
        <v>0</v>
      </c>
      <c r="AI3686" s="47"/>
      <c r="AJ3686" s="126" t="e">
        <v>#N/A</v>
      </c>
      <c r="AK3686" s="80">
        <f t="shared" si="570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575"/>
        <v>32786.82</v>
      </c>
      <c r="X3687" s="6">
        <f t="shared" ref="X3687:X3750" si="576">IF(P3687="折扣",V3687*Q3687,IF(P3687="返现",V3687,V3687/(1+Q3687)))</f>
        <v>0</v>
      </c>
      <c r="Y3687" s="13">
        <f t="shared" si="568"/>
        <v>0</v>
      </c>
      <c r="Z3687" s="14">
        <v>0</v>
      </c>
      <c r="AA3687" s="6">
        <v>0</v>
      </c>
      <c r="AB3687" s="4">
        <f t="shared" si="569"/>
        <v>0</v>
      </c>
      <c r="AC3687" s="4">
        <f t="shared" si="571"/>
        <v>0</v>
      </c>
      <c r="AD3687" s="6">
        <f t="shared" si="573"/>
        <v>0</v>
      </c>
      <c r="AE3687" s="2">
        <f>VLOOKUP(I3687,[1]媒体政策预估表!A:N,MATCH(O3687,[1]媒体政策预估表!$A$2:$M$2,0),0)</f>
        <v>7.0000000000000007E-2</v>
      </c>
      <c r="AF3687" s="6">
        <f t="shared" si="572"/>
        <v>0</v>
      </c>
      <c r="AG3687" s="14">
        <v>0</v>
      </c>
      <c r="AH3687" s="64">
        <f t="shared" si="574"/>
        <v>0</v>
      </c>
      <c r="AI3687" s="47"/>
      <c r="AJ3687" s="126" t="e">
        <v>#N/A</v>
      </c>
      <c r="AK3687" s="80">
        <f t="shared" si="570"/>
        <v>0</v>
      </c>
      <c r="AM3687" s="85"/>
    </row>
    <row r="3688" spans="1:39" hidden="1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575"/>
        <v>494</v>
      </c>
      <c r="X3688" s="6">
        <f t="shared" si="576"/>
        <v>0</v>
      </c>
      <c r="Y3688" s="13">
        <f t="shared" si="568"/>
        <v>0</v>
      </c>
      <c r="Z3688" s="14">
        <v>0</v>
      </c>
      <c r="AA3688" s="6">
        <v>0</v>
      </c>
      <c r="AB3688" s="4">
        <f t="shared" si="569"/>
        <v>0</v>
      </c>
      <c r="AC3688" s="4">
        <f t="shared" si="571"/>
        <v>0</v>
      </c>
      <c r="AD3688" s="6">
        <f t="shared" si="573"/>
        <v>0</v>
      </c>
      <c r="AE3688" s="2">
        <f>VLOOKUP(I3688,[1]媒体政策预估表!A:N,MATCH(O3688,[1]媒体政策预估表!$A$2:$M$2,0),0)</f>
        <v>7.0000000000000007E-2</v>
      </c>
      <c r="AF3688" s="6">
        <f t="shared" si="572"/>
        <v>0</v>
      </c>
      <c r="AG3688" s="14">
        <v>0</v>
      </c>
      <c r="AH3688" s="64">
        <f t="shared" si="574"/>
        <v>0</v>
      </c>
      <c r="AI3688" s="47"/>
      <c r="AJ3688" s="126" t="e">
        <v>#N/A</v>
      </c>
      <c r="AK3688" s="80">
        <f t="shared" si="570"/>
        <v>0</v>
      </c>
      <c r="AM3688" s="85"/>
    </row>
    <row r="3689" spans="1:39" hidden="1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575"/>
        <v>27822.3</v>
      </c>
      <c r="X3689" s="6">
        <f t="shared" si="576"/>
        <v>0</v>
      </c>
      <c r="Y3689" s="13">
        <f t="shared" si="568"/>
        <v>0</v>
      </c>
      <c r="Z3689" s="14">
        <v>0</v>
      </c>
      <c r="AA3689" s="6">
        <v>0</v>
      </c>
      <c r="AB3689" s="4">
        <f t="shared" si="569"/>
        <v>0</v>
      </c>
      <c r="AC3689" s="4">
        <f t="shared" si="571"/>
        <v>0</v>
      </c>
      <c r="AD3689" s="6">
        <f t="shared" si="573"/>
        <v>0</v>
      </c>
      <c r="AE3689" s="2">
        <f>VLOOKUP(I3689,[1]媒体政策预估表!A:N,MATCH(O3689,[1]媒体政策预估表!$A$2:$M$2,0),0)</f>
        <v>7.0000000000000007E-2</v>
      </c>
      <c r="AF3689" s="6">
        <f t="shared" si="572"/>
        <v>0</v>
      </c>
      <c r="AG3689" s="14">
        <v>0</v>
      </c>
      <c r="AH3689" s="64">
        <f t="shared" si="574"/>
        <v>0</v>
      </c>
      <c r="AI3689" s="47"/>
      <c r="AJ3689" s="126" t="e">
        <v>#N/A</v>
      </c>
      <c r="AK3689" s="80">
        <f t="shared" si="570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575"/>
        <v>0.33</v>
      </c>
      <c r="X3690" s="6">
        <f t="shared" si="576"/>
        <v>0</v>
      </c>
      <c r="Y3690" s="13">
        <f t="shared" si="568"/>
        <v>0</v>
      </c>
      <c r="Z3690" s="14">
        <v>0</v>
      </c>
      <c r="AA3690" s="6">
        <v>0</v>
      </c>
      <c r="AB3690" s="4"/>
      <c r="AC3690" s="4">
        <f t="shared" si="571"/>
        <v>0</v>
      </c>
      <c r="AD3690" s="6">
        <f t="shared" si="573"/>
        <v>0</v>
      </c>
      <c r="AE3690" s="2">
        <f>VLOOKUP(I3690,[1]媒体政策预估表!A:N,MATCH(O3690,[1]媒体政策预估表!$A$2:$M$2,0),0)</f>
        <v>0.12</v>
      </c>
      <c r="AF3690" s="6">
        <f t="shared" si="572"/>
        <v>0</v>
      </c>
      <c r="AG3690" s="14">
        <v>0</v>
      </c>
      <c r="AH3690" s="64">
        <f t="shared" si="574"/>
        <v>0</v>
      </c>
      <c r="AI3690" s="47"/>
      <c r="AJ3690" s="126">
        <v>71</v>
      </c>
      <c r="AK3690" s="80">
        <f t="shared" si="570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575"/>
        <v>0.08</v>
      </c>
      <c r="X3691" s="6">
        <f t="shared" si="576"/>
        <v>0</v>
      </c>
      <c r="Y3691" s="13">
        <f t="shared" si="568"/>
        <v>0</v>
      </c>
      <c r="Z3691" s="14">
        <v>0</v>
      </c>
      <c r="AA3691" s="6">
        <v>0</v>
      </c>
      <c r="AB3691" s="4"/>
      <c r="AC3691" s="4">
        <f t="shared" si="571"/>
        <v>0</v>
      </c>
      <c r="AD3691" s="6">
        <f t="shared" si="573"/>
        <v>0</v>
      </c>
      <c r="AE3691" s="2">
        <f>VLOOKUP(I3691,[1]媒体政策预估表!A:N,MATCH(O3691,[1]媒体政策预估表!$A$2:$M$2,0),0)</f>
        <v>0.12</v>
      </c>
      <c r="AF3691" s="6">
        <f t="shared" si="572"/>
        <v>0</v>
      </c>
      <c r="AG3691" s="14">
        <v>0</v>
      </c>
      <c r="AH3691" s="64">
        <f t="shared" si="574"/>
        <v>0</v>
      </c>
      <c r="AI3691" s="47"/>
      <c r="AJ3691" s="126">
        <v>71</v>
      </c>
      <c r="AK3691" s="80">
        <f t="shared" si="570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575"/>
        <v>0.19</v>
      </c>
      <c r="X3692" s="6">
        <f t="shared" si="576"/>
        <v>0</v>
      </c>
      <c r="Y3692" s="13">
        <f t="shared" si="568"/>
        <v>0</v>
      </c>
      <c r="Z3692" s="14">
        <v>0</v>
      </c>
      <c r="AA3692" s="6">
        <v>0</v>
      </c>
      <c r="AB3692" s="4"/>
      <c r="AC3692" s="4">
        <f t="shared" si="571"/>
        <v>0</v>
      </c>
      <c r="AD3692" s="6">
        <f t="shared" si="573"/>
        <v>0</v>
      </c>
      <c r="AE3692" s="2">
        <f>VLOOKUP(I3692,[1]媒体政策预估表!A:N,MATCH(O3692,[1]媒体政策预估表!$A$2:$M$2,0),0)</f>
        <v>0.12</v>
      </c>
      <c r="AF3692" s="6">
        <f t="shared" si="572"/>
        <v>0</v>
      </c>
      <c r="AG3692" s="14">
        <v>0</v>
      </c>
      <c r="AH3692" s="64">
        <f t="shared" si="574"/>
        <v>0</v>
      </c>
      <c r="AI3692" s="47"/>
      <c r="AJ3692" s="126">
        <v>71</v>
      </c>
      <c r="AK3692" s="80">
        <f t="shared" si="570"/>
        <v>0</v>
      </c>
      <c r="AM3692" s="85"/>
    </row>
    <row r="3693" spans="1:39" hidden="1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575"/>
        <v>0.55000000000000004</v>
      </c>
      <c r="X3693" s="6">
        <f t="shared" si="576"/>
        <v>0</v>
      </c>
      <c r="Y3693" s="13">
        <f t="shared" si="568"/>
        <v>0</v>
      </c>
      <c r="Z3693" s="14">
        <v>0</v>
      </c>
      <c r="AA3693" s="6">
        <v>0</v>
      </c>
      <c r="AB3693" s="4"/>
      <c r="AC3693" s="4">
        <f t="shared" si="571"/>
        <v>0</v>
      </c>
      <c r="AD3693" s="6">
        <f t="shared" si="573"/>
        <v>0</v>
      </c>
      <c r="AE3693" s="2">
        <f>VLOOKUP(I3693,[1]媒体政策预估表!A:N,MATCH(O3693,[1]媒体政策预估表!$A$2:$M$2,0),0)</f>
        <v>0.12</v>
      </c>
      <c r="AF3693" s="6">
        <f t="shared" si="572"/>
        <v>0</v>
      </c>
      <c r="AG3693" s="14">
        <v>0</v>
      </c>
      <c r="AH3693" s="64">
        <f t="shared" si="574"/>
        <v>0</v>
      </c>
      <c r="AI3693" s="47"/>
      <c r="AJ3693" s="126">
        <v>71</v>
      </c>
      <c r="AK3693" s="80">
        <f t="shared" si="570"/>
        <v>0</v>
      </c>
      <c r="AM3693" s="85"/>
    </row>
    <row r="3694" spans="1:39" hidden="1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575"/>
        <v>0.53</v>
      </c>
      <c r="X3694" s="6">
        <f t="shared" si="576"/>
        <v>0</v>
      </c>
      <c r="Y3694" s="13">
        <f t="shared" si="568"/>
        <v>0</v>
      </c>
      <c r="Z3694" s="14">
        <v>0</v>
      </c>
      <c r="AA3694" s="6">
        <v>0</v>
      </c>
      <c r="AB3694" s="4"/>
      <c r="AC3694" s="4">
        <f t="shared" si="571"/>
        <v>0</v>
      </c>
      <c r="AD3694" s="6">
        <f t="shared" si="573"/>
        <v>0</v>
      </c>
      <c r="AE3694" s="2">
        <f>VLOOKUP(I3694,[1]媒体政策预估表!A:N,MATCH(O3694,[1]媒体政策预估表!$A$2:$M$2,0),0)</f>
        <v>0.12</v>
      </c>
      <c r="AF3694" s="6">
        <f t="shared" si="572"/>
        <v>0</v>
      </c>
      <c r="AG3694" s="14">
        <v>0</v>
      </c>
      <c r="AH3694" s="64">
        <f t="shared" si="574"/>
        <v>0</v>
      </c>
      <c r="AI3694" s="47"/>
      <c r="AJ3694" s="126">
        <v>71</v>
      </c>
      <c r="AK3694" s="80">
        <f t="shared" si="570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575"/>
        <v>7.0000000000000007E-2</v>
      </c>
      <c r="X3695" s="6">
        <f t="shared" si="576"/>
        <v>0</v>
      </c>
      <c r="Y3695" s="13">
        <f t="shared" si="568"/>
        <v>0</v>
      </c>
      <c r="Z3695" s="14">
        <v>0</v>
      </c>
      <c r="AA3695" s="6">
        <v>0</v>
      </c>
      <c r="AB3695" s="4"/>
      <c r="AC3695" s="4">
        <f t="shared" si="571"/>
        <v>0</v>
      </c>
      <c r="AD3695" s="6">
        <f t="shared" si="573"/>
        <v>0</v>
      </c>
      <c r="AE3695" s="2">
        <f>VLOOKUP(I3695,[1]媒体政策预估表!A:N,MATCH(O3695,[1]媒体政策预估表!$A$2:$M$2,0),0)</f>
        <v>0.12</v>
      </c>
      <c r="AF3695" s="6">
        <f t="shared" si="572"/>
        <v>0</v>
      </c>
      <c r="AG3695" s="14">
        <v>0</v>
      </c>
      <c r="AH3695" s="64">
        <f t="shared" si="574"/>
        <v>0</v>
      </c>
      <c r="AI3695" s="47"/>
      <c r="AJ3695" s="126">
        <v>71</v>
      </c>
      <c r="AK3695" s="80">
        <f t="shared" si="570"/>
        <v>0</v>
      </c>
      <c r="AM3695" s="85"/>
    </row>
    <row r="3696" spans="1:39" hidden="1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575"/>
        <v>0.57999999999999996</v>
      </c>
      <c r="X3696" s="6">
        <f t="shared" si="576"/>
        <v>0</v>
      </c>
      <c r="Y3696" s="13">
        <f t="shared" si="568"/>
        <v>0</v>
      </c>
      <c r="Z3696" s="14">
        <v>0</v>
      </c>
      <c r="AA3696" s="6">
        <v>0</v>
      </c>
      <c r="AB3696" s="4"/>
      <c r="AC3696" s="4">
        <f t="shared" si="571"/>
        <v>0</v>
      </c>
      <c r="AD3696" s="6">
        <f t="shared" si="573"/>
        <v>0</v>
      </c>
      <c r="AE3696" s="2">
        <f>VLOOKUP(I3696,[1]媒体政策预估表!A:N,MATCH(O3696,[1]媒体政策预估表!$A$2:$M$2,0),0)</f>
        <v>0.12</v>
      </c>
      <c r="AF3696" s="6">
        <f t="shared" si="572"/>
        <v>0</v>
      </c>
      <c r="AG3696" s="14">
        <v>0</v>
      </c>
      <c r="AH3696" s="64">
        <f t="shared" si="574"/>
        <v>0</v>
      </c>
      <c r="AI3696" s="47"/>
      <c r="AJ3696" s="126">
        <v>71</v>
      </c>
      <c r="AK3696" s="80">
        <f t="shared" si="570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575"/>
        <v>0.82</v>
      </c>
      <c r="X3697" s="6">
        <f t="shared" si="576"/>
        <v>0</v>
      </c>
      <c r="Y3697" s="13">
        <f t="shared" si="568"/>
        <v>0</v>
      </c>
      <c r="Z3697" s="14">
        <v>0</v>
      </c>
      <c r="AA3697" s="6">
        <v>0</v>
      </c>
      <c r="AB3697" s="4"/>
      <c r="AC3697" s="4">
        <f t="shared" si="571"/>
        <v>0</v>
      </c>
      <c r="AD3697" s="6">
        <f t="shared" si="573"/>
        <v>0</v>
      </c>
      <c r="AE3697" s="2">
        <f>VLOOKUP(I3697,[1]媒体政策预估表!A:N,MATCH(O3697,[1]媒体政策预估表!$A$2:$M$2,0),0)</f>
        <v>0.12</v>
      </c>
      <c r="AF3697" s="6">
        <f t="shared" si="572"/>
        <v>0</v>
      </c>
      <c r="AG3697" s="14">
        <v>0</v>
      </c>
      <c r="AH3697" s="64">
        <f t="shared" si="574"/>
        <v>0</v>
      </c>
      <c r="AI3697" s="47"/>
      <c r="AJ3697" s="126">
        <v>71</v>
      </c>
      <c r="AK3697" s="80">
        <f t="shared" si="570"/>
        <v>0</v>
      </c>
      <c r="AM3697" s="85"/>
    </row>
    <row r="3698" spans="1:39" hidden="1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575"/>
        <v>0.05</v>
      </c>
      <c r="X3698" s="6">
        <f t="shared" si="576"/>
        <v>0</v>
      </c>
      <c r="Y3698" s="13">
        <f t="shared" si="568"/>
        <v>0</v>
      </c>
      <c r="Z3698" s="14">
        <v>0</v>
      </c>
      <c r="AA3698" s="6">
        <v>0</v>
      </c>
      <c r="AB3698" s="4"/>
      <c r="AC3698" s="4">
        <f t="shared" si="571"/>
        <v>0</v>
      </c>
      <c r="AD3698" s="6">
        <f t="shared" si="573"/>
        <v>0</v>
      </c>
      <c r="AE3698" s="2">
        <f>VLOOKUP(I3698,[1]媒体政策预估表!A:N,MATCH(O3698,[1]媒体政策预估表!$A$2:$M$2,0),0)</f>
        <v>0.12</v>
      </c>
      <c r="AF3698" s="6">
        <f t="shared" si="572"/>
        <v>0</v>
      </c>
      <c r="AG3698" s="14">
        <v>0</v>
      </c>
      <c r="AH3698" s="64">
        <f t="shared" si="574"/>
        <v>0</v>
      </c>
      <c r="AI3698" s="47"/>
      <c r="AJ3698" s="126">
        <v>71</v>
      </c>
      <c r="AK3698" s="80">
        <f t="shared" si="570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575"/>
        <v>6673.14</v>
      </c>
      <c r="X3699" s="6">
        <f t="shared" si="576"/>
        <v>0</v>
      </c>
      <c r="Y3699" s="13">
        <f t="shared" si="568"/>
        <v>0</v>
      </c>
      <c r="Z3699" s="14">
        <v>0</v>
      </c>
      <c r="AA3699" s="6">
        <v>0</v>
      </c>
      <c r="AB3699" s="4"/>
      <c r="AC3699" s="4">
        <f t="shared" si="571"/>
        <v>0</v>
      </c>
      <c r="AD3699" s="6">
        <f t="shared" si="573"/>
        <v>0</v>
      </c>
      <c r="AE3699" s="2">
        <f>VLOOKUP(I3699,[1]媒体政策预估表!A:N,MATCH(O3699,[1]媒体政策预估表!$A$2:$M$2,0),0)</f>
        <v>0.12</v>
      </c>
      <c r="AF3699" s="6">
        <f t="shared" si="572"/>
        <v>0</v>
      </c>
      <c r="AG3699" s="14">
        <v>0</v>
      </c>
      <c r="AH3699" s="64">
        <f t="shared" si="574"/>
        <v>0</v>
      </c>
      <c r="AI3699" s="47"/>
      <c r="AJ3699" s="126">
        <v>31</v>
      </c>
      <c r="AK3699" s="80">
        <f t="shared" si="570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575"/>
        <v>5730.63</v>
      </c>
      <c r="X3700" s="6">
        <f t="shared" si="576"/>
        <v>0</v>
      </c>
      <c r="Y3700" s="13">
        <f t="shared" si="568"/>
        <v>0</v>
      </c>
      <c r="Z3700" s="14">
        <v>0</v>
      </c>
      <c r="AA3700" s="6">
        <v>0</v>
      </c>
      <c r="AB3700" s="4"/>
      <c r="AC3700" s="4">
        <f t="shared" si="571"/>
        <v>0</v>
      </c>
      <c r="AD3700" s="6">
        <f t="shared" si="573"/>
        <v>0</v>
      </c>
      <c r="AE3700" s="2">
        <f>VLOOKUP(I3700,[1]媒体政策预估表!A:N,MATCH(O3700,[1]媒体政策预估表!$A$2:$M$2,0),0)</f>
        <v>7.0000000000000007E-2</v>
      </c>
      <c r="AF3700" s="6">
        <f t="shared" si="572"/>
        <v>0</v>
      </c>
      <c r="AG3700" s="14">
        <v>0</v>
      </c>
      <c r="AH3700" s="64">
        <f t="shared" si="574"/>
        <v>0</v>
      </c>
      <c r="AI3700" s="47"/>
      <c r="AJ3700" s="126">
        <v>31</v>
      </c>
      <c r="AK3700" s="80">
        <f t="shared" si="570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575"/>
        <v>7525.93</v>
      </c>
      <c r="X3701" s="6">
        <f t="shared" si="576"/>
        <v>0</v>
      </c>
      <c r="Y3701" s="13">
        <f t="shared" si="568"/>
        <v>0</v>
      </c>
      <c r="Z3701" s="14">
        <v>0</v>
      </c>
      <c r="AA3701" s="6">
        <v>0</v>
      </c>
      <c r="AB3701" s="4">
        <f t="shared" si="569"/>
        <v>0</v>
      </c>
      <c r="AC3701" s="4">
        <f t="shared" si="571"/>
        <v>0</v>
      </c>
      <c r="AD3701" s="6">
        <f t="shared" si="573"/>
        <v>0</v>
      </c>
      <c r="AE3701" s="2">
        <f>VLOOKUP(I3701,[1]媒体政策预估表!A:N,MATCH(O3701,[1]媒体政策预估表!$A$2:$M$2,0),0)</f>
        <v>0.12</v>
      </c>
      <c r="AF3701" s="6">
        <f t="shared" si="572"/>
        <v>0</v>
      </c>
      <c r="AG3701" s="14">
        <v>0</v>
      </c>
      <c r="AH3701" s="64">
        <f t="shared" si="574"/>
        <v>0</v>
      </c>
      <c r="AI3701" s="47"/>
      <c r="AJ3701" s="126" t="e">
        <v>#N/A</v>
      </c>
      <c r="AK3701" s="80">
        <f t="shared" si="570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575"/>
        <v>7172</v>
      </c>
      <c r="X3702" s="6">
        <f t="shared" si="576"/>
        <v>0</v>
      </c>
      <c r="Y3702" s="13">
        <f t="shared" si="568"/>
        <v>0</v>
      </c>
      <c r="Z3702" s="14">
        <v>0</v>
      </c>
      <c r="AA3702" s="6">
        <v>0</v>
      </c>
      <c r="AB3702" s="4">
        <f t="shared" si="569"/>
        <v>0</v>
      </c>
      <c r="AC3702" s="4">
        <f t="shared" si="571"/>
        <v>0</v>
      </c>
      <c r="AD3702" s="6">
        <f t="shared" si="573"/>
        <v>0</v>
      </c>
      <c r="AE3702" s="2">
        <f>VLOOKUP(I3702,[1]媒体政策预估表!A:N,MATCH(O3702,[1]媒体政策预估表!$A$2:$M$2,0),0)</f>
        <v>7.0000000000000007E-2</v>
      </c>
      <c r="AF3702" s="6">
        <f t="shared" si="572"/>
        <v>0</v>
      </c>
      <c r="AG3702" s="14">
        <v>0</v>
      </c>
      <c r="AH3702" s="64">
        <f t="shared" si="574"/>
        <v>0</v>
      </c>
      <c r="AI3702" s="47"/>
      <c r="AJ3702" s="126" t="e">
        <v>#N/A</v>
      </c>
      <c r="AK3702" s="80">
        <f t="shared" si="570"/>
        <v>0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575"/>
        <v>28027.7</v>
      </c>
      <c r="X3703" s="6">
        <f t="shared" si="576"/>
        <v>0</v>
      </c>
      <c r="Y3703" s="13">
        <f t="shared" si="568"/>
        <v>0</v>
      </c>
      <c r="Z3703" s="14">
        <v>0</v>
      </c>
      <c r="AA3703" s="6">
        <v>0</v>
      </c>
      <c r="AB3703" s="4">
        <f t="shared" si="569"/>
        <v>0</v>
      </c>
      <c r="AC3703" s="4">
        <f t="shared" si="571"/>
        <v>0</v>
      </c>
      <c r="AD3703" s="6">
        <f t="shared" si="573"/>
        <v>0</v>
      </c>
      <c r="AE3703" s="2">
        <f>VLOOKUP(I3703,[1]媒体政策预估表!A:N,MATCH(O3703,[1]媒体政策预估表!$A$2:$M$2,0),0)</f>
        <v>7.0000000000000007E-2</v>
      </c>
      <c r="AF3703" s="6">
        <f t="shared" si="572"/>
        <v>0</v>
      </c>
      <c r="AG3703" s="14">
        <v>0</v>
      </c>
      <c r="AH3703" s="64">
        <f t="shared" si="574"/>
        <v>0</v>
      </c>
      <c r="AI3703" s="47"/>
      <c r="AJ3703" s="126" t="e">
        <v>#N/A</v>
      </c>
      <c r="AK3703" s="80">
        <f t="shared" si="570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575"/>
        <v>35733.800000000003</v>
      </c>
      <c r="X3704" s="6">
        <f t="shared" si="576"/>
        <v>0</v>
      </c>
      <c r="Y3704" s="13">
        <f t="shared" si="568"/>
        <v>0</v>
      </c>
      <c r="Z3704" s="14">
        <v>0</v>
      </c>
      <c r="AA3704" s="6">
        <v>0</v>
      </c>
      <c r="AB3704" s="4">
        <f t="shared" si="569"/>
        <v>0</v>
      </c>
      <c r="AC3704" s="4">
        <f t="shared" si="571"/>
        <v>0</v>
      </c>
      <c r="AD3704" s="6">
        <f t="shared" si="573"/>
        <v>0</v>
      </c>
      <c r="AE3704" s="2">
        <f>VLOOKUP(I3704,[1]媒体政策预估表!A:N,MATCH(O3704,[1]媒体政策预估表!$A$2:$M$2,0),0)</f>
        <v>7.0000000000000007E-2</v>
      </c>
      <c r="AF3704" s="6">
        <f t="shared" si="572"/>
        <v>0</v>
      </c>
      <c r="AG3704" s="14">
        <v>0</v>
      </c>
      <c r="AH3704" s="64">
        <f t="shared" si="574"/>
        <v>0</v>
      </c>
      <c r="AI3704" s="47"/>
      <c r="AJ3704" s="126" t="e">
        <v>#N/A</v>
      </c>
      <c r="AK3704" s="80">
        <f t="shared" si="570"/>
        <v>0</v>
      </c>
      <c r="AM3704" s="85"/>
    </row>
    <row r="3705" spans="1:39" hidden="1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575"/>
        <v>351</v>
      </c>
      <c r="X3705" s="6">
        <f t="shared" si="576"/>
        <v>0</v>
      </c>
      <c r="Y3705" s="13">
        <f t="shared" si="568"/>
        <v>0</v>
      </c>
      <c r="Z3705" s="14">
        <v>0</v>
      </c>
      <c r="AA3705" s="6">
        <v>0</v>
      </c>
      <c r="AB3705" s="4">
        <f t="shared" si="569"/>
        <v>0</v>
      </c>
      <c r="AC3705" s="4">
        <f t="shared" si="571"/>
        <v>0</v>
      </c>
      <c r="AD3705" s="6">
        <f t="shared" si="573"/>
        <v>0</v>
      </c>
      <c r="AE3705" s="2">
        <f>VLOOKUP(I3705,[1]媒体政策预估表!A:N,MATCH(O3705,[1]媒体政策预估表!$A$2:$M$2,0),0)</f>
        <v>7.0000000000000007E-2</v>
      </c>
      <c r="AF3705" s="6">
        <f t="shared" si="572"/>
        <v>0</v>
      </c>
      <c r="AG3705" s="14">
        <v>0</v>
      </c>
      <c r="AH3705" s="64">
        <f t="shared" si="574"/>
        <v>0</v>
      </c>
      <c r="AI3705" s="47"/>
      <c r="AJ3705" s="126" t="e">
        <v>#N/A</v>
      </c>
      <c r="AK3705" s="80">
        <f t="shared" si="570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575"/>
        <v>32887.910000000003</v>
      </c>
      <c r="X3706" s="6">
        <f t="shared" si="576"/>
        <v>0</v>
      </c>
      <c r="Y3706" s="13">
        <f t="shared" si="568"/>
        <v>0</v>
      </c>
      <c r="Z3706" s="14">
        <v>0</v>
      </c>
      <c r="AA3706" s="6">
        <v>0</v>
      </c>
      <c r="AB3706" s="4">
        <f t="shared" si="569"/>
        <v>0</v>
      </c>
      <c r="AC3706" s="4">
        <f t="shared" si="571"/>
        <v>0</v>
      </c>
      <c r="AD3706" s="6">
        <f t="shared" si="573"/>
        <v>0</v>
      </c>
      <c r="AE3706" s="2">
        <f>VLOOKUP(I3706,[1]媒体政策预估表!A:N,MATCH(O3706,[1]媒体政策预估表!$A$2:$M$2,0),0)</f>
        <v>7.0000000000000007E-2</v>
      </c>
      <c r="AF3706" s="6">
        <f t="shared" si="572"/>
        <v>0</v>
      </c>
      <c r="AG3706" s="14">
        <v>0</v>
      </c>
      <c r="AH3706" s="64">
        <f t="shared" si="574"/>
        <v>0</v>
      </c>
      <c r="AI3706" s="47"/>
      <c r="AJ3706" s="126" t="e">
        <v>#N/A</v>
      </c>
      <c r="AK3706" s="80">
        <f t="shared" si="570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575"/>
        <v>16499.900000000001</v>
      </c>
      <c r="X3707" s="6">
        <f t="shared" si="576"/>
        <v>0</v>
      </c>
      <c r="Y3707" s="13">
        <f t="shared" si="568"/>
        <v>0</v>
      </c>
      <c r="Z3707" s="14">
        <v>0</v>
      </c>
      <c r="AA3707" s="6">
        <v>0</v>
      </c>
      <c r="AB3707" s="4">
        <f t="shared" si="569"/>
        <v>0</v>
      </c>
      <c r="AC3707" s="4">
        <f t="shared" si="571"/>
        <v>0</v>
      </c>
      <c r="AD3707" s="6">
        <f t="shared" si="573"/>
        <v>0</v>
      </c>
      <c r="AE3707" s="2">
        <f>VLOOKUP(I3707,[1]媒体政策预估表!A:N,MATCH(O3707,[1]媒体政策预估表!$A$2:$M$2,0),0)</f>
        <v>7.0000000000000007E-2</v>
      </c>
      <c r="AF3707" s="6">
        <f t="shared" si="572"/>
        <v>0</v>
      </c>
      <c r="AG3707" s="14">
        <v>0</v>
      </c>
      <c r="AH3707" s="64">
        <f t="shared" si="574"/>
        <v>0</v>
      </c>
      <c r="AI3707" s="47"/>
      <c r="AJ3707" s="126" t="e">
        <v>#N/A</v>
      </c>
      <c r="AK3707" s="80">
        <f t="shared" si="570"/>
        <v>0</v>
      </c>
      <c r="AM3707" s="85"/>
    </row>
    <row r="3708" spans="1:39" hidden="1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575"/>
        <v>15897.1</v>
      </c>
      <c r="X3708" s="6">
        <f t="shared" si="576"/>
        <v>0</v>
      </c>
      <c r="Y3708" s="13">
        <f t="shared" si="568"/>
        <v>0</v>
      </c>
      <c r="Z3708" s="14">
        <v>0</v>
      </c>
      <c r="AA3708" s="6">
        <v>0</v>
      </c>
      <c r="AB3708" s="4">
        <f t="shared" si="569"/>
        <v>0</v>
      </c>
      <c r="AC3708" s="4">
        <f t="shared" si="571"/>
        <v>0</v>
      </c>
      <c r="AD3708" s="6">
        <f t="shared" si="573"/>
        <v>0</v>
      </c>
      <c r="AE3708" s="2">
        <f>VLOOKUP(I3708,[1]媒体政策预估表!A:N,MATCH(O3708,[1]媒体政策预估表!$A$2:$M$2,0),0)</f>
        <v>7.0000000000000007E-2</v>
      </c>
      <c r="AF3708" s="6">
        <f t="shared" si="572"/>
        <v>0</v>
      </c>
      <c r="AG3708" s="14">
        <v>0</v>
      </c>
      <c r="AH3708" s="64">
        <f t="shared" si="574"/>
        <v>0</v>
      </c>
      <c r="AI3708" s="47"/>
      <c r="AJ3708" s="126" t="e">
        <v>#N/A</v>
      </c>
      <c r="AK3708" s="80">
        <f t="shared" si="570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575"/>
        <v>2400</v>
      </c>
      <c r="X3709" s="6">
        <f t="shared" si="576"/>
        <v>0</v>
      </c>
      <c r="Y3709" s="13">
        <f t="shared" si="568"/>
        <v>0</v>
      </c>
      <c r="Z3709" s="14">
        <v>0</v>
      </c>
      <c r="AA3709" s="6">
        <v>0</v>
      </c>
      <c r="AB3709" s="4">
        <f t="shared" si="569"/>
        <v>0</v>
      </c>
      <c r="AC3709" s="4">
        <f t="shared" si="571"/>
        <v>0</v>
      </c>
      <c r="AD3709" s="6">
        <f t="shared" si="573"/>
        <v>0</v>
      </c>
      <c r="AE3709" s="2">
        <f>VLOOKUP(I3709,[1]媒体政策预估表!A:N,MATCH(O3709,[1]媒体政策预估表!$A$2:$M$2,0),0)</f>
        <v>0.12</v>
      </c>
      <c r="AF3709" s="6">
        <f t="shared" si="572"/>
        <v>0</v>
      </c>
      <c r="AG3709" s="14">
        <v>0</v>
      </c>
      <c r="AH3709" s="64">
        <f t="shared" si="574"/>
        <v>0</v>
      </c>
      <c r="AI3709" s="47"/>
      <c r="AJ3709" s="126" t="e">
        <v>#N/A</v>
      </c>
      <c r="AK3709" s="80">
        <f t="shared" si="570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575"/>
        <v>499146.39</v>
      </c>
      <c r="X3710" s="6">
        <f t="shared" si="576"/>
        <v>0</v>
      </c>
      <c r="Y3710" s="13">
        <f t="shared" si="568"/>
        <v>0</v>
      </c>
      <c r="Z3710" s="14">
        <v>0</v>
      </c>
      <c r="AA3710" s="6">
        <v>0</v>
      </c>
      <c r="AB3710" s="4">
        <f t="shared" si="569"/>
        <v>0</v>
      </c>
      <c r="AC3710" s="4">
        <f t="shared" si="571"/>
        <v>0</v>
      </c>
      <c r="AD3710" s="6">
        <f t="shared" si="573"/>
        <v>0</v>
      </c>
      <c r="AE3710" s="2">
        <f>VLOOKUP(I3710,[1]媒体政策预估表!A:N,MATCH(O3710,[1]媒体政策预估表!$A$2:$M$2,0),0)</f>
        <v>7.0000000000000007E-2</v>
      </c>
      <c r="AF3710" s="6">
        <f t="shared" si="572"/>
        <v>0</v>
      </c>
      <c r="AG3710" s="14">
        <v>0</v>
      </c>
      <c r="AH3710" s="64">
        <f t="shared" si="574"/>
        <v>0</v>
      </c>
      <c r="AI3710" s="47"/>
      <c r="AJ3710" s="126" t="e">
        <v>#N/A</v>
      </c>
      <c r="AK3710" s="80">
        <f t="shared" si="570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575"/>
        <v>9727.1</v>
      </c>
      <c r="X3711" s="6">
        <f t="shared" si="576"/>
        <v>0</v>
      </c>
      <c r="Y3711" s="13">
        <f t="shared" si="568"/>
        <v>0</v>
      </c>
      <c r="Z3711" s="14">
        <v>0</v>
      </c>
      <c r="AA3711" s="6">
        <v>0</v>
      </c>
      <c r="AB3711" s="4">
        <f t="shared" si="569"/>
        <v>0</v>
      </c>
      <c r="AC3711" s="4">
        <f t="shared" si="571"/>
        <v>0</v>
      </c>
      <c r="AD3711" s="6">
        <f t="shared" si="573"/>
        <v>0</v>
      </c>
      <c r="AE3711" s="2">
        <f>VLOOKUP(I3711,[1]媒体政策预估表!A:N,MATCH(O3711,[1]媒体政策预估表!$A$2:$M$2,0),0)</f>
        <v>7.0000000000000007E-2</v>
      </c>
      <c r="AF3711" s="6">
        <f t="shared" si="572"/>
        <v>0</v>
      </c>
      <c r="AG3711" s="14">
        <v>0</v>
      </c>
      <c r="AH3711" s="64">
        <f t="shared" si="574"/>
        <v>0</v>
      </c>
      <c r="AI3711" s="47"/>
      <c r="AJ3711" s="126" t="e">
        <v>#N/A</v>
      </c>
      <c r="AK3711" s="80">
        <f t="shared" si="570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575"/>
        <v>85408.59</v>
      </c>
      <c r="X3712" s="6">
        <f t="shared" si="576"/>
        <v>0</v>
      </c>
      <c r="Y3712" s="13">
        <f t="shared" si="568"/>
        <v>0</v>
      </c>
      <c r="Z3712" s="14">
        <v>0</v>
      </c>
      <c r="AA3712" s="6">
        <v>0</v>
      </c>
      <c r="AB3712" s="4">
        <f t="shared" si="569"/>
        <v>0</v>
      </c>
      <c r="AC3712" s="4">
        <f t="shared" si="571"/>
        <v>0</v>
      </c>
      <c r="AD3712" s="6">
        <f t="shared" si="573"/>
        <v>0</v>
      </c>
      <c r="AE3712" s="2">
        <f>VLOOKUP(I3712,[1]媒体政策预估表!A:N,MATCH(O3712,[1]媒体政策预估表!$A$2:$M$2,0),0)</f>
        <v>7.0000000000000007E-2</v>
      </c>
      <c r="AF3712" s="6">
        <f t="shared" si="572"/>
        <v>0</v>
      </c>
      <c r="AG3712" s="14">
        <v>0</v>
      </c>
      <c r="AH3712" s="64">
        <f t="shared" si="574"/>
        <v>0</v>
      </c>
      <c r="AI3712" s="47"/>
      <c r="AJ3712" s="126" t="e">
        <v>#N/A</v>
      </c>
      <c r="AK3712" s="80">
        <f t="shared" si="570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575"/>
        <v>655.38</v>
      </c>
      <c r="X3713" s="6">
        <f t="shared" si="576"/>
        <v>0</v>
      </c>
      <c r="Y3713" s="13">
        <f t="shared" si="568"/>
        <v>0</v>
      </c>
      <c r="Z3713" s="14">
        <v>0</v>
      </c>
      <c r="AA3713" s="6">
        <v>0</v>
      </c>
      <c r="AB3713" s="4">
        <f t="shared" si="569"/>
        <v>0</v>
      </c>
      <c r="AC3713" s="4">
        <f t="shared" si="571"/>
        <v>0</v>
      </c>
      <c r="AD3713" s="6">
        <f t="shared" si="573"/>
        <v>0</v>
      </c>
      <c r="AE3713" s="2">
        <f>VLOOKUP(I3713,[1]媒体政策预估表!A:N,MATCH(O3713,[1]媒体政策预估表!$A$2:$M$2,0),0)</f>
        <v>7.0000000000000007E-2</v>
      </c>
      <c r="AF3713" s="6">
        <f t="shared" si="572"/>
        <v>0</v>
      </c>
      <c r="AG3713" s="14">
        <v>0</v>
      </c>
      <c r="AH3713" s="64">
        <f t="shared" si="574"/>
        <v>0</v>
      </c>
      <c r="AI3713" s="47"/>
      <c r="AJ3713" s="126" t="e">
        <v>#N/A</v>
      </c>
      <c r="AK3713" s="80">
        <f t="shared" si="570"/>
        <v>0</v>
      </c>
      <c r="AM3713" s="85"/>
    </row>
    <row r="3714" spans="1:39" hidden="1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575"/>
        <v>1</v>
      </c>
      <c r="X3714" s="6">
        <f t="shared" si="576"/>
        <v>0</v>
      </c>
      <c r="Y3714" s="13">
        <f t="shared" si="568"/>
        <v>0</v>
      </c>
      <c r="Z3714" s="14">
        <v>0</v>
      </c>
      <c r="AA3714" s="6">
        <v>0</v>
      </c>
      <c r="AB3714" s="4">
        <f t="shared" si="569"/>
        <v>0</v>
      </c>
      <c r="AC3714" s="4">
        <f t="shared" si="571"/>
        <v>0</v>
      </c>
      <c r="AD3714" s="6">
        <f t="shared" si="573"/>
        <v>0</v>
      </c>
      <c r="AE3714" s="2">
        <f>VLOOKUP(I3714,[1]媒体政策预估表!A:N,MATCH(O3714,[1]媒体政策预估表!$A$2:$M$2,0),0)</f>
        <v>7.0000000000000007E-2</v>
      </c>
      <c r="AF3714" s="6">
        <f t="shared" si="572"/>
        <v>0</v>
      </c>
      <c r="AG3714" s="14">
        <v>0</v>
      </c>
      <c r="AH3714" s="64">
        <f t="shared" si="574"/>
        <v>0</v>
      </c>
      <c r="AI3714" s="47"/>
      <c r="AJ3714" s="126" t="e">
        <v>#N/A</v>
      </c>
      <c r="AK3714" s="80">
        <f t="shared" si="570"/>
        <v>0</v>
      </c>
      <c r="AM3714" s="85"/>
    </row>
    <row r="3715" spans="1:39" hidden="1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575"/>
        <v>15112.89</v>
      </c>
      <c r="X3715" s="6">
        <f t="shared" si="576"/>
        <v>0</v>
      </c>
      <c r="Y3715" s="13">
        <f t="shared" ref="Y3715:Y3778" si="577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578">X3715+AA3715</f>
        <v>0</v>
      </c>
      <c r="AC3715" s="4">
        <f t="shared" si="571"/>
        <v>0</v>
      </c>
      <c r="AD3715" s="6">
        <f t="shared" si="573"/>
        <v>0</v>
      </c>
      <c r="AE3715" s="2">
        <f>VLOOKUP(I3715,[1]媒体政策预估表!A:N,MATCH(O3715,[1]媒体政策预估表!$A$2:$M$2,0),0)</f>
        <v>7.0000000000000007E-2</v>
      </c>
      <c r="AF3715" s="6">
        <f t="shared" si="572"/>
        <v>0</v>
      </c>
      <c r="AG3715" s="14">
        <v>0</v>
      </c>
      <c r="AH3715" s="64">
        <f t="shared" si="574"/>
        <v>0</v>
      </c>
      <c r="AI3715" s="47"/>
      <c r="AJ3715" s="126" t="e">
        <v>#N/A</v>
      </c>
      <c r="AK3715" s="80">
        <f t="shared" ref="AK3715:AK3778" si="579">X3715+AA3715-AB3715</f>
        <v>0</v>
      </c>
      <c r="AM3715" s="85"/>
    </row>
    <row r="3716" spans="1:39" hidden="1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575"/>
        <v>971.7</v>
      </c>
      <c r="X3716" s="6">
        <f t="shared" si="576"/>
        <v>0</v>
      </c>
      <c r="Y3716" s="13">
        <f t="shared" si="577"/>
        <v>0</v>
      </c>
      <c r="Z3716" s="14">
        <v>0</v>
      </c>
      <c r="AA3716" s="6">
        <v>0</v>
      </c>
      <c r="AB3716" s="4">
        <f t="shared" si="578"/>
        <v>0</v>
      </c>
      <c r="AC3716" s="4">
        <f t="shared" si="571"/>
        <v>0</v>
      </c>
      <c r="AD3716" s="6">
        <f t="shared" si="573"/>
        <v>0</v>
      </c>
      <c r="AE3716" s="2">
        <f>VLOOKUP(I3716,[1]媒体政策预估表!A:N,MATCH(O3716,[1]媒体政策预估表!$A$2:$M$2,0),0)</f>
        <v>7.0000000000000007E-2</v>
      </c>
      <c r="AF3716" s="6">
        <f t="shared" si="572"/>
        <v>0</v>
      </c>
      <c r="AG3716" s="14">
        <v>0</v>
      </c>
      <c r="AH3716" s="64">
        <f t="shared" si="574"/>
        <v>0</v>
      </c>
      <c r="AI3716" s="47"/>
      <c r="AJ3716" s="126" t="e">
        <v>#N/A</v>
      </c>
      <c r="AK3716" s="80">
        <f t="shared" si="579"/>
        <v>0</v>
      </c>
      <c r="AM3716" s="85"/>
    </row>
    <row r="3717" spans="1:39" hidden="1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575"/>
        <v>2298.75</v>
      </c>
      <c r="X3717" s="6">
        <f t="shared" si="576"/>
        <v>0</v>
      </c>
      <c r="Y3717" s="13">
        <f t="shared" si="577"/>
        <v>0</v>
      </c>
      <c r="Z3717" s="14">
        <v>0</v>
      </c>
      <c r="AA3717" s="6">
        <v>0</v>
      </c>
      <c r="AB3717" s="4">
        <f t="shared" si="578"/>
        <v>0</v>
      </c>
      <c r="AC3717" s="4">
        <f t="shared" si="571"/>
        <v>0</v>
      </c>
      <c r="AD3717" s="6">
        <f t="shared" si="573"/>
        <v>0</v>
      </c>
      <c r="AE3717" s="2">
        <f>VLOOKUP(I3717,[1]媒体政策预估表!A:N,MATCH(O3717,[1]媒体政策预估表!$A$2:$M$2,0),0)</f>
        <v>7.0000000000000007E-2</v>
      </c>
      <c r="AF3717" s="6">
        <f t="shared" si="572"/>
        <v>0</v>
      </c>
      <c r="AG3717" s="14">
        <v>0</v>
      </c>
      <c r="AH3717" s="64">
        <f t="shared" si="574"/>
        <v>0</v>
      </c>
      <c r="AI3717" s="47"/>
      <c r="AJ3717" s="126" t="e">
        <v>#N/A</v>
      </c>
      <c r="AK3717" s="80">
        <f t="shared" si="579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575"/>
        <v>11.4</v>
      </c>
      <c r="X3718" s="6">
        <f t="shared" si="576"/>
        <v>0</v>
      </c>
      <c r="Y3718" s="13">
        <f t="shared" si="577"/>
        <v>0</v>
      </c>
      <c r="Z3718" s="14">
        <v>0</v>
      </c>
      <c r="AA3718" s="6">
        <v>0</v>
      </c>
      <c r="AB3718" s="4">
        <f t="shared" si="578"/>
        <v>0</v>
      </c>
      <c r="AC3718" s="4">
        <f t="shared" si="571"/>
        <v>0</v>
      </c>
      <c r="AD3718" s="6">
        <f t="shared" si="573"/>
        <v>0</v>
      </c>
      <c r="AE3718" s="2">
        <f>VLOOKUP(I3718,[1]媒体政策预估表!A:N,MATCH(O3718,[1]媒体政策预估表!$A$2:$M$2,0),0)</f>
        <v>7.0000000000000007E-2</v>
      </c>
      <c r="AF3718" s="6">
        <f t="shared" si="572"/>
        <v>0</v>
      </c>
      <c r="AG3718" s="14">
        <v>0</v>
      </c>
      <c r="AH3718" s="64">
        <f t="shared" si="574"/>
        <v>0</v>
      </c>
      <c r="AI3718" s="47"/>
      <c r="AJ3718" s="126" t="e">
        <v>#N/A</v>
      </c>
      <c r="AK3718" s="80">
        <f t="shared" si="579"/>
        <v>0</v>
      </c>
      <c r="AM3718" s="85"/>
    </row>
    <row r="3719" spans="1:39" hidden="1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575"/>
        <v>73667.62</v>
      </c>
      <c r="X3719" s="6">
        <f t="shared" si="576"/>
        <v>0</v>
      </c>
      <c r="Y3719" s="13">
        <f t="shared" si="577"/>
        <v>0</v>
      </c>
      <c r="Z3719" s="14">
        <v>0</v>
      </c>
      <c r="AA3719" s="6">
        <v>0</v>
      </c>
      <c r="AB3719" s="4">
        <f t="shared" si="578"/>
        <v>0</v>
      </c>
      <c r="AC3719" s="4">
        <f t="shared" si="571"/>
        <v>0</v>
      </c>
      <c r="AD3719" s="6">
        <f t="shared" si="573"/>
        <v>0</v>
      </c>
      <c r="AE3719" s="2">
        <f>VLOOKUP(I3719,[1]媒体政策预估表!A:N,MATCH(O3719,[1]媒体政策预估表!$A$2:$M$2,0),0)</f>
        <v>0.12</v>
      </c>
      <c r="AF3719" s="6">
        <f t="shared" si="572"/>
        <v>0</v>
      </c>
      <c r="AG3719" s="14">
        <v>0</v>
      </c>
      <c r="AH3719" s="64">
        <f t="shared" si="574"/>
        <v>0</v>
      </c>
      <c r="AI3719" s="47"/>
      <c r="AJ3719" s="126" t="e">
        <v>#N/A</v>
      </c>
      <c r="AK3719" s="80">
        <f t="shared" si="579"/>
        <v>0</v>
      </c>
      <c r="AM3719" s="85"/>
    </row>
    <row r="3720" spans="1:39" hidden="1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575"/>
        <v>3171.92</v>
      </c>
      <c r="X3720" s="6">
        <f t="shared" si="576"/>
        <v>0</v>
      </c>
      <c r="Y3720" s="13">
        <f t="shared" si="577"/>
        <v>0</v>
      </c>
      <c r="Z3720" s="14">
        <v>0</v>
      </c>
      <c r="AA3720" s="6">
        <v>0</v>
      </c>
      <c r="AB3720" s="4">
        <f t="shared" si="578"/>
        <v>0</v>
      </c>
      <c r="AC3720" s="4">
        <f t="shared" si="571"/>
        <v>0</v>
      </c>
      <c r="AD3720" s="6">
        <f t="shared" si="573"/>
        <v>0</v>
      </c>
      <c r="AE3720" s="2">
        <f>VLOOKUP(I3720,[1]媒体政策预估表!A:N,MATCH(O3720,[1]媒体政策预估表!$A$2:$M$2,0),0)</f>
        <v>0.12</v>
      </c>
      <c r="AF3720" s="6">
        <f t="shared" si="572"/>
        <v>0</v>
      </c>
      <c r="AG3720" s="14">
        <v>0</v>
      </c>
      <c r="AH3720" s="64">
        <f t="shared" si="574"/>
        <v>0</v>
      </c>
      <c r="AI3720" s="47"/>
      <c r="AJ3720" s="126" t="e">
        <v>#N/A</v>
      </c>
      <c r="AK3720" s="80">
        <f t="shared" si="579"/>
        <v>0</v>
      </c>
      <c r="AM3720" s="85"/>
    </row>
    <row r="3721" spans="1:39" hidden="1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575"/>
        <v>28952.38</v>
      </c>
      <c r="X3721" s="6">
        <f t="shared" si="576"/>
        <v>0</v>
      </c>
      <c r="Y3721" s="13">
        <f t="shared" si="577"/>
        <v>0</v>
      </c>
      <c r="Z3721" s="14">
        <v>0</v>
      </c>
      <c r="AA3721" s="6">
        <v>0</v>
      </c>
      <c r="AB3721" s="4">
        <f t="shared" si="578"/>
        <v>0</v>
      </c>
      <c r="AC3721" s="4">
        <f t="shared" si="571"/>
        <v>0</v>
      </c>
      <c r="AD3721" s="6">
        <f t="shared" si="573"/>
        <v>0</v>
      </c>
      <c r="AE3721" s="2">
        <f>VLOOKUP(I3721,[1]媒体政策预估表!A:N,MATCH(O3721,[1]媒体政策预估表!$A$2:$M$2,0),0)</f>
        <v>7.0000000000000007E-2</v>
      </c>
      <c r="AF3721" s="6">
        <f t="shared" si="572"/>
        <v>0</v>
      </c>
      <c r="AG3721" s="14">
        <v>0</v>
      </c>
      <c r="AH3721" s="64">
        <f t="shared" si="574"/>
        <v>0</v>
      </c>
      <c r="AI3721" s="47"/>
      <c r="AJ3721" s="126" t="e">
        <v>#N/A</v>
      </c>
      <c r="AK3721" s="80">
        <f t="shared" si="579"/>
        <v>0</v>
      </c>
      <c r="AM3721" s="85"/>
    </row>
    <row r="3722" spans="1:39" hidden="1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575"/>
        <v>16751.8</v>
      </c>
      <c r="X3722" s="6">
        <f t="shared" si="576"/>
        <v>0</v>
      </c>
      <c r="Y3722" s="13">
        <f t="shared" si="577"/>
        <v>0</v>
      </c>
      <c r="Z3722" s="14">
        <v>0</v>
      </c>
      <c r="AA3722" s="6">
        <v>0</v>
      </c>
      <c r="AB3722" s="4">
        <f t="shared" si="578"/>
        <v>0</v>
      </c>
      <c r="AC3722" s="4">
        <f t="shared" si="571"/>
        <v>0</v>
      </c>
      <c r="AD3722" s="6">
        <f t="shared" si="573"/>
        <v>0</v>
      </c>
      <c r="AE3722" s="2">
        <f>VLOOKUP(I3722,[1]媒体政策预估表!A:N,MATCH(O3722,[1]媒体政策预估表!$A$2:$M$2,0),0)</f>
        <v>0.12</v>
      </c>
      <c r="AF3722" s="6">
        <f t="shared" si="572"/>
        <v>0</v>
      </c>
      <c r="AG3722" s="14">
        <v>0</v>
      </c>
      <c r="AH3722" s="64">
        <f t="shared" si="574"/>
        <v>0</v>
      </c>
      <c r="AI3722" s="47"/>
      <c r="AJ3722" s="126" t="e">
        <v>#N/A</v>
      </c>
      <c r="AK3722" s="80">
        <f t="shared" si="579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575"/>
        <v>4204.8999999999996</v>
      </c>
      <c r="X3723" s="6">
        <f t="shared" si="576"/>
        <v>0</v>
      </c>
      <c r="Y3723" s="13">
        <f t="shared" si="577"/>
        <v>0</v>
      </c>
      <c r="Z3723" s="14">
        <v>0</v>
      </c>
      <c r="AA3723" s="6">
        <v>0</v>
      </c>
      <c r="AB3723" s="4">
        <f t="shared" si="578"/>
        <v>0</v>
      </c>
      <c r="AC3723" s="4">
        <f t="shared" si="571"/>
        <v>0</v>
      </c>
      <c r="AD3723" s="6">
        <f t="shared" si="573"/>
        <v>0</v>
      </c>
      <c r="AE3723" s="2">
        <f>VLOOKUP(I3723,[1]媒体政策预估表!A:N,MATCH(O3723,[1]媒体政策预估表!$A$2:$M$2,0),0)</f>
        <v>7.0000000000000007E-2</v>
      </c>
      <c r="AF3723" s="6">
        <f t="shared" si="572"/>
        <v>0</v>
      </c>
      <c r="AG3723" s="14">
        <v>0</v>
      </c>
      <c r="AH3723" s="64">
        <f t="shared" si="574"/>
        <v>0</v>
      </c>
      <c r="AI3723" s="47"/>
      <c r="AJ3723" s="126" t="e">
        <v>#N/A</v>
      </c>
      <c r="AK3723" s="80">
        <f t="shared" si="579"/>
        <v>0</v>
      </c>
      <c r="AM3723" s="85"/>
    </row>
    <row r="3724" spans="1:39" hidden="1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575"/>
        <v>4252.8</v>
      </c>
      <c r="X3724" s="6">
        <f t="shared" si="576"/>
        <v>0</v>
      </c>
      <c r="Y3724" s="13">
        <f t="shared" si="577"/>
        <v>0</v>
      </c>
      <c r="Z3724" s="14">
        <v>0</v>
      </c>
      <c r="AA3724" s="6">
        <v>0</v>
      </c>
      <c r="AB3724" s="4">
        <f t="shared" si="578"/>
        <v>0</v>
      </c>
      <c r="AC3724" s="4">
        <f t="shared" ref="AC3724:AC3787" si="580">IF(P3724="返现",X3724*Q3724,V3724-X3724)</f>
        <v>0</v>
      </c>
      <c r="AD3724" s="6">
        <f t="shared" si="573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581">AD3724*AE3724</f>
        <v>0</v>
      </c>
      <c r="AG3724" s="14">
        <v>0</v>
      </c>
      <c r="AH3724" s="64">
        <f t="shared" si="574"/>
        <v>0</v>
      </c>
      <c r="AI3724" s="47"/>
      <c r="AJ3724" s="126" t="e">
        <v>#N/A</v>
      </c>
      <c r="AK3724" s="80">
        <f t="shared" si="579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575"/>
        <v>8256.9</v>
      </c>
      <c r="X3725" s="6">
        <f t="shared" si="576"/>
        <v>0</v>
      </c>
      <c r="Y3725" s="13">
        <f t="shared" si="577"/>
        <v>0</v>
      </c>
      <c r="Z3725" s="14">
        <v>0</v>
      </c>
      <c r="AA3725" s="6">
        <v>0</v>
      </c>
      <c r="AB3725" s="4">
        <f t="shared" si="578"/>
        <v>0</v>
      </c>
      <c r="AC3725" s="4">
        <f t="shared" si="580"/>
        <v>0</v>
      </c>
      <c r="AD3725" s="6">
        <f t="shared" si="573"/>
        <v>0</v>
      </c>
      <c r="AE3725" s="2">
        <f>VLOOKUP(I3725,[1]媒体政策预估表!A:N,MATCH(O3725,[1]媒体政策预估表!$A$2:$M$2,0),0)</f>
        <v>7.0000000000000007E-2</v>
      </c>
      <c r="AF3725" s="6">
        <f t="shared" si="581"/>
        <v>0</v>
      </c>
      <c r="AG3725" s="14">
        <v>0</v>
      </c>
      <c r="AH3725" s="64">
        <f t="shared" si="574"/>
        <v>0</v>
      </c>
      <c r="AI3725" s="47"/>
      <c r="AJ3725" s="126" t="e">
        <v>#N/A</v>
      </c>
      <c r="AK3725" s="80">
        <f t="shared" si="579"/>
        <v>0</v>
      </c>
      <c r="AM3725" s="85"/>
    </row>
    <row r="3726" spans="1:39" hidden="1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575"/>
        <v>5081.22</v>
      </c>
      <c r="X3726" s="6">
        <f t="shared" si="576"/>
        <v>0</v>
      </c>
      <c r="Y3726" s="13">
        <f t="shared" si="577"/>
        <v>0</v>
      </c>
      <c r="Z3726" s="14">
        <v>0</v>
      </c>
      <c r="AA3726" s="6">
        <v>0</v>
      </c>
      <c r="AB3726" s="4">
        <f t="shared" si="578"/>
        <v>0</v>
      </c>
      <c r="AC3726" s="4">
        <f t="shared" si="580"/>
        <v>0</v>
      </c>
      <c r="AD3726" s="6">
        <f t="shared" si="573"/>
        <v>0</v>
      </c>
      <c r="AE3726" s="2">
        <f>VLOOKUP(I3726,[1]媒体政策预估表!A:N,MATCH(O3726,[1]媒体政策预估表!$A$2:$M$2,0),0)</f>
        <v>0.12</v>
      </c>
      <c r="AF3726" s="6">
        <f t="shared" si="581"/>
        <v>0</v>
      </c>
      <c r="AG3726" s="14">
        <v>0</v>
      </c>
      <c r="AH3726" s="64">
        <f t="shared" si="574"/>
        <v>0</v>
      </c>
      <c r="AI3726" s="47"/>
      <c r="AJ3726" s="126" t="e">
        <v>#N/A</v>
      </c>
      <c r="AK3726" s="80">
        <f t="shared" si="579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575"/>
        <v>12602.69</v>
      </c>
      <c r="X3727" s="6">
        <f t="shared" si="576"/>
        <v>0</v>
      </c>
      <c r="Y3727" s="13">
        <f t="shared" si="577"/>
        <v>0</v>
      </c>
      <c r="Z3727" s="14">
        <v>0</v>
      </c>
      <c r="AA3727" s="6">
        <v>0</v>
      </c>
      <c r="AB3727" s="4">
        <f t="shared" si="578"/>
        <v>0</v>
      </c>
      <c r="AC3727" s="4">
        <f t="shared" si="580"/>
        <v>0</v>
      </c>
      <c r="AD3727" s="6">
        <f t="shared" si="573"/>
        <v>0</v>
      </c>
      <c r="AE3727" s="2">
        <f>VLOOKUP(I3727,[1]媒体政策预估表!A:N,MATCH(O3727,[1]媒体政策预估表!$A$2:$M$2,0),0)</f>
        <v>0.12</v>
      </c>
      <c r="AF3727" s="6">
        <f t="shared" si="581"/>
        <v>0</v>
      </c>
      <c r="AG3727" s="14">
        <v>0</v>
      </c>
      <c r="AH3727" s="64">
        <f t="shared" si="574"/>
        <v>0</v>
      </c>
      <c r="AI3727" s="47"/>
      <c r="AJ3727" s="126" t="e">
        <v>#N/A</v>
      </c>
      <c r="AK3727" s="80">
        <f t="shared" si="579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575"/>
        <v>4718.3999999999996</v>
      </c>
      <c r="X3728" s="6">
        <f t="shared" si="576"/>
        <v>0</v>
      </c>
      <c r="Y3728" s="13">
        <f t="shared" si="577"/>
        <v>0</v>
      </c>
      <c r="Z3728" s="14">
        <v>0</v>
      </c>
      <c r="AA3728" s="6">
        <v>0</v>
      </c>
      <c r="AB3728" s="4">
        <f t="shared" si="578"/>
        <v>0</v>
      </c>
      <c r="AC3728" s="4">
        <f t="shared" si="580"/>
        <v>0</v>
      </c>
      <c r="AD3728" s="6">
        <f t="shared" si="573"/>
        <v>0</v>
      </c>
      <c r="AE3728" s="2">
        <f>VLOOKUP(I3728,[1]媒体政策预估表!A:N,MATCH(O3728,[1]媒体政策预估表!$A$2:$M$2,0),0)</f>
        <v>7.0000000000000007E-2</v>
      </c>
      <c r="AF3728" s="6">
        <f t="shared" si="581"/>
        <v>0</v>
      </c>
      <c r="AG3728" s="14">
        <v>0</v>
      </c>
      <c r="AH3728" s="64">
        <f t="shared" si="574"/>
        <v>0</v>
      </c>
      <c r="AI3728" s="47"/>
      <c r="AJ3728" s="126" t="e">
        <v>#N/A</v>
      </c>
      <c r="AK3728" s="80">
        <f t="shared" si="579"/>
        <v>0</v>
      </c>
      <c r="AM3728" s="85"/>
    </row>
    <row r="3729" spans="1:39" hidden="1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575"/>
        <v>253.9</v>
      </c>
      <c r="X3729" s="6">
        <f t="shared" si="576"/>
        <v>0</v>
      </c>
      <c r="Y3729" s="13">
        <f t="shared" si="577"/>
        <v>0</v>
      </c>
      <c r="Z3729" s="14">
        <v>0</v>
      </c>
      <c r="AA3729" s="6">
        <v>0</v>
      </c>
      <c r="AB3729" s="4">
        <f t="shared" si="578"/>
        <v>0</v>
      </c>
      <c r="AC3729" s="4">
        <f t="shared" si="580"/>
        <v>0</v>
      </c>
      <c r="AD3729" s="6">
        <f t="shared" si="573"/>
        <v>0</v>
      </c>
      <c r="AE3729" s="2">
        <f>VLOOKUP(I3729,[1]媒体政策预估表!A:N,MATCH(O3729,[1]媒体政策预估表!$A$2:$M$2,0),0)</f>
        <v>7.0000000000000007E-2</v>
      </c>
      <c r="AF3729" s="6">
        <f t="shared" si="581"/>
        <v>0</v>
      </c>
      <c r="AG3729" s="14">
        <v>0</v>
      </c>
      <c r="AH3729" s="64">
        <f t="shared" si="574"/>
        <v>0</v>
      </c>
      <c r="AI3729" s="47"/>
      <c r="AJ3729" s="126" t="e">
        <v>#N/A</v>
      </c>
      <c r="AK3729" s="80">
        <f t="shared" si="579"/>
        <v>0</v>
      </c>
      <c r="AM3729" s="85"/>
    </row>
    <row r="3730" spans="1:39" hidden="1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575"/>
        <v>29251.9</v>
      </c>
      <c r="X3730" s="6">
        <f t="shared" si="576"/>
        <v>0</v>
      </c>
      <c r="Y3730" s="13">
        <f t="shared" si="577"/>
        <v>0</v>
      </c>
      <c r="Z3730" s="14">
        <v>0</v>
      </c>
      <c r="AA3730" s="6">
        <v>0</v>
      </c>
      <c r="AB3730" s="4">
        <f t="shared" si="578"/>
        <v>0</v>
      </c>
      <c r="AC3730" s="4">
        <f t="shared" si="580"/>
        <v>0</v>
      </c>
      <c r="AD3730" s="6">
        <f t="shared" si="573"/>
        <v>0</v>
      </c>
      <c r="AE3730" s="2">
        <f>VLOOKUP(I3730,[1]媒体政策预估表!A:N,MATCH(O3730,[1]媒体政策预估表!$A$2:$M$2,0),0)</f>
        <v>7.0000000000000007E-2</v>
      </c>
      <c r="AF3730" s="6">
        <f t="shared" si="581"/>
        <v>0</v>
      </c>
      <c r="AG3730" s="14">
        <v>0</v>
      </c>
      <c r="AH3730" s="64">
        <f t="shared" si="574"/>
        <v>0</v>
      </c>
      <c r="AI3730" s="47"/>
      <c r="AJ3730" s="126" t="e">
        <v>#N/A</v>
      </c>
      <c r="AK3730" s="80">
        <f t="shared" si="579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575"/>
        <v>2000</v>
      </c>
      <c r="X3731" s="6">
        <f t="shared" si="576"/>
        <v>0</v>
      </c>
      <c r="Y3731" s="13">
        <f t="shared" si="577"/>
        <v>0</v>
      </c>
      <c r="Z3731" s="14">
        <v>0</v>
      </c>
      <c r="AA3731" s="6">
        <v>0</v>
      </c>
      <c r="AB3731" s="4">
        <f t="shared" si="578"/>
        <v>0</v>
      </c>
      <c r="AC3731" s="4">
        <f t="shared" si="580"/>
        <v>0</v>
      </c>
      <c r="AD3731" s="6">
        <f t="shared" si="573"/>
        <v>0</v>
      </c>
      <c r="AE3731" s="2">
        <f>VLOOKUP(I3731,[1]媒体政策预估表!A:N,MATCH(O3731,[1]媒体政策预估表!$A$2:$M$2,0),0)</f>
        <v>7.0000000000000007E-2</v>
      </c>
      <c r="AF3731" s="6">
        <f t="shared" si="581"/>
        <v>0</v>
      </c>
      <c r="AG3731" s="14">
        <v>0</v>
      </c>
      <c r="AH3731" s="64">
        <f t="shared" si="574"/>
        <v>0</v>
      </c>
      <c r="AI3731" s="47"/>
      <c r="AJ3731" s="126" t="e">
        <v>#N/A</v>
      </c>
      <c r="AK3731" s="80">
        <f t="shared" si="579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575"/>
        <v>43170.3</v>
      </c>
      <c r="X3732" s="6">
        <f t="shared" si="576"/>
        <v>0</v>
      </c>
      <c r="Y3732" s="13">
        <f t="shared" si="577"/>
        <v>0</v>
      </c>
      <c r="Z3732" s="14">
        <v>0</v>
      </c>
      <c r="AA3732" s="6">
        <v>0</v>
      </c>
      <c r="AB3732" s="4">
        <f t="shared" si="578"/>
        <v>0</v>
      </c>
      <c r="AC3732" s="4">
        <f t="shared" si="580"/>
        <v>0</v>
      </c>
      <c r="AD3732" s="6">
        <f t="shared" si="573"/>
        <v>0</v>
      </c>
      <c r="AE3732" s="2">
        <f>VLOOKUP(I3732,[1]媒体政策预估表!A:N,MATCH(O3732,[1]媒体政策预估表!$A$2:$M$2,0),0)</f>
        <v>7.0000000000000007E-2</v>
      </c>
      <c r="AF3732" s="6">
        <f t="shared" si="581"/>
        <v>0</v>
      </c>
      <c r="AG3732" s="14">
        <v>0</v>
      </c>
      <c r="AH3732" s="64">
        <f t="shared" si="574"/>
        <v>0</v>
      </c>
      <c r="AI3732" s="47"/>
      <c r="AJ3732" s="126" t="e">
        <v>#N/A</v>
      </c>
      <c r="AK3732" s="80">
        <f t="shared" si="579"/>
        <v>0</v>
      </c>
      <c r="AM3732" s="85"/>
    </row>
    <row r="3733" spans="1:39" hidden="1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575"/>
        <v>10000</v>
      </c>
      <c r="X3733" s="6">
        <f t="shared" si="576"/>
        <v>0</v>
      </c>
      <c r="Y3733" s="13">
        <f t="shared" si="577"/>
        <v>0</v>
      </c>
      <c r="Z3733" s="14">
        <v>0</v>
      </c>
      <c r="AA3733" s="6">
        <v>0</v>
      </c>
      <c r="AB3733" s="4">
        <f t="shared" si="578"/>
        <v>0</v>
      </c>
      <c r="AC3733" s="4">
        <f t="shared" si="580"/>
        <v>0</v>
      </c>
      <c r="AD3733" s="6">
        <f t="shared" si="573"/>
        <v>0</v>
      </c>
      <c r="AE3733" s="2">
        <f>VLOOKUP(I3733,[1]媒体政策预估表!A:N,MATCH(O3733,[1]媒体政策预估表!$A$2:$M$2,0),0)</f>
        <v>7.0000000000000007E-2</v>
      </c>
      <c r="AF3733" s="6">
        <f t="shared" si="581"/>
        <v>0</v>
      </c>
      <c r="AG3733" s="14">
        <v>0</v>
      </c>
      <c r="AH3733" s="64">
        <f t="shared" si="574"/>
        <v>0</v>
      </c>
      <c r="AI3733" s="47"/>
      <c r="AJ3733" s="126" t="e">
        <v>#N/A</v>
      </c>
      <c r="AK3733" s="80">
        <f t="shared" si="579"/>
        <v>0</v>
      </c>
      <c r="AM3733" s="85"/>
    </row>
    <row r="3734" spans="1:39" hidden="1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575"/>
        <v>10398.74</v>
      </c>
      <c r="X3734" s="6">
        <f t="shared" si="576"/>
        <v>0</v>
      </c>
      <c r="Y3734" s="13">
        <f t="shared" si="577"/>
        <v>0</v>
      </c>
      <c r="Z3734" s="14">
        <v>0</v>
      </c>
      <c r="AA3734" s="6">
        <v>0</v>
      </c>
      <c r="AB3734" s="4">
        <f t="shared" si="578"/>
        <v>0</v>
      </c>
      <c r="AC3734" s="4">
        <f t="shared" si="580"/>
        <v>0</v>
      </c>
      <c r="AD3734" s="6">
        <f t="shared" si="573"/>
        <v>0</v>
      </c>
      <c r="AE3734" s="2">
        <f>VLOOKUP(I3734,[1]媒体政策预估表!A:N,MATCH(O3734,[1]媒体政策预估表!$A$2:$M$2,0),0)</f>
        <v>0.12</v>
      </c>
      <c r="AF3734" s="6">
        <f t="shared" si="581"/>
        <v>0</v>
      </c>
      <c r="AG3734" s="14">
        <v>0</v>
      </c>
      <c r="AH3734" s="64">
        <f t="shared" si="574"/>
        <v>0</v>
      </c>
      <c r="AI3734" s="47"/>
      <c r="AJ3734" s="126" t="e">
        <v>#N/A</v>
      </c>
      <c r="AK3734" s="80">
        <f t="shared" si="579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575"/>
        <v>12179.5</v>
      </c>
      <c r="X3735" s="6">
        <f t="shared" si="576"/>
        <v>0</v>
      </c>
      <c r="Y3735" s="13">
        <f t="shared" si="577"/>
        <v>0</v>
      </c>
      <c r="Z3735" s="14">
        <v>0</v>
      </c>
      <c r="AA3735" s="6">
        <v>0</v>
      </c>
      <c r="AB3735" s="4">
        <f t="shared" si="578"/>
        <v>0</v>
      </c>
      <c r="AC3735" s="4">
        <f t="shared" si="580"/>
        <v>0</v>
      </c>
      <c r="AD3735" s="6">
        <f t="shared" si="573"/>
        <v>0</v>
      </c>
      <c r="AE3735" s="2">
        <f>VLOOKUP(I3735,[1]媒体政策预估表!A:N,MATCH(O3735,[1]媒体政策预估表!$A$2:$M$2,0),0)</f>
        <v>7.0000000000000007E-2</v>
      </c>
      <c r="AF3735" s="6">
        <f t="shared" si="581"/>
        <v>0</v>
      </c>
      <c r="AG3735" s="14">
        <v>0</v>
      </c>
      <c r="AH3735" s="64">
        <f t="shared" si="574"/>
        <v>0</v>
      </c>
      <c r="AI3735" s="47"/>
      <c r="AJ3735" s="126" t="e">
        <v>#N/A</v>
      </c>
      <c r="AK3735" s="80">
        <f t="shared" si="579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575"/>
        <v>4625.51</v>
      </c>
      <c r="X3736" s="6">
        <f t="shared" si="576"/>
        <v>0</v>
      </c>
      <c r="Y3736" s="13">
        <f t="shared" si="577"/>
        <v>0</v>
      </c>
      <c r="Z3736" s="14">
        <v>0</v>
      </c>
      <c r="AA3736" s="6">
        <v>0</v>
      </c>
      <c r="AB3736" s="4">
        <f t="shared" si="578"/>
        <v>0</v>
      </c>
      <c r="AC3736" s="4">
        <f t="shared" si="580"/>
        <v>0</v>
      </c>
      <c r="AD3736" s="6">
        <f t="shared" si="573"/>
        <v>0</v>
      </c>
      <c r="AE3736" s="2">
        <f>VLOOKUP(I3736,[1]媒体政策预估表!A:N,MATCH(O3736,[1]媒体政策预估表!$A$2:$M$2,0),0)</f>
        <v>0.12</v>
      </c>
      <c r="AF3736" s="6">
        <f t="shared" si="581"/>
        <v>0</v>
      </c>
      <c r="AG3736" s="14">
        <v>0</v>
      </c>
      <c r="AH3736" s="64">
        <f t="shared" si="574"/>
        <v>0</v>
      </c>
      <c r="AI3736" s="47"/>
      <c r="AJ3736" s="126" t="e">
        <v>#N/A</v>
      </c>
      <c r="AK3736" s="80">
        <f t="shared" si="579"/>
        <v>0</v>
      </c>
      <c r="AM3736" s="85"/>
    </row>
    <row r="3737" spans="1:39" hidden="1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575"/>
        <v>8223.7000000000007</v>
      </c>
      <c r="X3737" s="6">
        <f t="shared" si="576"/>
        <v>0</v>
      </c>
      <c r="Y3737" s="13">
        <f t="shared" si="577"/>
        <v>0</v>
      </c>
      <c r="Z3737" s="14">
        <v>0</v>
      </c>
      <c r="AA3737" s="6">
        <v>0</v>
      </c>
      <c r="AB3737" s="4">
        <f t="shared" si="578"/>
        <v>0</v>
      </c>
      <c r="AC3737" s="4">
        <f t="shared" si="580"/>
        <v>0</v>
      </c>
      <c r="AD3737" s="6">
        <f t="shared" si="573"/>
        <v>0</v>
      </c>
      <c r="AE3737" s="2">
        <f>VLOOKUP(I3737,[1]媒体政策预估表!A:N,MATCH(O3737,[1]媒体政策预估表!$A$2:$M$2,0),0)</f>
        <v>7.0000000000000007E-2</v>
      </c>
      <c r="AF3737" s="6">
        <f t="shared" si="581"/>
        <v>0</v>
      </c>
      <c r="AG3737" s="14">
        <v>0</v>
      </c>
      <c r="AH3737" s="64">
        <f t="shared" si="574"/>
        <v>0</v>
      </c>
      <c r="AI3737" s="47"/>
      <c r="AJ3737" s="126" t="e">
        <v>#N/A</v>
      </c>
      <c r="AK3737" s="80">
        <f t="shared" si="579"/>
        <v>0</v>
      </c>
      <c r="AM3737" s="85"/>
    </row>
    <row r="3738" spans="1:39" hidden="1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575"/>
        <v>2453</v>
      </c>
      <c r="X3738" s="6">
        <f t="shared" si="576"/>
        <v>0</v>
      </c>
      <c r="Y3738" s="13">
        <f t="shared" si="577"/>
        <v>0</v>
      </c>
      <c r="Z3738" s="14">
        <v>0</v>
      </c>
      <c r="AA3738" s="6">
        <v>0</v>
      </c>
      <c r="AB3738" s="4">
        <f t="shared" si="578"/>
        <v>0</v>
      </c>
      <c r="AC3738" s="4">
        <f t="shared" si="580"/>
        <v>0</v>
      </c>
      <c r="AD3738" s="6">
        <f t="shared" si="573"/>
        <v>0</v>
      </c>
      <c r="AE3738" s="2">
        <f>VLOOKUP(I3738,[1]媒体政策预估表!A:N,MATCH(O3738,[1]媒体政策预估表!$A$2:$M$2,0),0)</f>
        <v>7.0000000000000007E-2</v>
      </c>
      <c r="AF3738" s="6">
        <f t="shared" si="581"/>
        <v>0</v>
      </c>
      <c r="AG3738" s="14">
        <v>0</v>
      </c>
      <c r="AH3738" s="64">
        <f t="shared" si="574"/>
        <v>0</v>
      </c>
      <c r="AI3738" s="47"/>
      <c r="AJ3738" s="126" t="e">
        <v>#N/A</v>
      </c>
      <c r="AK3738" s="80">
        <f t="shared" si="579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575"/>
        <v>9703.2000000000007</v>
      </c>
      <c r="X3739" s="6">
        <f t="shared" si="576"/>
        <v>0</v>
      </c>
      <c r="Y3739" s="13">
        <f t="shared" si="577"/>
        <v>0</v>
      </c>
      <c r="Z3739" s="14">
        <v>0</v>
      </c>
      <c r="AA3739" s="6">
        <v>0</v>
      </c>
      <c r="AB3739" s="4">
        <f t="shared" si="578"/>
        <v>0</v>
      </c>
      <c r="AC3739" s="4">
        <f t="shared" si="580"/>
        <v>0</v>
      </c>
      <c r="AD3739" s="6">
        <f t="shared" si="573"/>
        <v>0</v>
      </c>
      <c r="AE3739" s="2">
        <f>VLOOKUP(I3739,[1]媒体政策预估表!A:N,MATCH(O3739,[1]媒体政策预估表!$A$2:$M$2,0),0)</f>
        <v>7.0000000000000007E-2</v>
      </c>
      <c r="AF3739" s="6">
        <f t="shared" si="581"/>
        <v>0</v>
      </c>
      <c r="AG3739" s="14">
        <v>0</v>
      </c>
      <c r="AH3739" s="64">
        <f t="shared" si="574"/>
        <v>0</v>
      </c>
      <c r="AI3739" s="47"/>
      <c r="AJ3739" s="126" t="e">
        <v>#N/A</v>
      </c>
      <c r="AK3739" s="80">
        <f t="shared" si="579"/>
        <v>0</v>
      </c>
      <c r="AM3739" s="85"/>
    </row>
    <row r="3740" spans="1:39" hidden="1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575"/>
        <v>10200</v>
      </c>
      <c r="X3740" s="6">
        <f t="shared" si="576"/>
        <v>0</v>
      </c>
      <c r="Y3740" s="13">
        <f t="shared" si="577"/>
        <v>0</v>
      </c>
      <c r="Z3740" s="14">
        <v>0</v>
      </c>
      <c r="AA3740" s="6">
        <v>0</v>
      </c>
      <c r="AB3740" s="4">
        <f t="shared" si="578"/>
        <v>0</v>
      </c>
      <c r="AC3740" s="4">
        <f t="shared" si="580"/>
        <v>0</v>
      </c>
      <c r="AD3740" s="6">
        <f t="shared" si="573"/>
        <v>0</v>
      </c>
      <c r="AE3740" s="2">
        <f>VLOOKUP(I3740,[1]媒体政策预估表!A:N,MATCH(O3740,[1]媒体政策预估表!$A$2:$M$2,0),0)</f>
        <v>7.0000000000000007E-2</v>
      </c>
      <c r="AF3740" s="6">
        <f t="shared" si="581"/>
        <v>0</v>
      </c>
      <c r="AG3740" s="14">
        <v>0</v>
      </c>
      <c r="AH3740" s="64">
        <f t="shared" si="574"/>
        <v>0</v>
      </c>
      <c r="AI3740" s="47"/>
      <c r="AJ3740" s="126" t="e">
        <v>#N/A</v>
      </c>
      <c r="AK3740" s="80">
        <f t="shared" si="579"/>
        <v>0</v>
      </c>
      <c r="AM3740" s="85"/>
    </row>
    <row r="3741" spans="1:39" hidden="1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575"/>
        <v>272.2</v>
      </c>
      <c r="X3741" s="6">
        <f t="shared" si="576"/>
        <v>0</v>
      </c>
      <c r="Y3741" s="13">
        <f t="shared" si="577"/>
        <v>0</v>
      </c>
      <c r="Z3741" s="14">
        <v>0</v>
      </c>
      <c r="AA3741" s="6">
        <v>0</v>
      </c>
      <c r="AB3741" s="4">
        <f t="shared" si="578"/>
        <v>0</v>
      </c>
      <c r="AC3741" s="4">
        <f t="shared" si="580"/>
        <v>0</v>
      </c>
      <c r="AD3741" s="6">
        <f t="shared" si="573"/>
        <v>0</v>
      </c>
      <c r="AE3741" s="2">
        <f>VLOOKUP(I3741,[1]媒体政策预估表!A:N,MATCH(O3741,[1]媒体政策预估表!$A$2:$M$2,0),0)</f>
        <v>0.12</v>
      </c>
      <c r="AF3741" s="6">
        <f t="shared" si="581"/>
        <v>0</v>
      </c>
      <c r="AG3741" s="14">
        <v>0</v>
      </c>
      <c r="AH3741" s="64">
        <f t="shared" si="574"/>
        <v>0</v>
      </c>
      <c r="AI3741" s="47"/>
      <c r="AJ3741" s="126" t="e">
        <v>#N/A</v>
      </c>
      <c r="AK3741" s="80">
        <f t="shared" si="579"/>
        <v>0</v>
      </c>
      <c r="AM3741" s="85"/>
    </row>
    <row r="3742" spans="1:39" hidden="1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575"/>
        <v>6212.97</v>
      </c>
      <c r="X3742" s="6">
        <f t="shared" si="576"/>
        <v>0</v>
      </c>
      <c r="Y3742" s="13">
        <f t="shared" si="577"/>
        <v>0</v>
      </c>
      <c r="Z3742" s="14">
        <v>0</v>
      </c>
      <c r="AA3742" s="6">
        <v>0</v>
      </c>
      <c r="AB3742" s="4">
        <f t="shared" si="578"/>
        <v>0</v>
      </c>
      <c r="AC3742" s="4">
        <f t="shared" si="580"/>
        <v>0</v>
      </c>
      <c r="AD3742" s="6">
        <f t="shared" si="573"/>
        <v>0</v>
      </c>
      <c r="AE3742" s="2">
        <f>VLOOKUP(I3742,[1]媒体政策预估表!A:N,MATCH(O3742,[1]媒体政策预估表!$A$2:$M$2,0),0)</f>
        <v>7.0000000000000007E-2</v>
      </c>
      <c r="AF3742" s="6">
        <f t="shared" si="581"/>
        <v>0</v>
      </c>
      <c r="AG3742" s="14">
        <v>0</v>
      </c>
      <c r="AH3742" s="64">
        <f t="shared" si="574"/>
        <v>0</v>
      </c>
      <c r="AI3742" s="47"/>
      <c r="AJ3742" s="126" t="e">
        <v>#N/A</v>
      </c>
      <c r="AK3742" s="80">
        <f t="shared" si="579"/>
        <v>0</v>
      </c>
      <c r="AM3742" s="85"/>
    </row>
    <row r="3743" spans="1:39" hidden="1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575"/>
        <v>0</v>
      </c>
      <c r="X3743" s="6">
        <f t="shared" si="576"/>
        <v>0</v>
      </c>
      <c r="Y3743" s="13">
        <f t="shared" si="577"/>
        <v>0</v>
      </c>
      <c r="Z3743" s="14">
        <v>0</v>
      </c>
      <c r="AA3743" s="6">
        <v>0</v>
      </c>
      <c r="AB3743" s="4">
        <f t="shared" si="578"/>
        <v>0</v>
      </c>
      <c r="AC3743" s="4">
        <f t="shared" si="580"/>
        <v>0</v>
      </c>
      <c r="AD3743" s="6">
        <f t="shared" si="573"/>
        <v>0</v>
      </c>
      <c r="AE3743" s="2">
        <f>VLOOKUP(I3743,[1]媒体政策预估表!A:N,MATCH(O3743,[1]媒体政策预估表!$A$2:$M$2,0),0)</f>
        <v>0.12</v>
      </c>
      <c r="AF3743" s="6">
        <f t="shared" si="581"/>
        <v>0</v>
      </c>
      <c r="AG3743" s="14">
        <v>0</v>
      </c>
      <c r="AH3743" s="64">
        <f t="shared" si="574"/>
        <v>0</v>
      </c>
      <c r="AI3743" s="47"/>
      <c r="AJ3743" s="126" t="e">
        <v>#N/A</v>
      </c>
      <c r="AK3743" s="80">
        <f t="shared" si="579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575"/>
        <v>4982</v>
      </c>
      <c r="X3744" s="6">
        <f t="shared" si="576"/>
        <v>0</v>
      </c>
      <c r="Y3744" s="13">
        <f t="shared" si="577"/>
        <v>0</v>
      </c>
      <c r="Z3744" s="14">
        <v>0</v>
      </c>
      <c r="AA3744" s="6">
        <v>0</v>
      </c>
      <c r="AB3744" s="4">
        <f t="shared" si="578"/>
        <v>0</v>
      </c>
      <c r="AC3744" s="4">
        <f t="shared" si="580"/>
        <v>0</v>
      </c>
      <c r="AD3744" s="6">
        <f t="shared" si="573"/>
        <v>0</v>
      </c>
      <c r="AE3744" s="2">
        <f>VLOOKUP(I3744,[1]媒体政策预估表!A:N,MATCH(O3744,[1]媒体政策预估表!$A$2:$M$2,0),0)</f>
        <v>0.12</v>
      </c>
      <c r="AF3744" s="6">
        <f t="shared" si="581"/>
        <v>0</v>
      </c>
      <c r="AG3744" s="14">
        <v>0</v>
      </c>
      <c r="AH3744" s="64">
        <f t="shared" si="574"/>
        <v>0</v>
      </c>
      <c r="AI3744" s="47"/>
      <c r="AJ3744" s="126" t="e">
        <v>#N/A</v>
      </c>
      <c r="AK3744" s="80">
        <f t="shared" si="579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575"/>
        <v>10184.5</v>
      </c>
      <c r="X3745" s="6">
        <f t="shared" si="576"/>
        <v>0</v>
      </c>
      <c r="Y3745" s="13">
        <f t="shared" si="577"/>
        <v>0</v>
      </c>
      <c r="Z3745" s="14">
        <v>0</v>
      </c>
      <c r="AA3745" s="6">
        <v>0</v>
      </c>
      <c r="AB3745" s="4">
        <f t="shared" si="578"/>
        <v>0</v>
      </c>
      <c r="AC3745" s="4">
        <f t="shared" si="580"/>
        <v>0</v>
      </c>
      <c r="AD3745" s="6">
        <f t="shared" si="573"/>
        <v>0</v>
      </c>
      <c r="AE3745" s="2">
        <f>VLOOKUP(I3745,[1]媒体政策预估表!A:N,MATCH(O3745,[1]媒体政策预估表!$A$2:$M$2,0),0)</f>
        <v>7.0000000000000007E-2</v>
      </c>
      <c r="AF3745" s="6">
        <f t="shared" si="581"/>
        <v>0</v>
      </c>
      <c r="AG3745" s="14">
        <v>0</v>
      </c>
      <c r="AH3745" s="64">
        <f t="shared" si="574"/>
        <v>0</v>
      </c>
      <c r="AI3745" s="47"/>
      <c r="AJ3745" s="126" t="e">
        <v>#N/A</v>
      </c>
      <c r="AK3745" s="80">
        <f t="shared" si="579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575"/>
        <v>1779.71</v>
      </c>
      <c r="X3746" s="6">
        <f t="shared" si="576"/>
        <v>0</v>
      </c>
      <c r="Y3746" s="13">
        <f t="shared" si="577"/>
        <v>0</v>
      </c>
      <c r="Z3746" s="14">
        <v>0</v>
      </c>
      <c r="AA3746" s="6">
        <v>0</v>
      </c>
      <c r="AB3746" s="4">
        <f t="shared" si="578"/>
        <v>0</v>
      </c>
      <c r="AC3746" s="4">
        <f t="shared" si="580"/>
        <v>0</v>
      </c>
      <c r="AD3746" s="6">
        <f t="shared" si="573"/>
        <v>0</v>
      </c>
      <c r="AE3746" s="2">
        <f>VLOOKUP(I3746,[1]媒体政策预估表!A:N,MATCH(O3746,[1]媒体政策预估表!$A$2:$M$2,0),0)</f>
        <v>7.0000000000000007E-2</v>
      </c>
      <c r="AF3746" s="6">
        <f t="shared" si="581"/>
        <v>0</v>
      </c>
      <c r="AG3746" s="14">
        <v>0</v>
      </c>
      <c r="AH3746" s="64">
        <f t="shared" si="574"/>
        <v>0</v>
      </c>
      <c r="AI3746" s="47"/>
      <c r="AJ3746" s="126" t="e">
        <v>#N/A</v>
      </c>
      <c r="AK3746" s="80">
        <f t="shared" si="579"/>
        <v>0</v>
      </c>
      <c r="AM3746" s="85"/>
    </row>
    <row r="3747" spans="1:39" hidden="1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575"/>
        <v>1651.5</v>
      </c>
      <c r="X3747" s="6">
        <f t="shared" si="576"/>
        <v>0</v>
      </c>
      <c r="Y3747" s="13">
        <f t="shared" si="577"/>
        <v>0</v>
      </c>
      <c r="Z3747" s="14">
        <v>0</v>
      </c>
      <c r="AA3747" s="6">
        <v>0</v>
      </c>
      <c r="AB3747" s="4"/>
      <c r="AC3747" s="4">
        <f t="shared" si="580"/>
        <v>0</v>
      </c>
      <c r="AD3747" s="6">
        <f t="shared" si="573"/>
        <v>0</v>
      </c>
      <c r="AE3747" s="2">
        <f>VLOOKUP(I3747,[1]媒体政策预估表!A:N,MATCH(O3747,[1]媒体政策预估表!$A$2:$M$2,0),0)</f>
        <v>0.12</v>
      </c>
      <c r="AF3747" s="6">
        <f t="shared" si="581"/>
        <v>0</v>
      </c>
      <c r="AG3747" s="14">
        <v>0</v>
      </c>
      <c r="AH3747" s="64">
        <f t="shared" si="574"/>
        <v>0</v>
      </c>
      <c r="AI3747" s="47"/>
      <c r="AJ3747" s="126">
        <v>16</v>
      </c>
      <c r="AK3747" s="80">
        <f t="shared" si="579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575"/>
        <v>5296.7</v>
      </c>
      <c r="X3748" s="6">
        <f t="shared" si="576"/>
        <v>0</v>
      </c>
      <c r="Y3748" s="13">
        <f t="shared" si="577"/>
        <v>0</v>
      </c>
      <c r="Z3748" s="14">
        <v>0</v>
      </c>
      <c r="AA3748" s="6">
        <v>0</v>
      </c>
      <c r="AB3748" s="4">
        <f t="shared" si="578"/>
        <v>0</v>
      </c>
      <c r="AC3748" s="4">
        <f t="shared" si="580"/>
        <v>0</v>
      </c>
      <c r="AD3748" s="6">
        <f t="shared" ref="AD3748:AD3811" si="582">V3748</f>
        <v>0</v>
      </c>
      <c r="AE3748" s="2">
        <f>VLOOKUP(I3748,[1]媒体政策预估表!A:N,MATCH(O3748,[1]媒体政策预估表!$A$2:$M$2,0),0)</f>
        <v>7.0000000000000007E-2</v>
      </c>
      <c r="AF3748" s="6">
        <f t="shared" si="581"/>
        <v>0</v>
      </c>
      <c r="AG3748" s="14">
        <v>0</v>
      </c>
      <c r="AH3748" s="64">
        <f t="shared" ref="AH3748:AH3811" si="583">V3748</f>
        <v>0</v>
      </c>
      <c r="AI3748" s="47"/>
      <c r="AJ3748" s="126" t="e">
        <v>#N/A</v>
      </c>
      <c r="AK3748" s="80">
        <f t="shared" si="579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575"/>
        <v>44382.7</v>
      </c>
      <c r="X3749" s="6">
        <f t="shared" si="576"/>
        <v>0</v>
      </c>
      <c r="Y3749" s="13">
        <f t="shared" si="577"/>
        <v>0</v>
      </c>
      <c r="Z3749" s="14">
        <v>0</v>
      </c>
      <c r="AA3749" s="6">
        <v>0</v>
      </c>
      <c r="AB3749" s="4">
        <f t="shared" si="578"/>
        <v>0</v>
      </c>
      <c r="AC3749" s="4">
        <f t="shared" si="580"/>
        <v>0</v>
      </c>
      <c r="AD3749" s="6">
        <f t="shared" si="582"/>
        <v>0</v>
      </c>
      <c r="AE3749" s="2">
        <f>VLOOKUP(I3749,[1]媒体政策预估表!A:N,MATCH(O3749,[1]媒体政策预估表!$A$2:$M$2,0),0)</f>
        <v>7.0000000000000007E-2</v>
      </c>
      <c r="AF3749" s="6">
        <f t="shared" si="581"/>
        <v>0</v>
      </c>
      <c r="AG3749" s="14">
        <v>0</v>
      </c>
      <c r="AH3749" s="64">
        <f t="shared" si="583"/>
        <v>0</v>
      </c>
      <c r="AI3749" s="47"/>
      <c r="AJ3749" s="126" t="e">
        <v>#N/A</v>
      </c>
      <c r="AK3749" s="80">
        <f t="shared" si="579"/>
        <v>0</v>
      </c>
      <c r="AM3749" s="85"/>
    </row>
    <row r="3750" spans="1:39" hidden="1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584">T3750+U3750-V3750</f>
        <v>653.5</v>
      </c>
      <c r="X3750" s="6">
        <f t="shared" si="576"/>
        <v>0</v>
      </c>
      <c r="Y3750" s="13">
        <f t="shared" si="577"/>
        <v>0</v>
      </c>
      <c r="Z3750" s="14">
        <v>0</v>
      </c>
      <c r="AA3750" s="6">
        <v>0</v>
      </c>
      <c r="AB3750" s="4">
        <f t="shared" si="578"/>
        <v>0</v>
      </c>
      <c r="AC3750" s="4">
        <f t="shared" si="580"/>
        <v>0</v>
      </c>
      <c r="AD3750" s="6">
        <f t="shared" si="582"/>
        <v>0</v>
      </c>
      <c r="AE3750" s="2">
        <f>VLOOKUP(I3750,[1]媒体政策预估表!A:N,MATCH(O3750,[1]媒体政策预估表!$A$2:$M$2,0),0)</f>
        <v>7.0000000000000007E-2</v>
      </c>
      <c r="AF3750" s="6">
        <f t="shared" si="581"/>
        <v>0</v>
      </c>
      <c r="AG3750" s="14">
        <v>0</v>
      </c>
      <c r="AH3750" s="64">
        <f t="shared" si="583"/>
        <v>0</v>
      </c>
      <c r="AI3750" s="47"/>
      <c r="AJ3750" s="126" t="e">
        <v>#N/A</v>
      </c>
      <c r="AK3750" s="80">
        <f t="shared" si="579"/>
        <v>0</v>
      </c>
      <c r="AM3750" s="85"/>
    </row>
    <row r="3751" spans="1:39" hidden="1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584"/>
        <v>3515.75</v>
      </c>
      <c r="X3751" s="6">
        <f t="shared" ref="X3751:X3814" si="585">IF(P3751="折扣",V3751*Q3751,IF(P3751="返现",V3751,V3751/(1+Q3751)))</f>
        <v>0</v>
      </c>
      <c r="Y3751" s="13">
        <f t="shared" si="577"/>
        <v>0</v>
      </c>
      <c r="Z3751" s="14">
        <v>0</v>
      </c>
      <c r="AA3751" s="6">
        <v>0</v>
      </c>
      <c r="AB3751" s="4"/>
      <c r="AC3751" s="4">
        <f t="shared" si="580"/>
        <v>0</v>
      </c>
      <c r="AD3751" s="6">
        <f t="shared" si="582"/>
        <v>0</v>
      </c>
      <c r="AE3751" s="2">
        <f>VLOOKUP(I3751,[1]媒体政策预估表!A:N,MATCH(O3751,[1]媒体政策预估表!$A$2:$M$2,0),0)</f>
        <v>0.12</v>
      </c>
      <c r="AF3751" s="6">
        <f t="shared" si="581"/>
        <v>0</v>
      </c>
      <c r="AG3751" s="14">
        <v>0</v>
      </c>
      <c r="AH3751" s="64">
        <f t="shared" si="583"/>
        <v>0</v>
      </c>
      <c r="AI3751" s="47"/>
      <c r="AJ3751" s="126">
        <v>1</v>
      </c>
      <c r="AK3751" s="80">
        <f t="shared" si="579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584"/>
        <v>7.25</v>
      </c>
      <c r="X3752" s="6">
        <f t="shared" si="585"/>
        <v>0</v>
      </c>
      <c r="Y3752" s="13">
        <f t="shared" si="577"/>
        <v>0</v>
      </c>
      <c r="Z3752" s="14">
        <v>0</v>
      </c>
      <c r="AA3752" s="6">
        <v>0</v>
      </c>
      <c r="AB3752" s="4"/>
      <c r="AC3752" s="4">
        <f t="shared" si="580"/>
        <v>0</v>
      </c>
      <c r="AD3752" s="6">
        <f t="shared" si="582"/>
        <v>0</v>
      </c>
      <c r="AE3752" s="2">
        <f>VLOOKUP(I3752,[1]媒体政策预估表!A:N,MATCH(O3752,[1]媒体政策预估表!$A$2:$M$2,0),0)</f>
        <v>0.12</v>
      </c>
      <c r="AF3752" s="6">
        <f t="shared" si="581"/>
        <v>0</v>
      </c>
      <c r="AG3752" s="14">
        <v>0</v>
      </c>
      <c r="AH3752" s="64">
        <f t="shared" si="583"/>
        <v>0</v>
      </c>
      <c r="AI3752" s="47"/>
      <c r="AJ3752" s="126">
        <v>1</v>
      </c>
      <c r="AK3752" s="80">
        <f t="shared" si="579"/>
        <v>0</v>
      </c>
      <c r="AM3752" s="85"/>
    </row>
    <row r="3753" spans="1:39" hidden="1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584"/>
        <v>4515.43</v>
      </c>
      <c r="X3753" s="6">
        <f t="shared" si="585"/>
        <v>0</v>
      </c>
      <c r="Y3753" s="13">
        <f t="shared" si="577"/>
        <v>0</v>
      </c>
      <c r="Z3753" s="14">
        <v>0</v>
      </c>
      <c r="AA3753" s="6">
        <v>0</v>
      </c>
      <c r="AB3753" s="4"/>
      <c r="AC3753" s="4">
        <f t="shared" si="580"/>
        <v>0</v>
      </c>
      <c r="AD3753" s="6">
        <f t="shared" si="582"/>
        <v>0</v>
      </c>
      <c r="AE3753" s="2">
        <f>VLOOKUP(I3753,[1]媒体政策预估表!A:N,MATCH(O3753,[1]媒体政策预估表!$A$2:$M$2,0),0)</f>
        <v>0.12</v>
      </c>
      <c r="AF3753" s="6">
        <f t="shared" si="581"/>
        <v>0</v>
      </c>
      <c r="AG3753" s="14">
        <v>0</v>
      </c>
      <c r="AH3753" s="64">
        <f t="shared" si="583"/>
        <v>0</v>
      </c>
      <c r="AI3753" s="47"/>
      <c r="AJ3753" s="126">
        <v>1</v>
      </c>
      <c r="AK3753" s="80">
        <f t="shared" si="579"/>
        <v>0</v>
      </c>
      <c r="AM3753" s="85"/>
    </row>
    <row r="3754" spans="1:39" hidden="1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584"/>
        <v>10100.4</v>
      </c>
      <c r="X3754" s="6">
        <f t="shared" si="585"/>
        <v>0</v>
      </c>
      <c r="Y3754" s="13">
        <f t="shared" si="577"/>
        <v>0</v>
      </c>
      <c r="Z3754" s="14">
        <v>0</v>
      </c>
      <c r="AA3754" s="6">
        <v>0</v>
      </c>
      <c r="AB3754" s="4"/>
      <c r="AC3754" s="4">
        <f t="shared" si="580"/>
        <v>0</v>
      </c>
      <c r="AD3754" s="6">
        <f t="shared" si="582"/>
        <v>0</v>
      </c>
      <c r="AE3754" s="2">
        <f>VLOOKUP(I3754,[1]媒体政策预估表!A:N,MATCH(O3754,[1]媒体政策预估表!$A$2:$M$2,0),0)</f>
        <v>0.12</v>
      </c>
      <c r="AF3754" s="6">
        <f t="shared" si="581"/>
        <v>0</v>
      </c>
      <c r="AG3754" s="14">
        <v>0</v>
      </c>
      <c r="AH3754" s="64">
        <f t="shared" si="583"/>
        <v>0</v>
      </c>
      <c r="AI3754" s="47"/>
      <c r="AJ3754" s="126">
        <v>1</v>
      </c>
      <c r="AK3754" s="80">
        <f t="shared" si="579"/>
        <v>0</v>
      </c>
      <c r="AM3754" s="85"/>
    </row>
    <row r="3755" spans="1:39" hidden="1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584"/>
        <v>19075.55</v>
      </c>
      <c r="X3755" s="6">
        <f t="shared" si="585"/>
        <v>0</v>
      </c>
      <c r="Y3755" s="13">
        <f t="shared" si="577"/>
        <v>0</v>
      </c>
      <c r="Z3755" s="14">
        <v>0</v>
      </c>
      <c r="AA3755" s="6">
        <v>0</v>
      </c>
      <c r="AB3755" s="4"/>
      <c r="AC3755" s="4">
        <f t="shared" si="580"/>
        <v>0</v>
      </c>
      <c r="AD3755" s="6">
        <f t="shared" si="582"/>
        <v>0</v>
      </c>
      <c r="AE3755" s="2">
        <f>VLOOKUP(I3755,[1]媒体政策预估表!A:N,MATCH(O3755,[1]媒体政策预估表!$A$2:$M$2,0),0)</f>
        <v>0.12</v>
      </c>
      <c r="AF3755" s="6">
        <f t="shared" si="581"/>
        <v>0</v>
      </c>
      <c r="AG3755" s="14">
        <v>0</v>
      </c>
      <c r="AH3755" s="64">
        <f t="shared" si="583"/>
        <v>0</v>
      </c>
      <c r="AI3755" s="47"/>
      <c r="AJ3755" s="126">
        <v>1</v>
      </c>
      <c r="AK3755" s="80">
        <f t="shared" si="579"/>
        <v>0</v>
      </c>
      <c r="AM3755" s="85"/>
    </row>
    <row r="3756" spans="1:39" hidden="1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584"/>
        <v>5207.93</v>
      </c>
      <c r="X3756" s="6">
        <f t="shared" si="585"/>
        <v>0</v>
      </c>
      <c r="Y3756" s="13">
        <f t="shared" si="577"/>
        <v>0</v>
      </c>
      <c r="Z3756" s="14">
        <v>0</v>
      </c>
      <c r="AA3756" s="6">
        <v>0</v>
      </c>
      <c r="AB3756" s="4"/>
      <c r="AC3756" s="4">
        <f t="shared" si="580"/>
        <v>0</v>
      </c>
      <c r="AD3756" s="6">
        <f t="shared" si="582"/>
        <v>0</v>
      </c>
      <c r="AE3756" s="2">
        <f>VLOOKUP(I3756,[1]媒体政策预估表!A:N,MATCH(O3756,[1]媒体政策预估表!$A$2:$M$2,0),0)</f>
        <v>0.12</v>
      </c>
      <c r="AF3756" s="6">
        <f t="shared" si="581"/>
        <v>0</v>
      </c>
      <c r="AG3756" s="14">
        <v>0</v>
      </c>
      <c r="AH3756" s="64">
        <f t="shared" si="583"/>
        <v>0</v>
      </c>
      <c r="AI3756" s="47"/>
      <c r="AJ3756" s="126">
        <v>1</v>
      </c>
      <c r="AK3756" s="80">
        <f t="shared" si="579"/>
        <v>0</v>
      </c>
      <c r="AM3756" s="85"/>
    </row>
    <row r="3757" spans="1:39" hidden="1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584"/>
        <v>30000</v>
      </c>
      <c r="X3757" s="6">
        <f t="shared" si="585"/>
        <v>0</v>
      </c>
      <c r="Y3757" s="13">
        <f t="shared" si="577"/>
        <v>0</v>
      </c>
      <c r="Z3757" s="14">
        <v>0</v>
      </c>
      <c r="AA3757" s="6">
        <v>0</v>
      </c>
      <c r="AB3757" s="4">
        <f t="shared" si="578"/>
        <v>0</v>
      </c>
      <c r="AC3757" s="4">
        <f t="shared" si="580"/>
        <v>0</v>
      </c>
      <c r="AD3757" s="6">
        <f t="shared" si="582"/>
        <v>0</v>
      </c>
      <c r="AE3757" s="2">
        <f>VLOOKUP(I3757,[1]媒体政策预估表!A:N,MATCH(O3757,[1]媒体政策预估表!$A$2:$M$2,0),0)</f>
        <v>0.12</v>
      </c>
      <c r="AF3757" s="6">
        <f t="shared" si="581"/>
        <v>0</v>
      </c>
      <c r="AG3757" s="14">
        <v>0</v>
      </c>
      <c r="AH3757" s="64">
        <f t="shared" si="583"/>
        <v>0</v>
      </c>
      <c r="AI3757" s="47"/>
      <c r="AJ3757" s="126" t="e">
        <v>#N/A</v>
      </c>
      <c r="AK3757" s="80">
        <f t="shared" si="579"/>
        <v>0</v>
      </c>
      <c r="AM3757" s="85"/>
    </row>
    <row r="3758" spans="1:39" hidden="1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584"/>
        <v>21000</v>
      </c>
      <c r="X3758" s="6">
        <f t="shared" si="585"/>
        <v>0</v>
      </c>
      <c r="Y3758" s="13">
        <f t="shared" si="577"/>
        <v>0</v>
      </c>
      <c r="Z3758" s="14">
        <v>0</v>
      </c>
      <c r="AA3758" s="6">
        <v>0</v>
      </c>
      <c r="AB3758" s="4">
        <f t="shared" si="578"/>
        <v>0</v>
      </c>
      <c r="AC3758" s="4">
        <f t="shared" si="580"/>
        <v>0</v>
      </c>
      <c r="AD3758" s="6">
        <f t="shared" si="582"/>
        <v>0</v>
      </c>
      <c r="AE3758" s="2">
        <f>VLOOKUP(I3758,[1]媒体政策预估表!A:N,MATCH(O3758,[1]媒体政策预估表!$A$2:$M$2,0),0)</f>
        <v>7.0000000000000007E-2</v>
      </c>
      <c r="AF3758" s="6">
        <f t="shared" si="581"/>
        <v>0</v>
      </c>
      <c r="AG3758" s="14">
        <v>0</v>
      </c>
      <c r="AH3758" s="64">
        <f t="shared" si="583"/>
        <v>0</v>
      </c>
      <c r="AI3758" s="47"/>
      <c r="AJ3758" s="126" t="e">
        <v>#N/A</v>
      </c>
      <c r="AK3758" s="80">
        <f t="shared" si="579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584"/>
        <v>30</v>
      </c>
      <c r="X3759" s="6">
        <f t="shared" si="585"/>
        <v>0</v>
      </c>
      <c r="Y3759" s="13">
        <f t="shared" si="577"/>
        <v>0</v>
      </c>
      <c r="Z3759" s="14">
        <v>0</v>
      </c>
      <c r="AA3759" s="6">
        <v>0</v>
      </c>
      <c r="AB3759" s="4">
        <f t="shared" si="578"/>
        <v>0</v>
      </c>
      <c r="AC3759" s="4">
        <f t="shared" si="580"/>
        <v>0</v>
      </c>
      <c r="AD3759" s="6">
        <f t="shared" si="582"/>
        <v>0</v>
      </c>
      <c r="AE3759" s="2">
        <f>VLOOKUP(I3759,[1]媒体政策预估表!A:N,MATCH(O3759,[1]媒体政策预估表!$A$2:$M$2,0),0)</f>
        <v>7.0000000000000007E-2</v>
      </c>
      <c r="AF3759" s="6">
        <f t="shared" si="581"/>
        <v>0</v>
      </c>
      <c r="AG3759" s="14">
        <v>0</v>
      </c>
      <c r="AH3759" s="64">
        <f t="shared" si="583"/>
        <v>0</v>
      </c>
      <c r="AI3759" s="47"/>
      <c r="AJ3759" s="126" t="e">
        <v>#N/A</v>
      </c>
      <c r="AK3759" s="80">
        <f t="shared" si="579"/>
        <v>0</v>
      </c>
      <c r="AM3759" s="85"/>
    </row>
    <row r="3760" spans="1:39" hidden="1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584"/>
        <v>6124.3</v>
      </c>
      <c r="X3760" s="6">
        <f t="shared" si="585"/>
        <v>0</v>
      </c>
      <c r="Y3760" s="13">
        <f t="shared" si="577"/>
        <v>0</v>
      </c>
      <c r="Z3760" s="14">
        <v>0</v>
      </c>
      <c r="AA3760" s="6">
        <v>0</v>
      </c>
      <c r="AB3760" s="4">
        <f t="shared" si="578"/>
        <v>0</v>
      </c>
      <c r="AC3760" s="4">
        <f t="shared" si="580"/>
        <v>0</v>
      </c>
      <c r="AD3760" s="6">
        <f t="shared" si="582"/>
        <v>0</v>
      </c>
      <c r="AE3760" s="2">
        <f>VLOOKUP(I3760,[1]媒体政策预估表!A:N,MATCH(O3760,[1]媒体政策预估表!$A$2:$M$2,0),0)</f>
        <v>7.0000000000000007E-2</v>
      </c>
      <c r="AF3760" s="6">
        <f t="shared" si="581"/>
        <v>0</v>
      </c>
      <c r="AG3760" s="14">
        <v>0</v>
      </c>
      <c r="AH3760" s="64">
        <f t="shared" si="583"/>
        <v>0</v>
      </c>
      <c r="AI3760" s="47"/>
      <c r="AJ3760" s="126" t="e">
        <v>#N/A</v>
      </c>
      <c r="AK3760" s="80">
        <f t="shared" si="579"/>
        <v>0</v>
      </c>
      <c r="AM3760" s="85"/>
    </row>
    <row r="3761" spans="1:39" hidden="1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584"/>
        <v>4243.2</v>
      </c>
      <c r="X3761" s="6">
        <f t="shared" si="585"/>
        <v>0</v>
      </c>
      <c r="Y3761" s="13">
        <f t="shared" si="577"/>
        <v>0</v>
      </c>
      <c r="Z3761" s="14">
        <v>0</v>
      </c>
      <c r="AA3761" s="6">
        <v>0</v>
      </c>
      <c r="AB3761" s="4">
        <f t="shared" si="578"/>
        <v>0</v>
      </c>
      <c r="AC3761" s="4">
        <f t="shared" si="580"/>
        <v>0</v>
      </c>
      <c r="AD3761" s="6">
        <f t="shared" si="582"/>
        <v>0</v>
      </c>
      <c r="AE3761" s="2">
        <f>VLOOKUP(I3761,[1]媒体政策预估表!A:N,MATCH(O3761,[1]媒体政策预估表!$A$2:$M$2,0),0)</f>
        <v>7.0000000000000007E-2</v>
      </c>
      <c r="AF3761" s="6">
        <f t="shared" si="581"/>
        <v>0</v>
      </c>
      <c r="AG3761" s="14">
        <v>0</v>
      </c>
      <c r="AH3761" s="64">
        <f t="shared" si="583"/>
        <v>0</v>
      </c>
      <c r="AI3761" s="47"/>
      <c r="AJ3761" s="126" t="e">
        <v>#N/A</v>
      </c>
      <c r="AK3761" s="80">
        <f t="shared" si="579"/>
        <v>0</v>
      </c>
      <c r="AM3761" s="85"/>
    </row>
    <row r="3762" spans="1:39" hidden="1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584"/>
        <v>11743.3</v>
      </c>
      <c r="X3762" s="6">
        <f t="shared" si="585"/>
        <v>0</v>
      </c>
      <c r="Y3762" s="13">
        <f t="shared" si="577"/>
        <v>0</v>
      </c>
      <c r="Z3762" s="14">
        <v>0</v>
      </c>
      <c r="AA3762" s="6">
        <v>0</v>
      </c>
      <c r="AB3762" s="4">
        <f t="shared" si="578"/>
        <v>0</v>
      </c>
      <c r="AC3762" s="4">
        <f t="shared" si="580"/>
        <v>0</v>
      </c>
      <c r="AD3762" s="6">
        <f t="shared" si="582"/>
        <v>0</v>
      </c>
      <c r="AE3762" s="2">
        <f>VLOOKUP(I3762,[1]媒体政策预估表!A:N,MATCH(O3762,[1]媒体政策预估表!$A$2:$M$2,0),0)</f>
        <v>7.0000000000000007E-2</v>
      </c>
      <c r="AF3762" s="6">
        <f t="shared" si="581"/>
        <v>0</v>
      </c>
      <c r="AG3762" s="14">
        <v>0</v>
      </c>
      <c r="AH3762" s="64">
        <f t="shared" si="583"/>
        <v>0</v>
      </c>
      <c r="AI3762" s="47"/>
      <c r="AJ3762" s="126" t="e">
        <v>#N/A</v>
      </c>
      <c r="AK3762" s="80">
        <f t="shared" si="579"/>
        <v>0</v>
      </c>
      <c r="AM3762" s="85"/>
    </row>
    <row r="3763" spans="1:39" hidden="1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584"/>
        <v>4677.2</v>
      </c>
      <c r="X3763" s="6">
        <f t="shared" si="585"/>
        <v>0</v>
      </c>
      <c r="Y3763" s="13">
        <f t="shared" si="577"/>
        <v>0</v>
      </c>
      <c r="Z3763" s="14">
        <v>0</v>
      </c>
      <c r="AA3763" s="6">
        <v>0</v>
      </c>
      <c r="AB3763" s="4">
        <f t="shared" si="578"/>
        <v>0</v>
      </c>
      <c r="AC3763" s="4">
        <f t="shared" si="580"/>
        <v>0</v>
      </c>
      <c r="AD3763" s="6">
        <f t="shared" si="582"/>
        <v>0</v>
      </c>
      <c r="AE3763" s="2">
        <f>VLOOKUP(I3763,[1]媒体政策预估表!A:N,MATCH(O3763,[1]媒体政策预估表!$A$2:$M$2,0),0)</f>
        <v>7.0000000000000007E-2</v>
      </c>
      <c r="AF3763" s="6">
        <f t="shared" si="581"/>
        <v>0</v>
      </c>
      <c r="AG3763" s="14">
        <v>0</v>
      </c>
      <c r="AH3763" s="64">
        <f t="shared" si="583"/>
        <v>0</v>
      </c>
      <c r="AI3763" s="47"/>
      <c r="AJ3763" s="126" t="e">
        <v>#N/A</v>
      </c>
      <c r="AK3763" s="80">
        <f t="shared" si="579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584"/>
        <v>55301.7</v>
      </c>
      <c r="X3764" s="6">
        <f t="shared" si="585"/>
        <v>0</v>
      </c>
      <c r="Y3764" s="13">
        <f t="shared" si="577"/>
        <v>0</v>
      </c>
      <c r="Z3764" s="14">
        <v>0</v>
      </c>
      <c r="AA3764" s="6">
        <v>0</v>
      </c>
      <c r="AB3764" s="4">
        <f t="shared" si="578"/>
        <v>0</v>
      </c>
      <c r="AC3764" s="4">
        <f t="shared" si="580"/>
        <v>0</v>
      </c>
      <c r="AD3764" s="6">
        <f t="shared" si="582"/>
        <v>0</v>
      </c>
      <c r="AE3764" s="2">
        <f>VLOOKUP(I3764,[1]媒体政策预估表!A:N,MATCH(O3764,[1]媒体政策预估表!$A$2:$M$2,0),0)</f>
        <v>7.0000000000000007E-2</v>
      </c>
      <c r="AF3764" s="6">
        <f t="shared" si="581"/>
        <v>0</v>
      </c>
      <c r="AG3764" s="14">
        <v>0</v>
      </c>
      <c r="AH3764" s="64">
        <f t="shared" si="583"/>
        <v>0</v>
      </c>
      <c r="AI3764" s="47"/>
      <c r="AJ3764" s="126" t="e">
        <v>#N/A</v>
      </c>
      <c r="AK3764" s="80">
        <f t="shared" si="579"/>
        <v>0</v>
      </c>
      <c r="AM3764" s="85"/>
    </row>
    <row r="3765" spans="1:39" hidden="1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584"/>
        <v>2261.71</v>
      </c>
      <c r="X3765" s="6">
        <f t="shared" si="585"/>
        <v>0</v>
      </c>
      <c r="Y3765" s="13">
        <f t="shared" si="577"/>
        <v>0</v>
      </c>
      <c r="Z3765" s="14">
        <v>0</v>
      </c>
      <c r="AA3765" s="6">
        <v>0</v>
      </c>
      <c r="AB3765" s="4"/>
      <c r="AC3765" s="4">
        <f t="shared" si="580"/>
        <v>0</v>
      </c>
      <c r="AD3765" s="6">
        <f t="shared" si="582"/>
        <v>0</v>
      </c>
      <c r="AE3765" s="2">
        <f>VLOOKUP(I3765,[1]媒体政策预估表!A:N,MATCH(O3765,[1]媒体政策预估表!$A$2:$M$2,0),0)</f>
        <v>0.12</v>
      </c>
      <c r="AF3765" s="6">
        <f t="shared" si="581"/>
        <v>0</v>
      </c>
      <c r="AG3765" s="14">
        <v>0</v>
      </c>
      <c r="AH3765" s="64">
        <f t="shared" si="583"/>
        <v>0</v>
      </c>
      <c r="AI3765" s="47"/>
      <c r="AJ3765" s="126">
        <v>67</v>
      </c>
      <c r="AK3765" s="80">
        <f t="shared" si="579"/>
        <v>0</v>
      </c>
      <c r="AM3765" s="85"/>
    </row>
    <row r="3766" spans="1:39" hidden="1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584"/>
        <v>70.17</v>
      </c>
      <c r="X3766" s="6">
        <f t="shared" si="585"/>
        <v>0</v>
      </c>
      <c r="Y3766" s="13">
        <f t="shared" si="577"/>
        <v>0</v>
      </c>
      <c r="Z3766" s="14">
        <v>0</v>
      </c>
      <c r="AA3766" s="6">
        <v>0</v>
      </c>
      <c r="AB3766" s="4"/>
      <c r="AC3766" s="4">
        <f t="shared" si="580"/>
        <v>0</v>
      </c>
      <c r="AD3766" s="6">
        <f t="shared" si="582"/>
        <v>0</v>
      </c>
      <c r="AE3766" s="2">
        <f>VLOOKUP(I3766,[1]媒体政策预估表!A:N,MATCH(O3766,[1]媒体政策预估表!$A$2:$M$2,0),0)</f>
        <v>0.12</v>
      </c>
      <c r="AF3766" s="6">
        <f t="shared" si="581"/>
        <v>0</v>
      </c>
      <c r="AG3766" s="14">
        <v>0</v>
      </c>
      <c r="AH3766" s="64">
        <f t="shared" si="583"/>
        <v>0</v>
      </c>
      <c r="AI3766" s="47"/>
      <c r="AJ3766" s="126">
        <v>6</v>
      </c>
      <c r="AK3766" s="80">
        <f t="shared" si="579"/>
        <v>0</v>
      </c>
      <c r="AM3766" s="85"/>
    </row>
    <row r="3767" spans="1:39" hidden="1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584"/>
        <v>22667.23</v>
      </c>
      <c r="X3767" s="6">
        <f t="shared" si="585"/>
        <v>0</v>
      </c>
      <c r="Y3767" s="13">
        <f t="shared" si="577"/>
        <v>0</v>
      </c>
      <c r="Z3767" s="14">
        <v>0</v>
      </c>
      <c r="AA3767" s="6">
        <v>0</v>
      </c>
      <c r="AB3767" s="4">
        <f t="shared" si="578"/>
        <v>0</v>
      </c>
      <c r="AC3767" s="4">
        <f t="shared" si="580"/>
        <v>0</v>
      </c>
      <c r="AD3767" s="6">
        <f t="shared" si="582"/>
        <v>0</v>
      </c>
      <c r="AE3767" s="2">
        <f>VLOOKUP(I3767,[1]媒体政策预估表!A:N,MATCH(O3767,[1]媒体政策预估表!$A$2:$M$2,0),0)</f>
        <v>7.0000000000000007E-2</v>
      </c>
      <c r="AF3767" s="6">
        <f t="shared" si="581"/>
        <v>0</v>
      </c>
      <c r="AG3767" s="14">
        <v>0</v>
      </c>
      <c r="AH3767" s="64">
        <f t="shared" si="583"/>
        <v>0</v>
      </c>
      <c r="AI3767" s="47"/>
      <c r="AJ3767" s="126" t="e">
        <v>#N/A</v>
      </c>
      <c r="AK3767" s="80">
        <f t="shared" si="579"/>
        <v>0</v>
      </c>
      <c r="AM3767" s="85"/>
    </row>
    <row r="3768" spans="1:39" hidden="1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584"/>
        <v>3016.8</v>
      </c>
      <c r="X3768" s="6">
        <f t="shared" si="585"/>
        <v>0</v>
      </c>
      <c r="Y3768" s="13">
        <f t="shared" si="577"/>
        <v>0</v>
      </c>
      <c r="Z3768" s="14">
        <v>0</v>
      </c>
      <c r="AA3768" s="6">
        <v>0</v>
      </c>
      <c r="AB3768" s="4">
        <f t="shared" si="578"/>
        <v>0</v>
      </c>
      <c r="AC3768" s="4">
        <f t="shared" si="580"/>
        <v>0</v>
      </c>
      <c r="AD3768" s="6">
        <f t="shared" si="582"/>
        <v>0</v>
      </c>
      <c r="AE3768" s="2">
        <f>VLOOKUP(I3768,[1]媒体政策预估表!A:N,MATCH(O3768,[1]媒体政策预估表!$A$2:$M$2,0),0)</f>
        <v>7.0000000000000007E-2</v>
      </c>
      <c r="AF3768" s="6">
        <f t="shared" si="581"/>
        <v>0</v>
      </c>
      <c r="AG3768" s="14">
        <v>0</v>
      </c>
      <c r="AH3768" s="64">
        <f t="shared" si="583"/>
        <v>0</v>
      </c>
      <c r="AI3768" s="47"/>
      <c r="AJ3768" s="126" t="e">
        <v>#N/A</v>
      </c>
      <c r="AK3768" s="80">
        <f t="shared" si="579"/>
        <v>0</v>
      </c>
      <c r="AM3768" s="85"/>
    </row>
    <row r="3769" spans="1:39" hidden="1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584"/>
        <v>396.2</v>
      </c>
      <c r="X3769" s="6">
        <f t="shared" si="585"/>
        <v>0</v>
      </c>
      <c r="Y3769" s="13">
        <f t="shared" si="577"/>
        <v>0</v>
      </c>
      <c r="Z3769" s="14">
        <v>0</v>
      </c>
      <c r="AA3769" s="6">
        <v>0</v>
      </c>
      <c r="AB3769" s="4">
        <f t="shared" si="578"/>
        <v>0</v>
      </c>
      <c r="AC3769" s="4">
        <f t="shared" si="580"/>
        <v>0</v>
      </c>
      <c r="AD3769" s="6">
        <f t="shared" si="582"/>
        <v>0</v>
      </c>
      <c r="AE3769" s="2">
        <f>VLOOKUP(I3769,[1]媒体政策预估表!A:N,MATCH(O3769,[1]媒体政策预估表!$A$2:$M$2,0),0)</f>
        <v>0.12</v>
      </c>
      <c r="AF3769" s="6">
        <f t="shared" si="581"/>
        <v>0</v>
      </c>
      <c r="AG3769" s="14">
        <v>0</v>
      </c>
      <c r="AH3769" s="64">
        <f t="shared" si="583"/>
        <v>0</v>
      </c>
      <c r="AI3769" s="47"/>
      <c r="AJ3769" s="126" t="e">
        <v>#N/A</v>
      </c>
      <c r="AK3769" s="80">
        <f t="shared" si="579"/>
        <v>0</v>
      </c>
      <c r="AM3769" s="85"/>
    </row>
    <row r="3770" spans="1:39" hidden="1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584"/>
        <v>127.88</v>
      </c>
      <c r="X3770" s="6">
        <f t="shared" si="585"/>
        <v>0</v>
      </c>
      <c r="Y3770" s="13">
        <f t="shared" si="577"/>
        <v>0</v>
      </c>
      <c r="Z3770" s="14">
        <v>0</v>
      </c>
      <c r="AA3770" s="6">
        <v>0</v>
      </c>
      <c r="AB3770" s="4"/>
      <c r="AC3770" s="4">
        <f t="shared" si="580"/>
        <v>0</v>
      </c>
      <c r="AD3770" s="6">
        <f t="shared" si="582"/>
        <v>0</v>
      </c>
      <c r="AE3770" s="2">
        <f>VLOOKUP(I3770,[1]媒体政策预估表!A:N,MATCH(O3770,[1]媒体政策预估表!$A$2:$M$2,0),0)</f>
        <v>0.12</v>
      </c>
      <c r="AF3770" s="6">
        <f t="shared" si="581"/>
        <v>0</v>
      </c>
      <c r="AG3770" s="14">
        <v>0</v>
      </c>
      <c r="AH3770" s="64">
        <f t="shared" si="583"/>
        <v>0</v>
      </c>
      <c r="AI3770" s="47"/>
      <c r="AJ3770" s="126">
        <v>59</v>
      </c>
      <c r="AK3770" s="80">
        <f t="shared" si="579"/>
        <v>0</v>
      </c>
      <c r="AM3770" s="85"/>
    </row>
    <row r="3771" spans="1:39" hidden="1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584"/>
        <v>1615.52</v>
      </c>
      <c r="X3771" s="6">
        <f t="shared" si="585"/>
        <v>0</v>
      </c>
      <c r="Y3771" s="13">
        <f t="shared" si="577"/>
        <v>0</v>
      </c>
      <c r="Z3771" s="14">
        <v>0</v>
      </c>
      <c r="AA3771" s="6">
        <v>0</v>
      </c>
      <c r="AB3771" s="4">
        <f t="shared" si="578"/>
        <v>0</v>
      </c>
      <c r="AC3771" s="4">
        <f t="shared" si="580"/>
        <v>0</v>
      </c>
      <c r="AD3771" s="6">
        <f t="shared" si="582"/>
        <v>0</v>
      </c>
      <c r="AE3771" s="2">
        <f>VLOOKUP(I3771,[1]媒体政策预估表!A:N,MATCH(O3771,[1]媒体政策预估表!$A$2:$M$2,0),0)</f>
        <v>0.12</v>
      </c>
      <c r="AF3771" s="6">
        <f t="shared" si="581"/>
        <v>0</v>
      </c>
      <c r="AG3771" s="14">
        <v>0</v>
      </c>
      <c r="AH3771" s="64">
        <f t="shared" si="583"/>
        <v>0</v>
      </c>
      <c r="AI3771" s="47"/>
      <c r="AJ3771" s="126" t="e">
        <v>#N/A</v>
      </c>
      <c r="AK3771" s="80">
        <f t="shared" si="579"/>
        <v>0</v>
      </c>
      <c r="AM3771" s="85"/>
    </row>
    <row r="3772" spans="1:39" hidden="1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584"/>
        <v>160.54</v>
      </c>
      <c r="X3772" s="6">
        <f t="shared" si="585"/>
        <v>0</v>
      </c>
      <c r="Y3772" s="13">
        <f t="shared" si="577"/>
        <v>0</v>
      </c>
      <c r="Z3772" s="14">
        <v>0</v>
      </c>
      <c r="AA3772" s="6">
        <v>0</v>
      </c>
      <c r="AB3772" s="4">
        <f t="shared" si="578"/>
        <v>0</v>
      </c>
      <c r="AC3772" s="4">
        <f t="shared" si="580"/>
        <v>0</v>
      </c>
      <c r="AD3772" s="6">
        <f t="shared" si="582"/>
        <v>0</v>
      </c>
      <c r="AE3772" s="2">
        <f>VLOOKUP(I3772,[1]媒体政策预估表!A:N,MATCH(O3772,[1]媒体政策预估表!$A$2:$M$2,0),0)</f>
        <v>0.12</v>
      </c>
      <c r="AF3772" s="6">
        <f t="shared" si="581"/>
        <v>0</v>
      </c>
      <c r="AG3772" s="14">
        <v>0</v>
      </c>
      <c r="AH3772" s="64">
        <f t="shared" si="583"/>
        <v>0</v>
      </c>
      <c r="AI3772" s="47"/>
      <c r="AJ3772" s="126" t="e">
        <v>#N/A</v>
      </c>
      <c r="AK3772" s="80">
        <f t="shared" si="579"/>
        <v>0</v>
      </c>
      <c r="AM3772" s="85"/>
    </row>
    <row r="3773" spans="1:39" hidden="1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584"/>
        <v>5.08</v>
      </c>
      <c r="X3773" s="6">
        <f t="shared" si="585"/>
        <v>0</v>
      </c>
      <c r="Y3773" s="13">
        <f t="shared" si="577"/>
        <v>0</v>
      </c>
      <c r="Z3773" s="14">
        <v>0</v>
      </c>
      <c r="AA3773" s="6">
        <v>0</v>
      </c>
      <c r="AB3773" s="4">
        <f t="shared" si="578"/>
        <v>0</v>
      </c>
      <c r="AC3773" s="4">
        <f t="shared" si="580"/>
        <v>0</v>
      </c>
      <c r="AD3773" s="6">
        <f t="shared" si="582"/>
        <v>0</v>
      </c>
      <c r="AE3773" s="2">
        <f>VLOOKUP(I3773,[1]媒体政策预估表!A:N,MATCH(O3773,[1]媒体政策预估表!$A$2:$M$2,0),0)</f>
        <v>0.12</v>
      </c>
      <c r="AF3773" s="6">
        <f t="shared" si="581"/>
        <v>0</v>
      </c>
      <c r="AG3773" s="14">
        <v>0</v>
      </c>
      <c r="AH3773" s="64">
        <f t="shared" si="583"/>
        <v>0</v>
      </c>
      <c r="AI3773" s="47"/>
      <c r="AJ3773" s="126" t="e">
        <v>#N/A</v>
      </c>
      <c r="AK3773" s="80">
        <f t="shared" si="579"/>
        <v>0</v>
      </c>
      <c r="AM3773" s="85"/>
    </row>
    <row r="3774" spans="1:39" hidden="1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584"/>
        <v>580.39</v>
      </c>
      <c r="X3774" s="6">
        <f t="shared" si="585"/>
        <v>0</v>
      </c>
      <c r="Y3774" s="13">
        <f t="shared" si="577"/>
        <v>0</v>
      </c>
      <c r="Z3774" s="14">
        <v>0</v>
      </c>
      <c r="AA3774" s="6">
        <v>0</v>
      </c>
      <c r="AB3774" s="4">
        <f t="shared" si="578"/>
        <v>0</v>
      </c>
      <c r="AC3774" s="4">
        <f t="shared" si="580"/>
        <v>0</v>
      </c>
      <c r="AD3774" s="6">
        <f t="shared" si="582"/>
        <v>0</v>
      </c>
      <c r="AE3774" s="2">
        <f>VLOOKUP(I3774,[1]媒体政策预估表!A:N,MATCH(O3774,[1]媒体政策预估表!$A$2:$M$2,0),0)</f>
        <v>0.12</v>
      </c>
      <c r="AF3774" s="6">
        <f t="shared" si="581"/>
        <v>0</v>
      </c>
      <c r="AG3774" s="14">
        <v>0</v>
      </c>
      <c r="AH3774" s="64">
        <f t="shared" si="583"/>
        <v>0</v>
      </c>
      <c r="AI3774" s="47"/>
      <c r="AJ3774" s="126" t="e">
        <v>#N/A</v>
      </c>
      <c r="AK3774" s="80">
        <f t="shared" si="579"/>
        <v>0</v>
      </c>
      <c r="AM3774" s="85"/>
    </row>
    <row r="3775" spans="1:39" hidden="1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584"/>
        <v>172.33</v>
      </c>
      <c r="X3775" s="6">
        <f t="shared" si="585"/>
        <v>0</v>
      </c>
      <c r="Y3775" s="13">
        <f t="shared" si="577"/>
        <v>0</v>
      </c>
      <c r="Z3775" s="14">
        <v>0</v>
      </c>
      <c r="AA3775" s="6">
        <v>0</v>
      </c>
      <c r="AB3775" s="4">
        <f t="shared" si="578"/>
        <v>0</v>
      </c>
      <c r="AC3775" s="4">
        <f t="shared" si="580"/>
        <v>0</v>
      </c>
      <c r="AD3775" s="6">
        <f t="shared" si="582"/>
        <v>0</v>
      </c>
      <c r="AE3775" s="2">
        <f>VLOOKUP(I3775,[1]媒体政策预估表!A:N,MATCH(O3775,[1]媒体政策预估表!$A$2:$M$2,0),0)</f>
        <v>0.12</v>
      </c>
      <c r="AF3775" s="6">
        <f t="shared" si="581"/>
        <v>0</v>
      </c>
      <c r="AG3775" s="14">
        <v>0</v>
      </c>
      <c r="AH3775" s="64">
        <f t="shared" si="583"/>
        <v>0</v>
      </c>
      <c r="AI3775" s="47"/>
      <c r="AJ3775" s="126" t="e">
        <v>#N/A</v>
      </c>
      <c r="AK3775" s="80">
        <f t="shared" si="579"/>
        <v>0</v>
      </c>
      <c r="AM3775" s="85"/>
    </row>
    <row r="3776" spans="1:39" hidden="1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584"/>
        <v>68.290000000000006</v>
      </c>
      <c r="X3776" s="6">
        <f t="shared" si="585"/>
        <v>0</v>
      </c>
      <c r="Y3776" s="13">
        <f t="shared" si="577"/>
        <v>0</v>
      </c>
      <c r="Z3776" s="14">
        <v>0</v>
      </c>
      <c r="AA3776" s="6">
        <v>0</v>
      </c>
      <c r="AB3776" s="4">
        <f t="shared" si="578"/>
        <v>0</v>
      </c>
      <c r="AC3776" s="4">
        <f t="shared" si="580"/>
        <v>0</v>
      </c>
      <c r="AD3776" s="6">
        <f t="shared" si="582"/>
        <v>0</v>
      </c>
      <c r="AE3776" s="2">
        <f>VLOOKUP(I3776,[1]媒体政策预估表!A:N,MATCH(O3776,[1]媒体政策预估表!$A$2:$M$2,0),0)</f>
        <v>0.12</v>
      </c>
      <c r="AF3776" s="6">
        <f t="shared" si="581"/>
        <v>0</v>
      </c>
      <c r="AG3776" s="14">
        <v>0</v>
      </c>
      <c r="AH3776" s="64">
        <f t="shared" si="583"/>
        <v>0</v>
      </c>
      <c r="AI3776" s="47"/>
      <c r="AJ3776" s="126" t="e">
        <v>#N/A</v>
      </c>
      <c r="AK3776" s="80">
        <f t="shared" si="579"/>
        <v>0</v>
      </c>
      <c r="AM3776" s="85"/>
    </row>
    <row r="3777" spans="1:39" hidden="1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584"/>
        <v>20.149999999999999</v>
      </c>
      <c r="X3777" s="6">
        <f t="shared" si="585"/>
        <v>0</v>
      </c>
      <c r="Y3777" s="13">
        <f t="shared" si="577"/>
        <v>0</v>
      </c>
      <c r="Z3777" s="14">
        <v>0</v>
      </c>
      <c r="AA3777" s="6">
        <v>0</v>
      </c>
      <c r="AB3777" s="4">
        <f t="shared" si="578"/>
        <v>0</v>
      </c>
      <c r="AC3777" s="4">
        <f t="shared" si="580"/>
        <v>0</v>
      </c>
      <c r="AD3777" s="6">
        <f t="shared" si="582"/>
        <v>0</v>
      </c>
      <c r="AE3777" s="2">
        <f>VLOOKUP(I3777,[1]媒体政策预估表!A:N,MATCH(O3777,[1]媒体政策预估表!$A$2:$M$2,0),0)</f>
        <v>7.0000000000000007E-2</v>
      </c>
      <c r="AF3777" s="6">
        <f t="shared" si="581"/>
        <v>0</v>
      </c>
      <c r="AG3777" s="14">
        <v>0</v>
      </c>
      <c r="AH3777" s="64">
        <f t="shared" si="583"/>
        <v>0</v>
      </c>
      <c r="AI3777" s="47"/>
      <c r="AJ3777" s="126" t="e">
        <v>#N/A</v>
      </c>
      <c r="AK3777" s="80">
        <f t="shared" si="579"/>
        <v>0</v>
      </c>
      <c r="AM3777" s="85"/>
    </row>
    <row r="3778" spans="1:39" hidden="1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584"/>
        <v>12076.74</v>
      </c>
      <c r="X3778" s="6">
        <f t="shared" si="585"/>
        <v>0</v>
      </c>
      <c r="Y3778" s="13">
        <f t="shared" si="577"/>
        <v>0</v>
      </c>
      <c r="Z3778" s="14">
        <v>0</v>
      </c>
      <c r="AA3778" s="6">
        <v>0</v>
      </c>
      <c r="AB3778" s="4">
        <f t="shared" si="578"/>
        <v>0</v>
      </c>
      <c r="AC3778" s="4">
        <f t="shared" si="580"/>
        <v>0</v>
      </c>
      <c r="AD3778" s="6">
        <f t="shared" si="582"/>
        <v>0</v>
      </c>
      <c r="AE3778" s="2">
        <f>VLOOKUP(I3778,[1]媒体政策预估表!A:N,MATCH(O3778,[1]媒体政策预估表!$A$2:$M$2,0),0)</f>
        <v>0.12</v>
      </c>
      <c r="AF3778" s="6">
        <f t="shared" si="581"/>
        <v>0</v>
      </c>
      <c r="AG3778" s="14">
        <v>0</v>
      </c>
      <c r="AH3778" s="64">
        <f t="shared" si="583"/>
        <v>0</v>
      </c>
      <c r="AI3778" s="47"/>
      <c r="AJ3778" s="126" t="e">
        <v>#N/A</v>
      </c>
      <c r="AK3778" s="80">
        <f t="shared" si="579"/>
        <v>0</v>
      </c>
      <c r="AM3778" s="85"/>
    </row>
    <row r="3779" spans="1:39" hidden="1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584"/>
        <v>9995.36</v>
      </c>
      <c r="X3779" s="6">
        <f t="shared" si="585"/>
        <v>0</v>
      </c>
      <c r="Y3779" s="13">
        <f t="shared" ref="Y3779:Y3842" si="586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587">X3779+AA3779</f>
        <v>0</v>
      </c>
      <c r="AC3779" s="4">
        <f t="shared" si="580"/>
        <v>0</v>
      </c>
      <c r="AD3779" s="6">
        <f t="shared" si="582"/>
        <v>0</v>
      </c>
      <c r="AE3779" s="2">
        <f>VLOOKUP(I3779,[1]媒体政策预估表!A:N,MATCH(O3779,[1]媒体政策预估表!$A$2:$M$2,0),0)</f>
        <v>0.12</v>
      </c>
      <c r="AF3779" s="6">
        <f t="shared" si="581"/>
        <v>0</v>
      </c>
      <c r="AG3779" s="14">
        <v>0</v>
      </c>
      <c r="AH3779" s="64">
        <f t="shared" si="583"/>
        <v>0</v>
      </c>
      <c r="AI3779" s="47"/>
      <c r="AJ3779" s="126" t="e">
        <v>#N/A</v>
      </c>
      <c r="AK3779" s="80">
        <f t="shared" ref="AK3779:AK3842" si="588">X3779+AA3779-AB3779</f>
        <v>0</v>
      </c>
      <c r="AM3779" s="85"/>
    </row>
    <row r="3780" spans="1:39" hidden="1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584"/>
        <v>5130.5</v>
      </c>
      <c r="X3780" s="6">
        <f t="shared" si="585"/>
        <v>0</v>
      </c>
      <c r="Y3780" s="13">
        <f t="shared" si="586"/>
        <v>0</v>
      </c>
      <c r="Z3780" s="14">
        <v>0</v>
      </c>
      <c r="AA3780" s="6">
        <v>0</v>
      </c>
      <c r="AB3780" s="4">
        <f t="shared" si="587"/>
        <v>0</v>
      </c>
      <c r="AC3780" s="4">
        <f t="shared" si="580"/>
        <v>0</v>
      </c>
      <c r="AD3780" s="6">
        <f t="shared" si="582"/>
        <v>0</v>
      </c>
      <c r="AE3780" s="2">
        <f>VLOOKUP(I3780,[1]媒体政策预估表!A:N,MATCH(O3780,[1]媒体政策预估表!$A$2:$M$2,0),0)</f>
        <v>7.0000000000000007E-2</v>
      </c>
      <c r="AF3780" s="6">
        <f t="shared" si="581"/>
        <v>0</v>
      </c>
      <c r="AG3780" s="14">
        <v>0</v>
      </c>
      <c r="AH3780" s="64">
        <f t="shared" si="583"/>
        <v>0</v>
      </c>
      <c r="AI3780" s="47"/>
      <c r="AJ3780" s="126" t="e">
        <v>#N/A</v>
      </c>
      <c r="AK3780" s="80">
        <f t="shared" si="588"/>
        <v>0</v>
      </c>
      <c r="AM3780" s="85"/>
    </row>
    <row r="3781" spans="1:39" hidden="1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584"/>
        <v>646.35</v>
      </c>
      <c r="X3781" s="6">
        <f t="shared" si="585"/>
        <v>0</v>
      </c>
      <c r="Y3781" s="13">
        <f t="shared" si="586"/>
        <v>0</v>
      </c>
      <c r="Z3781" s="14">
        <v>0</v>
      </c>
      <c r="AA3781" s="6">
        <v>0</v>
      </c>
      <c r="AB3781" s="4">
        <f t="shared" si="587"/>
        <v>0</v>
      </c>
      <c r="AC3781" s="4">
        <f t="shared" si="580"/>
        <v>0</v>
      </c>
      <c r="AD3781" s="6">
        <f t="shared" si="582"/>
        <v>0</v>
      </c>
      <c r="AE3781" s="2">
        <f>VLOOKUP(I3781,[1]媒体政策预估表!A:N,MATCH(O3781,[1]媒体政策预估表!$A$2:$M$2,0),0)</f>
        <v>0.12</v>
      </c>
      <c r="AF3781" s="6">
        <f t="shared" si="581"/>
        <v>0</v>
      </c>
      <c r="AG3781" s="14">
        <v>0</v>
      </c>
      <c r="AH3781" s="64">
        <f t="shared" si="583"/>
        <v>0</v>
      </c>
      <c r="AI3781" s="47"/>
      <c r="AJ3781" s="126" t="e">
        <v>#N/A</v>
      </c>
      <c r="AK3781" s="80">
        <f t="shared" si="588"/>
        <v>0</v>
      </c>
      <c r="AM3781" s="85"/>
    </row>
    <row r="3782" spans="1:39" hidden="1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584"/>
        <v>1682.6</v>
      </c>
      <c r="X3782" s="6">
        <f t="shared" si="585"/>
        <v>0</v>
      </c>
      <c r="Y3782" s="13">
        <f t="shared" si="586"/>
        <v>0</v>
      </c>
      <c r="Z3782" s="14">
        <v>0</v>
      </c>
      <c r="AA3782" s="6">
        <v>0</v>
      </c>
      <c r="AB3782" s="4">
        <f t="shared" si="587"/>
        <v>0</v>
      </c>
      <c r="AC3782" s="4">
        <f t="shared" si="580"/>
        <v>0</v>
      </c>
      <c r="AD3782" s="6">
        <f t="shared" si="582"/>
        <v>0</v>
      </c>
      <c r="AE3782" s="2">
        <f>VLOOKUP(I3782,[1]媒体政策预估表!A:N,MATCH(O3782,[1]媒体政策预估表!$A$2:$M$2,0),0)</f>
        <v>7.0000000000000007E-2</v>
      </c>
      <c r="AF3782" s="6">
        <f t="shared" si="581"/>
        <v>0</v>
      </c>
      <c r="AG3782" s="14">
        <v>0</v>
      </c>
      <c r="AH3782" s="64">
        <f t="shared" si="583"/>
        <v>0</v>
      </c>
      <c r="AI3782" s="47"/>
      <c r="AJ3782" s="126" t="e">
        <v>#N/A</v>
      </c>
      <c r="AK3782" s="80">
        <f t="shared" si="588"/>
        <v>0</v>
      </c>
      <c r="AM3782" s="85"/>
    </row>
    <row r="3783" spans="1:39" hidden="1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584"/>
        <v>24807.5</v>
      </c>
      <c r="X3783" s="6">
        <f t="shared" si="585"/>
        <v>0</v>
      </c>
      <c r="Y3783" s="13">
        <f t="shared" si="586"/>
        <v>0</v>
      </c>
      <c r="Z3783" s="14">
        <v>0</v>
      </c>
      <c r="AA3783" s="6">
        <v>0</v>
      </c>
      <c r="AB3783" s="4">
        <f t="shared" si="587"/>
        <v>0</v>
      </c>
      <c r="AC3783" s="4">
        <f t="shared" si="580"/>
        <v>0</v>
      </c>
      <c r="AD3783" s="6">
        <f t="shared" si="582"/>
        <v>0</v>
      </c>
      <c r="AE3783" s="2">
        <f>VLOOKUP(I3783,[1]媒体政策预估表!A:N,MATCH(O3783,[1]媒体政策预估表!$A$2:$M$2,0),0)</f>
        <v>7.0000000000000007E-2</v>
      </c>
      <c r="AF3783" s="6">
        <f t="shared" si="581"/>
        <v>0</v>
      </c>
      <c r="AG3783" s="14">
        <v>0</v>
      </c>
      <c r="AH3783" s="64">
        <f t="shared" si="583"/>
        <v>0</v>
      </c>
      <c r="AI3783" s="47"/>
      <c r="AJ3783" s="126" t="e">
        <v>#N/A</v>
      </c>
      <c r="AK3783" s="80">
        <f t="shared" si="588"/>
        <v>0</v>
      </c>
      <c r="AM3783" s="85"/>
    </row>
    <row r="3784" spans="1:39" hidden="1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584"/>
        <v>18920.45</v>
      </c>
      <c r="X3784" s="6">
        <f t="shared" si="585"/>
        <v>0</v>
      </c>
      <c r="Y3784" s="13">
        <f t="shared" si="586"/>
        <v>0</v>
      </c>
      <c r="Z3784" s="14">
        <v>0</v>
      </c>
      <c r="AA3784" s="6">
        <v>0</v>
      </c>
      <c r="AB3784" s="4">
        <f t="shared" si="587"/>
        <v>0</v>
      </c>
      <c r="AC3784" s="4">
        <f t="shared" si="580"/>
        <v>0</v>
      </c>
      <c r="AD3784" s="6">
        <f t="shared" si="582"/>
        <v>0</v>
      </c>
      <c r="AE3784" s="2">
        <f>VLOOKUP(I3784,[1]媒体政策预估表!A:N,MATCH(O3784,[1]媒体政策预估表!$A$2:$M$2,0),0)</f>
        <v>7.0000000000000007E-2</v>
      </c>
      <c r="AF3784" s="6">
        <f t="shared" si="581"/>
        <v>0</v>
      </c>
      <c r="AG3784" s="14">
        <v>0</v>
      </c>
      <c r="AH3784" s="64">
        <f t="shared" si="583"/>
        <v>0</v>
      </c>
      <c r="AI3784" s="47"/>
      <c r="AJ3784" s="126" t="e">
        <v>#N/A</v>
      </c>
      <c r="AK3784" s="80">
        <f t="shared" si="588"/>
        <v>0</v>
      </c>
      <c r="AM3784" s="85"/>
    </row>
    <row r="3785" spans="1:39" hidden="1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584"/>
        <v>697.7</v>
      </c>
      <c r="X3785" s="6">
        <f t="shared" si="585"/>
        <v>0</v>
      </c>
      <c r="Y3785" s="13">
        <f t="shared" si="586"/>
        <v>0</v>
      </c>
      <c r="Z3785" s="14">
        <v>0</v>
      </c>
      <c r="AA3785" s="6">
        <v>0</v>
      </c>
      <c r="AB3785" s="4">
        <f t="shared" si="587"/>
        <v>0</v>
      </c>
      <c r="AC3785" s="4">
        <f t="shared" si="580"/>
        <v>0</v>
      </c>
      <c r="AD3785" s="6">
        <f t="shared" si="582"/>
        <v>0</v>
      </c>
      <c r="AE3785" s="2">
        <f>VLOOKUP(I3785,[1]媒体政策预估表!A:N,MATCH(O3785,[1]媒体政策预估表!$A$2:$M$2,0),0)</f>
        <v>7.0000000000000007E-2</v>
      </c>
      <c r="AF3785" s="6">
        <f t="shared" si="581"/>
        <v>0</v>
      </c>
      <c r="AG3785" s="14">
        <v>0</v>
      </c>
      <c r="AH3785" s="64">
        <f t="shared" si="583"/>
        <v>0</v>
      </c>
      <c r="AI3785" s="47"/>
      <c r="AJ3785" s="126" t="e">
        <v>#N/A</v>
      </c>
      <c r="AK3785" s="80">
        <f t="shared" si="588"/>
        <v>0</v>
      </c>
      <c r="AM3785" s="85"/>
    </row>
    <row r="3786" spans="1:39" hidden="1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584"/>
        <v>2.4500000000000002</v>
      </c>
      <c r="X3786" s="6">
        <f t="shared" si="585"/>
        <v>0</v>
      </c>
      <c r="Y3786" s="13">
        <f t="shared" si="586"/>
        <v>0</v>
      </c>
      <c r="Z3786" s="14">
        <v>0</v>
      </c>
      <c r="AA3786" s="6">
        <v>0</v>
      </c>
      <c r="AB3786" s="4">
        <f t="shared" si="587"/>
        <v>0</v>
      </c>
      <c r="AC3786" s="4">
        <f t="shared" si="580"/>
        <v>0</v>
      </c>
      <c r="AD3786" s="6">
        <f t="shared" si="582"/>
        <v>0</v>
      </c>
      <c r="AE3786" s="2">
        <f>VLOOKUP(I3786,[1]媒体政策预估表!A:N,MATCH(O3786,[1]媒体政策预估表!$A$2:$M$2,0),0)</f>
        <v>7.0000000000000007E-2</v>
      </c>
      <c r="AF3786" s="6">
        <f t="shared" si="581"/>
        <v>0</v>
      </c>
      <c r="AG3786" s="14">
        <v>0</v>
      </c>
      <c r="AH3786" s="64">
        <f t="shared" si="583"/>
        <v>0</v>
      </c>
      <c r="AI3786" s="47"/>
      <c r="AJ3786" s="126" t="e">
        <v>#N/A</v>
      </c>
      <c r="AK3786" s="80">
        <f t="shared" si="588"/>
        <v>0</v>
      </c>
      <c r="AM3786" s="85"/>
    </row>
    <row r="3787" spans="1:39" hidden="1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584"/>
        <v>1667.34</v>
      </c>
      <c r="X3787" s="6">
        <f t="shared" si="585"/>
        <v>0</v>
      </c>
      <c r="Y3787" s="13">
        <f t="shared" si="586"/>
        <v>0</v>
      </c>
      <c r="Z3787" s="14">
        <v>0</v>
      </c>
      <c r="AA3787" s="6">
        <v>0</v>
      </c>
      <c r="AB3787" s="4">
        <f t="shared" si="587"/>
        <v>0</v>
      </c>
      <c r="AC3787" s="4">
        <f t="shared" si="580"/>
        <v>0</v>
      </c>
      <c r="AD3787" s="6">
        <f t="shared" si="582"/>
        <v>0</v>
      </c>
      <c r="AE3787" s="2">
        <f>VLOOKUP(I3787,[1]媒体政策预估表!A:N,MATCH(O3787,[1]媒体政策预估表!$A$2:$M$2,0),0)</f>
        <v>7.0000000000000007E-2</v>
      </c>
      <c r="AF3787" s="6">
        <f t="shared" si="581"/>
        <v>0</v>
      </c>
      <c r="AG3787" s="14">
        <v>0</v>
      </c>
      <c r="AH3787" s="64">
        <f t="shared" si="583"/>
        <v>0</v>
      </c>
      <c r="AI3787" s="47"/>
      <c r="AJ3787" s="126" t="e">
        <v>#N/A</v>
      </c>
      <c r="AK3787" s="80">
        <f t="shared" si="588"/>
        <v>0</v>
      </c>
      <c r="AM3787" s="85"/>
    </row>
    <row r="3788" spans="1:39" hidden="1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584"/>
        <v>2298.7800000000002</v>
      </c>
      <c r="X3788" s="6">
        <f t="shared" si="585"/>
        <v>0</v>
      </c>
      <c r="Y3788" s="13">
        <f t="shared" si="586"/>
        <v>0</v>
      </c>
      <c r="Z3788" s="14">
        <v>0</v>
      </c>
      <c r="AA3788" s="6">
        <v>0</v>
      </c>
      <c r="AB3788" s="4">
        <f t="shared" si="587"/>
        <v>0</v>
      </c>
      <c r="AC3788" s="4">
        <f t="shared" ref="AC3788:AC3851" si="589">IF(P3788="返现",X3788*Q3788,V3788-X3788)</f>
        <v>0</v>
      </c>
      <c r="AD3788" s="6">
        <f t="shared" si="582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590">AD3788*AE3788</f>
        <v>0</v>
      </c>
      <c r="AG3788" s="14">
        <v>0</v>
      </c>
      <c r="AH3788" s="64">
        <f t="shared" si="583"/>
        <v>0</v>
      </c>
      <c r="AI3788" s="47"/>
      <c r="AJ3788" s="126" t="e">
        <v>#N/A</v>
      </c>
      <c r="AK3788" s="80">
        <f t="shared" si="588"/>
        <v>0</v>
      </c>
      <c r="AM3788" s="85"/>
    </row>
    <row r="3789" spans="1:39" hidden="1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584"/>
        <v>9444.5</v>
      </c>
      <c r="X3789" s="6">
        <f t="shared" si="585"/>
        <v>0</v>
      </c>
      <c r="Y3789" s="13">
        <f t="shared" si="586"/>
        <v>0</v>
      </c>
      <c r="Z3789" s="14">
        <v>0</v>
      </c>
      <c r="AA3789" s="6">
        <v>0</v>
      </c>
      <c r="AB3789" s="4">
        <f t="shared" si="587"/>
        <v>0</v>
      </c>
      <c r="AC3789" s="4">
        <f t="shared" si="589"/>
        <v>0</v>
      </c>
      <c r="AD3789" s="6">
        <f t="shared" si="582"/>
        <v>0</v>
      </c>
      <c r="AE3789" s="2">
        <f>VLOOKUP(I3789,[1]媒体政策预估表!A:N,MATCH(O3789,[1]媒体政策预估表!$A$2:$M$2,0),0)</f>
        <v>7.0000000000000007E-2</v>
      </c>
      <c r="AF3789" s="6">
        <f t="shared" si="590"/>
        <v>0</v>
      </c>
      <c r="AG3789" s="14">
        <v>0</v>
      </c>
      <c r="AH3789" s="64">
        <f t="shared" si="583"/>
        <v>0</v>
      </c>
      <c r="AI3789" s="47"/>
      <c r="AJ3789" s="126" t="e">
        <v>#N/A</v>
      </c>
      <c r="AK3789" s="80">
        <f t="shared" si="588"/>
        <v>0</v>
      </c>
      <c r="AM3789" s="85"/>
    </row>
    <row r="3790" spans="1:39" hidden="1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584"/>
        <v>2383.9499999999998</v>
      </c>
      <c r="X3790" s="6">
        <f t="shared" si="585"/>
        <v>0</v>
      </c>
      <c r="Y3790" s="13">
        <f t="shared" si="586"/>
        <v>0</v>
      </c>
      <c r="Z3790" s="14">
        <v>0</v>
      </c>
      <c r="AA3790" s="6">
        <v>0</v>
      </c>
      <c r="AB3790" s="4">
        <f t="shared" si="587"/>
        <v>0</v>
      </c>
      <c r="AC3790" s="4">
        <f t="shared" si="589"/>
        <v>0</v>
      </c>
      <c r="AD3790" s="6">
        <f t="shared" si="582"/>
        <v>0</v>
      </c>
      <c r="AE3790" s="2">
        <f>VLOOKUP(I3790,[1]媒体政策预估表!A:N,MATCH(O3790,[1]媒体政策预估表!$A$2:$M$2,0),0)</f>
        <v>7.0000000000000007E-2</v>
      </c>
      <c r="AF3790" s="6">
        <f t="shared" si="590"/>
        <v>0</v>
      </c>
      <c r="AG3790" s="14">
        <v>0</v>
      </c>
      <c r="AH3790" s="64">
        <f t="shared" si="583"/>
        <v>0</v>
      </c>
      <c r="AI3790" s="47"/>
      <c r="AJ3790" s="126" t="e">
        <v>#N/A</v>
      </c>
      <c r="AK3790" s="80">
        <f t="shared" si="588"/>
        <v>0</v>
      </c>
      <c r="AM3790" s="85"/>
    </row>
    <row r="3791" spans="1:39" hidden="1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584"/>
        <v>5768.6</v>
      </c>
      <c r="X3791" s="6">
        <f t="shared" si="585"/>
        <v>0</v>
      </c>
      <c r="Y3791" s="13">
        <f t="shared" si="586"/>
        <v>0</v>
      </c>
      <c r="Z3791" s="14">
        <v>0</v>
      </c>
      <c r="AA3791" s="6">
        <v>0</v>
      </c>
      <c r="AB3791" s="4">
        <f t="shared" si="587"/>
        <v>0</v>
      </c>
      <c r="AC3791" s="4">
        <f t="shared" si="589"/>
        <v>0</v>
      </c>
      <c r="AD3791" s="6">
        <f t="shared" si="582"/>
        <v>0</v>
      </c>
      <c r="AE3791" s="2">
        <f>VLOOKUP(I3791,[1]媒体政策预估表!A:N,MATCH(O3791,[1]媒体政策预估表!$A$2:$M$2,0),0)</f>
        <v>7.0000000000000007E-2</v>
      </c>
      <c r="AF3791" s="6">
        <f t="shared" si="590"/>
        <v>0</v>
      </c>
      <c r="AG3791" s="14">
        <v>0</v>
      </c>
      <c r="AH3791" s="64">
        <f t="shared" si="583"/>
        <v>0</v>
      </c>
      <c r="AI3791" s="47"/>
      <c r="AJ3791" s="126" t="e">
        <v>#N/A</v>
      </c>
      <c r="AK3791" s="80">
        <f t="shared" si="588"/>
        <v>0</v>
      </c>
      <c r="AM3791" s="85"/>
    </row>
    <row r="3792" spans="1:39" hidden="1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584"/>
        <v>6206</v>
      </c>
      <c r="X3792" s="6">
        <f t="shared" si="585"/>
        <v>0</v>
      </c>
      <c r="Y3792" s="13">
        <f t="shared" si="586"/>
        <v>0</v>
      </c>
      <c r="Z3792" s="14">
        <v>0</v>
      </c>
      <c r="AA3792" s="6">
        <v>0</v>
      </c>
      <c r="AB3792" s="4">
        <f t="shared" si="587"/>
        <v>0</v>
      </c>
      <c r="AC3792" s="4">
        <f t="shared" si="589"/>
        <v>0</v>
      </c>
      <c r="AD3792" s="6">
        <f t="shared" si="582"/>
        <v>0</v>
      </c>
      <c r="AE3792" s="2">
        <f>VLOOKUP(I3792,[1]媒体政策预估表!A:N,MATCH(O3792,[1]媒体政策预估表!$A$2:$M$2,0),0)</f>
        <v>7.0000000000000007E-2</v>
      </c>
      <c r="AF3792" s="6">
        <f t="shared" si="590"/>
        <v>0</v>
      </c>
      <c r="AG3792" s="14">
        <v>0</v>
      </c>
      <c r="AH3792" s="64">
        <f t="shared" si="583"/>
        <v>0</v>
      </c>
      <c r="AI3792" s="47"/>
      <c r="AJ3792" s="126" t="e">
        <v>#N/A</v>
      </c>
      <c r="AK3792" s="80">
        <f t="shared" si="588"/>
        <v>0</v>
      </c>
      <c r="AM3792" s="85"/>
    </row>
    <row r="3793" spans="1:39" hidden="1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584"/>
        <v>46724.05</v>
      </c>
      <c r="X3793" s="6">
        <f t="shared" si="585"/>
        <v>0</v>
      </c>
      <c r="Y3793" s="13">
        <f t="shared" si="586"/>
        <v>0</v>
      </c>
      <c r="Z3793" s="14">
        <v>0</v>
      </c>
      <c r="AA3793" s="6">
        <v>0</v>
      </c>
      <c r="AB3793" s="4">
        <f t="shared" si="587"/>
        <v>0</v>
      </c>
      <c r="AC3793" s="4">
        <f t="shared" si="589"/>
        <v>0</v>
      </c>
      <c r="AD3793" s="6">
        <f t="shared" si="582"/>
        <v>0</v>
      </c>
      <c r="AE3793" s="2">
        <f>VLOOKUP(I3793,[1]媒体政策预估表!A:N,MATCH(O3793,[1]媒体政策预估表!$A$2:$M$2,0),0)</f>
        <v>7.0000000000000007E-2</v>
      </c>
      <c r="AF3793" s="6">
        <f t="shared" si="590"/>
        <v>0</v>
      </c>
      <c r="AG3793" s="14">
        <v>0</v>
      </c>
      <c r="AH3793" s="64">
        <f t="shared" si="583"/>
        <v>0</v>
      </c>
      <c r="AI3793" s="47"/>
      <c r="AJ3793" s="126" t="e">
        <v>#N/A</v>
      </c>
      <c r="AK3793" s="80">
        <f t="shared" si="588"/>
        <v>0</v>
      </c>
      <c r="AM3793" s="85"/>
    </row>
    <row r="3794" spans="1:39" hidden="1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584"/>
        <v>59848.4</v>
      </c>
      <c r="X3794" s="6">
        <f t="shared" si="585"/>
        <v>0</v>
      </c>
      <c r="Y3794" s="13">
        <f t="shared" si="586"/>
        <v>0</v>
      </c>
      <c r="Z3794" s="14">
        <v>0</v>
      </c>
      <c r="AA3794" s="6">
        <v>0</v>
      </c>
      <c r="AB3794" s="4">
        <f t="shared" si="587"/>
        <v>0</v>
      </c>
      <c r="AC3794" s="4">
        <f t="shared" si="589"/>
        <v>0</v>
      </c>
      <c r="AD3794" s="6">
        <f t="shared" si="582"/>
        <v>0</v>
      </c>
      <c r="AE3794" s="2">
        <f>VLOOKUP(I3794,[1]媒体政策预估表!A:N,MATCH(O3794,[1]媒体政策预估表!$A$2:$M$2,0),0)</f>
        <v>7.0000000000000007E-2</v>
      </c>
      <c r="AF3794" s="6">
        <f t="shared" si="590"/>
        <v>0</v>
      </c>
      <c r="AG3794" s="14">
        <v>0</v>
      </c>
      <c r="AH3794" s="64">
        <f t="shared" si="583"/>
        <v>0</v>
      </c>
      <c r="AI3794" s="47"/>
      <c r="AJ3794" s="126" t="e">
        <v>#N/A</v>
      </c>
      <c r="AK3794" s="80">
        <f t="shared" si="588"/>
        <v>0</v>
      </c>
      <c r="AM3794" s="85"/>
    </row>
    <row r="3795" spans="1:39" hidden="1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584"/>
        <v>200</v>
      </c>
      <c r="X3795" s="6">
        <f t="shared" si="585"/>
        <v>0</v>
      </c>
      <c r="Y3795" s="13">
        <f t="shared" si="586"/>
        <v>0</v>
      </c>
      <c r="Z3795" s="14">
        <v>0</v>
      </c>
      <c r="AA3795" s="6">
        <v>0</v>
      </c>
      <c r="AB3795" s="4">
        <f t="shared" si="587"/>
        <v>0</v>
      </c>
      <c r="AC3795" s="4">
        <f t="shared" si="589"/>
        <v>0</v>
      </c>
      <c r="AD3795" s="6">
        <f t="shared" si="582"/>
        <v>0</v>
      </c>
      <c r="AE3795" s="2">
        <f>VLOOKUP(I3795,[1]媒体政策预估表!A:N,MATCH(O3795,[1]媒体政策预估表!$A$2:$M$2,0),0)</f>
        <v>7.0000000000000007E-2</v>
      </c>
      <c r="AF3795" s="6">
        <f t="shared" si="590"/>
        <v>0</v>
      </c>
      <c r="AG3795" s="14">
        <v>0</v>
      </c>
      <c r="AH3795" s="64">
        <f t="shared" si="583"/>
        <v>0</v>
      </c>
      <c r="AI3795" s="47"/>
      <c r="AJ3795" s="126" t="e">
        <v>#N/A</v>
      </c>
      <c r="AK3795" s="80">
        <f t="shared" si="588"/>
        <v>0</v>
      </c>
      <c r="AM3795" s="85"/>
    </row>
    <row r="3796" spans="1:39" hidden="1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584"/>
        <v>9963.2999999999993</v>
      </c>
      <c r="X3796" s="6">
        <f t="shared" si="585"/>
        <v>0</v>
      </c>
      <c r="Y3796" s="13">
        <f t="shared" si="586"/>
        <v>0</v>
      </c>
      <c r="Z3796" s="14">
        <v>0</v>
      </c>
      <c r="AA3796" s="6">
        <v>0</v>
      </c>
      <c r="AB3796" s="4">
        <f t="shared" si="587"/>
        <v>0</v>
      </c>
      <c r="AC3796" s="4">
        <f t="shared" si="589"/>
        <v>0</v>
      </c>
      <c r="AD3796" s="6">
        <f t="shared" si="582"/>
        <v>0</v>
      </c>
      <c r="AE3796" s="2">
        <f>VLOOKUP(I3796,[1]媒体政策预估表!A:N,MATCH(O3796,[1]媒体政策预估表!$A$2:$M$2,0),0)</f>
        <v>7.0000000000000007E-2</v>
      </c>
      <c r="AF3796" s="6">
        <f t="shared" si="590"/>
        <v>0</v>
      </c>
      <c r="AG3796" s="14">
        <v>0</v>
      </c>
      <c r="AH3796" s="64">
        <f t="shared" si="583"/>
        <v>0</v>
      </c>
      <c r="AI3796" s="47"/>
      <c r="AJ3796" s="126" t="e">
        <v>#N/A</v>
      </c>
      <c r="AK3796" s="80">
        <f t="shared" si="588"/>
        <v>0</v>
      </c>
      <c r="AM3796" s="85"/>
    </row>
    <row r="3797" spans="1:39" hidden="1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584"/>
        <v>606.33000000000004</v>
      </c>
      <c r="X3797" s="6">
        <f t="shared" si="585"/>
        <v>0</v>
      </c>
      <c r="Y3797" s="13">
        <f t="shared" si="586"/>
        <v>0</v>
      </c>
      <c r="Z3797" s="14">
        <v>0</v>
      </c>
      <c r="AA3797" s="6">
        <v>0</v>
      </c>
      <c r="AB3797" s="4">
        <f t="shared" si="587"/>
        <v>0</v>
      </c>
      <c r="AC3797" s="4">
        <f t="shared" si="589"/>
        <v>0</v>
      </c>
      <c r="AD3797" s="6">
        <f t="shared" si="582"/>
        <v>0</v>
      </c>
      <c r="AE3797" s="2">
        <f>VLOOKUP(I3797,[1]媒体政策预估表!A:N,MATCH(O3797,[1]媒体政策预估表!$A$2:$M$2,0),0)</f>
        <v>7.0000000000000007E-2</v>
      </c>
      <c r="AF3797" s="6">
        <f t="shared" si="590"/>
        <v>0</v>
      </c>
      <c r="AG3797" s="14">
        <v>0</v>
      </c>
      <c r="AH3797" s="64">
        <f t="shared" si="583"/>
        <v>0</v>
      </c>
      <c r="AI3797" s="47"/>
      <c r="AJ3797" s="126" t="e">
        <v>#N/A</v>
      </c>
      <c r="AK3797" s="80">
        <f t="shared" si="588"/>
        <v>0</v>
      </c>
      <c r="AM3797" s="85"/>
    </row>
    <row r="3798" spans="1:39" hidden="1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584"/>
        <v>9884.1</v>
      </c>
      <c r="X3798" s="6">
        <f t="shared" si="585"/>
        <v>0</v>
      </c>
      <c r="Y3798" s="13">
        <f t="shared" si="586"/>
        <v>0</v>
      </c>
      <c r="Z3798" s="14">
        <v>0</v>
      </c>
      <c r="AA3798" s="6">
        <v>0</v>
      </c>
      <c r="AB3798" s="4">
        <f t="shared" si="587"/>
        <v>0</v>
      </c>
      <c r="AC3798" s="4">
        <f t="shared" si="589"/>
        <v>0</v>
      </c>
      <c r="AD3798" s="6">
        <f t="shared" si="582"/>
        <v>0</v>
      </c>
      <c r="AE3798" s="2">
        <f>VLOOKUP(I3798,[1]媒体政策预估表!A:N,MATCH(O3798,[1]媒体政策预估表!$A$2:$M$2,0),0)</f>
        <v>7.0000000000000007E-2</v>
      </c>
      <c r="AF3798" s="6">
        <f t="shared" si="590"/>
        <v>0</v>
      </c>
      <c r="AG3798" s="14">
        <v>0</v>
      </c>
      <c r="AH3798" s="64">
        <f t="shared" si="583"/>
        <v>0</v>
      </c>
      <c r="AI3798" s="47"/>
      <c r="AJ3798" s="126" t="e">
        <v>#N/A</v>
      </c>
      <c r="AK3798" s="80">
        <f t="shared" si="588"/>
        <v>0</v>
      </c>
      <c r="AM3798" s="85"/>
    </row>
    <row r="3799" spans="1:39" hidden="1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584"/>
        <v>2791.4</v>
      </c>
      <c r="X3799" s="6">
        <f t="shared" si="585"/>
        <v>0</v>
      </c>
      <c r="Y3799" s="13">
        <f t="shared" si="586"/>
        <v>0</v>
      </c>
      <c r="Z3799" s="14">
        <v>0</v>
      </c>
      <c r="AA3799" s="6">
        <v>0</v>
      </c>
      <c r="AB3799" s="4">
        <f t="shared" si="587"/>
        <v>0</v>
      </c>
      <c r="AC3799" s="4">
        <f t="shared" si="589"/>
        <v>0</v>
      </c>
      <c r="AD3799" s="6">
        <f t="shared" si="582"/>
        <v>0</v>
      </c>
      <c r="AE3799" s="2">
        <f>VLOOKUP(I3799,[1]媒体政策预估表!A:N,MATCH(O3799,[1]媒体政策预估表!$A$2:$M$2,0),0)</f>
        <v>7.0000000000000007E-2</v>
      </c>
      <c r="AF3799" s="6">
        <f t="shared" si="590"/>
        <v>0</v>
      </c>
      <c r="AG3799" s="14">
        <v>0</v>
      </c>
      <c r="AH3799" s="64">
        <f t="shared" si="583"/>
        <v>0</v>
      </c>
      <c r="AI3799" s="47"/>
      <c r="AJ3799" s="126" t="e">
        <v>#N/A</v>
      </c>
      <c r="AK3799" s="80">
        <f t="shared" si="588"/>
        <v>0</v>
      </c>
      <c r="AM3799" s="85"/>
    </row>
    <row r="3800" spans="1:39" hidden="1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584"/>
        <v>237.5</v>
      </c>
      <c r="X3800" s="6">
        <f t="shared" si="585"/>
        <v>0</v>
      </c>
      <c r="Y3800" s="13">
        <f t="shared" si="586"/>
        <v>0</v>
      </c>
      <c r="Z3800" s="14">
        <v>0</v>
      </c>
      <c r="AA3800" s="6">
        <v>0</v>
      </c>
      <c r="AB3800" s="4">
        <f t="shared" si="587"/>
        <v>0</v>
      </c>
      <c r="AC3800" s="4">
        <f t="shared" si="589"/>
        <v>0</v>
      </c>
      <c r="AD3800" s="6">
        <f t="shared" si="582"/>
        <v>0</v>
      </c>
      <c r="AE3800" s="2">
        <f>VLOOKUP(I3800,[1]媒体政策预估表!A:N,MATCH(O3800,[1]媒体政策预估表!$A$2:$M$2,0),0)</f>
        <v>7.0000000000000007E-2</v>
      </c>
      <c r="AF3800" s="6">
        <f t="shared" si="590"/>
        <v>0</v>
      </c>
      <c r="AG3800" s="14">
        <v>0</v>
      </c>
      <c r="AH3800" s="64">
        <f t="shared" si="583"/>
        <v>0</v>
      </c>
      <c r="AI3800" s="47"/>
      <c r="AJ3800" s="126" t="e">
        <v>#N/A</v>
      </c>
      <c r="AK3800" s="80">
        <f t="shared" si="588"/>
        <v>0</v>
      </c>
      <c r="AM3800" s="85"/>
    </row>
    <row r="3801" spans="1:39" hidden="1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584"/>
        <v>8891.23</v>
      </c>
      <c r="X3801" s="6">
        <f t="shared" si="585"/>
        <v>0</v>
      </c>
      <c r="Y3801" s="13">
        <f t="shared" si="586"/>
        <v>0</v>
      </c>
      <c r="Z3801" s="14">
        <v>0</v>
      </c>
      <c r="AA3801" s="6">
        <v>0</v>
      </c>
      <c r="AB3801" s="4">
        <f t="shared" si="587"/>
        <v>0</v>
      </c>
      <c r="AC3801" s="4">
        <f t="shared" si="589"/>
        <v>0</v>
      </c>
      <c r="AD3801" s="6">
        <f t="shared" si="582"/>
        <v>0</v>
      </c>
      <c r="AE3801" s="2">
        <f>VLOOKUP(I3801,[1]媒体政策预估表!A:N,MATCH(O3801,[1]媒体政策预估表!$A$2:$M$2,0),0)</f>
        <v>7.0000000000000007E-2</v>
      </c>
      <c r="AF3801" s="6">
        <f t="shared" si="590"/>
        <v>0</v>
      </c>
      <c r="AG3801" s="14">
        <v>0</v>
      </c>
      <c r="AH3801" s="64">
        <f t="shared" si="583"/>
        <v>0</v>
      </c>
      <c r="AI3801" s="47"/>
      <c r="AJ3801" s="126" t="e">
        <v>#N/A</v>
      </c>
      <c r="AK3801" s="80">
        <f t="shared" si="588"/>
        <v>0</v>
      </c>
      <c r="AM3801" s="85"/>
    </row>
    <row r="3802" spans="1:39" hidden="1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584"/>
        <v>400</v>
      </c>
      <c r="X3802" s="6">
        <f t="shared" si="585"/>
        <v>0</v>
      </c>
      <c r="Y3802" s="13">
        <f t="shared" si="586"/>
        <v>0</v>
      </c>
      <c r="Z3802" s="14">
        <v>0</v>
      </c>
      <c r="AA3802" s="6">
        <v>0</v>
      </c>
      <c r="AB3802" s="4">
        <f t="shared" si="587"/>
        <v>0</v>
      </c>
      <c r="AC3802" s="4">
        <f t="shared" si="589"/>
        <v>0</v>
      </c>
      <c r="AD3802" s="6">
        <f t="shared" si="582"/>
        <v>0</v>
      </c>
      <c r="AE3802" s="2">
        <f>VLOOKUP(I3802,[1]媒体政策预估表!A:N,MATCH(O3802,[1]媒体政策预估表!$A$2:$M$2,0),0)</f>
        <v>7.0000000000000007E-2</v>
      </c>
      <c r="AF3802" s="6">
        <f t="shared" si="590"/>
        <v>0</v>
      </c>
      <c r="AG3802" s="14">
        <v>0</v>
      </c>
      <c r="AH3802" s="64">
        <f t="shared" si="583"/>
        <v>0</v>
      </c>
      <c r="AI3802" s="47"/>
      <c r="AJ3802" s="126" t="e">
        <v>#N/A</v>
      </c>
      <c r="AK3802" s="80">
        <f t="shared" si="588"/>
        <v>0</v>
      </c>
      <c r="AM3802" s="85"/>
    </row>
    <row r="3803" spans="1:39" hidden="1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584"/>
        <v>2455.6</v>
      </c>
      <c r="X3803" s="6">
        <f t="shared" si="585"/>
        <v>0</v>
      </c>
      <c r="Y3803" s="13">
        <f t="shared" si="586"/>
        <v>0</v>
      </c>
      <c r="Z3803" s="14">
        <v>0</v>
      </c>
      <c r="AA3803" s="6">
        <v>0</v>
      </c>
      <c r="AB3803" s="4">
        <f t="shared" si="587"/>
        <v>0</v>
      </c>
      <c r="AC3803" s="4">
        <f t="shared" si="589"/>
        <v>0</v>
      </c>
      <c r="AD3803" s="6">
        <f t="shared" si="582"/>
        <v>0</v>
      </c>
      <c r="AE3803" s="2">
        <f>VLOOKUP(I3803,[1]媒体政策预估表!A:N,MATCH(O3803,[1]媒体政策预估表!$A$2:$M$2,0),0)</f>
        <v>7.0000000000000007E-2</v>
      </c>
      <c r="AF3803" s="6">
        <f t="shared" si="590"/>
        <v>0</v>
      </c>
      <c r="AG3803" s="14">
        <v>0</v>
      </c>
      <c r="AH3803" s="64">
        <f t="shared" si="583"/>
        <v>0</v>
      </c>
      <c r="AI3803" s="47"/>
      <c r="AJ3803" s="126" t="e">
        <v>#N/A</v>
      </c>
      <c r="AK3803" s="80">
        <f t="shared" si="588"/>
        <v>0</v>
      </c>
      <c r="AM3803" s="85"/>
    </row>
    <row r="3804" spans="1:39" hidden="1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584"/>
        <v>3292</v>
      </c>
      <c r="X3804" s="6">
        <f t="shared" si="585"/>
        <v>0</v>
      </c>
      <c r="Y3804" s="13">
        <f t="shared" si="586"/>
        <v>0</v>
      </c>
      <c r="Z3804" s="14">
        <v>0</v>
      </c>
      <c r="AA3804" s="6">
        <v>0</v>
      </c>
      <c r="AB3804" s="4">
        <f t="shared" si="587"/>
        <v>0</v>
      </c>
      <c r="AC3804" s="4">
        <f t="shared" si="589"/>
        <v>0</v>
      </c>
      <c r="AD3804" s="6">
        <f t="shared" si="582"/>
        <v>0</v>
      </c>
      <c r="AE3804" s="2">
        <f>VLOOKUP(I3804,[1]媒体政策预估表!A:N,MATCH(O3804,[1]媒体政策预估表!$A$2:$M$2,0),0)</f>
        <v>7.0000000000000007E-2</v>
      </c>
      <c r="AF3804" s="6">
        <f t="shared" si="590"/>
        <v>0</v>
      </c>
      <c r="AG3804" s="14">
        <v>0</v>
      </c>
      <c r="AH3804" s="64">
        <f t="shared" si="583"/>
        <v>0</v>
      </c>
      <c r="AI3804" s="47"/>
      <c r="AJ3804" s="126" t="e">
        <v>#N/A</v>
      </c>
      <c r="AK3804" s="80">
        <f t="shared" si="588"/>
        <v>0</v>
      </c>
      <c r="AM3804" s="85"/>
    </row>
    <row r="3805" spans="1:39" hidden="1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584"/>
        <v>10000</v>
      </c>
      <c r="X3805" s="6">
        <f t="shared" si="585"/>
        <v>0</v>
      </c>
      <c r="Y3805" s="13">
        <f t="shared" si="586"/>
        <v>0</v>
      </c>
      <c r="Z3805" s="14">
        <v>0</v>
      </c>
      <c r="AA3805" s="6">
        <v>0</v>
      </c>
      <c r="AB3805" s="4">
        <f t="shared" si="587"/>
        <v>0</v>
      </c>
      <c r="AC3805" s="4">
        <f t="shared" si="589"/>
        <v>0</v>
      </c>
      <c r="AD3805" s="6">
        <f t="shared" si="582"/>
        <v>0</v>
      </c>
      <c r="AE3805" s="2">
        <f>VLOOKUP(I3805,[1]媒体政策预估表!A:N,MATCH(O3805,[1]媒体政策预估表!$A$2:$M$2,0),0)</f>
        <v>7.0000000000000007E-2</v>
      </c>
      <c r="AF3805" s="6">
        <f t="shared" si="590"/>
        <v>0</v>
      </c>
      <c r="AG3805" s="14">
        <v>0</v>
      </c>
      <c r="AH3805" s="64">
        <f t="shared" si="583"/>
        <v>0</v>
      </c>
      <c r="AI3805" s="47"/>
      <c r="AJ3805" s="126" t="e">
        <v>#N/A</v>
      </c>
      <c r="AK3805" s="80">
        <f t="shared" si="588"/>
        <v>0</v>
      </c>
      <c r="AM3805" s="85"/>
    </row>
    <row r="3806" spans="1:39" hidden="1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584"/>
        <v>272.5</v>
      </c>
      <c r="X3806" s="6">
        <f t="shared" si="585"/>
        <v>0</v>
      </c>
      <c r="Y3806" s="13">
        <f t="shared" si="586"/>
        <v>0</v>
      </c>
      <c r="Z3806" s="14">
        <v>0</v>
      </c>
      <c r="AA3806" s="6">
        <v>0</v>
      </c>
      <c r="AB3806" s="4">
        <f t="shared" si="587"/>
        <v>0</v>
      </c>
      <c r="AC3806" s="4">
        <f t="shared" si="589"/>
        <v>0</v>
      </c>
      <c r="AD3806" s="6">
        <f t="shared" si="582"/>
        <v>0</v>
      </c>
      <c r="AE3806" s="2">
        <f>VLOOKUP(I3806,[1]媒体政策预估表!A:N,MATCH(O3806,[1]媒体政策预估表!$A$2:$M$2,0),0)</f>
        <v>7.0000000000000007E-2</v>
      </c>
      <c r="AF3806" s="6">
        <f t="shared" si="590"/>
        <v>0</v>
      </c>
      <c r="AG3806" s="14">
        <v>0</v>
      </c>
      <c r="AH3806" s="64">
        <f t="shared" si="583"/>
        <v>0</v>
      </c>
      <c r="AI3806" s="47"/>
      <c r="AJ3806" s="126" t="e">
        <v>#N/A</v>
      </c>
      <c r="AK3806" s="80">
        <f t="shared" si="588"/>
        <v>0</v>
      </c>
      <c r="AM3806" s="85"/>
    </row>
    <row r="3807" spans="1:39" hidden="1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584"/>
        <v>32.5</v>
      </c>
      <c r="X3807" s="6">
        <f t="shared" si="585"/>
        <v>0</v>
      </c>
      <c r="Y3807" s="13">
        <f t="shared" si="586"/>
        <v>0</v>
      </c>
      <c r="Z3807" s="14">
        <v>0</v>
      </c>
      <c r="AA3807" s="6">
        <v>0</v>
      </c>
      <c r="AB3807" s="4">
        <f t="shared" si="587"/>
        <v>0</v>
      </c>
      <c r="AC3807" s="4">
        <f t="shared" si="589"/>
        <v>0</v>
      </c>
      <c r="AD3807" s="6">
        <f t="shared" si="582"/>
        <v>0</v>
      </c>
      <c r="AE3807" s="2">
        <f>VLOOKUP(I3807,[1]媒体政策预估表!A:N,MATCH(O3807,[1]媒体政策预估表!$A$2:$M$2,0),0)</f>
        <v>7.0000000000000007E-2</v>
      </c>
      <c r="AF3807" s="6">
        <f t="shared" si="590"/>
        <v>0</v>
      </c>
      <c r="AG3807" s="14">
        <v>0</v>
      </c>
      <c r="AH3807" s="64">
        <f t="shared" si="583"/>
        <v>0</v>
      </c>
      <c r="AI3807" s="47"/>
      <c r="AJ3807" s="126" t="e">
        <v>#N/A</v>
      </c>
      <c r="AK3807" s="80">
        <f t="shared" si="588"/>
        <v>0</v>
      </c>
      <c r="AM3807" s="85"/>
    </row>
    <row r="3808" spans="1:39" hidden="1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584"/>
        <v>14199.2</v>
      </c>
      <c r="X3808" s="6">
        <f t="shared" si="585"/>
        <v>0</v>
      </c>
      <c r="Y3808" s="13">
        <f t="shared" si="586"/>
        <v>0</v>
      </c>
      <c r="Z3808" s="14">
        <v>0</v>
      </c>
      <c r="AA3808" s="6">
        <v>0</v>
      </c>
      <c r="AB3808" s="4">
        <f t="shared" si="587"/>
        <v>0</v>
      </c>
      <c r="AC3808" s="4">
        <f t="shared" si="589"/>
        <v>0</v>
      </c>
      <c r="AD3808" s="6">
        <f t="shared" si="582"/>
        <v>0</v>
      </c>
      <c r="AE3808" s="2">
        <f>VLOOKUP(I3808,[1]媒体政策预估表!A:N,MATCH(O3808,[1]媒体政策预估表!$A$2:$M$2,0),0)</f>
        <v>7.0000000000000007E-2</v>
      </c>
      <c r="AF3808" s="6">
        <f t="shared" si="590"/>
        <v>0</v>
      </c>
      <c r="AG3808" s="14">
        <v>0</v>
      </c>
      <c r="AH3808" s="64">
        <f t="shared" si="583"/>
        <v>0</v>
      </c>
      <c r="AI3808" s="47"/>
      <c r="AJ3808" s="126" t="e">
        <v>#N/A</v>
      </c>
      <c r="AK3808" s="80">
        <f t="shared" si="588"/>
        <v>0</v>
      </c>
      <c r="AM3808" s="85"/>
    </row>
    <row r="3809" spans="1:39" hidden="1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584"/>
        <v>-176.98</v>
      </c>
      <c r="X3809" s="6">
        <f t="shared" si="585"/>
        <v>0</v>
      </c>
      <c r="Y3809" s="13">
        <f t="shared" si="586"/>
        <v>0</v>
      </c>
      <c r="Z3809" s="14">
        <v>0</v>
      </c>
      <c r="AA3809" s="6">
        <v>0</v>
      </c>
      <c r="AB3809" s="4">
        <f t="shared" si="587"/>
        <v>0</v>
      </c>
      <c r="AC3809" s="4">
        <f t="shared" si="589"/>
        <v>0</v>
      </c>
      <c r="AD3809" s="6">
        <f t="shared" si="582"/>
        <v>0</v>
      </c>
      <c r="AE3809" s="2">
        <f>VLOOKUP(I3809,[1]媒体政策预估表!A:N,MATCH(O3809,[1]媒体政策预估表!$A$2:$M$2,0),0)</f>
        <v>0.12</v>
      </c>
      <c r="AF3809" s="6">
        <f t="shared" si="590"/>
        <v>0</v>
      </c>
      <c r="AG3809" s="14">
        <v>0</v>
      </c>
      <c r="AH3809" s="64">
        <f t="shared" si="583"/>
        <v>0</v>
      </c>
      <c r="AI3809" s="47"/>
      <c r="AJ3809" s="126" t="e">
        <v>#N/A</v>
      </c>
      <c r="AK3809" s="80">
        <f t="shared" si="588"/>
        <v>0</v>
      </c>
      <c r="AM3809" s="85"/>
    </row>
    <row r="3810" spans="1:39" hidden="1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584"/>
        <v>-2771.54</v>
      </c>
      <c r="X3810" s="6">
        <f t="shared" si="585"/>
        <v>0</v>
      </c>
      <c r="Y3810" s="13">
        <f t="shared" si="586"/>
        <v>0</v>
      </c>
      <c r="Z3810" s="14">
        <v>0</v>
      </c>
      <c r="AA3810" s="6">
        <v>0</v>
      </c>
      <c r="AB3810" s="4">
        <f t="shared" si="587"/>
        <v>0</v>
      </c>
      <c r="AC3810" s="4">
        <f t="shared" si="589"/>
        <v>0</v>
      </c>
      <c r="AD3810" s="6">
        <f t="shared" si="582"/>
        <v>0</v>
      </c>
      <c r="AE3810" s="2">
        <f>VLOOKUP(I3810,[1]媒体政策预估表!A:N,MATCH(O3810,[1]媒体政策预估表!$A$2:$M$2,0),0)</f>
        <v>0.12</v>
      </c>
      <c r="AF3810" s="6">
        <f t="shared" si="590"/>
        <v>0</v>
      </c>
      <c r="AG3810" s="14">
        <v>0</v>
      </c>
      <c r="AH3810" s="64">
        <f t="shared" si="583"/>
        <v>0</v>
      </c>
      <c r="AI3810" s="47"/>
      <c r="AJ3810" s="126" t="e">
        <v>#N/A</v>
      </c>
      <c r="AK3810" s="80">
        <f t="shared" si="588"/>
        <v>0</v>
      </c>
      <c r="AM3810" s="85"/>
    </row>
    <row r="3811" spans="1:39" hidden="1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584"/>
        <v>-444.86</v>
      </c>
      <c r="X3811" s="6">
        <f t="shared" si="585"/>
        <v>0</v>
      </c>
      <c r="Y3811" s="13">
        <f t="shared" si="586"/>
        <v>0</v>
      </c>
      <c r="Z3811" s="14">
        <v>0</v>
      </c>
      <c r="AA3811" s="6">
        <v>0</v>
      </c>
      <c r="AB3811" s="4"/>
      <c r="AC3811" s="4">
        <f t="shared" si="589"/>
        <v>0</v>
      </c>
      <c r="AD3811" s="6">
        <f t="shared" si="582"/>
        <v>0</v>
      </c>
      <c r="AE3811" s="2">
        <f>VLOOKUP(I3811,[1]媒体政策预估表!A:N,MATCH(O3811,[1]媒体政策预估表!$A$2:$M$2,0),0)</f>
        <v>0.12</v>
      </c>
      <c r="AF3811" s="6">
        <f t="shared" si="590"/>
        <v>0</v>
      </c>
      <c r="AG3811" s="14">
        <v>0</v>
      </c>
      <c r="AH3811" s="64">
        <f t="shared" si="583"/>
        <v>0</v>
      </c>
      <c r="AI3811" s="47"/>
      <c r="AJ3811" s="126">
        <v>112</v>
      </c>
      <c r="AK3811" s="80">
        <f t="shared" si="588"/>
        <v>0</v>
      </c>
      <c r="AM3811" s="85"/>
    </row>
    <row r="3812" spans="1:39" hidden="1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584"/>
        <v>-536.15</v>
      </c>
      <c r="X3812" s="6">
        <f t="shared" si="585"/>
        <v>0</v>
      </c>
      <c r="Y3812" s="13">
        <f t="shared" si="586"/>
        <v>0</v>
      </c>
      <c r="Z3812" s="14">
        <v>0</v>
      </c>
      <c r="AA3812" s="6">
        <v>0</v>
      </c>
      <c r="AB3812" s="4"/>
      <c r="AC3812" s="4">
        <f t="shared" si="589"/>
        <v>0</v>
      </c>
      <c r="AD3812" s="6">
        <f t="shared" ref="AD3812:AD3833" si="591">V3812</f>
        <v>0</v>
      </c>
      <c r="AE3812" s="2">
        <f>VLOOKUP(I3812,[1]媒体政策预估表!A:N,MATCH(O3812,[1]媒体政策预估表!$A$2:$M$2,0),0)</f>
        <v>0.12</v>
      </c>
      <c r="AF3812" s="6">
        <f t="shared" si="590"/>
        <v>0</v>
      </c>
      <c r="AG3812" s="14">
        <v>0</v>
      </c>
      <c r="AH3812" s="64">
        <f t="shared" ref="AH3812:AH3833" si="592">V3812</f>
        <v>0</v>
      </c>
      <c r="AI3812" s="47"/>
      <c r="AJ3812" s="126">
        <v>112</v>
      </c>
      <c r="AK3812" s="80">
        <f t="shared" si="58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584"/>
        <v>-2297825.4299999997</v>
      </c>
      <c r="X3813" s="6">
        <f t="shared" si="585"/>
        <v>924101.24999999988</v>
      </c>
      <c r="Y3813" s="13">
        <f t="shared" si="586"/>
        <v>0</v>
      </c>
      <c r="Z3813" s="14">
        <v>0</v>
      </c>
      <c r="AA3813" s="6">
        <v>0</v>
      </c>
      <c r="AB3813" s="4">
        <f t="shared" si="587"/>
        <v>924101.24999999988</v>
      </c>
      <c r="AC3813" s="4">
        <f t="shared" si="589"/>
        <v>0</v>
      </c>
      <c r="AD3813" s="6">
        <f t="shared" si="591"/>
        <v>924101.24999999988</v>
      </c>
      <c r="AE3813" s="2">
        <f>VLOOKUP(I3813,[1]媒体政策预估表!A:N,MATCH(O3813,[1]媒体政策预估表!$A$2:$M$2,0),0)</f>
        <v>0.12</v>
      </c>
      <c r="AF3813" s="6">
        <f t="shared" si="590"/>
        <v>110892.14999999998</v>
      </c>
      <c r="AG3813" s="14">
        <v>0</v>
      </c>
      <c r="AH3813" s="64">
        <f t="shared" si="592"/>
        <v>924101.24999999988</v>
      </c>
      <c r="AI3813" s="47"/>
      <c r="AJ3813" s="126" t="e">
        <v>#N/A</v>
      </c>
      <c r="AK3813" s="80">
        <f t="shared" si="58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593">T3814+U3814-V3814</f>
        <v>-154998.03999999998</v>
      </c>
      <c r="X3814" s="6">
        <f t="shared" si="585"/>
        <v>76328.794117647063</v>
      </c>
      <c r="Y3814" s="13">
        <f t="shared" si="586"/>
        <v>0</v>
      </c>
      <c r="Z3814" s="14">
        <v>0</v>
      </c>
      <c r="AA3814" s="6">
        <v>0</v>
      </c>
      <c r="AB3814" s="4">
        <f t="shared" si="587"/>
        <v>76328.794117647063</v>
      </c>
      <c r="AC3814" s="4">
        <f t="shared" si="589"/>
        <v>1526.5758823529468</v>
      </c>
      <c r="AD3814" s="6">
        <f t="shared" si="591"/>
        <v>77855.37000000001</v>
      </c>
      <c r="AE3814" s="2">
        <f>VLOOKUP(I3814,[1]媒体政策预估表!A:N,MATCH(O3814,[1]媒体政策预估表!$A$2:$M$2,0),0)</f>
        <v>0.12</v>
      </c>
      <c r="AF3814" s="6">
        <f t="shared" si="590"/>
        <v>9342.644400000001</v>
      </c>
      <c r="AG3814" s="14">
        <v>0</v>
      </c>
      <c r="AH3814" s="64">
        <f t="shared" si="592"/>
        <v>77855.37000000001</v>
      </c>
      <c r="AI3814" s="47"/>
      <c r="AJ3814" s="126" t="e">
        <v>#N/A</v>
      </c>
      <c r="AK3814" s="80">
        <f t="shared" si="58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593"/>
        <v>-39984.99</v>
      </c>
      <c r="X3815" s="6">
        <f t="shared" ref="X3815:X3833" si="594">IF(P3815="折扣",V3815*Q3815,IF(P3815="返现",V3815,V3815/(1+Q3815)))</f>
        <v>36970</v>
      </c>
      <c r="Y3815" s="13">
        <f t="shared" si="586"/>
        <v>0</v>
      </c>
      <c r="Z3815" s="14">
        <v>0</v>
      </c>
      <c r="AA3815" s="6">
        <v>0</v>
      </c>
      <c r="AB3815" s="4">
        <f t="shared" si="587"/>
        <v>36970</v>
      </c>
      <c r="AC3815" s="4">
        <f t="shared" si="589"/>
        <v>0</v>
      </c>
      <c r="AD3815" s="6">
        <f t="shared" si="591"/>
        <v>36970</v>
      </c>
      <c r="AE3815" s="2">
        <f>VLOOKUP(I3815,[1]媒体政策预估表!A:N,MATCH(O3815,[1]媒体政策预估表!$A$2:$M$2,0),0)</f>
        <v>0.12</v>
      </c>
      <c r="AF3815" s="6">
        <f t="shared" si="590"/>
        <v>4436.3999999999996</v>
      </c>
      <c r="AG3815" s="14">
        <v>0</v>
      </c>
      <c r="AH3815" s="64">
        <f t="shared" si="592"/>
        <v>36970</v>
      </c>
      <c r="AI3815" s="47"/>
      <c r="AJ3815" s="126" t="e">
        <v>#N/A</v>
      </c>
      <c r="AK3815" s="80">
        <f t="shared" si="58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593"/>
        <v>-374480.31999999989</v>
      </c>
      <c r="X3816" s="6">
        <f t="shared" si="594"/>
        <v>61758.815920398018</v>
      </c>
      <c r="Y3816" s="13">
        <f t="shared" si="586"/>
        <v>0</v>
      </c>
      <c r="Z3816" s="14">
        <v>0</v>
      </c>
      <c r="AA3816" s="6">
        <v>0</v>
      </c>
      <c r="AB3816" s="4">
        <f t="shared" si="587"/>
        <v>61758.815920398018</v>
      </c>
      <c r="AC3816" s="4">
        <f t="shared" si="589"/>
        <v>308.79407960198296</v>
      </c>
      <c r="AD3816" s="6">
        <f t="shared" si="591"/>
        <v>62067.61</v>
      </c>
      <c r="AE3816" s="2">
        <f>VLOOKUP(I3816,[1]媒体政策预估表!A:N,MATCH(O3816,[1]媒体政策预估表!$A$2:$M$2,0),0)</f>
        <v>0.12</v>
      </c>
      <c r="AF3816" s="6">
        <f t="shared" si="590"/>
        <v>7448.1131999999998</v>
      </c>
      <c r="AG3816" s="14">
        <v>0</v>
      </c>
      <c r="AH3816" s="64">
        <f t="shared" si="592"/>
        <v>62067.61</v>
      </c>
      <c r="AI3816" s="47"/>
      <c r="AJ3816" s="126" t="e">
        <v>#N/A</v>
      </c>
      <c r="AK3816" s="80">
        <f t="shared" si="588"/>
        <v>0</v>
      </c>
      <c r="AM3816" s="85"/>
    </row>
    <row r="3817" spans="1:39" hidden="1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593"/>
        <v>-52630.080000000002</v>
      </c>
      <c r="X3817" s="6">
        <f t="shared" si="594"/>
        <v>0</v>
      </c>
      <c r="Y3817" s="13">
        <f t="shared" si="586"/>
        <v>0</v>
      </c>
      <c r="Z3817" s="14">
        <v>0</v>
      </c>
      <c r="AA3817" s="6">
        <v>0</v>
      </c>
      <c r="AB3817" s="4">
        <f t="shared" si="587"/>
        <v>0</v>
      </c>
      <c r="AC3817" s="4">
        <f t="shared" si="589"/>
        <v>0</v>
      </c>
      <c r="AD3817" s="6">
        <f t="shared" si="591"/>
        <v>0</v>
      </c>
      <c r="AE3817" s="2">
        <f>VLOOKUP(I3817,[1]媒体政策预估表!A:N,MATCH(O3817,[1]媒体政策预估表!$A$2:$M$2,0),0)</f>
        <v>0.12</v>
      </c>
      <c r="AF3817" s="6">
        <f t="shared" si="590"/>
        <v>0</v>
      </c>
      <c r="AG3817" s="14">
        <v>0</v>
      </c>
      <c r="AH3817" s="64">
        <f t="shared" si="592"/>
        <v>0</v>
      </c>
      <c r="AI3817" s="47"/>
      <c r="AJ3817" s="126" t="e">
        <v>#N/A</v>
      </c>
      <c r="AK3817" s="80">
        <f t="shared" si="588"/>
        <v>0</v>
      </c>
      <c r="AM3817" s="85"/>
    </row>
    <row r="3818" spans="1:39" hidden="1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593"/>
        <v>-470416.24</v>
      </c>
      <c r="X3818" s="6">
        <f t="shared" si="594"/>
        <v>173415.99</v>
      </c>
      <c r="Y3818" s="13">
        <f t="shared" si="586"/>
        <v>0</v>
      </c>
      <c r="Z3818" s="14">
        <v>0</v>
      </c>
      <c r="AA3818" s="6">
        <v>0</v>
      </c>
      <c r="AB3818" s="4">
        <f t="shared" si="587"/>
        <v>173415.99</v>
      </c>
      <c r="AC3818" s="4">
        <f t="shared" si="589"/>
        <v>0</v>
      </c>
      <c r="AD3818" s="6">
        <f t="shared" si="591"/>
        <v>173415.99</v>
      </c>
      <c r="AE3818" s="2">
        <f>VLOOKUP(I3818,[1]媒体政策预估表!A:N,MATCH(O3818,[1]媒体政策预估表!$A$2:$M$2,0),0)</f>
        <v>0.12</v>
      </c>
      <c r="AF3818" s="6">
        <f t="shared" si="590"/>
        <v>20809.918799999999</v>
      </c>
      <c r="AG3818" s="14">
        <v>0</v>
      </c>
      <c r="AH3818" s="64">
        <f t="shared" si="592"/>
        <v>173415.99</v>
      </c>
      <c r="AI3818" s="47"/>
      <c r="AJ3818" s="126" t="e">
        <v>#N/A</v>
      </c>
      <c r="AK3818" s="80">
        <f t="shared" si="58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593"/>
        <v>-4488.7500000000009</v>
      </c>
      <c r="X3819" s="6">
        <f t="shared" si="594"/>
        <v>2334.5100000000007</v>
      </c>
      <c r="Y3819" s="13">
        <f t="shared" si="586"/>
        <v>0</v>
      </c>
      <c r="Z3819" s="14">
        <v>0</v>
      </c>
      <c r="AA3819" s="6">
        <v>0</v>
      </c>
      <c r="AB3819" s="4">
        <f t="shared" si="587"/>
        <v>2334.5100000000007</v>
      </c>
      <c r="AC3819" s="4">
        <f t="shared" si="589"/>
        <v>0</v>
      </c>
      <c r="AD3819" s="6">
        <f t="shared" si="591"/>
        <v>2334.5100000000007</v>
      </c>
      <c r="AE3819" s="2">
        <f>VLOOKUP(I3819,[1]媒体政策预估表!A:N,MATCH(O3819,[1]媒体政策预估表!$A$2:$M$2,0),0)</f>
        <v>0.12</v>
      </c>
      <c r="AF3819" s="6">
        <f t="shared" si="590"/>
        <v>280.14120000000008</v>
      </c>
      <c r="AG3819" s="14">
        <v>0</v>
      </c>
      <c r="AH3819" s="64">
        <f t="shared" si="592"/>
        <v>2334.5100000000007</v>
      </c>
      <c r="AI3819" s="47"/>
      <c r="AJ3819" s="126" t="e">
        <v>#N/A</v>
      </c>
      <c r="AK3819" s="80">
        <f t="shared" si="58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593"/>
        <v>-30902.660000000003</v>
      </c>
      <c r="X3820" s="6">
        <f t="shared" si="594"/>
        <v>23755.048076923078</v>
      </c>
      <c r="Y3820" s="13">
        <f t="shared" si="586"/>
        <v>0</v>
      </c>
      <c r="Z3820" s="14">
        <v>0</v>
      </c>
      <c r="AA3820" s="6">
        <v>0</v>
      </c>
      <c r="AB3820" s="4">
        <f t="shared" si="587"/>
        <v>23755.048076923078</v>
      </c>
      <c r="AC3820" s="4">
        <f t="shared" si="589"/>
        <v>950.2019230769256</v>
      </c>
      <c r="AD3820" s="6">
        <f t="shared" si="591"/>
        <v>24705.250000000004</v>
      </c>
      <c r="AE3820" s="2">
        <f>VLOOKUP(I3820,[1]媒体政策预估表!A:N,MATCH(O3820,[1]媒体政策预估表!$A$2:$M$2,0),0)</f>
        <v>0.12</v>
      </c>
      <c r="AF3820" s="6">
        <f t="shared" si="590"/>
        <v>2964.63</v>
      </c>
      <c r="AG3820" s="14">
        <v>0</v>
      </c>
      <c r="AH3820" s="64">
        <f t="shared" si="592"/>
        <v>24705.250000000004</v>
      </c>
      <c r="AI3820" s="47"/>
      <c r="AJ3820" s="126" t="e">
        <v>#N/A</v>
      </c>
      <c r="AK3820" s="80">
        <f t="shared" si="58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593"/>
        <v>-789863.09000000008</v>
      </c>
      <c r="X3821" s="6">
        <f t="shared" si="594"/>
        <v>315413.42307692301</v>
      </c>
      <c r="Y3821" s="13">
        <f t="shared" si="586"/>
        <v>0</v>
      </c>
      <c r="Z3821" s="14">
        <v>0</v>
      </c>
      <c r="AA3821" s="6">
        <v>0</v>
      </c>
      <c r="AB3821" s="4">
        <f t="shared" si="587"/>
        <v>315413.42307692301</v>
      </c>
      <c r="AC3821" s="4">
        <f t="shared" si="589"/>
        <v>12616.536923076957</v>
      </c>
      <c r="AD3821" s="6">
        <f t="shared" si="591"/>
        <v>328029.95999999996</v>
      </c>
      <c r="AE3821" s="2">
        <f>VLOOKUP(I3821,[1]媒体政策预估表!A:N,MATCH(O3821,[1]媒体政策预估表!$A$2:$M$2,0),0)</f>
        <v>0.12</v>
      </c>
      <c r="AF3821" s="6">
        <f t="shared" si="590"/>
        <v>39363.595199999996</v>
      </c>
      <c r="AG3821" s="14">
        <v>0</v>
      </c>
      <c r="AH3821" s="64">
        <f t="shared" si="592"/>
        <v>328029.95999999996</v>
      </c>
      <c r="AI3821" s="47"/>
      <c r="AJ3821" s="126" t="e">
        <v>#N/A</v>
      </c>
      <c r="AK3821" s="80">
        <f t="shared" si="588"/>
        <v>0</v>
      </c>
      <c r="AM3821" s="85"/>
    </row>
    <row r="3822" spans="1:39" hidden="1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593"/>
        <v>-324384.75</v>
      </c>
      <c r="X3822" s="6">
        <f t="shared" si="594"/>
        <v>186251.21153846153</v>
      </c>
      <c r="Y3822" s="13">
        <f t="shared" si="586"/>
        <v>0</v>
      </c>
      <c r="Z3822" s="14">
        <v>0</v>
      </c>
      <c r="AA3822" s="6">
        <v>0</v>
      </c>
      <c r="AB3822" s="4">
        <f t="shared" si="587"/>
        <v>186251.21153846153</v>
      </c>
      <c r="AC3822" s="4">
        <f t="shared" si="589"/>
        <v>7450.0484615384776</v>
      </c>
      <c r="AD3822" s="6">
        <f t="shared" si="591"/>
        <v>193701.26</v>
      </c>
      <c r="AE3822" s="2">
        <f>VLOOKUP(I3822,[1]媒体政策预估表!A:N,MATCH(O3822,[1]媒体政策预估表!$A$2:$M$2,0),0)</f>
        <v>0.12</v>
      </c>
      <c r="AF3822" s="6">
        <f t="shared" si="590"/>
        <v>23244.1512</v>
      </c>
      <c r="AG3822" s="14">
        <v>0</v>
      </c>
      <c r="AH3822" s="64">
        <f t="shared" si="592"/>
        <v>193701.26</v>
      </c>
      <c r="AI3822" s="47"/>
      <c r="AJ3822" s="126" t="e">
        <v>#N/A</v>
      </c>
      <c r="AK3822" s="80">
        <f t="shared" si="588"/>
        <v>0</v>
      </c>
      <c r="AM3822" s="85"/>
    </row>
    <row r="3823" spans="1:39" hidden="1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593"/>
        <v>-87122.12999999999</v>
      </c>
      <c r="X3823" s="6">
        <f t="shared" si="594"/>
        <v>55916.115384615383</v>
      </c>
      <c r="Y3823" s="13">
        <f t="shared" si="586"/>
        <v>0</v>
      </c>
      <c r="Z3823" s="14">
        <v>0</v>
      </c>
      <c r="AA3823" s="6">
        <v>0</v>
      </c>
      <c r="AB3823" s="4">
        <f t="shared" si="587"/>
        <v>55916.115384615383</v>
      </c>
      <c r="AC3823" s="4">
        <f t="shared" si="589"/>
        <v>2236.6446153846191</v>
      </c>
      <c r="AD3823" s="6">
        <f t="shared" si="591"/>
        <v>58152.76</v>
      </c>
      <c r="AE3823" s="2">
        <f>VLOOKUP(I3823,[1]媒体政策预估表!A:N,MATCH(O3823,[1]媒体政策预估表!$A$2:$M$2,0),0)</f>
        <v>0.12</v>
      </c>
      <c r="AF3823" s="6">
        <f t="shared" si="590"/>
        <v>6978.3311999999996</v>
      </c>
      <c r="AG3823" s="14">
        <v>0</v>
      </c>
      <c r="AH3823" s="64">
        <f t="shared" si="592"/>
        <v>58152.76</v>
      </c>
      <c r="AI3823" s="47"/>
      <c r="AJ3823" s="126" t="e">
        <v>#N/A</v>
      </c>
      <c r="AK3823" s="80">
        <f t="shared" si="588"/>
        <v>0</v>
      </c>
      <c r="AM3823" s="85"/>
    </row>
    <row r="3824" spans="1:39" hidden="1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593"/>
        <v>-391626.81</v>
      </c>
      <c r="X3824" s="6">
        <f t="shared" si="594"/>
        <v>237978.07</v>
      </c>
      <c r="Y3824" s="13">
        <f t="shared" si="586"/>
        <v>0</v>
      </c>
      <c r="Z3824" s="14">
        <v>0</v>
      </c>
      <c r="AA3824" s="6">
        <v>0</v>
      </c>
      <c r="AB3824" s="4">
        <f t="shared" si="587"/>
        <v>237978.07</v>
      </c>
      <c r="AC3824" s="4">
        <f t="shared" si="589"/>
        <v>0</v>
      </c>
      <c r="AD3824" s="6">
        <f t="shared" si="591"/>
        <v>237978.07</v>
      </c>
      <c r="AE3824" s="2">
        <f>VLOOKUP(I3824,[1]媒体政策预估表!A:N,MATCH(O3824,[1]媒体政策预估表!$A$2:$M$2,0),0)</f>
        <v>0.12</v>
      </c>
      <c r="AF3824" s="6">
        <f t="shared" si="590"/>
        <v>28557.368399999999</v>
      </c>
      <c r="AG3824" s="14">
        <v>0</v>
      </c>
      <c r="AH3824" s="64">
        <f t="shared" si="592"/>
        <v>237978.07</v>
      </c>
      <c r="AI3824" s="47"/>
      <c r="AJ3824" s="126" t="e">
        <v>#N/A</v>
      </c>
      <c r="AK3824" s="80">
        <f t="shared" si="588"/>
        <v>0</v>
      </c>
      <c r="AM3824" s="85"/>
    </row>
    <row r="3825" spans="1:39" hidden="1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593"/>
        <v>-98491.510000000024</v>
      </c>
      <c r="X3825" s="6">
        <f t="shared" si="594"/>
        <v>63119.413461538476</v>
      </c>
      <c r="Y3825" s="13">
        <f t="shared" si="586"/>
        <v>0</v>
      </c>
      <c r="Z3825" s="14">
        <v>0</v>
      </c>
      <c r="AA3825" s="6">
        <v>0</v>
      </c>
      <c r="AB3825" s="4">
        <f t="shared" si="587"/>
        <v>63119.413461538476</v>
      </c>
      <c r="AC3825" s="4">
        <f t="shared" si="589"/>
        <v>2524.7765384615413</v>
      </c>
      <c r="AD3825" s="6">
        <f t="shared" si="591"/>
        <v>65644.190000000017</v>
      </c>
      <c r="AE3825" s="2">
        <f>VLOOKUP(I3825,[1]媒体政策预估表!A:N,MATCH(O3825,[1]媒体政策预估表!$A$2:$M$2,0),0)</f>
        <v>0.12</v>
      </c>
      <c r="AF3825" s="6">
        <f t="shared" si="590"/>
        <v>7877.3028000000013</v>
      </c>
      <c r="AG3825" s="14">
        <v>0</v>
      </c>
      <c r="AH3825" s="64">
        <f t="shared" si="592"/>
        <v>65644.190000000017</v>
      </c>
      <c r="AI3825" s="47"/>
      <c r="AJ3825" s="126" t="e">
        <v>#N/A</v>
      </c>
      <c r="AK3825" s="80">
        <f t="shared" si="588"/>
        <v>0</v>
      </c>
      <c r="AM3825" s="85"/>
    </row>
    <row r="3826" spans="1:39" hidden="1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593"/>
        <v>-373270.02</v>
      </c>
      <c r="X3826" s="6">
        <f t="shared" si="594"/>
        <v>207089.7788461539</v>
      </c>
      <c r="Y3826" s="13">
        <f t="shared" si="586"/>
        <v>0</v>
      </c>
      <c r="Z3826" s="14">
        <v>0</v>
      </c>
      <c r="AA3826" s="6">
        <v>0</v>
      </c>
      <c r="AB3826" s="4">
        <f t="shared" si="587"/>
        <v>207089.7788461539</v>
      </c>
      <c r="AC3826" s="4">
        <f t="shared" si="589"/>
        <v>8283.5911538461514</v>
      </c>
      <c r="AD3826" s="6">
        <f t="shared" si="591"/>
        <v>215373.37000000005</v>
      </c>
      <c r="AE3826" s="2">
        <f>VLOOKUP(I3826,[1]媒体政策预估表!A:N,MATCH(O3826,[1]媒体政策预估表!$A$2:$M$2,0),0)</f>
        <v>0.12</v>
      </c>
      <c r="AF3826" s="6">
        <f t="shared" si="590"/>
        <v>25844.804400000005</v>
      </c>
      <c r="AG3826" s="14">
        <v>0</v>
      </c>
      <c r="AH3826" s="64">
        <f t="shared" si="592"/>
        <v>215373.37000000005</v>
      </c>
      <c r="AI3826" s="47"/>
      <c r="AJ3826" s="126" t="e">
        <v>#N/A</v>
      </c>
      <c r="AK3826" s="80">
        <f t="shared" si="588"/>
        <v>0</v>
      </c>
      <c r="AM3826" s="85"/>
    </row>
    <row r="3827" spans="1:39" hidden="1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593"/>
        <v>-129422.83000000002</v>
      </c>
      <c r="X3827" s="6">
        <f t="shared" si="594"/>
        <v>80222.298076923093</v>
      </c>
      <c r="Y3827" s="13">
        <f t="shared" si="586"/>
        <v>0</v>
      </c>
      <c r="Z3827" s="14">
        <v>0</v>
      </c>
      <c r="AA3827" s="6">
        <v>0</v>
      </c>
      <c r="AB3827" s="4">
        <f t="shared" si="587"/>
        <v>80222.298076923093</v>
      </c>
      <c r="AC3827" s="4">
        <f t="shared" si="589"/>
        <v>3208.8919230769243</v>
      </c>
      <c r="AD3827" s="6">
        <f t="shared" si="591"/>
        <v>83431.190000000017</v>
      </c>
      <c r="AE3827" s="2">
        <f>VLOOKUP(I3827,[1]媒体政策预估表!A:N,MATCH(O3827,[1]媒体政策预估表!$A$2:$M$2,0),0)</f>
        <v>0.12</v>
      </c>
      <c r="AF3827" s="6">
        <f t="shared" si="590"/>
        <v>10011.742800000002</v>
      </c>
      <c r="AG3827" s="14">
        <v>0</v>
      </c>
      <c r="AH3827" s="64">
        <f t="shared" si="592"/>
        <v>83431.190000000017</v>
      </c>
      <c r="AI3827" s="47"/>
      <c r="AJ3827" s="126" t="e">
        <v>#N/A</v>
      </c>
      <c r="AK3827" s="80">
        <f t="shared" si="58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593"/>
        <v>-387725.5</v>
      </c>
      <c r="X3828" s="6">
        <f t="shared" si="594"/>
        <v>238329.60576923081</v>
      </c>
      <c r="Y3828" s="13">
        <f t="shared" si="586"/>
        <v>0</v>
      </c>
      <c r="Z3828" s="14">
        <v>0</v>
      </c>
      <c r="AA3828" s="6">
        <v>0</v>
      </c>
      <c r="AB3828" s="4">
        <f t="shared" si="587"/>
        <v>238329.60576923081</v>
      </c>
      <c r="AC3828" s="4">
        <f t="shared" si="589"/>
        <v>9533.1842307692277</v>
      </c>
      <c r="AD3828" s="6">
        <f t="shared" si="591"/>
        <v>247862.79000000004</v>
      </c>
      <c r="AE3828" s="2">
        <f>VLOOKUP(I3828,[1]媒体政策预估表!A:N,MATCH(O3828,[1]媒体政策预估表!$A$2:$M$2,0),0)</f>
        <v>0.12</v>
      </c>
      <c r="AF3828" s="6">
        <f t="shared" si="590"/>
        <v>29743.534800000005</v>
      </c>
      <c r="AG3828" s="14">
        <v>0</v>
      </c>
      <c r="AH3828" s="64">
        <f t="shared" si="592"/>
        <v>247862.79000000004</v>
      </c>
      <c r="AI3828" s="47"/>
      <c r="AJ3828" s="126" t="e">
        <v>#N/A</v>
      </c>
      <c r="AK3828" s="80">
        <f t="shared" si="58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593"/>
        <v>-314104.90999999992</v>
      </c>
      <c r="X3829" s="6">
        <f t="shared" si="594"/>
        <v>304133.34313725476</v>
      </c>
      <c r="Y3829" s="13">
        <f t="shared" si="586"/>
        <v>0</v>
      </c>
      <c r="Z3829" s="14">
        <v>0</v>
      </c>
      <c r="AA3829" s="6">
        <v>0</v>
      </c>
      <c r="AB3829" s="4">
        <f t="shared" si="587"/>
        <v>304133.34313725476</v>
      </c>
      <c r="AC3829" s="4">
        <f t="shared" si="589"/>
        <v>6082.666862745129</v>
      </c>
      <c r="AD3829" s="6">
        <f t="shared" si="591"/>
        <v>310216.00999999989</v>
      </c>
      <c r="AE3829" s="2">
        <f>VLOOKUP(I3829,[1]媒体政策预估表!A:N,MATCH(O3829,[1]媒体政策预估表!$A$2:$M$2,0),0)</f>
        <v>0.12</v>
      </c>
      <c r="AF3829" s="6">
        <f t="shared" si="590"/>
        <v>37225.921199999982</v>
      </c>
      <c r="AG3829" s="14">
        <v>0</v>
      </c>
      <c r="AH3829" s="64">
        <f t="shared" si="592"/>
        <v>310216.00999999989</v>
      </c>
      <c r="AI3829" s="47"/>
      <c r="AJ3829" s="126" t="e">
        <v>#N/A</v>
      </c>
      <c r="AK3829" s="80">
        <f t="shared" si="58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593"/>
        <v>-112.01</v>
      </c>
      <c r="X3830" s="6">
        <f t="shared" si="594"/>
        <v>108.74757281553399</v>
      </c>
      <c r="Y3830" s="13">
        <f t="shared" si="586"/>
        <v>0</v>
      </c>
      <c r="Z3830" s="14">
        <v>0</v>
      </c>
      <c r="AA3830" s="6">
        <v>0</v>
      </c>
      <c r="AB3830" s="4">
        <f t="shared" si="587"/>
        <v>108.74757281553399</v>
      </c>
      <c r="AC3830" s="4">
        <f t="shared" si="589"/>
        <v>3.26242718446602</v>
      </c>
      <c r="AD3830" s="6">
        <f t="shared" si="591"/>
        <v>112.01</v>
      </c>
      <c r="AE3830" s="2">
        <f>VLOOKUP(I3830,[1]媒体政策预估表!A:N,MATCH(O3830,[1]媒体政策预估表!$A$2:$M$2,0),0)</f>
        <v>0.12</v>
      </c>
      <c r="AF3830" s="6">
        <f t="shared" si="590"/>
        <v>13.4412</v>
      </c>
      <c r="AG3830" s="14">
        <v>0</v>
      </c>
      <c r="AH3830" s="64">
        <f t="shared" si="592"/>
        <v>112.01</v>
      </c>
      <c r="AI3830" s="47"/>
      <c r="AJ3830" s="126" t="e">
        <v>#N/A</v>
      </c>
      <c r="AK3830" s="80">
        <f t="shared" si="58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593"/>
        <v>-94324.159999999989</v>
      </c>
      <c r="X3831" s="6">
        <f t="shared" si="594"/>
        <v>0</v>
      </c>
      <c r="Y3831" s="13">
        <f t="shared" si="586"/>
        <v>0</v>
      </c>
      <c r="Z3831" s="14">
        <v>0</v>
      </c>
      <c r="AA3831" s="6">
        <v>0</v>
      </c>
      <c r="AB3831" s="4">
        <f t="shared" si="587"/>
        <v>0</v>
      </c>
      <c r="AC3831" s="4">
        <f t="shared" si="589"/>
        <v>0</v>
      </c>
      <c r="AD3831" s="6">
        <f t="shared" si="591"/>
        <v>0</v>
      </c>
      <c r="AE3831" s="2">
        <f>VLOOKUP(I3831,[1]媒体政策预估表!A:N,MATCH(O3831,[1]媒体政策预估表!$A$2:$M$2,0),0)</f>
        <v>0.12</v>
      </c>
      <c r="AF3831" s="6">
        <f t="shared" si="590"/>
        <v>0</v>
      </c>
      <c r="AG3831" s="14">
        <v>0</v>
      </c>
      <c r="AH3831" s="64">
        <f t="shared" si="592"/>
        <v>0</v>
      </c>
      <c r="AI3831" s="47"/>
      <c r="AJ3831" s="126" t="e">
        <v>#N/A</v>
      </c>
      <c r="AK3831" s="80">
        <f t="shared" si="58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593"/>
        <v>-2290.64</v>
      </c>
      <c r="X3832" s="6">
        <f t="shared" si="594"/>
        <v>2202.5384615384614</v>
      </c>
      <c r="Y3832" s="13">
        <f t="shared" si="586"/>
        <v>0</v>
      </c>
      <c r="Z3832" s="14">
        <v>0</v>
      </c>
      <c r="AA3832" s="6">
        <v>0</v>
      </c>
      <c r="AB3832" s="4">
        <f t="shared" si="587"/>
        <v>2202.5384615384614</v>
      </c>
      <c r="AC3832" s="4">
        <f t="shared" si="589"/>
        <v>88.101538461538439</v>
      </c>
      <c r="AD3832" s="6">
        <f t="shared" si="591"/>
        <v>2290.64</v>
      </c>
      <c r="AE3832" s="2">
        <f>VLOOKUP(I3832,[1]媒体政策预估表!A:N,MATCH(O3832,[1]媒体政策预估表!$A$2:$M$2,0),0)</f>
        <v>0.12</v>
      </c>
      <c r="AF3832" s="6">
        <f t="shared" si="590"/>
        <v>274.8768</v>
      </c>
      <c r="AG3832" s="14">
        <v>0</v>
      </c>
      <c r="AH3832" s="64">
        <f t="shared" si="592"/>
        <v>2290.64</v>
      </c>
      <c r="AI3832" s="47"/>
      <c r="AJ3832" s="126" t="e">
        <v>#N/A</v>
      </c>
      <c r="AK3832" s="80">
        <f t="shared" si="588"/>
        <v>0</v>
      </c>
      <c r="AM3832" s="85"/>
    </row>
    <row r="3833" spans="1:39" hidden="1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594"/>
        <v>1445.3461538461536</v>
      </c>
      <c r="Y3833" s="13">
        <f t="shared" si="586"/>
        <v>0</v>
      </c>
      <c r="Z3833" s="14">
        <v>0</v>
      </c>
      <c r="AA3833" s="6">
        <v>0</v>
      </c>
      <c r="AB3833" s="4">
        <f t="shared" si="587"/>
        <v>1445.3461538461536</v>
      </c>
      <c r="AC3833" s="4">
        <f t="shared" si="589"/>
        <v>57.813846153846271</v>
      </c>
      <c r="AD3833" s="6">
        <f t="shared" si="591"/>
        <v>1503.1599999999999</v>
      </c>
      <c r="AE3833" s="2">
        <f>VLOOKUP(I3833,[1]媒体政策预估表!A:N,MATCH(O3833,[1]媒体政策预估表!$A$2:$M$2,0),0)</f>
        <v>0.12</v>
      </c>
      <c r="AF3833" s="6">
        <f t="shared" si="590"/>
        <v>180.37919999999997</v>
      </c>
      <c r="AG3833" s="14">
        <v>0</v>
      </c>
      <c r="AH3833" s="64">
        <f t="shared" si="592"/>
        <v>1503.1599999999999</v>
      </c>
      <c r="AI3833" s="47"/>
      <c r="AJ3833" s="126" t="e">
        <v>#N/A</v>
      </c>
      <c r="AK3833" s="80">
        <f t="shared" si="588"/>
        <v>0</v>
      </c>
      <c r="AM3833" s="85"/>
    </row>
    <row r="3834" spans="1:39" hidden="1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586"/>
        <v>0</v>
      </c>
      <c r="Z3834" s="14">
        <v>0</v>
      </c>
      <c r="AA3834" s="6">
        <v>0</v>
      </c>
      <c r="AB3834" s="4">
        <f t="shared" si="587"/>
        <v>1991.39</v>
      </c>
      <c r="AC3834" s="4">
        <f t="shared" si="589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590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588"/>
        <v>0</v>
      </c>
      <c r="AM3834" s="85"/>
    </row>
    <row r="3835" spans="1:39" hidden="1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595">T3835+U3835-V3835</f>
        <v>9589</v>
      </c>
      <c r="X3835" s="6">
        <f t="shared" ref="X3835:X3898" si="596">IF(P3835="折扣",V3835*Q3835,IF(P3835="返现",V3835,V3835/(1+Q3835)))</f>
        <v>10811</v>
      </c>
      <c r="Y3835" s="13">
        <f t="shared" si="586"/>
        <v>0</v>
      </c>
      <c r="Z3835" s="14">
        <v>0</v>
      </c>
      <c r="AA3835" s="6">
        <v>0</v>
      </c>
      <c r="AB3835" s="4">
        <f t="shared" si="587"/>
        <v>10811</v>
      </c>
      <c r="AC3835" s="4">
        <f t="shared" si="589"/>
        <v>648.66</v>
      </c>
      <c r="AD3835" s="6">
        <f t="shared" ref="AD3835:AD3898" si="597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590"/>
        <v>756.7700000000001</v>
      </c>
      <c r="AG3835" s="14">
        <v>0</v>
      </c>
      <c r="AH3835" s="65">
        <f t="shared" ref="AH3835:AH3898" si="598">V3835</f>
        <v>10811</v>
      </c>
      <c r="AI3835" s="47"/>
      <c r="AJ3835" s="126" t="e">
        <v>#N/A</v>
      </c>
      <c r="AK3835" s="80">
        <f t="shared" si="58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595"/>
        <v>25496.5</v>
      </c>
      <c r="X3836" s="6">
        <f t="shared" si="596"/>
        <v>28886.764705882353</v>
      </c>
      <c r="Y3836" s="13">
        <f t="shared" si="586"/>
        <v>0</v>
      </c>
      <c r="Z3836" s="14">
        <v>0</v>
      </c>
      <c r="AA3836" s="6">
        <v>0</v>
      </c>
      <c r="AB3836" s="4">
        <f t="shared" si="587"/>
        <v>28886.764705882353</v>
      </c>
      <c r="AC3836" s="4">
        <f t="shared" si="589"/>
        <v>577.73529411764684</v>
      </c>
      <c r="AD3836" s="6">
        <f t="shared" si="597"/>
        <v>29464.5</v>
      </c>
      <c r="AE3836" s="2">
        <f>VLOOKUP(I3836,[1]媒体政策预估表!A:N,MATCH(O3836,[1]媒体政策预估表!$A$2:$M$2,0),0)</f>
        <v>7.0000000000000007E-2</v>
      </c>
      <c r="AF3836" s="6">
        <f t="shared" si="590"/>
        <v>2062.5150000000003</v>
      </c>
      <c r="AG3836" s="14">
        <v>0</v>
      </c>
      <c r="AH3836" s="65">
        <f t="shared" si="598"/>
        <v>29464.5</v>
      </c>
      <c r="AI3836" s="47"/>
      <c r="AJ3836" s="126" t="e">
        <v>#N/A</v>
      </c>
      <c r="AK3836" s="80">
        <f t="shared" si="58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595"/>
        <v>2846.0600000000049</v>
      </c>
      <c r="X3837" s="6">
        <f t="shared" si="596"/>
        <v>33709.411764705881</v>
      </c>
      <c r="Y3837" s="13">
        <f t="shared" si="586"/>
        <v>0</v>
      </c>
      <c r="Z3837" s="14">
        <v>0</v>
      </c>
      <c r="AA3837" s="6">
        <v>0</v>
      </c>
      <c r="AB3837" s="4">
        <f t="shared" si="587"/>
        <v>33709.411764705881</v>
      </c>
      <c r="AC3837" s="4">
        <f t="shared" si="589"/>
        <v>674.18823529411748</v>
      </c>
      <c r="AD3837" s="6">
        <f t="shared" si="597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590"/>
        <v>2406.8520000000003</v>
      </c>
      <c r="AG3837" s="14">
        <v>0</v>
      </c>
      <c r="AH3837" s="65">
        <f t="shared" si="598"/>
        <v>34383.599999999999</v>
      </c>
      <c r="AI3837" s="47"/>
      <c r="AJ3837" s="126" t="e">
        <v>#N/A</v>
      </c>
      <c r="AK3837" s="80">
        <f t="shared" si="58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595"/>
        <v>2579.2999999999993</v>
      </c>
      <c r="X3838" s="6">
        <f t="shared" si="596"/>
        <v>6391.1</v>
      </c>
      <c r="Y3838" s="13">
        <f t="shared" si="586"/>
        <v>0</v>
      </c>
      <c r="Z3838" s="14">
        <v>0</v>
      </c>
      <c r="AA3838" s="6">
        <v>0</v>
      </c>
      <c r="AB3838" s="4">
        <f t="shared" si="587"/>
        <v>6391.1</v>
      </c>
      <c r="AC3838" s="4">
        <f t="shared" si="589"/>
        <v>0</v>
      </c>
      <c r="AD3838" s="6">
        <f t="shared" si="597"/>
        <v>6391.1</v>
      </c>
      <c r="AE3838" s="2">
        <f>VLOOKUP(I3838,[1]媒体政策预估表!A:N,MATCH(O3838,[1]媒体政策预估表!$A$2:$M$2,0),0)</f>
        <v>7.0000000000000007E-2</v>
      </c>
      <c r="AF3838" s="6">
        <f t="shared" si="590"/>
        <v>447.37700000000007</v>
      </c>
      <c r="AG3838" s="14">
        <v>0</v>
      </c>
      <c r="AH3838" s="65">
        <f t="shared" si="598"/>
        <v>6391.1</v>
      </c>
      <c r="AI3838" s="47"/>
      <c r="AJ3838" s="126" t="e">
        <v>#N/A</v>
      </c>
      <c r="AK3838" s="80">
        <f t="shared" si="58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595"/>
        <v>53313.179999999993</v>
      </c>
      <c r="X3839" s="6">
        <f t="shared" si="596"/>
        <v>40555.882352941175</v>
      </c>
      <c r="Y3839" s="13">
        <f t="shared" si="586"/>
        <v>0</v>
      </c>
      <c r="Z3839" s="14">
        <v>0</v>
      </c>
      <c r="AA3839" s="6">
        <v>0</v>
      </c>
      <c r="AB3839" s="4">
        <f t="shared" si="587"/>
        <v>40555.882352941175</v>
      </c>
      <c r="AC3839" s="4">
        <f t="shared" si="589"/>
        <v>811.11764705882524</v>
      </c>
      <c r="AD3839" s="6">
        <f t="shared" si="597"/>
        <v>41367</v>
      </c>
      <c r="AE3839" s="2">
        <f>VLOOKUP(I3839,[1]媒体政策预估表!A:N,MATCH(O3839,[1]媒体政策预估表!$A$2:$M$2,0),0)</f>
        <v>7.0000000000000007E-2</v>
      </c>
      <c r="AF3839" s="6">
        <f t="shared" si="590"/>
        <v>2895.69</v>
      </c>
      <c r="AG3839" s="14">
        <v>0</v>
      </c>
      <c r="AH3839" s="65">
        <f t="shared" si="598"/>
        <v>41367</v>
      </c>
      <c r="AI3839" s="47"/>
      <c r="AJ3839" s="126" t="e">
        <v>#N/A</v>
      </c>
      <c r="AK3839" s="80">
        <f t="shared" si="58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595"/>
        <v>4854064.1505500004</v>
      </c>
      <c r="X3840" s="6">
        <f t="shared" si="596"/>
        <v>326187.97058823524</v>
      </c>
      <c r="Y3840" s="13">
        <f t="shared" si="586"/>
        <v>0</v>
      </c>
      <c r="Z3840" s="14">
        <v>0</v>
      </c>
      <c r="AA3840" s="6">
        <v>0</v>
      </c>
      <c r="AB3840" s="4">
        <f t="shared" si="587"/>
        <v>326187.97058823524</v>
      </c>
      <c r="AC3840" s="4">
        <f t="shared" si="589"/>
        <v>6523.7594117647386</v>
      </c>
      <c r="AD3840" s="6">
        <f t="shared" si="597"/>
        <v>332711.73</v>
      </c>
      <c r="AE3840" s="2">
        <f>VLOOKUP(I3840,[1]媒体政策预估表!A:N,MATCH(O3840,[1]媒体政策预估表!$A$2:$M$2,0),0)</f>
        <v>7.0000000000000007E-2</v>
      </c>
      <c r="AF3840" s="6">
        <f t="shared" si="590"/>
        <v>23289.821100000001</v>
      </c>
      <c r="AG3840" s="14">
        <v>0</v>
      </c>
      <c r="AH3840" s="65">
        <f t="shared" si="598"/>
        <v>332711.73</v>
      </c>
      <c r="AI3840" s="47"/>
      <c r="AJ3840" s="126" t="e">
        <v>#N/A</v>
      </c>
      <c r="AK3840" s="80">
        <f t="shared" si="58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595"/>
        <v>40000</v>
      </c>
      <c r="X3841" s="6">
        <f t="shared" si="596"/>
        <v>0</v>
      </c>
      <c r="Y3841" s="13">
        <f t="shared" si="586"/>
        <v>0</v>
      </c>
      <c r="Z3841" s="14">
        <v>0</v>
      </c>
      <c r="AA3841" s="6">
        <v>0</v>
      </c>
      <c r="AB3841" s="4">
        <f t="shared" si="587"/>
        <v>0</v>
      </c>
      <c r="AC3841" s="4">
        <f t="shared" si="589"/>
        <v>0</v>
      </c>
      <c r="AD3841" s="6">
        <f t="shared" si="597"/>
        <v>0</v>
      </c>
      <c r="AE3841" s="2">
        <f>VLOOKUP(I3841,[1]媒体政策预估表!A:N,MATCH(O3841,[1]媒体政策预估表!$A$2:$M$2,0),0)</f>
        <v>7.0000000000000007E-2</v>
      </c>
      <c r="AF3841" s="6">
        <f t="shared" si="590"/>
        <v>0</v>
      </c>
      <c r="AG3841" s="14">
        <v>0</v>
      </c>
      <c r="AH3841" s="65">
        <f t="shared" si="598"/>
        <v>0</v>
      </c>
      <c r="AI3841" s="47"/>
      <c r="AJ3841" s="126" t="e">
        <v>#N/A</v>
      </c>
      <c r="AK3841" s="80">
        <f t="shared" si="588"/>
        <v>0</v>
      </c>
      <c r="AM3841" s="85"/>
    </row>
    <row r="3842" spans="1:39" hidden="1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595"/>
        <v>9706.2000000000044</v>
      </c>
      <c r="X3842" s="6">
        <f t="shared" si="596"/>
        <v>59751.4</v>
      </c>
      <c r="Y3842" s="13">
        <f t="shared" si="586"/>
        <v>0</v>
      </c>
      <c r="Z3842" s="14">
        <v>0</v>
      </c>
      <c r="AA3842" s="6">
        <v>0</v>
      </c>
      <c r="AB3842" s="4">
        <f t="shared" si="587"/>
        <v>59751.4</v>
      </c>
      <c r="AC3842" s="4">
        <f t="shared" si="589"/>
        <v>0</v>
      </c>
      <c r="AD3842" s="6">
        <f t="shared" si="597"/>
        <v>59751.4</v>
      </c>
      <c r="AE3842" s="2">
        <f>VLOOKUP(I3842,[1]媒体政策预估表!A:N,MATCH(O3842,[1]媒体政策预估表!$A$2:$M$2,0),0)</f>
        <v>7.0000000000000007E-2</v>
      </c>
      <c r="AF3842" s="6">
        <f t="shared" si="590"/>
        <v>4182.5980000000009</v>
      </c>
      <c r="AG3842" s="14">
        <v>0</v>
      </c>
      <c r="AH3842" s="65">
        <f t="shared" si="598"/>
        <v>59751.4</v>
      </c>
      <c r="AI3842" s="47"/>
      <c r="AJ3842" s="126" t="e">
        <v>#N/A</v>
      </c>
      <c r="AK3842" s="80">
        <f t="shared" si="588"/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595"/>
        <v>12527</v>
      </c>
      <c r="X3843" s="6">
        <f t="shared" si="596"/>
        <v>84071.3</v>
      </c>
      <c r="Y3843" s="13">
        <f t="shared" ref="Y3843:Y3906" si="599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00">X3843+AA3843</f>
        <v>84071.3</v>
      </c>
      <c r="AC3843" s="4">
        <f t="shared" si="589"/>
        <v>0</v>
      </c>
      <c r="AD3843" s="6">
        <f t="shared" si="597"/>
        <v>84071.3</v>
      </c>
      <c r="AE3843" s="2">
        <f>VLOOKUP(I3843,[1]媒体政策预估表!A:N,MATCH(O3843,[1]媒体政策预估表!$A$2:$M$2,0),0)</f>
        <v>7.0000000000000007E-2</v>
      </c>
      <c r="AF3843" s="6">
        <f t="shared" si="590"/>
        <v>5884.9910000000009</v>
      </c>
      <c r="AG3843" s="14">
        <v>0</v>
      </c>
      <c r="AH3843" s="65">
        <f t="shared" si="598"/>
        <v>84071.3</v>
      </c>
      <c r="AI3843" s="47"/>
      <c r="AJ3843" s="126" t="e">
        <v>#N/A</v>
      </c>
      <c r="AK3843" s="80">
        <f t="shared" ref="AK3843:AK3906" si="601">X3843+AA3843-AB3843</f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595"/>
        <v>21830.399999999994</v>
      </c>
      <c r="X3844" s="6">
        <f t="shared" si="596"/>
        <v>93952.8</v>
      </c>
      <c r="Y3844" s="13">
        <f t="shared" si="599"/>
        <v>0</v>
      </c>
      <c r="Z3844" s="14">
        <v>0</v>
      </c>
      <c r="AA3844" s="6">
        <v>0</v>
      </c>
      <c r="AB3844" s="4">
        <f t="shared" si="600"/>
        <v>93952.8</v>
      </c>
      <c r="AC3844" s="4">
        <f t="shared" si="589"/>
        <v>0</v>
      </c>
      <c r="AD3844" s="6">
        <f t="shared" si="597"/>
        <v>93952.8</v>
      </c>
      <c r="AE3844" s="2">
        <f>VLOOKUP(I3844,[1]媒体政策预估表!A:N,MATCH(O3844,[1]媒体政策预估表!$A$2:$M$2,0),0)</f>
        <v>7.0000000000000007E-2</v>
      </c>
      <c r="AF3844" s="6">
        <f t="shared" si="590"/>
        <v>6576.6960000000008</v>
      </c>
      <c r="AG3844" s="14">
        <v>0</v>
      </c>
      <c r="AH3844" s="65">
        <f t="shared" si="598"/>
        <v>93952.8</v>
      </c>
      <c r="AI3844" s="47"/>
      <c r="AJ3844" s="126" t="e">
        <v>#N/A</v>
      </c>
      <c r="AK3844" s="80">
        <f t="shared" si="601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595"/>
        <v>14734.699999999997</v>
      </c>
      <c r="X3845" s="6">
        <f t="shared" si="596"/>
        <v>73789.509803921566</v>
      </c>
      <c r="Y3845" s="13">
        <f t="shared" si="599"/>
        <v>0</v>
      </c>
      <c r="Z3845" s="14">
        <v>0</v>
      </c>
      <c r="AA3845" s="6">
        <v>0</v>
      </c>
      <c r="AB3845" s="4">
        <f t="shared" si="600"/>
        <v>73789.509803921566</v>
      </c>
      <c r="AC3845" s="4">
        <f t="shared" si="589"/>
        <v>1475.7901960784366</v>
      </c>
      <c r="AD3845" s="6">
        <f t="shared" si="597"/>
        <v>75265.3</v>
      </c>
      <c r="AE3845" s="2">
        <f>VLOOKUP(I3845,[1]媒体政策预估表!A:N,MATCH(O3845,[1]媒体政策预估表!$A$2:$M$2,0),0)</f>
        <v>7.0000000000000007E-2</v>
      </c>
      <c r="AF3845" s="6">
        <f t="shared" si="590"/>
        <v>5268.5710000000008</v>
      </c>
      <c r="AG3845" s="14">
        <v>0</v>
      </c>
      <c r="AH3845" s="65">
        <f t="shared" si="598"/>
        <v>75265.3</v>
      </c>
      <c r="AI3845" s="47"/>
      <c r="AJ3845" s="126" t="e">
        <v>#N/A</v>
      </c>
      <c r="AK3845" s="80">
        <f t="shared" si="601"/>
        <v>0</v>
      </c>
      <c r="AM3845" s="85"/>
    </row>
    <row r="3846" spans="1:39" hidden="1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595"/>
        <v>21633.100000000035</v>
      </c>
      <c r="X3846" s="6">
        <f t="shared" si="596"/>
        <v>88333.8</v>
      </c>
      <c r="Y3846" s="13">
        <f t="shared" si="599"/>
        <v>0</v>
      </c>
      <c r="Z3846" s="14">
        <v>0</v>
      </c>
      <c r="AA3846" s="6">
        <v>0</v>
      </c>
      <c r="AB3846" s="4">
        <f t="shared" si="600"/>
        <v>88333.8</v>
      </c>
      <c r="AC3846" s="4">
        <f t="shared" si="589"/>
        <v>0</v>
      </c>
      <c r="AD3846" s="6">
        <f t="shared" si="597"/>
        <v>88333.8</v>
      </c>
      <c r="AE3846" s="2">
        <f>VLOOKUP(I3846,[1]媒体政策预估表!A:N,MATCH(O3846,[1]媒体政策预估表!$A$2:$M$2,0),0)</f>
        <v>7.0000000000000007E-2</v>
      </c>
      <c r="AF3846" s="6">
        <f t="shared" si="590"/>
        <v>6183.3660000000009</v>
      </c>
      <c r="AG3846" s="14">
        <v>0</v>
      </c>
      <c r="AH3846" s="65">
        <f t="shared" si="598"/>
        <v>88333.8</v>
      </c>
      <c r="AI3846" s="47"/>
      <c r="AJ3846" s="126" t="e">
        <v>#N/A</v>
      </c>
      <c r="AK3846" s="80">
        <f t="shared" si="601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595"/>
        <v>17394.060000000012</v>
      </c>
      <c r="X3847" s="6">
        <f t="shared" si="596"/>
        <v>86102.2</v>
      </c>
      <c r="Y3847" s="13">
        <f t="shared" si="599"/>
        <v>0</v>
      </c>
      <c r="Z3847" s="14">
        <v>0</v>
      </c>
      <c r="AA3847" s="6">
        <v>0</v>
      </c>
      <c r="AB3847" s="4">
        <f t="shared" si="600"/>
        <v>86102.2</v>
      </c>
      <c r="AC3847" s="4">
        <f t="shared" si="589"/>
        <v>0</v>
      </c>
      <c r="AD3847" s="6">
        <f t="shared" si="597"/>
        <v>86102.2</v>
      </c>
      <c r="AE3847" s="2">
        <f>VLOOKUP(I3847,[1]媒体政策预估表!A:N,MATCH(O3847,[1]媒体政策预估表!$A$2:$M$2,0),0)</f>
        <v>7.0000000000000007E-2</v>
      </c>
      <c r="AF3847" s="6">
        <f t="shared" si="590"/>
        <v>6027.1540000000005</v>
      </c>
      <c r="AG3847" s="14">
        <v>0</v>
      </c>
      <c r="AH3847" s="65">
        <f t="shared" si="598"/>
        <v>86102.2</v>
      </c>
      <c r="AI3847" s="47"/>
      <c r="AJ3847" s="126" t="e">
        <v>#N/A</v>
      </c>
      <c r="AK3847" s="80">
        <f t="shared" si="601"/>
        <v>0</v>
      </c>
      <c r="AM3847" s="85"/>
    </row>
    <row r="3848" spans="1:39" hidden="1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595"/>
        <v>99100.2</v>
      </c>
      <c r="X3848" s="6">
        <f t="shared" si="596"/>
        <v>46215.3</v>
      </c>
      <c r="Y3848" s="13">
        <f t="shared" si="599"/>
        <v>0</v>
      </c>
      <c r="Z3848" s="14">
        <v>0</v>
      </c>
      <c r="AA3848" s="6">
        <v>0</v>
      </c>
      <c r="AB3848" s="4">
        <f t="shared" si="600"/>
        <v>46215.3</v>
      </c>
      <c r="AC3848" s="4">
        <f t="shared" si="589"/>
        <v>0</v>
      </c>
      <c r="AD3848" s="6">
        <f t="shared" si="597"/>
        <v>46215.3</v>
      </c>
      <c r="AE3848" s="2">
        <f>VLOOKUP(I3848,[1]媒体政策预估表!A:N,MATCH(O3848,[1]媒体政策预估表!$A$2:$M$2,0),0)</f>
        <v>7.0000000000000007E-2</v>
      </c>
      <c r="AF3848" s="6">
        <f t="shared" si="590"/>
        <v>3235.0710000000004</v>
      </c>
      <c r="AG3848" s="14">
        <v>0</v>
      </c>
      <c r="AH3848" s="65">
        <f t="shared" si="598"/>
        <v>46215.3</v>
      </c>
      <c r="AI3848" s="47"/>
      <c r="AJ3848" s="126" t="e">
        <v>#N/A</v>
      </c>
      <c r="AK3848" s="80">
        <f t="shared" si="601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595"/>
        <v>2626.8000000000029</v>
      </c>
      <c r="X3849" s="6">
        <f t="shared" si="596"/>
        <v>19118.5</v>
      </c>
      <c r="Y3849" s="13">
        <f t="shared" si="599"/>
        <v>0</v>
      </c>
      <c r="Z3849" s="14">
        <v>0</v>
      </c>
      <c r="AA3849" s="6">
        <v>0</v>
      </c>
      <c r="AB3849" s="4">
        <f t="shared" si="600"/>
        <v>19118.5</v>
      </c>
      <c r="AC3849" s="4">
        <f t="shared" si="589"/>
        <v>0</v>
      </c>
      <c r="AD3849" s="6">
        <f t="shared" si="597"/>
        <v>19118.5</v>
      </c>
      <c r="AE3849" s="2">
        <f>VLOOKUP(I3849,[1]媒体政策预估表!A:N,MATCH(O3849,[1]媒体政策预估表!$A$2:$M$2,0),0)</f>
        <v>7.0000000000000007E-2</v>
      </c>
      <c r="AF3849" s="6">
        <f t="shared" si="590"/>
        <v>1338.2950000000001</v>
      </c>
      <c r="AG3849" s="14">
        <v>0</v>
      </c>
      <c r="AH3849" s="65">
        <f t="shared" si="598"/>
        <v>19118.5</v>
      </c>
      <c r="AI3849" s="47"/>
      <c r="AJ3849" s="126" t="e">
        <v>#N/A</v>
      </c>
      <c r="AK3849" s="80">
        <f t="shared" si="601"/>
        <v>0</v>
      </c>
      <c r="AM3849" s="85"/>
    </row>
    <row r="3850" spans="1:39" hidden="1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595"/>
        <v>0</v>
      </c>
      <c r="X3850" s="6">
        <f t="shared" si="596"/>
        <v>3297.6</v>
      </c>
      <c r="Y3850" s="13">
        <f t="shared" si="599"/>
        <v>0</v>
      </c>
      <c r="Z3850" s="14">
        <v>0</v>
      </c>
      <c r="AA3850" s="6">
        <v>0</v>
      </c>
      <c r="AB3850" s="4">
        <f t="shared" si="600"/>
        <v>3297.6</v>
      </c>
      <c r="AC3850" s="4">
        <f t="shared" si="589"/>
        <v>0</v>
      </c>
      <c r="AD3850" s="6">
        <f t="shared" si="597"/>
        <v>3297.6</v>
      </c>
      <c r="AE3850" s="2">
        <f>VLOOKUP(I3850,[1]媒体政策预估表!A:N,MATCH(O3850,[1]媒体政策预估表!$A$2:$M$2,0),0)</f>
        <v>7.0000000000000007E-2</v>
      </c>
      <c r="AF3850" s="6">
        <f t="shared" si="590"/>
        <v>230.83200000000002</v>
      </c>
      <c r="AG3850" s="14">
        <v>0</v>
      </c>
      <c r="AH3850" s="65">
        <f t="shared" si="598"/>
        <v>3297.6</v>
      </c>
      <c r="AI3850" s="47"/>
      <c r="AJ3850" s="126" t="e">
        <v>#N/A</v>
      </c>
      <c r="AK3850" s="80">
        <f t="shared" si="601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595"/>
        <v>4817.2000000000007</v>
      </c>
      <c r="X3851" s="6">
        <f t="shared" si="596"/>
        <v>17372.2</v>
      </c>
      <c r="Y3851" s="13">
        <f t="shared" si="599"/>
        <v>0</v>
      </c>
      <c r="Z3851" s="14">
        <v>0</v>
      </c>
      <c r="AA3851" s="6">
        <v>0</v>
      </c>
      <c r="AB3851" s="4">
        <f t="shared" si="600"/>
        <v>17372.2</v>
      </c>
      <c r="AC3851" s="4">
        <f t="shared" si="589"/>
        <v>0</v>
      </c>
      <c r="AD3851" s="6">
        <f t="shared" si="597"/>
        <v>17372.2</v>
      </c>
      <c r="AE3851" s="2">
        <f>VLOOKUP(I3851,[1]媒体政策预估表!A:N,MATCH(O3851,[1]媒体政策预估表!$A$2:$M$2,0),0)</f>
        <v>7.0000000000000007E-2</v>
      </c>
      <c r="AF3851" s="6">
        <f t="shared" si="590"/>
        <v>1216.0540000000001</v>
      </c>
      <c r="AG3851" s="14">
        <v>0</v>
      </c>
      <c r="AH3851" s="65">
        <f t="shared" si="598"/>
        <v>17372.2</v>
      </c>
      <c r="AI3851" s="47"/>
      <c r="AJ3851" s="126" t="e">
        <v>#N/A</v>
      </c>
      <c r="AK3851" s="80">
        <f t="shared" si="601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595"/>
        <v>0</v>
      </c>
      <c r="X3852" s="6">
        <f t="shared" si="596"/>
        <v>0</v>
      </c>
      <c r="Y3852" s="13">
        <f t="shared" si="599"/>
        <v>0</v>
      </c>
      <c r="Z3852" s="14">
        <v>0</v>
      </c>
      <c r="AA3852" s="6">
        <v>0</v>
      </c>
      <c r="AB3852" s="4">
        <f t="shared" si="600"/>
        <v>0</v>
      </c>
      <c r="AC3852" s="4">
        <f t="shared" ref="AC3852:AC3915" si="602">IF(P3852="返现",X3852*Q3852,V3852-X3852)</f>
        <v>0</v>
      </c>
      <c r="AD3852" s="6">
        <f t="shared" si="597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03">AD3852*AE3852</f>
        <v>0</v>
      </c>
      <c r="AG3852" s="14">
        <v>0</v>
      </c>
      <c r="AH3852" s="65">
        <f t="shared" si="598"/>
        <v>0</v>
      </c>
      <c r="AI3852" s="47"/>
      <c r="AJ3852" s="126" t="e">
        <v>#N/A</v>
      </c>
      <c r="AK3852" s="80">
        <f t="shared" si="601"/>
        <v>0</v>
      </c>
      <c r="AM3852" s="85"/>
    </row>
    <row r="3853" spans="1:39" hidden="1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595"/>
        <v>9053.1799999999985</v>
      </c>
      <c r="X3853" s="6">
        <f t="shared" si="596"/>
        <v>14057.12</v>
      </c>
      <c r="Y3853" s="13">
        <f t="shared" si="599"/>
        <v>0</v>
      </c>
      <c r="Z3853" s="14">
        <v>0</v>
      </c>
      <c r="AA3853" s="6">
        <v>0</v>
      </c>
      <c r="AB3853" s="4">
        <f t="shared" si="600"/>
        <v>14057.12</v>
      </c>
      <c r="AC3853" s="4">
        <f t="shared" si="602"/>
        <v>0</v>
      </c>
      <c r="AD3853" s="6">
        <f t="shared" si="597"/>
        <v>14057.12</v>
      </c>
      <c r="AE3853" s="2">
        <f>VLOOKUP(I3853,[1]媒体政策预估表!A:N,MATCH(O3853,[1]媒体政策预估表!$A$2:$M$2,0),0)</f>
        <v>7.0000000000000007E-2</v>
      </c>
      <c r="AF3853" s="6">
        <f t="shared" si="603"/>
        <v>983.99840000000017</v>
      </c>
      <c r="AG3853" s="14">
        <v>0</v>
      </c>
      <c r="AH3853" s="65">
        <f t="shared" si="598"/>
        <v>14057.12</v>
      </c>
      <c r="AI3853" s="47"/>
      <c r="AJ3853" s="126" t="e">
        <v>#N/A</v>
      </c>
      <c r="AK3853" s="80">
        <f t="shared" si="601"/>
        <v>0</v>
      </c>
      <c r="AM3853" s="85"/>
    </row>
    <row r="3854" spans="1:39" hidden="1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595"/>
        <v>17272.099999999995</v>
      </c>
      <c r="X3854" s="6">
        <f t="shared" si="596"/>
        <v>3279.8</v>
      </c>
      <c r="Y3854" s="13">
        <f t="shared" si="599"/>
        <v>0</v>
      </c>
      <c r="Z3854" s="14">
        <v>0</v>
      </c>
      <c r="AA3854" s="6">
        <v>0</v>
      </c>
      <c r="AB3854" s="4">
        <f t="shared" si="600"/>
        <v>3279.8</v>
      </c>
      <c r="AC3854" s="4">
        <f t="shared" si="602"/>
        <v>0</v>
      </c>
      <c r="AD3854" s="6">
        <f t="shared" si="597"/>
        <v>3279.8</v>
      </c>
      <c r="AE3854" s="2">
        <f>VLOOKUP(I3854,[1]媒体政策预估表!A:N,MATCH(O3854,[1]媒体政策预估表!$A$2:$M$2,0),0)</f>
        <v>7.0000000000000007E-2</v>
      </c>
      <c r="AF3854" s="6">
        <f t="shared" si="603"/>
        <v>229.58600000000004</v>
      </c>
      <c r="AG3854" s="14">
        <v>0</v>
      </c>
      <c r="AH3854" s="65">
        <f t="shared" si="598"/>
        <v>3279.8</v>
      </c>
      <c r="AI3854" s="47"/>
      <c r="AJ3854" s="126" t="e">
        <v>#N/A</v>
      </c>
      <c r="AK3854" s="80">
        <f t="shared" si="601"/>
        <v>0</v>
      </c>
      <c r="AM3854" s="85"/>
    </row>
    <row r="3855" spans="1:39" hidden="1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595"/>
        <v>10185.419999999998</v>
      </c>
      <c r="X3855" s="6">
        <f t="shared" si="596"/>
        <v>8223.7999999999993</v>
      </c>
      <c r="Y3855" s="13">
        <f t="shared" si="599"/>
        <v>0</v>
      </c>
      <c r="Z3855" s="14">
        <v>0</v>
      </c>
      <c r="AA3855" s="6">
        <v>0</v>
      </c>
      <c r="AB3855" s="4">
        <f t="shared" si="600"/>
        <v>8223.7999999999993</v>
      </c>
      <c r="AC3855" s="4">
        <f t="shared" si="602"/>
        <v>0</v>
      </c>
      <c r="AD3855" s="6">
        <f t="shared" si="597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03"/>
        <v>575.66600000000005</v>
      </c>
      <c r="AG3855" s="14">
        <v>0</v>
      </c>
      <c r="AH3855" s="65">
        <f t="shared" si="598"/>
        <v>8223.7999999999993</v>
      </c>
      <c r="AI3855" s="47"/>
      <c r="AJ3855" s="126" t="e">
        <v>#N/A</v>
      </c>
      <c r="AK3855" s="80">
        <f t="shared" si="601"/>
        <v>0</v>
      </c>
      <c r="AM3855" s="85"/>
    </row>
    <row r="3856" spans="1:39" hidden="1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595"/>
        <v>477.19999999999709</v>
      </c>
      <c r="X3856" s="6">
        <f t="shared" si="596"/>
        <v>38669.509803921566</v>
      </c>
      <c r="Y3856" s="13">
        <f t="shared" si="599"/>
        <v>0</v>
      </c>
      <c r="Z3856" s="14">
        <v>0</v>
      </c>
      <c r="AA3856" s="6">
        <v>0</v>
      </c>
      <c r="AB3856" s="4">
        <f t="shared" si="600"/>
        <v>38669.509803921566</v>
      </c>
      <c r="AC3856" s="4">
        <f t="shared" si="602"/>
        <v>773.39019607843511</v>
      </c>
      <c r="AD3856" s="6">
        <f t="shared" si="597"/>
        <v>39442.9</v>
      </c>
      <c r="AE3856" s="2">
        <f>VLOOKUP(I3856,[1]媒体政策预估表!A:N,MATCH(O3856,[1]媒体政策预估表!$A$2:$M$2,0),0)</f>
        <v>7.0000000000000007E-2</v>
      </c>
      <c r="AF3856" s="6">
        <f t="shared" si="603"/>
        <v>2761.0030000000002</v>
      </c>
      <c r="AG3856" s="14">
        <v>0</v>
      </c>
      <c r="AH3856" s="65">
        <f t="shared" si="598"/>
        <v>39442.9</v>
      </c>
      <c r="AI3856" s="47"/>
      <c r="AJ3856" s="126" t="e">
        <v>#N/A</v>
      </c>
      <c r="AK3856" s="80">
        <f t="shared" si="601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595"/>
        <v>23904.300000000003</v>
      </c>
      <c r="X3857" s="6">
        <f t="shared" si="596"/>
        <v>60481.2</v>
      </c>
      <c r="Y3857" s="13">
        <f t="shared" si="599"/>
        <v>0</v>
      </c>
      <c r="Z3857" s="14">
        <v>0</v>
      </c>
      <c r="AA3857" s="6">
        <v>0</v>
      </c>
      <c r="AB3857" s="4">
        <f t="shared" si="600"/>
        <v>60481.2</v>
      </c>
      <c r="AC3857" s="4">
        <f t="shared" si="602"/>
        <v>0</v>
      </c>
      <c r="AD3857" s="6">
        <f t="shared" si="597"/>
        <v>60481.2</v>
      </c>
      <c r="AE3857" s="2">
        <f>VLOOKUP(I3857,[1]媒体政策预估表!A:N,MATCH(O3857,[1]媒体政策预估表!$A$2:$M$2,0),0)</f>
        <v>7.0000000000000007E-2</v>
      </c>
      <c r="AF3857" s="6">
        <f t="shared" si="603"/>
        <v>4233.6840000000002</v>
      </c>
      <c r="AG3857" s="14">
        <v>0</v>
      </c>
      <c r="AH3857" s="65">
        <f t="shared" si="598"/>
        <v>60481.2</v>
      </c>
      <c r="AI3857" s="47"/>
      <c r="AJ3857" s="126" t="e">
        <v>#N/A</v>
      </c>
      <c r="AK3857" s="80">
        <f t="shared" si="601"/>
        <v>0</v>
      </c>
      <c r="AM3857" s="85"/>
    </row>
    <row r="3858" spans="1:39" hidden="1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595"/>
        <v>50520.300000000017</v>
      </c>
      <c r="X3858" s="6">
        <f t="shared" si="596"/>
        <v>251186.6</v>
      </c>
      <c r="Y3858" s="13">
        <f t="shared" si="599"/>
        <v>0</v>
      </c>
      <c r="Z3858" s="14">
        <v>0</v>
      </c>
      <c r="AA3858" s="6">
        <v>0</v>
      </c>
      <c r="AB3858" s="4">
        <f t="shared" si="600"/>
        <v>251186.6</v>
      </c>
      <c r="AC3858" s="4">
        <f t="shared" si="602"/>
        <v>0</v>
      </c>
      <c r="AD3858" s="6">
        <f t="shared" si="597"/>
        <v>251186.6</v>
      </c>
      <c r="AE3858" s="2">
        <f>VLOOKUP(I3858,[1]媒体政策预估表!A:N,MATCH(O3858,[1]媒体政策预估表!$A$2:$M$2,0),0)</f>
        <v>7.0000000000000007E-2</v>
      </c>
      <c r="AF3858" s="6">
        <f t="shared" si="603"/>
        <v>17583.062000000002</v>
      </c>
      <c r="AG3858" s="14">
        <v>0</v>
      </c>
      <c r="AH3858" s="65">
        <f t="shared" si="598"/>
        <v>251186.6</v>
      </c>
      <c r="AI3858" s="47"/>
      <c r="AJ3858" s="126" t="e">
        <v>#N/A</v>
      </c>
      <c r="AK3858" s="80">
        <f t="shared" si="601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595"/>
        <v>73282.615939999931</v>
      </c>
      <c r="X3859" s="6">
        <f t="shared" si="596"/>
        <v>1048069.4891683169</v>
      </c>
      <c r="Y3859" s="13">
        <f t="shared" si="599"/>
        <v>0</v>
      </c>
      <c r="Z3859" s="14">
        <v>0</v>
      </c>
      <c r="AA3859" s="6">
        <v>0</v>
      </c>
      <c r="AB3859" s="4">
        <f t="shared" si="600"/>
        <v>1048069.4891683169</v>
      </c>
      <c r="AC3859" s="4">
        <f t="shared" si="602"/>
        <v>10480.694891683175</v>
      </c>
      <c r="AD3859" s="6">
        <f t="shared" si="597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03"/>
        <v>74098.512884200012</v>
      </c>
      <c r="AG3859" s="14">
        <v>0</v>
      </c>
      <c r="AH3859" s="65">
        <f t="shared" si="598"/>
        <v>1058550.1840600001</v>
      </c>
      <c r="AI3859" s="47"/>
      <c r="AJ3859" s="126" t="e">
        <v>#N/A</v>
      </c>
      <c r="AK3859" s="80">
        <f t="shared" si="601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595"/>
        <v>1767.8999999999996</v>
      </c>
      <c r="X3860" s="6">
        <f t="shared" si="596"/>
        <v>7452.6</v>
      </c>
      <c r="Y3860" s="13">
        <f t="shared" si="599"/>
        <v>0</v>
      </c>
      <c r="Z3860" s="14">
        <v>0</v>
      </c>
      <c r="AA3860" s="6">
        <v>0</v>
      </c>
      <c r="AB3860" s="4">
        <f t="shared" si="600"/>
        <v>7452.6</v>
      </c>
      <c r="AC3860" s="4">
        <f t="shared" si="602"/>
        <v>0</v>
      </c>
      <c r="AD3860" s="6">
        <f t="shared" si="597"/>
        <v>7452.6</v>
      </c>
      <c r="AE3860" s="2">
        <f>VLOOKUP(I3860,[1]媒体政策预估表!A:N,MATCH(O3860,[1]媒体政策预估表!$A$2:$M$2,0),0)</f>
        <v>7.0000000000000007E-2</v>
      </c>
      <c r="AF3860" s="6">
        <f t="shared" si="603"/>
        <v>521.68200000000013</v>
      </c>
      <c r="AG3860" s="14">
        <v>0</v>
      </c>
      <c r="AH3860" s="65">
        <f t="shared" si="598"/>
        <v>7452.6</v>
      </c>
      <c r="AI3860" s="47"/>
      <c r="AJ3860" s="126" t="e">
        <v>#N/A</v>
      </c>
      <c r="AK3860" s="80">
        <f t="shared" si="601"/>
        <v>0</v>
      </c>
      <c r="AM3860" s="85"/>
    </row>
    <row r="3861" spans="1:39" hidden="1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595"/>
        <v>3316.4600099999952</v>
      </c>
      <c r="X3861" s="6">
        <f t="shared" si="596"/>
        <v>76080.100000000006</v>
      </c>
      <c r="Y3861" s="13">
        <f t="shared" si="599"/>
        <v>0</v>
      </c>
      <c r="Z3861" s="14">
        <v>0</v>
      </c>
      <c r="AA3861" s="6">
        <v>0</v>
      </c>
      <c r="AB3861" s="4">
        <f t="shared" si="600"/>
        <v>76080.100000000006</v>
      </c>
      <c r="AC3861" s="4">
        <f t="shared" si="602"/>
        <v>0</v>
      </c>
      <c r="AD3861" s="6">
        <f t="shared" si="597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03"/>
        <v>5325.6070000000009</v>
      </c>
      <c r="AG3861" s="14">
        <v>0</v>
      </c>
      <c r="AH3861" s="65">
        <f t="shared" si="598"/>
        <v>76080.100000000006</v>
      </c>
      <c r="AI3861" s="47"/>
      <c r="AJ3861" s="126" t="e">
        <v>#N/A</v>
      </c>
      <c r="AK3861" s="80">
        <f t="shared" si="601"/>
        <v>0</v>
      </c>
      <c r="AM3861" s="85"/>
    </row>
    <row r="3862" spans="1:39" hidden="1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595"/>
        <v>16038.660000000003</v>
      </c>
      <c r="X3862" s="6">
        <f t="shared" si="596"/>
        <v>108657.34</v>
      </c>
      <c r="Y3862" s="13">
        <f t="shared" si="599"/>
        <v>0</v>
      </c>
      <c r="Z3862" s="14">
        <v>0</v>
      </c>
      <c r="AA3862" s="6">
        <v>0</v>
      </c>
      <c r="AB3862" s="4">
        <f t="shared" si="600"/>
        <v>108657.34</v>
      </c>
      <c r="AC3862" s="4">
        <f t="shared" si="602"/>
        <v>0</v>
      </c>
      <c r="AD3862" s="6">
        <f t="shared" si="597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03"/>
        <v>7606.0138000000006</v>
      </c>
      <c r="AG3862" s="14">
        <v>0</v>
      </c>
      <c r="AH3862" s="65">
        <f t="shared" si="598"/>
        <v>108657.34</v>
      </c>
      <c r="AI3862" s="47"/>
      <c r="AJ3862" s="126" t="e">
        <v>#N/A</v>
      </c>
      <c r="AK3862" s="80">
        <f t="shared" si="601"/>
        <v>0</v>
      </c>
      <c r="AM3862" s="85"/>
    </row>
    <row r="3863" spans="1:39" hidden="1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595"/>
        <v>3355.4500000000262</v>
      </c>
      <c r="X3863" s="6">
        <f t="shared" si="596"/>
        <v>84954.2</v>
      </c>
      <c r="Y3863" s="13">
        <f t="shared" si="599"/>
        <v>0</v>
      </c>
      <c r="Z3863" s="14">
        <v>0</v>
      </c>
      <c r="AA3863" s="6">
        <v>0</v>
      </c>
      <c r="AB3863" s="4">
        <f t="shared" si="600"/>
        <v>84954.2</v>
      </c>
      <c r="AC3863" s="4">
        <f t="shared" si="602"/>
        <v>0</v>
      </c>
      <c r="AD3863" s="6">
        <f t="shared" si="597"/>
        <v>84954.2</v>
      </c>
      <c r="AE3863" s="2">
        <f>VLOOKUP(I3863,[1]媒体政策预估表!A:N,MATCH(O3863,[1]媒体政策预估表!$A$2:$M$2,0),0)</f>
        <v>7.0000000000000007E-2</v>
      </c>
      <c r="AF3863" s="6">
        <f t="shared" si="603"/>
        <v>5946.7940000000008</v>
      </c>
      <c r="AG3863" s="14">
        <v>0</v>
      </c>
      <c r="AH3863" s="65">
        <f t="shared" si="598"/>
        <v>84954.2</v>
      </c>
      <c r="AI3863" s="47"/>
      <c r="AJ3863" s="126" t="e">
        <v>#N/A</v>
      </c>
      <c r="AK3863" s="80">
        <f t="shared" si="601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595"/>
        <v>24381.520000000019</v>
      </c>
      <c r="X3864" s="6">
        <f t="shared" si="596"/>
        <v>210630.50980392157</v>
      </c>
      <c r="Y3864" s="13">
        <f t="shared" si="599"/>
        <v>0</v>
      </c>
      <c r="Z3864" s="14">
        <v>0</v>
      </c>
      <c r="AA3864" s="6">
        <v>0</v>
      </c>
      <c r="AB3864" s="4">
        <f t="shared" si="600"/>
        <v>210630.50980392157</v>
      </c>
      <c r="AC3864" s="4">
        <f t="shared" si="602"/>
        <v>4212.610196078429</v>
      </c>
      <c r="AD3864" s="6">
        <f t="shared" si="597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03"/>
        <v>15039.018400000001</v>
      </c>
      <c r="AG3864" s="14">
        <v>0</v>
      </c>
      <c r="AH3864" s="65">
        <f t="shared" si="598"/>
        <v>214843.12</v>
      </c>
      <c r="AI3864" s="47"/>
      <c r="AJ3864" s="126" t="e">
        <v>#N/A</v>
      </c>
      <c r="AK3864" s="80">
        <f t="shared" si="601"/>
        <v>0</v>
      </c>
      <c r="AM3864" s="85"/>
    </row>
    <row r="3865" spans="1:39" hidden="1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595"/>
        <v>98817</v>
      </c>
      <c r="X3865" s="6">
        <f t="shared" si="596"/>
        <v>343505.68627450976</v>
      </c>
      <c r="Y3865" s="13">
        <f t="shared" si="599"/>
        <v>0</v>
      </c>
      <c r="Z3865" s="14">
        <v>0</v>
      </c>
      <c r="AA3865" s="6">
        <v>0</v>
      </c>
      <c r="AB3865" s="4">
        <f t="shared" si="600"/>
        <v>343505.68627450976</v>
      </c>
      <c r="AC3865" s="4">
        <f t="shared" si="602"/>
        <v>6870.1137254902278</v>
      </c>
      <c r="AD3865" s="6">
        <f t="shared" si="597"/>
        <v>350375.8</v>
      </c>
      <c r="AE3865" s="2">
        <f>VLOOKUP(I3865,[1]媒体政策预估表!A:N,MATCH(O3865,[1]媒体政策预估表!$A$2:$M$2,0),0)</f>
        <v>7.0000000000000007E-2</v>
      </c>
      <c r="AF3865" s="6">
        <f t="shared" si="603"/>
        <v>24526.306</v>
      </c>
      <c r="AG3865" s="14">
        <v>0</v>
      </c>
      <c r="AH3865" s="65">
        <f t="shared" si="598"/>
        <v>350375.8</v>
      </c>
      <c r="AI3865" s="47"/>
      <c r="AJ3865" s="126" t="e">
        <v>#N/A</v>
      </c>
      <c r="AK3865" s="80">
        <f t="shared" si="601"/>
        <v>0</v>
      </c>
      <c r="AM3865" s="85"/>
    </row>
    <row r="3866" spans="1:39" hidden="1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595"/>
        <v>277834.79849000019</v>
      </c>
      <c r="X3866" s="6">
        <f t="shared" si="596"/>
        <v>1958626.275990196</v>
      </c>
      <c r="Y3866" s="13">
        <f t="shared" si="599"/>
        <v>0</v>
      </c>
      <c r="Z3866" s="14">
        <v>0</v>
      </c>
      <c r="AA3866" s="6">
        <v>0</v>
      </c>
      <c r="AB3866" s="4">
        <f t="shared" si="600"/>
        <v>1958626.275990196</v>
      </c>
      <c r="AC3866" s="4">
        <f t="shared" si="602"/>
        <v>39172.525519803865</v>
      </c>
      <c r="AD3866" s="6">
        <f t="shared" si="597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03"/>
        <v>139845.91610570002</v>
      </c>
      <c r="AG3866" s="14">
        <v>0</v>
      </c>
      <c r="AH3866" s="65">
        <f t="shared" si="598"/>
        <v>1997798.8015099999</v>
      </c>
      <c r="AI3866" s="47"/>
      <c r="AJ3866" s="126" t="e">
        <v>#N/A</v>
      </c>
      <c r="AK3866" s="80">
        <f t="shared" si="601"/>
        <v>0</v>
      </c>
      <c r="AM3866" s="85"/>
    </row>
    <row r="3867" spans="1:39" hidden="1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595"/>
        <v>398443.2281200001</v>
      </c>
      <c r="X3867" s="6">
        <f t="shared" si="596"/>
        <v>2145231.1996372547</v>
      </c>
      <c r="Y3867" s="13">
        <f t="shared" si="599"/>
        <v>0</v>
      </c>
      <c r="Z3867" s="14">
        <v>0</v>
      </c>
      <c r="AA3867" s="6">
        <v>0</v>
      </c>
      <c r="AB3867" s="4">
        <f t="shared" si="600"/>
        <v>2145231.1996372547</v>
      </c>
      <c r="AC3867" s="4">
        <f t="shared" si="602"/>
        <v>42904.623992745299</v>
      </c>
      <c r="AD3867" s="6">
        <f t="shared" si="597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03"/>
        <v>153169.50765410002</v>
      </c>
      <c r="AG3867" s="14">
        <v>0</v>
      </c>
      <c r="AH3867" s="65">
        <f t="shared" si="598"/>
        <v>2188135.82363</v>
      </c>
      <c r="AI3867" s="47"/>
      <c r="AJ3867" s="126" t="e">
        <v>#N/A</v>
      </c>
      <c r="AK3867" s="80">
        <f t="shared" si="601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595"/>
        <v>338396.55870000017</v>
      </c>
      <c r="X3868" s="6">
        <f t="shared" si="596"/>
        <v>1751972.8151862745</v>
      </c>
      <c r="Y3868" s="13">
        <f t="shared" si="599"/>
        <v>0</v>
      </c>
      <c r="Z3868" s="14">
        <v>0</v>
      </c>
      <c r="AA3868" s="6">
        <v>0</v>
      </c>
      <c r="AB3868" s="4">
        <f t="shared" si="600"/>
        <v>1751972.8151862745</v>
      </c>
      <c r="AC3868" s="4">
        <f t="shared" si="602"/>
        <v>35039.456303725485</v>
      </c>
      <c r="AD3868" s="6">
        <f t="shared" si="597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03"/>
        <v>125090.85900430001</v>
      </c>
      <c r="AG3868" s="14">
        <v>0</v>
      </c>
      <c r="AH3868" s="65">
        <f t="shared" si="598"/>
        <v>1787012.27149</v>
      </c>
      <c r="AI3868" s="47"/>
      <c r="AJ3868" s="126" t="e">
        <v>#N/A</v>
      </c>
      <c r="AK3868" s="80">
        <f t="shared" si="601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595"/>
        <v>25760.319999999992</v>
      </c>
      <c r="X3869" s="6">
        <f t="shared" si="596"/>
        <v>55980.800000000003</v>
      </c>
      <c r="Y3869" s="13">
        <f t="shared" si="599"/>
        <v>0</v>
      </c>
      <c r="Z3869" s="14">
        <v>0</v>
      </c>
      <c r="AA3869" s="6">
        <v>0</v>
      </c>
      <c r="AB3869" s="4">
        <f t="shared" si="600"/>
        <v>55980.800000000003</v>
      </c>
      <c r="AC3869" s="4">
        <f t="shared" si="602"/>
        <v>0</v>
      </c>
      <c r="AD3869" s="6">
        <f t="shared" si="597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03"/>
        <v>3918.6560000000004</v>
      </c>
      <c r="AG3869" s="14">
        <v>0</v>
      </c>
      <c r="AH3869" s="65">
        <f t="shared" si="598"/>
        <v>55980.800000000003</v>
      </c>
      <c r="AI3869" s="47"/>
      <c r="AJ3869" s="126" t="e">
        <v>#N/A</v>
      </c>
      <c r="AK3869" s="80">
        <f t="shared" si="601"/>
        <v>0</v>
      </c>
      <c r="AM3869" s="85"/>
    </row>
    <row r="3870" spans="1:39" hidden="1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595"/>
        <v>1974.4000000000015</v>
      </c>
      <c r="X3870" s="6">
        <f t="shared" si="596"/>
        <v>20585.599999999999</v>
      </c>
      <c r="Y3870" s="13">
        <f t="shared" si="599"/>
        <v>0</v>
      </c>
      <c r="Z3870" s="14">
        <v>0</v>
      </c>
      <c r="AA3870" s="6">
        <v>0</v>
      </c>
      <c r="AB3870" s="4">
        <f t="shared" si="600"/>
        <v>20585.599999999999</v>
      </c>
      <c r="AC3870" s="4">
        <f t="shared" si="602"/>
        <v>0</v>
      </c>
      <c r="AD3870" s="6">
        <f t="shared" si="597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03"/>
        <v>1440.992</v>
      </c>
      <c r="AG3870" s="14">
        <v>0</v>
      </c>
      <c r="AH3870" s="65">
        <f t="shared" si="598"/>
        <v>20585.599999999999</v>
      </c>
      <c r="AI3870" s="47"/>
      <c r="AJ3870" s="126" t="e">
        <v>#N/A</v>
      </c>
      <c r="AK3870" s="80">
        <f t="shared" si="601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595"/>
        <v>213118.27999999997</v>
      </c>
      <c r="X3871" s="6">
        <f t="shared" si="596"/>
        <v>107963.7</v>
      </c>
      <c r="Y3871" s="13">
        <f t="shared" si="599"/>
        <v>0</v>
      </c>
      <c r="Z3871" s="14">
        <v>0</v>
      </c>
      <c r="AA3871" s="6">
        <v>0</v>
      </c>
      <c r="AB3871" s="4">
        <f t="shared" si="600"/>
        <v>107963.7</v>
      </c>
      <c r="AC3871" s="4">
        <f t="shared" si="602"/>
        <v>0</v>
      </c>
      <c r="AD3871" s="6">
        <f t="shared" si="597"/>
        <v>107963.7</v>
      </c>
      <c r="AE3871" s="2">
        <f>VLOOKUP(I3871,[1]媒体政策预估表!A:N,MATCH(O3871,[1]媒体政策预估表!$A$2:$M$2,0),0)</f>
        <v>7.0000000000000007E-2</v>
      </c>
      <c r="AF3871" s="6">
        <f t="shared" si="603"/>
        <v>7557.4590000000007</v>
      </c>
      <c r="AG3871" s="14">
        <v>0</v>
      </c>
      <c r="AH3871" s="65">
        <f t="shared" si="598"/>
        <v>107963.7</v>
      </c>
      <c r="AI3871" s="47"/>
      <c r="AJ3871" s="126" t="e">
        <v>#N/A</v>
      </c>
      <c r="AK3871" s="80">
        <f t="shared" si="601"/>
        <v>0</v>
      </c>
      <c r="AM3871" s="85"/>
    </row>
    <row r="3872" spans="1:39" hidden="1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595"/>
        <v>7834.3000000000029</v>
      </c>
      <c r="X3872" s="6">
        <f t="shared" si="596"/>
        <v>35107.5</v>
      </c>
      <c r="Y3872" s="13">
        <f t="shared" si="599"/>
        <v>0</v>
      </c>
      <c r="Z3872" s="14">
        <v>0</v>
      </c>
      <c r="AA3872" s="6">
        <v>0</v>
      </c>
      <c r="AB3872" s="4">
        <f t="shared" si="600"/>
        <v>35107.5</v>
      </c>
      <c r="AC3872" s="4">
        <f t="shared" si="602"/>
        <v>0</v>
      </c>
      <c r="AD3872" s="6">
        <f t="shared" si="597"/>
        <v>35107.5</v>
      </c>
      <c r="AE3872" s="2">
        <f>VLOOKUP(I3872,[1]媒体政策预估表!A:N,MATCH(O3872,[1]媒体政策预估表!$A$2:$M$2,0),0)</f>
        <v>7.0000000000000007E-2</v>
      </c>
      <c r="AF3872" s="6">
        <f t="shared" si="603"/>
        <v>2457.5250000000001</v>
      </c>
      <c r="AG3872" s="14">
        <v>0</v>
      </c>
      <c r="AH3872" s="65">
        <f t="shared" si="598"/>
        <v>35107.5</v>
      </c>
      <c r="AI3872" s="47"/>
      <c r="AJ3872" s="126" t="e">
        <v>#N/A</v>
      </c>
      <c r="AK3872" s="80">
        <f t="shared" si="601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595"/>
        <v>6893.3000000000029</v>
      </c>
      <c r="X3873" s="6">
        <f t="shared" si="596"/>
        <v>92407.8</v>
      </c>
      <c r="Y3873" s="13">
        <f t="shared" si="599"/>
        <v>0</v>
      </c>
      <c r="Z3873" s="14">
        <v>0</v>
      </c>
      <c r="AA3873" s="6">
        <v>0</v>
      </c>
      <c r="AB3873" s="4">
        <f t="shared" si="600"/>
        <v>92407.8</v>
      </c>
      <c r="AC3873" s="4">
        <f t="shared" si="602"/>
        <v>0</v>
      </c>
      <c r="AD3873" s="6">
        <f t="shared" si="597"/>
        <v>92407.8</v>
      </c>
      <c r="AE3873" s="2">
        <f>VLOOKUP(I3873,[1]媒体政策预估表!A:N,MATCH(O3873,[1]媒体政策预估表!$A$2:$M$2,0),0)</f>
        <v>7.0000000000000007E-2</v>
      </c>
      <c r="AF3873" s="6">
        <f t="shared" si="603"/>
        <v>6468.5460000000012</v>
      </c>
      <c r="AG3873" s="14">
        <v>0</v>
      </c>
      <c r="AH3873" s="65">
        <f t="shared" si="598"/>
        <v>92407.8</v>
      </c>
      <c r="AI3873" s="47"/>
      <c r="AJ3873" s="126" t="e">
        <v>#N/A</v>
      </c>
      <c r="AK3873" s="80">
        <f t="shared" si="601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595"/>
        <v>2880.6000000000004</v>
      </c>
      <c r="X3874" s="6">
        <f t="shared" si="596"/>
        <v>7119.6</v>
      </c>
      <c r="Y3874" s="13">
        <f t="shared" si="599"/>
        <v>0</v>
      </c>
      <c r="Z3874" s="14">
        <v>0</v>
      </c>
      <c r="AA3874" s="6">
        <v>0</v>
      </c>
      <c r="AB3874" s="4">
        <f t="shared" si="600"/>
        <v>7119.6</v>
      </c>
      <c r="AC3874" s="4">
        <f t="shared" si="602"/>
        <v>0</v>
      </c>
      <c r="AD3874" s="6">
        <f t="shared" si="597"/>
        <v>7119.6</v>
      </c>
      <c r="AE3874" s="2">
        <f>VLOOKUP(I3874,[1]媒体政策预估表!A:N,MATCH(O3874,[1]媒体政策预估表!$A$2:$M$2,0),0)</f>
        <v>7.0000000000000007E-2</v>
      </c>
      <c r="AF3874" s="6">
        <f t="shared" si="603"/>
        <v>498.37200000000007</v>
      </c>
      <c r="AG3874" s="14">
        <v>0</v>
      </c>
      <c r="AH3874" s="65">
        <f t="shared" si="598"/>
        <v>7119.6</v>
      </c>
      <c r="AI3874" s="47"/>
      <c r="AJ3874" s="126" t="s">
        <v>4221</v>
      </c>
      <c r="AK3874" s="80">
        <f t="shared" si="601"/>
        <v>0</v>
      </c>
      <c r="AL3874" s="150"/>
      <c r="AM3874" s="85"/>
    </row>
    <row r="3875" spans="1:39" hidden="1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595"/>
        <v>1320.8899999999994</v>
      </c>
      <c r="X3875" s="6">
        <f t="shared" si="596"/>
        <v>28680.5</v>
      </c>
      <c r="Y3875" s="13">
        <f t="shared" si="599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02"/>
        <v>0</v>
      </c>
      <c r="AD3875" s="6">
        <f t="shared" si="597"/>
        <v>28680.5</v>
      </c>
      <c r="AE3875" s="2">
        <f>VLOOKUP(I3875,[1]媒体政策预估表!A:N,MATCH(O3875,[1]媒体政策预估表!$A$2:$M$2,0),0)</f>
        <v>7.0000000000000007E-2</v>
      </c>
      <c r="AF3875" s="6">
        <f t="shared" si="603"/>
        <v>2007.6350000000002</v>
      </c>
      <c r="AG3875" s="14">
        <v>0</v>
      </c>
      <c r="AH3875" s="65">
        <f t="shared" si="598"/>
        <v>28680.5</v>
      </c>
      <c r="AI3875" s="47"/>
      <c r="AJ3875" s="126" t="s">
        <v>4221</v>
      </c>
      <c r="AK3875" s="80">
        <f t="shared" si="601"/>
        <v>20000</v>
      </c>
      <c r="AL3875" s="150"/>
      <c r="AM3875" s="85"/>
    </row>
    <row r="3876" spans="1:39" hidden="1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595"/>
        <v>10.970000000000255</v>
      </c>
      <c r="X3876" s="6">
        <f t="shared" si="596"/>
        <v>4989.03</v>
      </c>
      <c r="Y3876" s="13">
        <f t="shared" si="599"/>
        <v>0</v>
      </c>
      <c r="Z3876" s="14">
        <v>0</v>
      </c>
      <c r="AA3876" s="6">
        <v>0</v>
      </c>
      <c r="AB3876" s="4">
        <f t="shared" si="600"/>
        <v>4989.03</v>
      </c>
      <c r="AC3876" s="4">
        <f t="shared" si="602"/>
        <v>0</v>
      </c>
      <c r="AD3876" s="6">
        <f t="shared" si="597"/>
        <v>4989.03</v>
      </c>
      <c r="AE3876" s="2">
        <f>VLOOKUP(I3876,[1]媒体政策预估表!A:N,MATCH(O3876,[1]媒体政策预估表!$A$2:$M$2,0),0)</f>
        <v>7.0000000000000007E-2</v>
      </c>
      <c r="AF3876" s="6">
        <f t="shared" si="603"/>
        <v>349.2321</v>
      </c>
      <c r="AG3876" s="14">
        <v>0</v>
      </c>
      <c r="AH3876" s="65">
        <f t="shared" si="598"/>
        <v>4989.03</v>
      </c>
      <c r="AI3876" s="47"/>
      <c r="AJ3876" s="126" t="s">
        <v>4221</v>
      </c>
      <c r="AK3876" s="80">
        <f t="shared" si="601"/>
        <v>0</v>
      </c>
      <c r="AL3876" s="150"/>
      <c r="AM3876" s="85"/>
    </row>
    <row r="3877" spans="1:39" hidden="1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595"/>
        <v>6828.2999999999993</v>
      </c>
      <c r="X3877" s="6">
        <f t="shared" si="596"/>
        <v>25850.799999999999</v>
      </c>
      <c r="Y3877" s="13">
        <f t="shared" si="599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02"/>
        <v>0</v>
      </c>
      <c r="AD3877" s="6">
        <f t="shared" si="597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03"/>
        <v>1809.556</v>
      </c>
      <c r="AG3877" s="14">
        <v>0</v>
      </c>
      <c r="AH3877" s="65">
        <f t="shared" si="598"/>
        <v>25850.799999999999</v>
      </c>
      <c r="AI3877" s="47"/>
      <c r="AJ3877" s="126" t="s">
        <v>4221</v>
      </c>
      <c r="AK3877" s="80">
        <f t="shared" si="601"/>
        <v>20000</v>
      </c>
      <c r="AL3877" s="150"/>
      <c r="AM3877" s="85"/>
    </row>
    <row r="3878" spans="1:39" hidden="1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595"/>
        <v>10186.400000000001</v>
      </c>
      <c r="X3878" s="6">
        <f t="shared" si="596"/>
        <v>21997</v>
      </c>
      <c r="Y3878" s="13">
        <f t="shared" si="599"/>
        <v>0</v>
      </c>
      <c r="Z3878" s="14">
        <v>0</v>
      </c>
      <c r="AA3878" s="6">
        <v>0</v>
      </c>
      <c r="AB3878" s="4">
        <f t="shared" si="600"/>
        <v>21997</v>
      </c>
      <c r="AC3878" s="4">
        <f t="shared" si="602"/>
        <v>0</v>
      </c>
      <c r="AD3878" s="6">
        <f t="shared" si="597"/>
        <v>21997</v>
      </c>
      <c r="AE3878" s="2">
        <f>VLOOKUP(I3878,[1]媒体政策预估表!A:N,MATCH(O3878,[1]媒体政策预估表!$A$2:$M$2,0),0)</f>
        <v>7.0000000000000007E-2</v>
      </c>
      <c r="AF3878" s="6">
        <f t="shared" si="603"/>
        <v>1539.7900000000002</v>
      </c>
      <c r="AG3878" s="14">
        <v>0</v>
      </c>
      <c r="AH3878" s="65">
        <f t="shared" si="598"/>
        <v>21997</v>
      </c>
      <c r="AI3878" s="47"/>
      <c r="AJ3878" s="126" t="s">
        <v>4221</v>
      </c>
      <c r="AK3878" s="80">
        <f t="shared" si="601"/>
        <v>0</v>
      </c>
      <c r="AL3878" s="150"/>
      <c r="AM3878" s="85"/>
    </row>
    <row r="3879" spans="1:39" hidden="1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595"/>
        <v>5009.5</v>
      </c>
      <c r="X3879" s="6">
        <f t="shared" si="596"/>
        <v>4990.5</v>
      </c>
      <c r="Y3879" s="13">
        <f t="shared" si="599"/>
        <v>0</v>
      </c>
      <c r="Z3879" s="14">
        <v>0</v>
      </c>
      <c r="AA3879" s="6">
        <v>0</v>
      </c>
      <c r="AB3879" s="4">
        <f t="shared" si="600"/>
        <v>4990.5</v>
      </c>
      <c r="AC3879" s="4">
        <f t="shared" si="602"/>
        <v>0</v>
      </c>
      <c r="AD3879" s="6">
        <f t="shared" si="597"/>
        <v>4990.5</v>
      </c>
      <c r="AE3879" s="2">
        <f>VLOOKUP(I3879,[1]媒体政策预估表!A:N,MATCH(O3879,[1]媒体政策预估表!$A$2:$M$2,0),0)</f>
        <v>7.0000000000000007E-2</v>
      </c>
      <c r="AF3879" s="6">
        <f t="shared" si="603"/>
        <v>349.33500000000004</v>
      </c>
      <c r="AG3879" s="14">
        <v>0</v>
      </c>
      <c r="AH3879" s="65">
        <f t="shared" si="598"/>
        <v>4990.5</v>
      </c>
      <c r="AI3879" s="47"/>
      <c r="AJ3879" s="126" t="e">
        <v>#N/A</v>
      </c>
      <c r="AK3879" s="80">
        <f t="shared" si="601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595"/>
        <v>18284.200000000004</v>
      </c>
      <c r="X3880" s="6">
        <f t="shared" si="596"/>
        <v>45209.599999999999</v>
      </c>
      <c r="Y3880" s="13">
        <f t="shared" si="599"/>
        <v>0</v>
      </c>
      <c r="Z3880" s="14">
        <v>0</v>
      </c>
      <c r="AA3880" s="6">
        <v>0</v>
      </c>
      <c r="AB3880" s="4">
        <f t="shared" si="600"/>
        <v>45209.599999999999</v>
      </c>
      <c r="AC3880" s="4">
        <f t="shared" si="602"/>
        <v>0</v>
      </c>
      <c r="AD3880" s="6">
        <f t="shared" si="597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03"/>
        <v>3164.672</v>
      </c>
      <c r="AG3880" s="14">
        <v>0</v>
      </c>
      <c r="AH3880" s="65">
        <f t="shared" si="598"/>
        <v>45209.599999999999</v>
      </c>
      <c r="AI3880" s="47"/>
      <c r="AJ3880" s="126" t="e">
        <v>#N/A</v>
      </c>
      <c r="AK3880" s="80">
        <f t="shared" si="601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595"/>
        <v>118976.80000000005</v>
      </c>
      <c r="X3881" s="6">
        <f t="shared" si="596"/>
        <v>366887.35294117645</v>
      </c>
      <c r="Y3881" s="13">
        <f t="shared" si="599"/>
        <v>0</v>
      </c>
      <c r="Z3881" s="14">
        <v>0</v>
      </c>
      <c r="AA3881" s="6">
        <v>0</v>
      </c>
      <c r="AB3881" s="4">
        <f t="shared" si="600"/>
        <v>366887.35294117645</v>
      </c>
      <c r="AC3881" s="4">
        <f t="shared" si="602"/>
        <v>7337.7470588235301</v>
      </c>
      <c r="AD3881" s="6">
        <f t="shared" si="597"/>
        <v>374225.1</v>
      </c>
      <c r="AE3881" s="2">
        <f>VLOOKUP(I3881,[1]媒体政策预估表!A:N,MATCH(O3881,[1]媒体政策预估表!$A$2:$M$2,0),0)</f>
        <v>7.0000000000000007E-2</v>
      </c>
      <c r="AF3881" s="6">
        <f t="shared" si="603"/>
        <v>26195.757000000001</v>
      </c>
      <c r="AG3881" s="14">
        <v>0</v>
      </c>
      <c r="AH3881" s="65">
        <f t="shared" si="598"/>
        <v>374225.1</v>
      </c>
      <c r="AI3881" s="47"/>
      <c r="AJ3881" s="126" t="e">
        <v>#N/A</v>
      </c>
      <c r="AK3881" s="80">
        <f t="shared" si="601"/>
        <v>0</v>
      </c>
      <c r="AM3881" s="85"/>
    </row>
    <row r="3882" spans="1:39" hidden="1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595"/>
        <v>43967.100000000035</v>
      </c>
      <c r="X3882" s="6">
        <f t="shared" si="596"/>
        <v>279952.3</v>
      </c>
      <c r="Y3882" s="13">
        <f t="shared" si="599"/>
        <v>0</v>
      </c>
      <c r="Z3882" s="14">
        <v>0</v>
      </c>
      <c r="AA3882" s="6">
        <v>0</v>
      </c>
      <c r="AB3882" s="4">
        <f t="shared" si="600"/>
        <v>279952.3</v>
      </c>
      <c r="AC3882" s="4">
        <f t="shared" si="602"/>
        <v>0</v>
      </c>
      <c r="AD3882" s="6">
        <f t="shared" si="597"/>
        <v>279952.3</v>
      </c>
      <c r="AE3882" s="2">
        <f>VLOOKUP(I3882,[1]媒体政策预估表!A:N,MATCH(O3882,[1]媒体政策预估表!$A$2:$M$2,0),0)</f>
        <v>7.0000000000000007E-2</v>
      </c>
      <c r="AF3882" s="6">
        <f t="shared" si="603"/>
        <v>19596.661</v>
      </c>
      <c r="AG3882" s="14">
        <v>0</v>
      </c>
      <c r="AH3882" s="65">
        <f t="shared" si="598"/>
        <v>279952.3</v>
      </c>
      <c r="AI3882" s="47"/>
      <c r="AJ3882" s="126" t="e">
        <v>#N/A</v>
      </c>
      <c r="AK3882" s="80">
        <f t="shared" si="601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595"/>
        <v>198228.09999999998</v>
      </c>
      <c r="X3883" s="6">
        <f t="shared" si="596"/>
        <v>712464.6</v>
      </c>
      <c r="Y3883" s="13">
        <f t="shared" si="599"/>
        <v>0</v>
      </c>
      <c r="Z3883" s="14">
        <v>0</v>
      </c>
      <c r="AA3883" s="6">
        <v>0</v>
      </c>
      <c r="AB3883" s="4">
        <f t="shared" si="600"/>
        <v>712464.6</v>
      </c>
      <c r="AC3883" s="4">
        <f t="shared" si="602"/>
        <v>0</v>
      </c>
      <c r="AD3883" s="6">
        <f t="shared" si="597"/>
        <v>712464.6</v>
      </c>
      <c r="AE3883" s="2">
        <f>VLOOKUP(I3883,[1]媒体政策预估表!A:N,MATCH(O3883,[1]媒体政策预估表!$A$2:$M$2,0),0)</f>
        <v>7.0000000000000007E-2</v>
      </c>
      <c r="AF3883" s="6">
        <f t="shared" si="603"/>
        <v>49872.522000000004</v>
      </c>
      <c r="AG3883" s="14">
        <v>0</v>
      </c>
      <c r="AH3883" s="65">
        <f t="shared" si="598"/>
        <v>712464.6</v>
      </c>
      <c r="AI3883" s="47"/>
      <c r="AJ3883" s="126" t="e">
        <v>#N/A</v>
      </c>
      <c r="AK3883" s="80">
        <f t="shared" si="601"/>
        <v>0</v>
      </c>
      <c r="AM3883" s="85"/>
    </row>
    <row r="3884" spans="1:39" hidden="1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595"/>
        <v>53645.8</v>
      </c>
      <c r="X3884" s="6">
        <f t="shared" si="596"/>
        <v>28091.067961165048</v>
      </c>
      <c r="Y3884" s="13">
        <f t="shared" si="599"/>
        <v>0</v>
      </c>
      <c r="Z3884" s="14">
        <v>0</v>
      </c>
      <c r="AA3884" s="6">
        <v>0</v>
      </c>
      <c r="AB3884" s="4">
        <f t="shared" si="600"/>
        <v>28091.067961165048</v>
      </c>
      <c r="AC3884" s="4">
        <f t="shared" si="602"/>
        <v>842.7320388349508</v>
      </c>
      <c r="AD3884" s="6">
        <f t="shared" si="597"/>
        <v>28933.8</v>
      </c>
      <c r="AE3884" s="2">
        <f>VLOOKUP(I3884,[1]媒体政策预估表!A:N,MATCH(O3884,[1]媒体政策预估表!$A$2:$M$2,0),0)</f>
        <v>7.0000000000000007E-2</v>
      </c>
      <c r="AF3884" s="6">
        <f t="shared" si="603"/>
        <v>2025.3660000000002</v>
      </c>
      <c r="AG3884" s="14">
        <v>0</v>
      </c>
      <c r="AH3884" s="65">
        <f t="shared" si="598"/>
        <v>28933.8</v>
      </c>
      <c r="AI3884" s="47"/>
      <c r="AJ3884" s="126" t="e">
        <v>#N/A</v>
      </c>
      <c r="AK3884" s="80">
        <f t="shared" si="601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595"/>
        <v>5689.3700000000099</v>
      </c>
      <c r="X3885" s="6">
        <f t="shared" si="596"/>
        <v>76930.2</v>
      </c>
      <c r="Y3885" s="13">
        <f t="shared" si="599"/>
        <v>0</v>
      </c>
      <c r="Z3885" s="14">
        <v>0</v>
      </c>
      <c r="AA3885" s="6">
        <v>0</v>
      </c>
      <c r="AB3885" s="4">
        <f t="shared" si="600"/>
        <v>76930.2</v>
      </c>
      <c r="AC3885" s="4">
        <f t="shared" si="602"/>
        <v>0</v>
      </c>
      <c r="AD3885" s="6">
        <f t="shared" si="597"/>
        <v>76930.2</v>
      </c>
      <c r="AE3885" s="2">
        <f>VLOOKUP(I3885,[1]媒体政策预估表!A:N,MATCH(O3885,[1]媒体政策预估表!$A$2:$M$2,0),0)</f>
        <v>7.0000000000000007E-2</v>
      </c>
      <c r="AF3885" s="6">
        <f t="shared" si="603"/>
        <v>5385.1140000000005</v>
      </c>
      <c r="AG3885" s="14">
        <v>0</v>
      </c>
      <c r="AH3885" s="65">
        <f t="shared" si="598"/>
        <v>76930.2</v>
      </c>
      <c r="AI3885" s="47"/>
      <c r="AJ3885" s="126" t="e">
        <v>#N/A</v>
      </c>
      <c r="AK3885" s="80">
        <f t="shared" si="601"/>
        <v>0</v>
      </c>
      <c r="AM3885" s="85"/>
    </row>
    <row r="3886" spans="1:39" hidden="1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595"/>
        <v>65310.399999999994</v>
      </c>
      <c r="X3886" s="6">
        <f t="shared" si="596"/>
        <v>134315.70000000001</v>
      </c>
      <c r="Y3886" s="13">
        <f t="shared" si="599"/>
        <v>0</v>
      </c>
      <c r="Z3886" s="14">
        <v>0</v>
      </c>
      <c r="AA3886" s="6">
        <v>0</v>
      </c>
      <c r="AB3886" s="4">
        <f t="shared" si="600"/>
        <v>134315.70000000001</v>
      </c>
      <c r="AC3886" s="4">
        <f t="shared" si="602"/>
        <v>0</v>
      </c>
      <c r="AD3886" s="6">
        <f t="shared" si="597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03"/>
        <v>9402.099000000002</v>
      </c>
      <c r="AG3886" s="14">
        <v>0</v>
      </c>
      <c r="AH3886" s="65">
        <f t="shared" si="598"/>
        <v>134315.70000000001</v>
      </c>
      <c r="AI3886" s="47"/>
      <c r="AJ3886" s="126" t="e">
        <v>#N/A</v>
      </c>
      <c r="AK3886" s="80">
        <f t="shared" si="601"/>
        <v>0</v>
      </c>
      <c r="AM3886" s="85"/>
    </row>
    <row r="3887" spans="1:39" hidden="1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595"/>
        <v>27081.479999999981</v>
      </c>
      <c r="X3887" s="6">
        <f t="shared" si="596"/>
        <v>98589.5</v>
      </c>
      <c r="Y3887" s="13">
        <f t="shared" si="599"/>
        <v>0</v>
      </c>
      <c r="Z3887" s="14">
        <v>0</v>
      </c>
      <c r="AA3887" s="6">
        <v>0</v>
      </c>
      <c r="AB3887" s="4">
        <f t="shared" si="600"/>
        <v>98589.5</v>
      </c>
      <c r="AC3887" s="4">
        <f t="shared" si="602"/>
        <v>0</v>
      </c>
      <c r="AD3887" s="6">
        <f t="shared" si="597"/>
        <v>98589.5</v>
      </c>
      <c r="AE3887" s="2">
        <f>VLOOKUP(I3887,[1]媒体政策预估表!A:N,MATCH(O3887,[1]媒体政策预估表!$A$2:$M$2,0),0)</f>
        <v>7.0000000000000007E-2</v>
      </c>
      <c r="AF3887" s="6">
        <f t="shared" si="603"/>
        <v>6901.2650000000003</v>
      </c>
      <c r="AG3887" s="14">
        <v>0</v>
      </c>
      <c r="AH3887" s="65">
        <f t="shared" si="598"/>
        <v>98589.5</v>
      </c>
      <c r="AI3887" s="47"/>
      <c r="AJ3887" s="126" t="e">
        <v>#N/A</v>
      </c>
      <c r="AK3887" s="80">
        <f t="shared" si="601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595"/>
        <v>45960.9</v>
      </c>
      <c r="X3888" s="6">
        <f t="shared" si="596"/>
        <v>3959.9019607843134</v>
      </c>
      <c r="Y3888" s="13">
        <f t="shared" si="599"/>
        <v>0</v>
      </c>
      <c r="Z3888" s="14">
        <v>0</v>
      </c>
      <c r="AA3888" s="6">
        <v>0</v>
      </c>
      <c r="AB3888" s="4">
        <f t="shared" si="600"/>
        <v>3959.9019607843134</v>
      </c>
      <c r="AC3888" s="4">
        <f t="shared" si="602"/>
        <v>79.198039215686549</v>
      </c>
      <c r="AD3888" s="6">
        <f t="shared" si="597"/>
        <v>4039.1</v>
      </c>
      <c r="AE3888" s="2">
        <f>VLOOKUP(I3888,[1]媒体政策预估表!A:N,MATCH(O3888,[1]媒体政策预估表!$A$2:$M$2,0),0)</f>
        <v>7.0000000000000007E-2</v>
      </c>
      <c r="AF3888" s="6">
        <f t="shared" si="603"/>
        <v>282.73700000000002</v>
      </c>
      <c r="AG3888" s="14">
        <v>0</v>
      </c>
      <c r="AH3888" s="65">
        <f t="shared" si="598"/>
        <v>4039.1</v>
      </c>
      <c r="AI3888" s="47"/>
      <c r="AJ3888" s="126" t="e">
        <v>#N/A</v>
      </c>
      <c r="AK3888" s="80">
        <f t="shared" si="601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595"/>
        <v>54380.399999999994</v>
      </c>
      <c r="X3889" s="6">
        <f t="shared" si="596"/>
        <v>82783.235294117636</v>
      </c>
      <c r="Y3889" s="13">
        <f t="shared" si="599"/>
        <v>0</v>
      </c>
      <c r="Z3889" s="14">
        <v>0</v>
      </c>
      <c r="AA3889" s="6">
        <v>0</v>
      </c>
      <c r="AB3889" s="4">
        <f t="shared" si="600"/>
        <v>82783.235294117636</v>
      </c>
      <c r="AC3889" s="4">
        <f t="shared" si="602"/>
        <v>1655.6647058823582</v>
      </c>
      <c r="AD3889" s="6">
        <f t="shared" si="597"/>
        <v>84438.9</v>
      </c>
      <c r="AE3889" s="2">
        <f>VLOOKUP(I3889,[1]媒体政策预估表!A:N,MATCH(O3889,[1]媒体政策预估表!$A$2:$M$2,0),0)</f>
        <v>7.0000000000000007E-2</v>
      </c>
      <c r="AF3889" s="6">
        <f t="shared" si="603"/>
        <v>5910.723</v>
      </c>
      <c r="AG3889" s="14">
        <v>0</v>
      </c>
      <c r="AH3889" s="65">
        <f t="shared" si="598"/>
        <v>84438.9</v>
      </c>
      <c r="AI3889" s="47"/>
      <c r="AJ3889" s="126" t="e">
        <v>#N/A</v>
      </c>
      <c r="AK3889" s="80">
        <f t="shared" si="601"/>
        <v>0</v>
      </c>
      <c r="AM3889" s="85"/>
    </row>
    <row r="3890" spans="1:39" hidden="1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595"/>
        <v>47677.030000000006</v>
      </c>
      <c r="X3890" s="6">
        <f t="shared" si="596"/>
        <v>46516.6</v>
      </c>
      <c r="Y3890" s="13">
        <f t="shared" si="599"/>
        <v>0</v>
      </c>
      <c r="Z3890" s="14">
        <v>0</v>
      </c>
      <c r="AA3890" s="6">
        <v>0</v>
      </c>
      <c r="AB3890" s="4">
        <f t="shared" si="600"/>
        <v>46516.6</v>
      </c>
      <c r="AC3890" s="4">
        <f t="shared" si="602"/>
        <v>0</v>
      </c>
      <c r="AD3890" s="6">
        <f t="shared" si="597"/>
        <v>46516.6</v>
      </c>
      <c r="AE3890" s="2">
        <f>VLOOKUP(I3890,[1]媒体政策预估表!A:N,MATCH(O3890,[1]媒体政策预估表!$A$2:$M$2,0),0)</f>
        <v>7.0000000000000007E-2</v>
      </c>
      <c r="AF3890" s="6">
        <f t="shared" si="603"/>
        <v>3256.1620000000003</v>
      </c>
      <c r="AG3890" s="14">
        <v>0</v>
      </c>
      <c r="AH3890" s="65">
        <f t="shared" si="598"/>
        <v>46516.6</v>
      </c>
      <c r="AI3890" s="47"/>
      <c r="AJ3890" s="126" t="e">
        <v>#N/A</v>
      </c>
      <c r="AK3890" s="80">
        <f t="shared" si="601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595"/>
        <v>400000</v>
      </c>
      <c r="X3891" s="6">
        <f t="shared" si="596"/>
        <v>0</v>
      </c>
      <c r="Y3891" s="13">
        <f t="shared" si="599"/>
        <v>0</v>
      </c>
      <c r="Z3891" s="14">
        <v>0</v>
      </c>
      <c r="AA3891" s="6">
        <v>0</v>
      </c>
      <c r="AB3891" s="4">
        <f t="shared" si="600"/>
        <v>0</v>
      </c>
      <c r="AC3891" s="4">
        <f t="shared" si="602"/>
        <v>0</v>
      </c>
      <c r="AD3891" s="6">
        <f t="shared" si="597"/>
        <v>0</v>
      </c>
      <c r="AE3891" s="2">
        <f>VLOOKUP(I3891,[1]媒体政策预估表!A:N,MATCH(O3891,[1]媒体政策预估表!$A$2:$M$2,0),0)</f>
        <v>0.12</v>
      </c>
      <c r="AF3891" s="6">
        <f t="shared" si="603"/>
        <v>0</v>
      </c>
      <c r="AG3891" s="14">
        <v>0</v>
      </c>
      <c r="AH3891" s="65">
        <f t="shared" si="598"/>
        <v>0</v>
      </c>
      <c r="AI3891" s="47"/>
      <c r="AJ3891" s="126" t="e">
        <v>#N/A</v>
      </c>
      <c r="AK3891" s="80">
        <f t="shared" si="601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595"/>
        <v>2170029.3499999996</v>
      </c>
      <c r="X3892" s="6">
        <f t="shared" si="596"/>
        <v>84576.45</v>
      </c>
      <c r="Y3892" s="13">
        <f t="shared" si="599"/>
        <v>0</v>
      </c>
      <c r="Z3892" s="14">
        <v>0</v>
      </c>
      <c r="AA3892" s="6">
        <v>0</v>
      </c>
      <c r="AB3892" s="4">
        <f t="shared" si="600"/>
        <v>84576.45</v>
      </c>
      <c r="AC3892" s="4">
        <f t="shared" si="602"/>
        <v>0</v>
      </c>
      <c r="AD3892" s="6">
        <f t="shared" si="597"/>
        <v>84576.45</v>
      </c>
      <c r="AE3892" s="2">
        <f>VLOOKUP(I3892,[1]媒体政策预估表!A:N,MATCH(O3892,[1]媒体政策预估表!$A$2:$M$2,0),0)</f>
        <v>0.12</v>
      </c>
      <c r="AF3892" s="6">
        <f t="shared" si="603"/>
        <v>10149.173999999999</v>
      </c>
      <c r="AG3892" s="14">
        <v>0</v>
      </c>
      <c r="AH3892" s="65">
        <f t="shared" si="598"/>
        <v>84576.45</v>
      </c>
      <c r="AI3892" s="47"/>
      <c r="AJ3892" s="126" t="e">
        <v>#N/A</v>
      </c>
      <c r="AK3892" s="80">
        <f t="shared" si="601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595"/>
        <v>56919.100000000006</v>
      </c>
      <c r="X3893" s="6">
        <f t="shared" si="596"/>
        <v>139555.5</v>
      </c>
      <c r="Y3893" s="13">
        <f t="shared" si="599"/>
        <v>0</v>
      </c>
      <c r="Z3893" s="14">
        <v>0</v>
      </c>
      <c r="AA3893" s="6">
        <v>0</v>
      </c>
      <c r="AB3893" s="4">
        <f t="shared" si="600"/>
        <v>139555.5</v>
      </c>
      <c r="AC3893" s="4">
        <f t="shared" si="602"/>
        <v>0</v>
      </c>
      <c r="AD3893" s="6">
        <f t="shared" si="597"/>
        <v>139555.5</v>
      </c>
      <c r="AE3893" s="2">
        <f>VLOOKUP(I3893,[1]媒体政策预估表!A:N,MATCH(O3893,[1]媒体政策预估表!$A$2:$M$2,0),0)</f>
        <v>7.0000000000000007E-2</v>
      </c>
      <c r="AF3893" s="6">
        <f t="shared" si="603"/>
        <v>9768.8850000000002</v>
      </c>
      <c r="AG3893" s="14">
        <v>0</v>
      </c>
      <c r="AH3893" s="65">
        <f t="shared" si="598"/>
        <v>139555.5</v>
      </c>
      <c r="AI3893" s="47"/>
      <c r="AJ3893" s="126" t="e">
        <v>#N/A</v>
      </c>
      <c r="AK3893" s="80">
        <f t="shared" si="601"/>
        <v>0</v>
      </c>
      <c r="AM3893" s="85"/>
    </row>
    <row r="3894" spans="1:39" hidden="1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595"/>
        <v>17240.199999999983</v>
      </c>
      <c r="X3894" s="6">
        <f t="shared" si="596"/>
        <v>223400.6</v>
      </c>
      <c r="Y3894" s="13">
        <f t="shared" si="599"/>
        <v>0</v>
      </c>
      <c r="Z3894" s="14">
        <v>0</v>
      </c>
      <c r="AA3894" s="6">
        <v>0</v>
      </c>
      <c r="AB3894" s="4">
        <f t="shared" si="600"/>
        <v>223400.6</v>
      </c>
      <c r="AC3894" s="4">
        <f t="shared" si="602"/>
        <v>0</v>
      </c>
      <c r="AD3894" s="6">
        <f t="shared" si="597"/>
        <v>223400.6</v>
      </c>
      <c r="AE3894" s="2">
        <f>VLOOKUP(I3894,[1]媒体政策预估表!A:N,MATCH(O3894,[1]媒体政策预估表!$A$2:$M$2,0),0)</f>
        <v>7.0000000000000007E-2</v>
      </c>
      <c r="AF3894" s="6">
        <f t="shared" si="603"/>
        <v>15638.042000000001</v>
      </c>
      <c r="AG3894" s="14">
        <v>0</v>
      </c>
      <c r="AH3894" s="65">
        <f t="shared" si="598"/>
        <v>223400.6</v>
      </c>
      <c r="AI3894" s="47"/>
      <c r="AJ3894" s="126" t="e">
        <v>#N/A</v>
      </c>
      <c r="AK3894" s="80">
        <f t="shared" si="601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595"/>
        <v>237058.83</v>
      </c>
      <c r="X3895" s="6">
        <f t="shared" si="596"/>
        <v>0</v>
      </c>
      <c r="Y3895" s="13">
        <f t="shared" si="599"/>
        <v>0</v>
      </c>
      <c r="Z3895" s="14">
        <v>0</v>
      </c>
      <c r="AA3895" s="6">
        <v>0</v>
      </c>
      <c r="AB3895" s="4">
        <f t="shared" si="600"/>
        <v>0</v>
      </c>
      <c r="AC3895" s="4">
        <f t="shared" si="602"/>
        <v>0</v>
      </c>
      <c r="AD3895" s="6">
        <f t="shared" si="597"/>
        <v>0</v>
      </c>
      <c r="AE3895" s="2">
        <f>VLOOKUP(I3895,[1]媒体政策预估表!A:N,MATCH(O3895,[1]媒体政策预估表!$A$2:$M$2,0),0)</f>
        <v>0.12</v>
      </c>
      <c r="AF3895" s="6">
        <f t="shared" si="603"/>
        <v>0</v>
      </c>
      <c r="AG3895" s="14">
        <v>0</v>
      </c>
      <c r="AH3895" s="65">
        <f t="shared" si="598"/>
        <v>0</v>
      </c>
      <c r="AI3895" s="47"/>
      <c r="AJ3895" s="126" t="e">
        <v>#N/A</v>
      </c>
      <c r="AK3895" s="80">
        <f t="shared" si="601"/>
        <v>0</v>
      </c>
      <c r="AM3895" s="85"/>
    </row>
    <row r="3896" spans="1:39" hidden="1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595"/>
        <v>110000</v>
      </c>
      <c r="X3896" s="6">
        <f t="shared" si="596"/>
        <v>0</v>
      </c>
      <c r="Y3896" s="13">
        <f t="shared" si="599"/>
        <v>0</v>
      </c>
      <c r="Z3896" s="14">
        <v>0</v>
      </c>
      <c r="AA3896" s="6">
        <v>0</v>
      </c>
      <c r="AB3896" s="4">
        <f t="shared" si="600"/>
        <v>0</v>
      </c>
      <c r="AC3896" s="4">
        <f t="shared" si="602"/>
        <v>0</v>
      </c>
      <c r="AD3896" s="6">
        <f t="shared" si="597"/>
        <v>0</v>
      </c>
      <c r="AE3896" s="2">
        <f>VLOOKUP(I3896,[1]媒体政策预估表!A:N,MATCH(O3896,[1]媒体政策预估表!$A$2:$M$2,0),0)</f>
        <v>0.12</v>
      </c>
      <c r="AF3896" s="6">
        <f t="shared" si="603"/>
        <v>0</v>
      </c>
      <c r="AG3896" s="14">
        <v>0</v>
      </c>
      <c r="AH3896" s="65">
        <f t="shared" si="598"/>
        <v>0</v>
      </c>
      <c r="AI3896" s="47"/>
      <c r="AJ3896" s="126" t="e">
        <v>#N/A</v>
      </c>
      <c r="AK3896" s="80">
        <f t="shared" si="601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595"/>
        <v>2358184.1571499999</v>
      </c>
      <c r="X3897" s="6">
        <f t="shared" si="596"/>
        <v>980277.96492156864</v>
      </c>
      <c r="Y3897" s="13">
        <f t="shared" si="599"/>
        <v>0</v>
      </c>
      <c r="Z3897" s="14">
        <v>0</v>
      </c>
      <c r="AA3897" s="6">
        <v>0</v>
      </c>
      <c r="AB3897" s="4">
        <f t="shared" si="600"/>
        <v>980277.96492156864</v>
      </c>
      <c r="AC3897" s="4">
        <f t="shared" si="602"/>
        <v>19605.559298431384</v>
      </c>
      <c r="AD3897" s="6">
        <f t="shared" si="597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03"/>
        <v>69991.846695400003</v>
      </c>
      <c r="AG3897" s="14">
        <v>0</v>
      </c>
      <c r="AH3897" s="65">
        <f t="shared" si="598"/>
        <v>999883.52422000002</v>
      </c>
      <c r="AI3897" s="47"/>
      <c r="AJ3897" s="126" t="e">
        <v>#N/A</v>
      </c>
      <c r="AK3897" s="80">
        <f t="shared" si="601"/>
        <v>0</v>
      </c>
      <c r="AM3897" s="85"/>
    </row>
    <row r="3898" spans="1:39" hidden="1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595"/>
        <v>4739.5999999999985</v>
      </c>
      <c r="X3898" s="6">
        <f t="shared" si="596"/>
        <v>8260.7000000000007</v>
      </c>
      <c r="Y3898" s="13">
        <f t="shared" si="599"/>
        <v>0</v>
      </c>
      <c r="Z3898" s="14">
        <v>0</v>
      </c>
      <c r="AA3898" s="6">
        <v>0</v>
      </c>
      <c r="AB3898" s="4">
        <f t="shared" si="600"/>
        <v>8260.7000000000007</v>
      </c>
      <c r="AC3898" s="4">
        <f t="shared" si="602"/>
        <v>0</v>
      </c>
      <c r="AD3898" s="6">
        <f t="shared" si="597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03"/>
        <v>578.24900000000014</v>
      </c>
      <c r="AG3898" s="14">
        <v>0</v>
      </c>
      <c r="AH3898" s="65">
        <f t="shared" si="598"/>
        <v>8260.7000000000007</v>
      </c>
      <c r="AI3898" s="47"/>
      <c r="AJ3898" s="126" t="e">
        <v>#N/A</v>
      </c>
      <c r="AK3898" s="80">
        <f t="shared" si="601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04">T3899+U3899-V3899</f>
        <v>40890.299999999974</v>
      </c>
      <c r="X3899" s="6">
        <f t="shared" ref="X3899:X3962" si="605">IF(P3899="折扣",V3899*Q3899,IF(P3899="返现",V3899,V3899/(1+Q3899)))</f>
        <v>105605.8</v>
      </c>
      <c r="Y3899" s="13">
        <f t="shared" si="599"/>
        <v>0</v>
      </c>
      <c r="Z3899" s="14">
        <v>0</v>
      </c>
      <c r="AA3899" s="6">
        <v>0</v>
      </c>
      <c r="AB3899" s="4">
        <f t="shared" si="600"/>
        <v>105605.8</v>
      </c>
      <c r="AC3899" s="4">
        <f t="shared" si="602"/>
        <v>0</v>
      </c>
      <c r="AD3899" s="6">
        <f t="shared" ref="AD3899:AD3962" si="606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03"/>
        <v>7392.4060000000009</v>
      </c>
      <c r="AG3899" s="14">
        <v>0</v>
      </c>
      <c r="AH3899" s="65">
        <f t="shared" ref="AH3899:AH3962" si="607">V3899</f>
        <v>105605.8</v>
      </c>
      <c r="AI3899" s="47"/>
      <c r="AJ3899" s="126" t="e">
        <v>#N/A</v>
      </c>
      <c r="AK3899" s="80">
        <f t="shared" si="601"/>
        <v>0</v>
      </c>
      <c r="AM3899" s="85"/>
    </row>
    <row r="3900" spans="1:39" hidden="1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04"/>
        <v>271465.80000000005</v>
      </c>
      <c r="X3900" s="6">
        <f t="shared" si="605"/>
        <v>200933.4</v>
      </c>
      <c r="Y3900" s="13">
        <f t="shared" si="599"/>
        <v>0</v>
      </c>
      <c r="Z3900" s="14">
        <v>0</v>
      </c>
      <c r="AA3900" s="6">
        <v>0</v>
      </c>
      <c r="AB3900" s="4">
        <f t="shared" si="600"/>
        <v>200933.4</v>
      </c>
      <c r="AC3900" s="4">
        <f t="shared" si="602"/>
        <v>0</v>
      </c>
      <c r="AD3900" s="6">
        <f t="shared" si="606"/>
        <v>200933.4</v>
      </c>
      <c r="AE3900" s="2">
        <f>VLOOKUP(I3900,[1]媒体政策预估表!A:N,MATCH(O3900,[1]媒体政策预估表!$A$2:$M$2,0),0)</f>
        <v>7.0000000000000007E-2</v>
      </c>
      <c r="AF3900" s="6">
        <f t="shared" si="603"/>
        <v>14065.338000000002</v>
      </c>
      <c r="AG3900" s="14">
        <v>0</v>
      </c>
      <c r="AH3900" s="65">
        <f t="shared" si="607"/>
        <v>200933.4</v>
      </c>
      <c r="AI3900" s="47"/>
      <c r="AJ3900" s="126" t="e">
        <v>#N/A</v>
      </c>
      <c r="AK3900" s="80">
        <f t="shared" si="601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04"/>
        <v>35207.200000000012</v>
      </c>
      <c r="X3901" s="6">
        <f t="shared" si="605"/>
        <v>206702.9</v>
      </c>
      <c r="Y3901" s="13">
        <f t="shared" si="599"/>
        <v>0</v>
      </c>
      <c r="Z3901" s="14">
        <v>0</v>
      </c>
      <c r="AA3901" s="6">
        <v>0</v>
      </c>
      <c r="AB3901" s="4">
        <f t="shared" si="600"/>
        <v>206702.9</v>
      </c>
      <c r="AC3901" s="4">
        <f t="shared" si="602"/>
        <v>0</v>
      </c>
      <c r="AD3901" s="6">
        <f t="shared" si="606"/>
        <v>206702.9</v>
      </c>
      <c r="AE3901" s="2">
        <f>VLOOKUP(I3901,[1]媒体政策预估表!A:N,MATCH(O3901,[1]媒体政策预估表!$A$2:$M$2,0),0)</f>
        <v>7.0000000000000007E-2</v>
      </c>
      <c r="AF3901" s="6">
        <f t="shared" si="603"/>
        <v>14469.203000000001</v>
      </c>
      <c r="AG3901" s="14">
        <v>0</v>
      </c>
      <c r="AH3901" s="65">
        <f t="shared" si="607"/>
        <v>206702.9</v>
      </c>
      <c r="AI3901" s="47"/>
      <c r="AJ3901" s="126" t="e">
        <v>#N/A</v>
      </c>
      <c r="AK3901" s="80">
        <f t="shared" si="601"/>
        <v>0</v>
      </c>
      <c r="AM3901" s="85"/>
    </row>
    <row r="3902" spans="1:39" hidden="1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04"/>
        <v>143317.20000000001</v>
      </c>
      <c r="X3902" s="6">
        <f t="shared" si="605"/>
        <v>366060.3</v>
      </c>
      <c r="Y3902" s="13">
        <f t="shared" si="599"/>
        <v>0</v>
      </c>
      <c r="Z3902" s="14">
        <v>0</v>
      </c>
      <c r="AA3902" s="6">
        <v>0</v>
      </c>
      <c r="AB3902" s="4">
        <f t="shared" si="600"/>
        <v>366060.3</v>
      </c>
      <c r="AC3902" s="4">
        <f t="shared" si="602"/>
        <v>0</v>
      </c>
      <c r="AD3902" s="6">
        <f t="shared" si="606"/>
        <v>366060.3</v>
      </c>
      <c r="AE3902" s="2">
        <f>VLOOKUP(I3902,[1]媒体政策预估表!A:N,MATCH(O3902,[1]媒体政策预估表!$A$2:$M$2,0),0)</f>
        <v>7.0000000000000007E-2</v>
      </c>
      <c r="AF3902" s="6">
        <f t="shared" si="603"/>
        <v>25624.221000000001</v>
      </c>
      <c r="AG3902" s="14">
        <v>0</v>
      </c>
      <c r="AH3902" s="65">
        <f t="shared" si="607"/>
        <v>366060.3</v>
      </c>
      <c r="AI3902" s="47"/>
      <c r="AJ3902" s="126" t="e">
        <v>#N/A</v>
      </c>
      <c r="AK3902" s="80">
        <f t="shared" si="601"/>
        <v>0</v>
      </c>
      <c r="AM3902" s="85"/>
    </row>
    <row r="3903" spans="1:39" hidden="1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04"/>
        <v>16404.604999999981</v>
      </c>
      <c r="X3903" s="6">
        <f t="shared" si="605"/>
        <v>443872.90099009901</v>
      </c>
      <c r="Y3903" s="13">
        <f t="shared" si="599"/>
        <v>0</v>
      </c>
      <c r="Z3903" s="14">
        <v>0</v>
      </c>
      <c r="AA3903" s="6">
        <v>0</v>
      </c>
      <c r="AB3903" s="4">
        <f t="shared" si="600"/>
        <v>443872.90099009901</v>
      </c>
      <c r="AC3903" s="4">
        <f t="shared" si="602"/>
        <v>4438.7290099009988</v>
      </c>
      <c r="AD3903" s="6">
        <f t="shared" si="606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03"/>
        <v>31381.814100000003</v>
      </c>
      <c r="AG3903" s="14">
        <v>0</v>
      </c>
      <c r="AH3903" s="65">
        <f t="shared" si="607"/>
        <v>448311.63</v>
      </c>
      <c r="AI3903" s="47"/>
      <c r="AJ3903" s="126" t="e">
        <v>#N/A</v>
      </c>
      <c r="AK3903" s="80">
        <f t="shared" si="601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04"/>
        <v>97302.900000000009</v>
      </c>
      <c r="X3904" s="6">
        <f t="shared" si="605"/>
        <v>45725.294117647063</v>
      </c>
      <c r="Y3904" s="13">
        <f t="shared" si="599"/>
        <v>0</v>
      </c>
      <c r="Z3904" s="14">
        <v>0</v>
      </c>
      <c r="AA3904" s="6">
        <v>0</v>
      </c>
      <c r="AB3904" s="4">
        <f t="shared" si="600"/>
        <v>45725.294117647063</v>
      </c>
      <c r="AC3904" s="4">
        <f t="shared" si="602"/>
        <v>914.50588235293981</v>
      </c>
      <c r="AD3904" s="6">
        <f t="shared" si="606"/>
        <v>46639.8</v>
      </c>
      <c r="AE3904" s="2">
        <f>VLOOKUP(I3904,[1]媒体政策预估表!A:N,MATCH(O3904,[1]媒体政策预估表!$A$2:$M$2,0),0)</f>
        <v>7.0000000000000007E-2</v>
      </c>
      <c r="AF3904" s="6">
        <f t="shared" si="603"/>
        <v>3264.7860000000005</v>
      </c>
      <c r="AG3904" s="14">
        <v>0</v>
      </c>
      <c r="AH3904" s="65">
        <f t="shared" si="607"/>
        <v>46639.8</v>
      </c>
      <c r="AI3904" s="47"/>
      <c r="AJ3904" s="126" t="e">
        <v>#N/A</v>
      </c>
      <c r="AK3904" s="80">
        <f t="shared" si="601"/>
        <v>0</v>
      </c>
      <c r="AM3904" s="85"/>
    </row>
    <row r="3905" spans="1:39" hidden="1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04"/>
        <v>19764.5</v>
      </c>
      <c r="X3905" s="6">
        <f t="shared" si="605"/>
        <v>30235.5</v>
      </c>
      <c r="Y3905" s="13">
        <f t="shared" si="599"/>
        <v>0</v>
      </c>
      <c r="Z3905" s="14">
        <v>0</v>
      </c>
      <c r="AA3905" s="6">
        <v>0</v>
      </c>
      <c r="AB3905" s="4">
        <f t="shared" si="600"/>
        <v>30235.5</v>
      </c>
      <c r="AC3905" s="4">
        <f t="shared" si="602"/>
        <v>0</v>
      </c>
      <c r="AD3905" s="6">
        <f t="shared" si="606"/>
        <v>30235.5</v>
      </c>
      <c r="AE3905" s="2">
        <f>VLOOKUP(I3905,[1]媒体政策预估表!A:N,MATCH(O3905,[1]媒体政策预估表!$A$2:$M$2,0),0)</f>
        <v>7.0000000000000007E-2</v>
      </c>
      <c r="AF3905" s="6">
        <f t="shared" si="603"/>
        <v>2116.4850000000001</v>
      </c>
      <c r="AG3905" s="14">
        <v>0</v>
      </c>
      <c r="AH3905" s="65">
        <f t="shared" si="607"/>
        <v>30235.5</v>
      </c>
      <c r="AI3905" s="47"/>
      <c r="AJ3905" s="126" t="e">
        <v>#N/A</v>
      </c>
      <c r="AK3905" s="80">
        <f t="shared" si="601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04"/>
        <v>700000</v>
      </c>
      <c r="X3906" s="6">
        <f t="shared" si="605"/>
        <v>0</v>
      </c>
      <c r="Y3906" s="13">
        <f t="shared" si="599"/>
        <v>0</v>
      </c>
      <c r="Z3906" s="14">
        <v>0</v>
      </c>
      <c r="AA3906" s="6">
        <v>0</v>
      </c>
      <c r="AB3906" s="4">
        <f t="shared" si="600"/>
        <v>0</v>
      </c>
      <c r="AC3906" s="4">
        <f t="shared" si="602"/>
        <v>0</v>
      </c>
      <c r="AD3906" s="6">
        <f t="shared" si="606"/>
        <v>0</v>
      </c>
      <c r="AE3906" s="2">
        <f>VLOOKUP(I3906,[1]媒体政策预估表!A:N,MATCH(O3906,[1]媒体政策预估表!$A$2:$M$2,0),0)</f>
        <v>0.12</v>
      </c>
      <c r="AF3906" s="6">
        <f t="shared" si="603"/>
        <v>0</v>
      </c>
      <c r="AG3906" s="14">
        <v>0</v>
      </c>
      <c r="AH3906" s="65">
        <f t="shared" si="607"/>
        <v>0</v>
      </c>
      <c r="AI3906" s="47"/>
      <c r="AJ3906" s="126" t="e">
        <v>#N/A</v>
      </c>
      <c r="AK3906" s="80">
        <f t="shared" si="601"/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04"/>
        <v>1000000</v>
      </c>
      <c r="X3907" s="6">
        <f t="shared" si="605"/>
        <v>0</v>
      </c>
      <c r="Y3907" s="13">
        <f t="shared" ref="Y3907:Y3970" si="608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09">X3907+AA3907</f>
        <v>0</v>
      </c>
      <c r="AC3907" s="4">
        <f t="shared" si="602"/>
        <v>0</v>
      </c>
      <c r="AD3907" s="6">
        <f t="shared" si="606"/>
        <v>0</v>
      </c>
      <c r="AE3907" s="2">
        <f>VLOOKUP(I3907,[1]媒体政策预估表!A:N,MATCH(O3907,[1]媒体政策预估表!$A$2:$M$2,0),0)</f>
        <v>0.12</v>
      </c>
      <c r="AF3907" s="6">
        <f t="shared" si="603"/>
        <v>0</v>
      </c>
      <c r="AG3907" s="14">
        <v>0</v>
      </c>
      <c r="AH3907" s="65">
        <f t="shared" si="607"/>
        <v>0</v>
      </c>
      <c r="AI3907" s="47"/>
      <c r="AJ3907" s="126" t="e">
        <v>#N/A</v>
      </c>
      <c r="AK3907" s="80">
        <f t="shared" ref="AK3907:AK3970" si="610">X3907+AA3907-AB3907</f>
        <v>0</v>
      </c>
      <c r="AM3907" s="85"/>
    </row>
    <row r="3908" spans="1:39" hidden="1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04"/>
        <v>-5079.5</v>
      </c>
      <c r="X3908" s="6">
        <f t="shared" si="605"/>
        <v>0</v>
      </c>
      <c r="Y3908" s="13">
        <f t="shared" si="608"/>
        <v>0</v>
      </c>
      <c r="Z3908" s="14">
        <v>0</v>
      </c>
      <c r="AA3908" s="6">
        <v>0</v>
      </c>
      <c r="AB3908" s="4">
        <f t="shared" si="609"/>
        <v>0</v>
      </c>
      <c r="AC3908" s="4">
        <f t="shared" si="602"/>
        <v>0</v>
      </c>
      <c r="AD3908" s="6">
        <f t="shared" si="606"/>
        <v>0</v>
      </c>
      <c r="AE3908" s="2">
        <f>VLOOKUP(I3908,[1]媒体政策预估表!A:N,MATCH(O3908,[1]媒体政策预估表!$A$2:$M$2,0),0)</f>
        <v>0.12</v>
      </c>
      <c r="AF3908" s="6">
        <f t="shared" si="603"/>
        <v>0</v>
      </c>
      <c r="AG3908" s="14">
        <v>0</v>
      </c>
      <c r="AH3908" s="65">
        <f t="shared" si="607"/>
        <v>0</v>
      </c>
      <c r="AI3908" s="47"/>
      <c r="AJ3908" s="126" t="e">
        <v>#N/A</v>
      </c>
      <c r="AK3908" s="80">
        <f t="shared" si="610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04"/>
        <v>-700000</v>
      </c>
      <c r="X3909" s="6">
        <f t="shared" si="605"/>
        <v>0</v>
      </c>
      <c r="Y3909" s="13">
        <f t="shared" si="608"/>
        <v>0</v>
      </c>
      <c r="Z3909" s="14">
        <v>0</v>
      </c>
      <c r="AA3909" s="6">
        <v>0</v>
      </c>
      <c r="AB3909" s="4">
        <f t="shared" si="609"/>
        <v>0</v>
      </c>
      <c r="AC3909" s="4">
        <f t="shared" si="602"/>
        <v>0</v>
      </c>
      <c r="AD3909" s="6">
        <f t="shared" si="606"/>
        <v>0</v>
      </c>
      <c r="AE3909" s="2">
        <f>VLOOKUP(I3909,[1]媒体政策预估表!A:N,MATCH(O3909,[1]媒体政策预估表!$A$2:$M$2,0),0)</f>
        <v>7.0000000000000007E-2</v>
      </c>
      <c r="AF3909" s="6">
        <f t="shared" si="603"/>
        <v>0</v>
      </c>
      <c r="AG3909" s="14">
        <v>0</v>
      </c>
      <c r="AH3909" s="65">
        <f t="shared" si="607"/>
        <v>0</v>
      </c>
      <c r="AI3909" s="47"/>
      <c r="AJ3909" s="126" t="e">
        <v>#N/A</v>
      </c>
      <c r="AK3909" s="80">
        <f t="shared" si="610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04"/>
        <v>-1000000</v>
      </c>
      <c r="X3910" s="6">
        <f t="shared" si="605"/>
        <v>0</v>
      </c>
      <c r="Y3910" s="13">
        <f t="shared" si="608"/>
        <v>0</v>
      </c>
      <c r="Z3910" s="14">
        <v>0</v>
      </c>
      <c r="AA3910" s="6">
        <v>0</v>
      </c>
      <c r="AB3910" s="4">
        <f t="shared" si="609"/>
        <v>0</v>
      </c>
      <c r="AC3910" s="4">
        <f t="shared" si="602"/>
        <v>0</v>
      </c>
      <c r="AD3910" s="6">
        <f t="shared" si="606"/>
        <v>0</v>
      </c>
      <c r="AE3910" s="2">
        <f>VLOOKUP(I3910,[1]媒体政策预估表!A:N,MATCH(O3910,[1]媒体政策预估表!$A$2:$M$2,0),0)</f>
        <v>7.0000000000000007E-2</v>
      </c>
      <c r="AF3910" s="6">
        <f t="shared" si="603"/>
        <v>0</v>
      </c>
      <c r="AG3910" s="14">
        <v>0</v>
      </c>
      <c r="AH3910" s="65">
        <f t="shared" si="607"/>
        <v>0</v>
      </c>
      <c r="AI3910" s="47"/>
      <c r="AJ3910" s="126" t="e">
        <v>#N/A</v>
      </c>
      <c r="AK3910" s="80">
        <f t="shared" si="610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04"/>
        <v>127.78238000068814</v>
      </c>
      <c r="X3911" s="6">
        <f t="shared" si="605"/>
        <v>0</v>
      </c>
      <c r="Y3911" s="13">
        <f t="shared" si="608"/>
        <v>0</v>
      </c>
      <c r="Z3911" s="14">
        <v>0</v>
      </c>
      <c r="AA3911" s="6">
        <v>0</v>
      </c>
      <c r="AB3911" s="4">
        <f t="shared" si="609"/>
        <v>0</v>
      </c>
      <c r="AC3911" s="4">
        <f t="shared" si="602"/>
        <v>0</v>
      </c>
      <c r="AD3911" s="6">
        <f t="shared" si="606"/>
        <v>0</v>
      </c>
      <c r="AE3911" s="2">
        <f>VLOOKUP(I3911,[1]媒体政策预估表!A:N,MATCH(O3911,[1]媒体政策预估表!$A$2:$M$2,0),0)</f>
        <v>7.0000000000000007E-2</v>
      </c>
      <c r="AF3911" s="6">
        <f t="shared" si="603"/>
        <v>0</v>
      </c>
      <c r="AG3911" s="14">
        <v>0</v>
      </c>
      <c r="AH3911" s="65">
        <f t="shared" si="607"/>
        <v>0</v>
      </c>
      <c r="AI3911" s="47"/>
      <c r="AJ3911" s="126" t="e">
        <v>#N/A</v>
      </c>
      <c r="AK3911" s="80">
        <f t="shared" si="610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04"/>
        <v>112226.685</v>
      </c>
      <c r="X3912" s="6">
        <f t="shared" si="605"/>
        <v>86904.272277227719</v>
      </c>
      <c r="Y3912" s="13">
        <f t="shared" si="608"/>
        <v>0</v>
      </c>
      <c r="Z3912" s="14">
        <v>0</v>
      </c>
      <c r="AA3912" s="6">
        <v>0</v>
      </c>
      <c r="AB3912" s="4">
        <f t="shared" si="609"/>
        <v>86904.272277227719</v>
      </c>
      <c r="AC3912" s="4">
        <f t="shared" si="602"/>
        <v>869.04272277228301</v>
      </c>
      <c r="AD3912" s="6">
        <f t="shared" si="606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03"/>
        <v>6144.1320500000011</v>
      </c>
      <c r="AG3912" s="14">
        <v>0</v>
      </c>
      <c r="AH3912" s="65">
        <f t="shared" si="607"/>
        <v>87773.315000000002</v>
      </c>
      <c r="AI3912" s="47"/>
      <c r="AJ3912" s="126" t="e">
        <v>#N/A</v>
      </c>
      <c r="AK3912" s="80">
        <f t="shared" si="610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04"/>
        <v>33204.099999999991</v>
      </c>
      <c r="X3913" s="6">
        <f t="shared" si="605"/>
        <v>49150.8</v>
      </c>
      <c r="Y3913" s="13">
        <f t="shared" si="608"/>
        <v>0</v>
      </c>
      <c r="Z3913" s="14">
        <v>0</v>
      </c>
      <c r="AA3913" s="6">
        <v>0</v>
      </c>
      <c r="AB3913" s="4">
        <f t="shared" si="609"/>
        <v>49150.8</v>
      </c>
      <c r="AC3913" s="4">
        <f t="shared" si="602"/>
        <v>0</v>
      </c>
      <c r="AD3913" s="6">
        <f t="shared" si="606"/>
        <v>49150.8</v>
      </c>
      <c r="AE3913" s="2">
        <f>VLOOKUP(I3913,[1]媒体政策预估表!A:N,MATCH(O3913,[1]媒体政策预估表!$A$2:$M$2,0),0)</f>
        <v>7.0000000000000007E-2</v>
      </c>
      <c r="AF3913" s="6">
        <f t="shared" si="603"/>
        <v>3440.5560000000005</v>
      </c>
      <c r="AG3913" s="14">
        <v>0</v>
      </c>
      <c r="AH3913" s="65">
        <f t="shared" si="607"/>
        <v>49150.8</v>
      </c>
      <c r="AI3913" s="47"/>
      <c r="AJ3913" s="126" t="e">
        <v>#N/A</v>
      </c>
      <c r="AK3913" s="80">
        <f t="shared" si="610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04"/>
        <v>7.2759576141834259E-12</v>
      </c>
      <c r="X3914" s="6">
        <f t="shared" si="605"/>
        <v>39.215686274509807</v>
      </c>
      <c r="Y3914" s="13">
        <f t="shared" si="608"/>
        <v>0</v>
      </c>
      <c r="Z3914" s="14">
        <v>0</v>
      </c>
      <c r="AA3914" s="6">
        <v>0</v>
      </c>
      <c r="AB3914" s="4">
        <f t="shared" si="609"/>
        <v>39.215686274509807</v>
      </c>
      <c r="AC3914" s="4">
        <f t="shared" si="602"/>
        <v>0.78431372549019329</v>
      </c>
      <c r="AD3914" s="6">
        <f t="shared" si="606"/>
        <v>40</v>
      </c>
      <c r="AE3914" s="2">
        <f>VLOOKUP(I3914,[1]媒体政策预估表!A:N,MATCH(O3914,[1]媒体政策预估表!$A$2:$M$2,0),0)</f>
        <v>7.0000000000000007E-2</v>
      </c>
      <c r="AF3914" s="6">
        <f t="shared" si="603"/>
        <v>2.8000000000000003</v>
      </c>
      <c r="AG3914" s="14">
        <v>0</v>
      </c>
      <c r="AH3914" s="65">
        <f t="shared" si="607"/>
        <v>40</v>
      </c>
      <c r="AI3914" s="47"/>
      <c r="AJ3914" s="126" t="e">
        <v>#N/A</v>
      </c>
      <c r="AK3914" s="80">
        <f t="shared" si="610"/>
        <v>0</v>
      </c>
      <c r="AM3914" s="85"/>
    </row>
    <row r="3915" spans="1:39" hidden="1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04"/>
        <v>90366.7</v>
      </c>
      <c r="X3915" s="6">
        <f t="shared" si="605"/>
        <v>113065.49019607843</v>
      </c>
      <c r="Y3915" s="13">
        <f t="shared" si="608"/>
        <v>0</v>
      </c>
      <c r="Z3915" s="14">
        <v>0</v>
      </c>
      <c r="AA3915" s="6">
        <v>0</v>
      </c>
      <c r="AB3915" s="4">
        <f t="shared" si="609"/>
        <v>113065.49019607843</v>
      </c>
      <c r="AC3915" s="4">
        <f t="shared" si="602"/>
        <v>2261.3098039215693</v>
      </c>
      <c r="AD3915" s="6">
        <f t="shared" si="606"/>
        <v>115326.8</v>
      </c>
      <c r="AE3915" s="2">
        <f>VLOOKUP(I3915,[1]媒体政策预估表!A:N,MATCH(O3915,[1]媒体政策预估表!$A$2:$M$2,0),0)</f>
        <v>7.0000000000000007E-2</v>
      </c>
      <c r="AF3915" s="6">
        <f t="shared" si="603"/>
        <v>8072.8760000000011</v>
      </c>
      <c r="AG3915" s="14">
        <v>0</v>
      </c>
      <c r="AH3915" s="65">
        <f t="shared" si="607"/>
        <v>115326.8</v>
      </c>
      <c r="AI3915" s="47"/>
      <c r="AJ3915" s="126" t="e">
        <v>#N/A</v>
      </c>
      <c r="AK3915" s="80">
        <f t="shared" si="610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04"/>
        <v>43882.500000000015</v>
      </c>
      <c r="X3916" s="6">
        <f t="shared" si="605"/>
        <v>93511.7</v>
      </c>
      <c r="Y3916" s="13">
        <f t="shared" si="608"/>
        <v>0</v>
      </c>
      <c r="Z3916" s="14">
        <v>0</v>
      </c>
      <c r="AA3916" s="6">
        <v>0</v>
      </c>
      <c r="AB3916" s="4">
        <f t="shared" si="609"/>
        <v>93511.7</v>
      </c>
      <c r="AC3916" s="4">
        <f t="shared" ref="AC3916:AC3979" si="611">IF(P3916="返现",X3916*Q3916,V3916-X3916)</f>
        <v>0</v>
      </c>
      <c r="AD3916" s="6">
        <f t="shared" si="606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12">AD3916*AE3916</f>
        <v>6545.8190000000004</v>
      </c>
      <c r="AG3916" s="14">
        <v>0</v>
      </c>
      <c r="AH3916" s="65">
        <f t="shared" si="607"/>
        <v>93511.7</v>
      </c>
      <c r="AI3916" s="47"/>
      <c r="AJ3916" s="126" t="e">
        <v>#N/A</v>
      </c>
      <c r="AK3916" s="80">
        <f t="shared" si="610"/>
        <v>0</v>
      </c>
      <c r="AM3916" s="85"/>
    </row>
    <row r="3917" spans="1:39" hidden="1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04"/>
        <v>69959.83</v>
      </c>
      <c r="X3917" s="6">
        <f t="shared" si="605"/>
        <v>31836.37</v>
      </c>
      <c r="Y3917" s="13">
        <f t="shared" si="608"/>
        <v>0</v>
      </c>
      <c r="Z3917" s="14">
        <v>0</v>
      </c>
      <c r="AA3917" s="6">
        <v>0</v>
      </c>
      <c r="AB3917" s="4">
        <f t="shared" si="609"/>
        <v>31836.37</v>
      </c>
      <c r="AC3917" s="4">
        <f t="shared" si="611"/>
        <v>0</v>
      </c>
      <c r="AD3917" s="6">
        <f t="shared" si="606"/>
        <v>31836.37</v>
      </c>
      <c r="AE3917" s="2">
        <f>VLOOKUP(I3917,[1]媒体政策预估表!A:N,MATCH(O3917,[1]媒体政策预估表!$A$2:$M$2,0),0)</f>
        <v>7.0000000000000007E-2</v>
      </c>
      <c r="AF3917" s="6">
        <f t="shared" si="612"/>
        <v>2228.5459000000001</v>
      </c>
      <c r="AG3917" s="14">
        <v>0</v>
      </c>
      <c r="AH3917" s="65">
        <f t="shared" si="607"/>
        <v>31836.37</v>
      </c>
      <c r="AI3917" s="47"/>
      <c r="AJ3917" s="126" t="e">
        <v>#N/A</v>
      </c>
      <c r="AK3917" s="80">
        <f t="shared" si="610"/>
        <v>0</v>
      </c>
      <c r="AM3917" s="85"/>
    </row>
    <row r="3918" spans="1:39" hidden="1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04"/>
        <v>51434.065000000002</v>
      </c>
      <c r="X3918" s="6">
        <f t="shared" si="605"/>
        <v>155616.315</v>
      </c>
      <c r="Y3918" s="13">
        <f t="shared" si="608"/>
        <v>0</v>
      </c>
      <c r="Z3918" s="14">
        <v>0</v>
      </c>
      <c r="AA3918" s="6">
        <v>0</v>
      </c>
      <c r="AB3918" s="4">
        <f t="shared" si="609"/>
        <v>155616.315</v>
      </c>
      <c r="AC3918" s="4">
        <f t="shared" si="611"/>
        <v>0</v>
      </c>
      <c r="AD3918" s="6">
        <f t="shared" si="606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12"/>
        <v>10893.14205</v>
      </c>
      <c r="AG3918" s="14">
        <v>0</v>
      </c>
      <c r="AH3918" s="65">
        <f t="shared" si="607"/>
        <v>155616.315</v>
      </c>
      <c r="AI3918" s="47"/>
      <c r="AJ3918" s="126" t="e">
        <v>#N/A</v>
      </c>
      <c r="AK3918" s="80">
        <f t="shared" si="610"/>
        <v>0</v>
      </c>
      <c r="AM3918" s="85"/>
    </row>
    <row r="3919" spans="1:39" hidden="1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04"/>
        <v>5933.2999999999993</v>
      </c>
      <c r="X3919" s="6">
        <f t="shared" si="605"/>
        <v>24066.7</v>
      </c>
      <c r="Y3919" s="13">
        <f t="shared" si="608"/>
        <v>0</v>
      </c>
      <c r="Z3919" s="14">
        <v>0</v>
      </c>
      <c r="AA3919" s="6">
        <v>0</v>
      </c>
      <c r="AB3919" s="4">
        <f t="shared" si="609"/>
        <v>24066.7</v>
      </c>
      <c r="AC3919" s="4">
        <f t="shared" si="611"/>
        <v>0</v>
      </c>
      <c r="AD3919" s="6">
        <f t="shared" si="606"/>
        <v>24066.7</v>
      </c>
      <c r="AE3919" s="2">
        <f>VLOOKUP(I3919,[1]媒体政策预估表!A:N,MATCH(O3919,[1]媒体政策预估表!$A$2:$M$2,0),0)</f>
        <v>7.0000000000000007E-2</v>
      </c>
      <c r="AF3919" s="6">
        <f t="shared" si="612"/>
        <v>1684.6690000000003</v>
      </c>
      <c r="AG3919" s="14">
        <v>0</v>
      </c>
      <c r="AH3919" s="65">
        <f t="shared" si="607"/>
        <v>24066.7</v>
      </c>
      <c r="AI3919" s="47"/>
      <c r="AJ3919" s="126" t="e">
        <v>#N/A</v>
      </c>
      <c r="AK3919" s="80">
        <f t="shared" si="610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04"/>
        <v>1.0913936421275139E-11</v>
      </c>
      <c r="X3920" s="6">
        <f t="shared" si="605"/>
        <v>0</v>
      </c>
      <c r="Y3920" s="13">
        <f t="shared" si="608"/>
        <v>0</v>
      </c>
      <c r="Z3920" s="14">
        <v>0</v>
      </c>
      <c r="AA3920" s="6">
        <v>0</v>
      </c>
      <c r="AB3920" s="4">
        <f t="shared" si="609"/>
        <v>0</v>
      </c>
      <c r="AC3920" s="4">
        <f t="shared" si="611"/>
        <v>0</v>
      </c>
      <c r="AD3920" s="6">
        <f t="shared" si="606"/>
        <v>0</v>
      </c>
      <c r="AE3920" s="2">
        <f>VLOOKUP(I3920,[1]媒体政策预估表!A:N,MATCH(O3920,[1]媒体政策预估表!$A$2:$M$2,0),0)</f>
        <v>7.0000000000000007E-2</v>
      </c>
      <c r="AF3920" s="6">
        <f t="shared" si="612"/>
        <v>0</v>
      </c>
      <c r="AG3920" s="14">
        <v>0</v>
      </c>
      <c r="AH3920" s="65">
        <f t="shared" si="607"/>
        <v>0</v>
      </c>
      <c r="AI3920" s="47"/>
      <c r="AJ3920" s="126" t="e">
        <v>#N/A</v>
      </c>
      <c r="AK3920" s="80">
        <f t="shared" si="610"/>
        <v>0</v>
      </c>
      <c r="AM3920" s="85"/>
    </row>
    <row r="3921" spans="1:39" hidden="1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04"/>
        <v>4890</v>
      </c>
      <c r="X3921" s="6">
        <f t="shared" si="605"/>
        <v>5110</v>
      </c>
      <c r="Y3921" s="13">
        <f t="shared" si="608"/>
        <v>0</v>
      </c>
      <c r="Z3921" s="14">
        <v>0</v>
      </c>
      <c r="AA3921" s="6">
        <v>0</v>
      </c>
      <c r="AB3921" s="4">
        <f t="shared" si="609"/>
        <v>5110</v>
      </c>
      <c r="AC3921" s="4">
        <f t="shared" si="611"/>
        <v>0</v>
      </c>
      <c r="AD3921" s="6">
        <f t="shared" si="606"/>
        <v>5110</v>
      </c>
      <c r="AE3921" s="2">
        <f>VLOOKUP(I3921,[1]媒体政策预估表!A:N,MATCH(O3921,[1]媒体政策预估表!$A$2:$M$2,0),0)</f>
        <v>7.0000000000000007E-2</v>
      </c>
      <c r="AF3921" s="6">
        <f t="shared" si="612"/>
        <v>357.70000000000005</v>
      </c>
      <c r="AG3921" s="14">
        <v>0</v>
      </c>
      <c r="AH3921" s="65">
        <f t="shared" si="607"/>
        <v>5110</v>
      </c>
      <c r="AI3921" s="47"/>
      <c r="AJ3921" s="126" t="e">
        <v>#N/A</v>
      </c>
      <c r="AK3921" s="80">
        <f t="shared" si="610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04"/>
        <v>3419.3999999999978</v>
      </c>
      <c r="X3922" s="6">
        <f t="shared" si="605"/>
        <v>20265.400000000001</v>
      </c>
      <c r="Y3922" s="13">
        <f t="shared" si="608"/>
        <v>0</v>
      </c>
      <c r="Z3922" s="14">
        <v>0</v>
      </c>
      <c r="AA3922" s="6">
        <v>0</v>
      </c>
      <c r="AB3922" s="4">
        <f t="shared" si="609"/>
        <v>20265.400000000001</v>
      </c>
      <c r="AC3922" s="4">
        <f t="shared" si="611"/>
        <v>0</v>
      </c>
      <c r="AD3922" s="6">
        <f t="shared" si="606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12"/>
        <v>1418.5780000000002</v>
      </c>
      <c r="AG3922" s="14">
        <v>0</v>
      </c>
      <c r="AH3922" s="65">
        <f t="shared" si="607"/>
        <v>20265.400000000001</v>
      </c>
      <c r="AI3922" s="47"/>
      <c r="AJ3922" s="126" t="e">
        <v>#N/A</v>
      </c>
      <c r="AK3922" s="80">
        <f t="shared" si="610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04"/>
        <v>9127</v>
      </c>
      <c r="X3923" s="6">
        <f t="shared" si="605"/>
        <v>873</v>
      </c>
      <c r="Y3923" s="13">
        <f t="shared" si="608"/>
        <v>0</v>
      </c>
      <c r="Z3923" s="14">
        <v>0</v>
      </c>
      <c r="AA3923" s="6">
        <v>0</v>
      </c>
      <c r="AB3923" s="4">
        <f t="shared" si="609"/>
        <v>873</v>
      </c>
      <c r="AC3923" s="4">
        <f t="shared" si="611"/>
        <v>0</v>
      </c>
      <c r="AD3923" s="6">
        <f t="shared" si="606"/>
        <v>873</v>
      </c>
      <c r="AE3923" s="2">
        <f>VLOOKUP(I3923,[1]媒体政策预估表!A:N,MATCH(O3923,[1]媒体政策预估表!$A$2:$M$2,0),0)</f>
        <v>7.0000000000000007E-2</v>
      </c>
      <c r="AF3923" s="6">
        <f t="shared" si="612"/>
        <v>61.110000000000007</v>
      </c>
      <c r="AG3923" s="14">
        <v>0</v>
      </c>
      <c r="AH3923" s="65">
        <f t="shared" si="607"/>
        <v>873</v>
      </c>
      <c r="AI3923" s="47"/>
      <c r="AJ3923" s="126" t="e">
        <v>#N/A</v>
      </c>
      <c r="AK3923" s="80">
        <f t="shared" si="610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04"/>
        <v>3473.6999999999989</v>
      </c>
      <c r="X3924" s="6">
        <f t="shared" si="605"/>
        <v>15088.4</v>
      </c>
      <c r="Y3924" s="13">
        <f t="shared" si="608"/>
        <v>0</v>
      </c>
      <c r="Z3924" s="14">
        <v>0</v>
      </c>
      <c r="AA3924" s="6">
        <v>0</v>
      </c>
      <c r="AB3924" s="4">
        <f t="shared" si="609"/>
        <v>15088.4</v>
      </c>
      <c r="AC3924" s="4">
        <f t="shared" si="611"/>
        <v>0</v>
      </c>
      <c r="AD3924" s="6">
        <f t="shared" si="606"/>
        <v>15088.4</v>
      </c>
      <c r="AE3924" s="2">
        <f>VLOOKUP(I3924,[1]媒体政策预估表!A:N,MATCH(O3924,[1]媒体政策预估表!$A$2:$M$2,0),0)</f>
        <v>7.0000000000000007E-2</v>
      </c>
      <c r="AF3924" s="6">
        <f t="shared" si="612"/>
        <v>1056.1880000000001</v>
      </c>
      <c r="AG3924" s="14">
        <v>0</v>
      </c>
      <c r="AH3924" s="65">
        <f t="shared" si="607"/>
        <v>15088.4</v>
      </c>
      <c r="AI3924" s="47"/>
      <c r="AJ3924" s="126" t="e">
        <v>#N/A</v>
      </c>
      <c r="AK3924" s="80">
        <f t="shared" si="610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04"/>
        <v>10159.400000000001</v>
      </c>
      <c r="X3925" s="6">
        <f t="shared" si="605"/>
        <v>19951.8</v>
      </c>
      <c r="Y3925" s="13">
        <f t="shared" si="608"/>
        <v>0</v>
      </c>
      <c r="Z3925" s="14">
        <v>0</v>
      </c>
      <c r="AA3925" s="6">
        <v>0</v>
      </c>
      <c r="AB3925" s="4">
        <f t="shared" si="609"/>
        <v>19951.8</v>
      </c>
      <c r="AC3925" s="4">
        <f t="shared" si="611"/>
        <v>0</v>
      </c>
      <c r="AD3925" s="6">
        <f t="shared" si="606"/>
        <v>19951.8</v>
      </c>
      <c r="AE3925" s="2">
        <f>VLOOKUP(I3925,[1]媒体政策预估表!A:N,MATCH(O3925,[1]媒体政策预估表!$A$2:$M$2,0),0)</f>
        <v>7.0000000000000007E-2</v>
      </c>
      <c r="AF3925" s="6">
        <f t="shared" si="612"/>
        <v>1396.626</v>
      </c>
      <c r="AG3925" s="14">
        <v>0</v>
      </c>
      <c r="AH3925" s="65">
        <f t="shared" si="607"/>
        <v>19951.8</v>
      </c>
      <c r="AI3925" s="47"/>
      <c r="AJ3925" s="126" t="e">
        <v>#N/A</v>
      </c>
      <c r="AK3925" s="80">
        <f t="shared" si="610"/>
        <v>0</v>
      </c>
      <c r="AM3925" s="85"/>
    </row>
    <row r="3926" spans="1:39" hidden="1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04"/>
        <v>18168.5</v>
      </c>
      <c r="X3926" s="6">
        <f t="shared" si="605"/>
        <v>1831.5</v>
      </c>
      <c r="Y3926" s="13">
        <f t="shared" si="608"/>
        <v>0</v>
      </c>
      <c r="Z3926" s="14">
        <v>0</v>
      </c>
      <c r="AA3926" s="6">
        <v>0</v>
      </c>
      <c r="AB3926" s="4">
        <f t="shared" si="609"/>
        <v>1831.5</v>
      </c>
      <c r="AC3926" s="4">
        <f t="shared" si="611"/>
        <v>0</v>
      </c>
      <c r="AD3926" s="6">
        <f t="shared" si="606"/>
        <v>1831.5</v>
      </c>
      <c r="AE3926" s="2">
        <f>VLOOKUP(I3926,[1]媒体政策预估表!A:N,MATCH(O3926,[1]媒体政策预估表!$A$2:$M$2,0),0)</f>
        <v>7.0000000000000007E-2</v>
      </c>
      <c r="AF3926" s="6">
        <f t="shared" si="612"/>
        <v>128.20500000000001</v>
      </c>
      <c r="AG3926" s="14">
        <v>0</v>
      </c>
      <c r="AH3926" s="65">
        <f t="shared" si="607"/>
        <v>1831.5</v>
      </c>
      <c r="AI3926" s="47"/>
      <c r="AJ3926" s="126" t="e">
        <v>#N/A</v>
      </c>
      <c r="AK3926" s="80">
        <f t="shared" si="610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04"/>
        <v>119353.55</v>
      </c>
      <c r="X3927" s="6">
        <f t="shared" si="605"/>
        <v>49224.800000000003</v>
      </c>
      <c r="Y3927" s="13">
        <f t="shared" si="608"/>
        <v>0</v>
      </c>
      <c r="Z3927" s="14">
        <v>0</v>
      </c>
      <c r="AA3927" s="6">
        <v>0</v>
      </c>
      <c r="AB3927" s="4">
        <f t="shared" si="609"/>
        <v>49224.800000000003</v>
      </c>
      <c r="AC3927" s="4">
        <f t="shared" si="611"/>
        <v>0</v>
      </c>
      <c r="AD3927" s="6">
        <f t="shared" si="606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12"/>
        <v>3445.7360000000003</v>
      </c>
      <c r="AG3927" s="14">
        <v>0</v>
      </c>
      <c r="AH3927" s="65">
        <f t="shared" si="607"/>
        <v>49224.800000000003</v>
      </c>
      <c r="AI3927" s="47"/>
      <c r="AJ3927" s="126" t="e">
        <v>#N/A</v>
      </c>
      <c r="AK3927" s="80">
        <f t="shared" si="610"/>
        <v>0</v>
      </c>
      <c r="AM3927" s="85"/>
    </row>
    <row r="3928" spans="1:39" hidden="1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04"/>
        <v>11745.8</v>
      </c>
      <c r="X3928" s="6">
        <f t="shared" si="605"/>
        <v>8254.2000000000007</v>
      </c>
      <c r="Y3928" s="13">
        <f t="shared" si="608"/>
        <v>0</v>
      </c>
      <c r="Z3928" s="14">
        <v>0</v>
      </c>
      <c r="AA3928" s="6">
        <v>0</v>
      </c>
      <c r="AB3928" s="4">
        <f t="shared" si="609"/>
        <v>8254.2000000000007</v>
      </c>
      <c r="AC3928" s="4">
        <f t="shared" si="611"/>
        <v>0</v>
      </c>
      <c r="AD3928" s="6">
        <f t="shared" si="606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12"/>
        <v>577.7940000000001</v>
      </c>
      <c r="AG3928" s="14">
        <v>0</v>
      </c>
      <c r="AH3928" s="65">
        <f t="shared" si="607"/>
        <v>8254.2000000000007</v>
      </c>
      <c r="AI3928" s="47"/>
      <c r="AJ3928" s="126" t="e">
        <v>#N/A</v>
      </c>
      <c r="AK3928" s="80">
        <f t="shared" si="610"/>
        <v>0</v>
      </c>
      <c r="AM3928" s="85"/>
    </row>
    <row r="3929" spans="1:39" hidden="1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04"/>
        <v>-4218.3</v>
      </c>
      <c r="X3929" s="6">
        <f t="shared" si="605"/>
        <v>772.2</v>
      </c>
      <c r="Y3929" s="13">
        <f t="shared" si="608"/>
        <v>0</v>
      </c>
      <c r="Z3929" s="14">
        <v>0</v>
      </c>
      <c r="AA3929" s="6">
        <v>0</v>
      </c>
      <c r="AB3929" s="4">
        <f t="shared" si="609"/>
        <v>772.2</v>
      </c>
      <c r="AC3929" s="4">
        <f t="shared" si="611"/>
        <v>0</v>
      </c>
      <c r="AD3929" s="6">
        <f t="shared" si="606"/>
        <v>772.2</v>
      </c>
      <c r="AE3929" s="2">
        <f>VLOOKUP(I3929,[1]媒体政策预估表!A:N,MATCH(O3929,[1]媒体政策预估表!$A$2:$M$2,0),0)</f>
        <v>7.0000000000000007E-2</v>
      </c>
      <c r="AF3929" s="6">
        <f t="shared" si="612"/>
        <v>54.054000000000009</v>
      </c>
      <c r="AG3929" s="14">
        <v>0</v>
      </c>
      <c r="AH3929" s="65">
        <f t="shared" si="607"/>
        <v>772.2</v>
      </c>
      <c r="AI3929" s="47"/>
      <c r="AJ3929" s="126" t="e">
        <v>#N/A</v>
      </c>
      <c r="AK3929" s="80">
        <f t="shared" si="610"/>
        <v>0</v>
      </c>
      <c r="AM3929" s="85"/>
    </row>
    <row r="3930" spans="1:39" hidden="1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04"/>
        <v>0</v>
      </c>
      <c r="X3930" s="6">
        <f t="shared" si="605"/>
        <v>0</v>
      </c>
      <c r="Y3930" s="13">
        <f t="shared" si="608"/>
        <v>0</v>
      </c>
      <c r="Z3930" s="14">
        <v>0</v>
      </c>
      <c r="AA3930" s="6">
        <v>0</v>
      </c>
      <c r="AB3930" s="4">
        <f t="shared" si="609"/>
        <v>0</v>
      </c>
      <c r="AC3930" s="4">
        <f t="shared" si="611"/>
        <v>0</v>
      </c>
      <c r="AD3930" s="6">
        <f t="shared" si="606"/>
        <v>0</v>
      </c>
      <c r="AE3930" s="2">
        <f>VLOOKUP(I3930,[1]媒体政策预估表!A:N,MATCH(O3930,[1]媒体政策预估表!$A$2:$M$2,0),0)</f>
        <v>7.0000000000000007E-2</v>
      </c>
      <c r="AF3930" s="6">
        <f t="shared" si="612"/>
        <v>0</v>
      </c>
      <c r="AG3930" s="14">
        <v>0</v>
      </c>
      <c r="AH3930" s="65">
        <f t="shared" si="607"/>
        <v>0</v>
      </c>
      <c r="AI3930" s="47"/>
      <c r="AJ3930" s="126" t="e">
        <v>#N/A</v>
      </c>
      <c r="AK3930" s="80">
        <f t="shared" si="610"/>
        <v>0</v>
      </c>
      <c r="AM3930" s="85"/>
    </row>
    <row r="3931" spans="1:39" hidden="1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04"/>
        <v>10230.79508</v>
      </c>
      <c r="X3931" s="6">
        <f t="shared" si="605"/>
        <v>9769.2049200000001</v>
      </c>
      <c r="Y3931" s="13">
        <f t="shared" si="608"/>
        <v>0</v>
      </c>
      <c r="Z3931" s="14">
        <v>0</v>
      </c>
      <c r="AA3931" s="6">
        <v>0</v>
      </c>
      <c r="AB3931" s="4">
        <f t="shared" si="609"/>
        <v>9769.2049200000001</v>
      </c>
      <c r="AC3931" s="4">
        <f t="shared" si="611"/>
        <v>0</v>
      </c>
      <c r="AD3931" s="6">
        <f t="shared" si="606"/>
        <v>9769.2049200000001</v>
      </c>
      <c r="AE3931" s="2">
        <f>VLOOKUP(I3931,[1]媒体政策预估表!A:N,MATCH(O3931,[1]媒体政策预估表!$A$2:$M$2,0),0)</f>
        <v>0.12</v>
      </c>
      <c r="AF3931" s="6">
        <f t="shared" si="612"/>
        <v>1172.3045904000001</v>
      </c>
      <c r="AG3931" s="14">
        <v>0</v>
      </c>
      <c r="AH3931" s="65">
        <f t="shared" si="607"/>
        <v>9769.2049200000001</v>
      </c>
      <c r="AI3931" s="47"/>
      <c r="AJ3931" s="126" t="e">
        <v>#N/A</v>
      </c>
      <c r="AK3931" s="80">
        <f t="shared" si="610"/>
        <v>0</v>
      </c>
      <c r="AM3931" s="85"/>
    </row>
    <row r="3932" spans="1:39" hidden="1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04"/>
        <v>60015.498659999997</v>
      </c>
      <c r="X3932" s="6">
        <f t="shared" si="605"/>
        <v>28769.208780000001</v>
      </c>
      <c r="Y3932" s="13">
        <f t="shared" si="608"/>
        <v>0</v>
      </c>
      <c r="Z3932" s="14">
        <v>0</v>
      </c>
      <c r="AA3932" s="6">
        <v>0</v>
      </c>
      <c r="AB3932" s="4">
        <f t="shared" si="609"/>
        <v>28769.208780000001</v>
      </c>
      <c r="AC3932" s="4">
        <f t="shared" si="611"/>
        <v>0</v>
      </c>
      <c r="AD3932" s="6">
        <f t="shared" si="606"/>
        <v>28769.208780000001</v>
      </c>
      <c r="AE3932" s="2">
        <f>VLOOKUP(I3932,[1]媒体政策预估表!A:N,MATCH(O3932,[1]媒体政策预估表!$A$2:$M$2,0),0)</f>
        <v>0.12</v>
      </c>
      <c r="AF3932" s="6">
        <f t="shared" si="612"/>
        <v>3452.3050536000001</v>
      </c>
      <c r="AG3932" s="14">
        <v>0</v>
      </c>
      <c r="AH3932" s="65">
        <f t="shared" si="607"/>
        <v>28769.208780000001</v>
      </c>
      <c r="AI3932" s="47"/>
      <c r="AJ3932" s="126" t="e">
        <v>#N/A</v>
      </c>
      <c r="AK3932" s="80">
        <f t="shared" si="610"/>
        <v>0</v>
      </c>
      <c r="AM3932" s="85"/>
    </row>
    <row r="3933" spans="1:39" hidden="1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04"/>
        <v>13390.781419999999</v>
      </c>
      <c r="X3933" s="6">
        <f t="shared" si="605"/>
        <v>86609.218580000001</v>
      </c>
      <c r="Y3933" s="13">
        <f t="shared" si="608"/>
        <v>0</v>
      </c>
      <c r="Z3933" s="14">
        <v>0</v>
      </c>
      <c r="AA3933" s="6">
        <v>0</v>
      </c>
      <c r="AB3933" s="4">
        <f t="shared" si="609"/>
        <v>86609.218580000001</v>
      </c>
      <c r="AC3933" s="4">
        <f t="shared" si="611"/>
        <v>0</v>
      </c>
      <c r="AD3933" s="6">
        <f t="shared" si="606"/>
        <v>86609.218580000001</v>
      </c>
      <c r="AE3933" s="2">
        <f>VLOOKUP(I3933,[1]媒体政策预估表!A:N,MATCH(O3933,[1]媒体政策预估表!$A$2:$M$2,0),0)</f>
        <v>0.12</v>
      </c>
      <c r="AF3933" s="6">
        <f t="shared" si="612"/>
        <v>10393.1062296</v>
      </c>
      <c r="AG3933" s="14">
        <v>0</v>
      </c>
      <c r="AH3933" s="65">
        <f t="shared" si="607"/>
        <v>86609.218580000001</v>
      </c>
      <c r="AI3933" s="47"/>
      <c r="AJ3933" s="126" t="e">
        <v>#N/A</v>
      </c>
      <c r="AK3933" s="80">
        <f t="shared" si="610"/>
        <v>0</v>
      </c>
      <c r="AM3933" s="85"/>
    </row>
    <row r="3934" spans="1:39" hidden="1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04"/>
        <v>100000</v>
      </c>
      <c r="X3934" s="6">
        <f t="shared" si="605"/>
        <v>0</v>
      </c>
      <c r="Y3934" s="13">
        <f t="shared" si="608"/>
        <v>0</v>
      </c>
      <c r="Z3934" s="14">
        <v>0</v>
      </c>
      <c r="AA3934" s="6">
        <v>0</v>
      </c>
      <c r="AB3934" s="4">
        <f t="shared" si="609"/>
        <v>0</v>
      </c>
      <c r="AC3934" s="4">
        <f t="shared" si="611"/>
        <v>0</v>
      </c>
      <c r="AD3934" s="6">
        <f t="shared" si="606"/>
        <v>0</v>
      </c>
      <c r="AE3934" s="2">
        <f>VLOOKUP(I3934,[1]媒体政策预估表!A:N,MATCH(O3934,[1]媒体政策预估表!$A$2:$M$2,0),0)</f>
        <v>7.0000000000000007E-2</v>
      </c>
      <c r="AF3934" s="6">
        <f t="shared" si="612"/>
        <v>0</v>
      </c>
      <c r="AG3934" s="14">
        <v>0</v>
      </c>
      <c r="AH3934" s="65">
        <f t="shared" si="607"/>
        <v>0</v>
      </c>
      <c r="AI3934" s="47"/>
      <c r="AJ3934" s="126" t="e">
        <v>#N/A</v>
      </c>
      <c r="AK3934" s="80">
        <f t="shared" si="610"/>
        <v>0</v>
      </c>
      <c r="AM3934" s="85"/>
    </row>
    <row r="3935" spans="1:39" hidden="1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04"/>
        <v>83870.386889999994</v>
      </c>
      <c r="X3935" s="6">
        <f t="shared" si="605"/>
        <v>66129.613110000006</v>
      </c>
      <c r="Y3935" s="13">
        <f t="shared" si="608"/>
        <v>0</v>
      </c>
      <c r="Z3935" s="14">
        <v>0</v>
      </c>
      <c r="AA3935" s="6">
        <v>0</v>
      </c>
      <c r="AB3935" s="4">
        <f t="shared" si="609"/>
        <v>66129.613110000006</v>
      </c>
      <c r="AC3935" s="4">
        <f t="shared" si="611"/>
        <v>0</v>
      </c>
      <c r="AD3935" s="6">
        <f t="shared" si="606"/>
        <v>66129.613110000006</v>
      </c>
      <c r="AE3935" s="2">
        <f>VLOOKUP(I3935,[1]媒体政策预估表!A:N,MATCH(O3935,[1]媒体政策预估表!$A$2:$M$2,0),0)</f>
        <v>0.12</v>
      </c>
      <c r="AF3935" s="6">
        <f t="shared" si="612"/>
        <v>7935.5535732000008</v>
      </c>
      <c r="AG3935" s="14">
        <v>0</v>
      </c>
      <c r="AH3935" s="65">
        <f t="shared" si="607"/>
        <v>66129.613110000006</v>
      </c>
      <c r="AI3935" s="47"/>
      <c r="AJ3935" s="126" t="e">
        <v>#N/A</v>
      </c>
      <c r="AK3935" s="80">
        <f t="shared" si="610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04"/>
        <v>739613.87410000002</v>
      </c>
      <c r="X3936" s="6">
        <f t="shared" si="605"/>
        <v>216433.71038999999</v>
      </c>
      <c r="Y3936" s="13">
        <f t="shared" si="608"/>
        <v>0</v>
      </c>
      <c r="Z3936" s="14">
        <v>0</v>
      </c>
      <c r="AA3936" s="6">
        <v>0</v>
      </c>
      <c r="AB3936" s="4">
        <f t="shared" si="609"/>
        <v>216433.71038999999</v>
      </c>
      <c r="AC3936" s="4">
        <f t="shared" si="611"/>
        <v>0</v>
      </c>
      <c r="AD3936" s="6">
        <f t="shared" si="606"/>
        <v>216433.71038999999</v>
      </c>
      <c r="AE3936" s="2">
        <f>VLOOKUP(I3936,[1]媒体政策预估表!A:N,MATCH(O3936,[1]媒体政策预估表!$A$2:$M$2,0),0)</f>
        <v>0.12</v>
      </c>
      <c r="AF3936" s="6">
        <f t="shared" si="612"/>
        <v>25972.045246799997</v>
      </c>
      <c r="AG3936" s="14">
        <v>0</v>
      </c>
      <c r="AH3936" s="65">
        <f t="shared" si="607"/>
        <v>216433.71038999999</v>
      </c>
      <c r="AI3936" s="47"/>
      <c r="AJ3936" s="126" t="e">
        <v>#N/A</v>
      </c>
      <c r="AK3936" s="80">
        <f t="shared" si="610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04"/>
        <v>5449</v>
      </c>
      <c r="X3937" s="6">
        <f t="shared" si="605"/>
        <v>4505.9405940594061</v>
      </c>
      <c r="Y3937" s="13">
        <f t="shared" si="608"/>
        <v>0</v>
      </c>
      <c r="Z3937" s="14">
        <v>0</v>
      </c>
      <c r="AA3937" s="6">
        <v>0</v>
      </c>
      <c r="AB3937" s="4">
        <f t="shared" si="609"/>
        <v>4505.9405940594061</v>
      </c>
      <c r="AC3937" s="4">
        <f t="shared" si="611"/>
        <v>45.059405940593933</v>
      </c>
      <c r="AD3937" s="6">
        <f t="shared" si="606"/>
        <v>4551</v>
      </c>
      <c r="AE3937" s="2">
        <f>VLOOKUP(I3937,[1]媒体政策预估表!A:N,MATCH(O3937,[1]媒体政策预估表!$A$2:$M$2,0),0)</f>
        <v>7.0000000000000007E-2</v>
      </c>
      <c r="AF3937" s="6">
        <f t="shared" si="612"/>
        <v>318.57000000000005</v>
      </c>
      <c r="AG3937" s="14">
        <v>0</v>
      </c>
      <c r="AH3937" s="65">
        <f t="shared" si="607"/>
        <v>4551</v>
      </c>
      <c r="AI3937" s="47"/>
      <c r="AJ3937" s="126" t="e">
        <v>#N/A</v>
      </c>
      <c r="AK3937" s="80">
        <f t="shared" si="610"/>
        <v>0</v>
      </c>
      <c r="AM3937" s="85"/>
    </row>
    <row r="3938" spans="1:39" hidden="1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04"/>
        <v>23433</v>
      </c>
      <c r="X3938" s="6">
        <f t="shared" si="605"/>
        <v>123582.7450980392</v>
      </c>
      <c r="Y3938" s="13">
        <f t="shared" si="608"/>
        <v>0</v>
      </c>
      <c r="Z3938" s="14">
        <v>0</v>
      </c>
      <c r="AA3938" s="6">
        <v>0</v>
      </c>
      <c r="AB3938" s="4">
        <f t="shared" si="609"/>
        <v>123582.7450980392</v>
      </c>
      <c r="AC3938" s="4">
        <f t="shared" si="611"/>
        <v>2471.6549019607919</v>
      </c>
      <c r="AD3938" s="6">
        <f t="shared" si="606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12"/>
        <v>8823.8080000000009</v>
      </c>
      <c r="AG3938" s="14">
        <v>0</v>
      </c>
      <c r="AH3938" s="65">
        <f t="shared" si="607"/>
        <v>126054.39999999999</v>
      </c>
      <c r="AI3938" s="47"/>
      <c r="AJ3938" s="126" t="e">
        <v>#N/A</v>
      </c>
      <c r="AK3938" s="80">
        <f t="shared" si="610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04"/>
        <v>77280.189999999944</v>
      </c>
      <c r="X3939" s="6">
        <f t="shared" si="605"/>
        <v>347351.12745098042</v>
      </c>
      <c r="Y3939" s="13">
        <f t="shared" si="608"/>
        <v>0</v>
      </c>
      <c r="Z3939" s="14">
        <v>0</v>
      </c>
      <c r="AA3939" s="6">
        <v>0</v>
      </c>
      <c r="AB3939" s="4">
        <f t="shared" si="609"/>
        <v>347351.12745098042</v>
      </c>
      <c r="AC3939" s="4">
        <f t="shared" si="611"/>
        <v>6947.0225490196026</v>
      </c>
      <c r="AD3939" s="6">
        <f t="shared" si="606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12"/>
        <v>24800.870500000005</v>
      </c>
      <c r="AG3939" s="14">
        <v>0</v>
      </c>
      <c r="AH3939" s="65">
        <f t="shared" si="607"/>
        <v>354298.15</v>
      </c>
      <c r="AI3939" s="47"/>
      <c r="AJ3939" s="126" t="e">
        <v>#N/A</v>
      </c>
      <c r="AK3939" s="80">
        <f t="shared" si="610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04"/>
        <v>13477.299999999988</v>
      </c>
      <c r="X3940" s="6">
        <f t="shared" si="605"/>
        <v>246379.00990099009</v>
      </c>
      <c r="Y3940" s="13">
        <f t="shared" si="608"/>
        <v>0</v>
      </c>
      <c r="Z3940" s="14">
        <v>0</v>
      </c>
      <c r="AA3940" s="6">
        <v>0</v>
      </c>
      <c r="AB3940" s="4">
        <f t="shared" si="609"/>
        <v>246379.00990099009</v>
      </c>
      <c r="AC3940" s="4">
        <f t="shared" si="611"/>
        <v>2463.7900990099006</v>
      </c>
      <c r="AD3940" s="6">
        <f t="shared" si="606"/>
        <v>248842.8</v>
      </c>
      <c r="AE3940" s="2">
        <f>VLOOKUP(I3940,[1]媒体政策预估表!A:N,MATCH(O3940,[1]媒体政策预估表!$A$2:$M$2,0),0)</f>
        <v>7.0000000000000007E-2</v>
      </c>
      <c r="AF3940" s="6">
        <f t="shared" si="612"/>
        <v>17418.995999999999</v>
      </c>
      <c r="AG3940" s="14">
        <v>0</v>
      </c>
      <c r="AH3940" s="65">
        <f t="shared" si="607"/>
        <v>248842.8</v>
      </c>
      <c r="AI3940" s="47"/>
      <c r="AJ3940" s="126" t="e">
        <v>#N/A</v>
      </c>
      <c r="AK3940" s="80">
        <f t="shared" si="610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04"/>
        <v>6.4099999999980355</v>
      </c>
      <c r="X3941" s="6">
        <f t="shared" si="605"/>
        <v>1655.4807692307693</v>
      </c>
      <c r="Y3941" s="13">
        <f t="shared" si="608"/>
        <v>0</v>
      </c>
      <c r="Z3941" s="14">
        <v>0</v>
      </c>
      <c r="AA3941" s="6">
        <v>0</v>
      </c>
      <c r="AB3941" s="4">
        <f t="shared" si="609"/>
        <v>1655.4807692307693</v>
      </c>
      <c r="AC3941" s="4">
        <f t="shared" si="611"/>
        <v>66.219230769230762</v>
      </c>
      <c r="AD3941" s="6">
        <f t="shared" si="606"/>
        <v>1721.7</v>
      </c>
      <c r="AE3941" s="2">
        <f>VLOOKUP(I3941,[1]媒体政策预估表!A:N,MATCH(O3941,[1]媒体政策预估表!$A$2:$M$2,0),0)</f>
        <v>7.0000000000000007E-2</v>
      </c>
      <c r="AF3941" s="6">
        <f t="shared" si="612"/>
        <v>120.51900000000002</v>
      </c>
      <c r="AG3941" s="14">
        <v>0</v>
      </c>
      <c r="AH3941" s="65">
        <f t="shared" si="607"/>
        <v>1721.7</v>
      </c>
      <c r="AI3941" s="47"/>
      <c r="AJ3941" s="126" t="e">
        <v>#N/A</v>
      </c>
      <c r="AK3941" s="80">
        <f t="shared" si="610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04"/>
        <v>56993.099999999991</v>
      </c>
      <c r="X3942" s="6">
        <f t="shared" si="605"/>
        <v>120939.7</v>
      </c>
      <c r="Y3942" s="13">
        <f t="shared" si="608"/>
        <v>0</v>
      </c>
      <c r="Z3942" s="14">
        <v>0</v>
      </c>
      <c r="AA3942" s="6">
        <v>0</v>
      </c>
      <c r="AB3942" s="4">
        <f t="shared" si="609"/>
        <v>120939.7</v>
      </c>
      <c r="AC3942" s="4">
        <f t="shared" si="611"/>
        <v>0</v>
      </c>
      <c r="AD3942" s="6">
        <f t="shared" si="606"/>
        <v>120939.7</v>
      </c>
      <c r="AE3942" s="2">
        <f>VLOOKUP(I3942,[1]媒体政策预估表!A:N,MATCH(O3942,[1]媒体政策预估表!$A$2:$M$2,0),0)</f>
        <v>7.0000000000000007E-2</v>
      </c>
      <c r="AF3942" s="6">
        <f t="shared" si="612"/>
        <v>8465.7790000000005</v>
      </c>
      <c r="AG3942" s="14">
        <v>0</v>
      </c>
      <c r="AH3942" s="65">
        <f t="shared" si="607"/>
        <v>120939.7</v>
      </c>
      <c r="AI3942" s="47"/>
      <c r="AJ3942" s="126" t="e">
        <v>#N/A</v>
      </c>
      <c r="AK3942" s="80">
        <f t="shared" si="610"/>
        <v>0</v>
      </c>
      <c r="AM3942" s="85"/>
    </row>
    <row r="3943" spans="1:39" hidden="1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04"/>
        <v>20032.400000000001</v>
      </c>
      <c r="X3943" s="6">
        <f t="shared" si="605"/>
        <v>12511.287128712871</v>
      </c>
      <c r="Y3943" s="13">
        <f t="shared" si="608"/>
        <v>0</v>
      </c>
      <c r="Z3943" s="14">
        <v>0</v>
      </c>
      <c r="AA3943" s="6">
        <v>0</v>
      </c>
      <c r="AB3943" s="4">
        <f t="shared" si="609"/>
        <v>12511.287128712871</v>
      </c>
      <c r="AC3943" s="4">
        <f t="shared" si="611"/>
        <v>125.11287128712866</v>
      </c>
      <c r="AD3943" s="6">
        <f t="shared" si="606"/>
        <v>12636.4</v>
      </c>
      <c r="AE3943" s="2">
        <f>VLOOKUP(I3943,[1]媒体政策预估表!A:N,MATCH(O3943,[1]媒体政策预估表!$A$2:$M$2,0),0)</f>
        <v>7.0000000000000007E-2</v>
      </c>
      <c r="AF3943" s="6">
        <f t="shared" si="612"/>
        <v>884.54800000000012</v>
      </c>
      <c r="AG3943" s="14">
        <v>0</v>
      </c>
      <c r="AH3943" s="65">
        <f t="shared" si="607"/>
        <v>12636.4</v>
      </c>
      <c r="AI3943" s="47"/>
      <c r="AJ3943" s="126" t="e">
        <v>#N/A</v>
      </c>
      <c r="AK3943" s="80">
        <f t="shared" si="610"/>
        <v>0</v>
      </c>
      <c r="AM3943" s="85"/>
    </row>
    <row r="3944" spans="1:39" hidden="1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04"/>
        <v>14336.4</v>
      </c>
      <c r="X3944" s="6">
        <f t="shared" si="605"/>
        <v>11804.4</v>
      </c>
      <c r="Y3944" s="13">
        <f t="shared" si="608"/>
        <v>0</v>
      </c>
      <c r="Z3944" s="14">
        <v>0</v>
      </c>
      <c r="AA3944" s="6">
        <v>0</v>
      </c>
      <c r="AB3944" s="4">
        <f t="shared" si="609"/>
        <v>11804.4</v>
      </c>
      <c r="AC3944" s="4">
        <f t="shared" si="611"/>
        <v>0</v>
      </c>
      <c r="AD3944" s="6">
        <f t="shared" si="606"/>
        <v>11804.4</v>
      </c>
      <c r="AE3944" s="2">
        <f>VLOOKUP(I3944,[1]媒体政策预估表!A:N,MATCH(O3944,[1]媒体政策预估表!$A$2:$M$2,0),0)</f>
        <v>7.0000000000000007E-2</v>
      </c>
      <c r="AF3944" s="6">
        <f t="shared" si="612"/>
        <v>826.30800000000011</v>
      </c>
      <c r="AG3944" s="14">
        <v>0</v>
      </c>
      <c r="AH3944" s="65">
        <f t="shared" si="607"/>
        <v>11804.4</v>
      </c>
      <c r="AI3944" s="47"/>
      <c r="AJ3944" s="126" t="e">
        <v>#N/A</v>
      </c>
      <c r="AK3944" s="80">
        <f t="shared" si="610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04"/>
        <v>32565.55</v>
      </c>
      <c r="X3945" s="6">
        <f t="shared" si="605"/>
        <v>17092.598039215685</v>
      </c>
      <c r="Y3945" s="13">
        <f t="shared" si="608"/>
        <v>0</v>
      </c>
      <c r="Z3945" s="14">
        <v>0</v>
      </c>
      <c r="AA3945" s="6">
        <v>0</v>
      </c>
      <c r="AB3945" s="4">
        <f t="shared" si="609"/>
        <v>17092.598039215685</v>
      </c>
      <c r="AC3945" s="4">
        <f t="shared" si="611"/>
        <v>341.85196078431545</v>
      </c>
      <c r="AD3945" s="6">
        <f t="shared" si="606"/>
        <v>17434.45</v>
      </c>
      <c r="AE3945" s="2">
        <f>VLOOKUP(I3945,[1]媒体政策预估表!A:N,MATCH(O3945,[1]媒体政策预估表!$A$2:$M$2,0),0)</f>
        <v>7.0000000000000007E-2</v>
      </c>
      <c r="AF3945" s="6">
        <f t="shared" si="612"/>
        <v>1220.4115000000002</v>
      </c>
      <c r="AG3945" s="14">
        <v>0</v>
      </c>
      <c r="AH3945" s="65">
        <f t="shared" si="607"/>
        <v>17434.45</v>
      </c>
      <c r="AI3945" s="47"/>
      <c r="AJ3945" s="126" t="e">
        <v>#N/A</v>
      </c>
      <c r="AK3945" s="80">
        <f t="shared" si="610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04"/>
        <v>0</v>
      </c>
      <c r="X3946" s="6">
        <f t="shared" si="605"/>
        <v>25021.600000000006</v>
      </c>
      <c r="Y3946" s="13">
        <f t="shared" si="608"/>
        <v>0</v>
      </c>
      <c r="Z3946" s="14">
        <v>0</v>
      </c>
      <c r="AA3946" s="6">
        <v>0</v>
      </c>
      <c r="AB3946" s="4">
        <f t="shared" si="609"/>
        <v>25021.600000000006</v>
      </c>
      <c r="AC3946" s="4">
        <f t="shared" si="611"/>
        <v>0</v>
      </c>
      <c r="AD3946" s="6">
        <f t="shared" si="606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12"/>
        <v>1751.5120000000006</v>
      </c>
      <c r="AG3946" s="14">
        <v>0</v>
      </c>
      <c r="AH3946" s="65">
        <f t="shared" si="607"/>
        <v>25021.600000000006</v>
      </c>
      <c r="AI3946" s="47"/>
      <c r="AJ3946" s="126" t="e">
        <v>#N/A</v>
      </c>
      <c r="AK3946" s="80">
        <f t="shared" si="610"/>
        <v>0</v>
      </c>
      <c r="AM3946" s="85"/>
    </row>
    <row r="3947" spans="1:39" hidden="1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04"/>
        <v>41280.78</v>
      </c>
      <c r="X3947" s="6">
        <f t="shared" si="605"/>
        <v>27680.7</v>
      </c>
      <c r="Y3947" s="13">
        <f t="shared" si="608"/>
        <v>0</v>
      </c>
      <c r="Z3947" s="14">
        <v>0</v>
      </c>
      <c r="AA3947" s="6">
        <v>0</v>
      </c>
      <c r="AB3947" s="4">
        <f t="shared" si="609"/>
        <v>27680.7</v>
      </c>
      <c r="AC3947" s="4">
        <f t="shared" si="611"/>
        <v>0</v>
      </c>
      <c r="AD3947" s="6">
        <f t="shared" si="606"/>
        <v>27680.7</v>
      </c>
      <c r="AE3947" s="2">
        <f>VLOOKUP(I3947,[1]媒体政策预估表!A:N,MATCH(O3947,[1]媒体政策预估表!$A$2:$M$2,0),0)</f>
        <v>7.0000000000000007E-2</v>
      </c>
      <c r="AF3947" s="6">
        <f t="shared" si="612"/>
        <v>1937.6490000000003</v>
      </c>
      <c r="AG3947" s="14">
        <v>0</v>
      </c>
      <c r="AH3947" s="65">
        <f t="shared" si="607"/>
        <v>27680.7</v>
      </c>
      <c r="AI3947" s="47"/>
      <c r="AJ3947" s="126" t="e">
        <v>#N/A</v>
      </c>
      <c r="AK3947" s="80">
        <f t="shared" si="610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04"/>
        <v>22000</v>
      </c>
      <c r="X3948" s="6">
        <f t="shared" si="605"/>
        <v>0</v>
      </c>
      <c r="Y3948" s="13">
        <f t="shared" si="608"/>
        <v>0</v>
      </c>
      <c r="Z3948" s="14">
        <v>0</v>
      </c>
      <c r="AA3948" s="6">
        <v>0</v>
      </c>
      <c r="AB3948" s="4">
        <f t="shared" si="609"/>
        <v>0</v>
      </c>
      <c r="AC3948" s="4">
        <f t="shared" si="611"/>
        <v>0</v>
      </c>
      <c r="AD3948" s="6">
        <f t="shared" si="606"/>
        <v>0</v>
      </c>
      <c r="AE3948" s="2">
        <f>VLOOKUP(I3948,[1]媒体政策预估表!A:N,MATCH(O3948,[1]媒体政策预估表!$A$2:$M$2,0),0)</f>
        <v>7.0000000000000007E-2</v>
      </c>
      <c r="AF3948" s="6">
        <f t="shared" si="612"/>
        <v>0</v>
      </c>
      <c r="AG3948" s="14">
        <v>0</v>
      </c>
      <c r="AH3948" s="65">
        <f t="shared" si="607"/>
        <v>0</v>
      </c>
      <c r="AI3948" s="47"/>
      <c r="AJ3948" s="126" t="e">
        <v>#N/A</v>
      </c>
      <c r="AK3948" s="80">
        <f t="shared" si="610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04"/>
        <v>16802.5</v>
      </c>
      <c r="X3949" s="6">
        <f t="shared" si="605"/>
        <v>43197.5</v>
      </c>
      <c r="Y3949" s="13">
        <f t="shared" si="608"/>
        <v>0</v>
      </c>
      <c r="Z3949" s="14">
        <v>0</v>
      </c>
      <c r="AA3949" s="6">
        <v>0</v>
      </c>
      <c r="AB3949" s="4">
        <f t="shared" si="609"/>
        <v>43197.5</v>
      </c>
      <c r="AC3949" s="4">
        <f t="shared" si="611"/>
        <v>0</v>
      </c>
      <c r="AD3949" s="6">
        <f t="shared" si="606"/>
        <v>43197.5</v>
      </c>
      <c r="AE3949" s="2">
        <f>VLOOKUP(I3949,[1]媒体政策预估表!A:N,MATCH(O3949,[1]媒体政策预估表!$A$2:$M$2,0),0)</f>
        <v>7.0000000000000007E-2</v>
      </c>
      <c r="AF3949" s="6">
        <f t="shared" si="612"/>
        <v>3023.8250000000003</v>
      </c>
      <c r="AG3949" s="14">
        <v>0</v>
      </c>
      <c r="AH3949" s="65">
        <f t="shared" si="607"/>
        <v>43197.5</v>
      </c>
      <c r="AI3949" s="47"/>
      <c r="AJ3949" s="126" t="e">
        <v>#N/A</v>
      </c>
      <c r="AK3949" s="80">
        <f t="shared" si="610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04"/>
        <v>9818.5</v>
      </c>
      <c r="X3950" s="6">
        <f t="shared" si="605"/>
        <v>181.5</v>
      </c>
      <c r="Y3950" s="13">
        <f t="shared" si="608"/>
        <v>0</v>
      </c>
      <c r="Z3950" s="14">
        <v>0</v>
      </c>
      <c r="AA3950" s="6">
        <v>0</v>
      </c>
      <c r="AB3950" s="4">
        <f t="shared" si="609"/>
        <v>181.5</v>
      </c>
      <c r="AC3950" s="4">
        <f t="shared" si="611"/>
        <v>0</v>
      </c>
      <c r="AD3950" s="6">
        <f t="shared" si="606"/>
        <v>181.5</v>
      </c>
      <c r="AE3950" s="2">
        <f>VLOOKUP(I3950,[1]媒体政策预估表!A:N,MATCH(O3950,[1]媒体政策预估表!$A$2:$M$2,0),0)</f>
        <v>7.0000000000000007E-2</v>
      </c>
      <c r="AF3950" s="6">
        <f t="shared" si="612"/>
        <v>12.705000000000002</v>
      </c>
      <c r="AG3950" s="14">
        <v>0</v>
      </c>
      <c r="AH3950" s="65">
        <f t="shared" si="607"/>
        <v>181.5</v>
      </c>
      <c r="AI3950" s="47"/>
      <c r="AJ3950" s="126" t="e">
        <v>#N/A</v>
      </c>
      <c r="AK3950" s="80">
        <f t="shared" si="610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04"/>
        <v>9229</v>
      </c>
      <c r="X3951" s="6">
        <f t="shared" si="605"/>
        <v>41723</v>
      </c>
      <c r="Y3951" s="13">
        <f t="shared" si="608"/>
        <v>0</v>
      </c>
      <c r="Z3951" s="14">
        <v>0</v>
      </c>
      <c r="AA3951" s="6">
        <v>0</v>
      </c>
      <c r="AB3951" s="4">
        <f t="shared" si="609"/>
        <v>41723</v>
      </c>
      <c r="AC3951" s="4">
        <f t="shared" si="611"/>
        <v>0</v>
      </c>
      <c r="AD3951" s="6">
        <f t="shared" si="606"/>
        <v>41723</v>
      </c>
      <c r="AE3951" s="2">
        <f>VLOOKUP(I3951,[1]媒体政策预估表!A:N,MATCH(O3951,[1]媒体政策预估表!$A$2:$M$2,0),0)</f>
        <v>7.0000000000000007E-2</v>
      </c>
      <c r="AF3951" s="6">
        <f t="shared" si="612"/>
        <v>2920.61</v>
      </c>
      <c r="AG3951" s="14">
        <v>0</v>
      </c>
      <c r="AH3951" s="65">
        <f t="shared" si="607"/>
        <v>41723</v>
      </c>
      <c r="AI3951" s="47"/>
      <c r="AJ3951" s="126" t="e">
        <v>#N/A</v>
      </c>
      <c r="AK3951" s="80">
        <f t="shared" si="610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04"/>
        <v>2337.8000000000029</v>
      </c>
      <c r="X3952" s="6">
        <f t="shared" si="605"/>
        <v>27854.6</v>
      </c>
      <c r="Y3952" s="13">
        <f t="shared" si="608"/>
        <v>0</v>
      </c>
      <c r="Z3952" s="14">
        <v>0</v>
      </c>
      <c r="AA3952" s="6">
        <v>0</v>
      </c>
      <c r="AB3952" s="4">
        <f t="shared" si="609"/>
        <v>27854.6</v>
      </c>
      <c r="AC3952" s="4">
        <f t="shared" si="611"/>
        <v>0</v>
      </c>
      <c r="AD3952" s="6">
        <f t="shared" si="606"/>
        <v>27854.6</v>
      </c>
      <c r="AE3952" s="2">
        <f>VLOOKUP(I3952,[1]媒体政策预估表!A:N,MATCH(O3952,[1]媒体政策预估表!$A$2:$M$2,0),0)</f>
        <v>7.0000000000000007E-2</v>
      </c>
      <c r="AF3952" s="6">
        <f t="shared" si="612"/>
        <v>1949.8220000000001</v>
      </c>
      <c r="AG3952" s="14">
        <v>0</v>
      </c>
      <c r="AH3952" s="65">
        <f t="shared" si="607"/>
        <v>27854.6</v>
      </c>
      <c r="AI3952" s="47"/>
      <c r="AJ3952" s="126" t="e">
        <v>#N/A</v>
      </c>
      <c r="AK3952" s="80">
        <f t="shared" si="610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04"/>
        <v>13750.739999999998</v>
      </c>
      <c r="X3953" s="6">
        <f t="shared" si="605"/>
        <v>15330.5</v>
      </c>
      <c r="Y3953" s="13">
        <f t="shared" si="608"/>
        <v>0</v>
      </c>
      <c r="Z3953" s="14">
        <v>0</v>
      </c>
      <c r="AA3953" s="6">
        <v>0</v>
      </c>
      <c r="AB3953" s="4">
        <f t="shared" si="609"/>
        <v>15330.5</v>
      </c>
      <c r="AC3953" s="4">
        <f t="shared" si="611"/>
        <v>0</v>
      </c>
      <c r="AD3953" s="6">
        <f t="shared" si="606"/>
        <v>15330.5</v>
      </c>
      <c r="AE3953" s="2">
        <f>VLOOKUP(I3953,[1]媒体政策预估表!A:N,MATCH(O3953,[1]媒体政策预估表!$A$2:$M$2,0),0)</f>
        <v>7.0000000000000007E-2</v>
      </c>
      <c r="AF3953" s="6">
        <f t="shared" si="612"/>
        <v>1073.135</v>
      </c>
      <c r="AG3953" s="14">
        <v>0</v>
      </c>
      <c r="AH3953" s="65">
        <f t="shared" si="607"/>
        <v>15330.5</v>
      </c>
      <c r="AI3953" s="47"/>
      <c r="AJ3953" s="126" t="e">
        <v>#N/A</v>
      </c>
      <c r="AK3953" s="80">
        <f t="shared" si="610"/>
        <v>0</v>
      </c>
      <c r="AM3953" s="85"/>
    </row>
    <row r="3954" spans="1:39" hidden="1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04"/>
        <v>10765.050070000005</v>
      </c>
      <c r="X3954" s="6">
        <f t="shared" si="605"/>
        <v>39234.949929999995</v>
      </c>
      <c r="Y3954" s="13">
        <f t="shared" si="608"/>
        <v>0</v>
      </c>
      <c r="Z3954" s="14">
        <v>0</v>
      </c>
      <c r="AA3954" s="6">
        <v>0</v>
      </c>
      <c r="AB3954" s="4">
        <f t="shared" si="609"/>
        <v>39234.949929999995</v>
      </c>
      <c r="AC3954" s="4">
        <f t="shared" si="611"/>
        <v>0</v>
      </c>
      <c r="AD3954" s="6">
        <f t="shared" si="606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12"/>
        <v>2746.4464951</v>
      </c>
      <c r="AG3954" s="14">
        <v>0</v>
      </c>
      <c r="AH3954" s="65">
        <f t="shared" si="607"/>
        <v>39234.949929999995</v>
      </c>
      <c r="AI3954" s="47"/>
      <c r="AJ3954" s="126" t="e">
        <v>#N/A</v>
      </c>
      <c r="AK3954" s="80">
        <f t="shared" si="610"/>
        <v>0</v>
      </c>
      <c r="AM3954" s="85"/>
    </row>
    <row r="3955" spans="1:39" hidden="1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04"/>
        <v>235064.0542700002</v>
      </c>
      <c r="X3955" s="6">
        <f t="shared" si="605"/>
        <v>2340136.7085299999</v>
      </c>
      <c r="Y3955" s="13">
        <f t="shared" si="608"/>
        <v>0</v>
      </c>
      <c r="Z3955" s="14">
        <v>0</v>
      </c>
      <c r="AA3955" s="6">
        <v>0</v>
      </c>
      <c r="AB3955" s="4">
        <f t="shared" si="609"/>
        <v>2340136.7085299999</v>
      </c>
      <c r="AC3955" s="4">
        <f t="shared" si="611"/>
        <v>0</v>
      </c>
      <c r="AD3955" s="6">
        <f t="shared" si="606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12"/>
        <v>163809.56959710002</v>
      </c>
      <c r="AG3955" s="14">
        <v>0</v>
      </c>
      <c r="AH3955" s="65">
        <f t="shared" si="607"/>
        <v>2340136.7085299999</v>
      </c>
      <c r="AI3955" s="47"/>
      <c r="AJ3955" s="126" t="e">
        <v>#N/A</v>
      </c>
      <c r="AK3955" s="80">
        <f t="shared" si="610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04"/>
        <v>108856.40000000002</v>
      </c>
      <c r="X3956" s="6">
        <f t="shared" si="605"/>
        <v>155798</v>
      </c>
      <c r="Y3956" s="13">
        <f t="shared" si="608"/>
        <v>0</v>
      </c>
      <c r="Z3956" s="14">
        <v>0</v>
      </c>
      <c r="AA3956" s="6">
        <v>0</v>
      </c>
      <c r="AB3956" s="4">
        <f t="shared" si="609"/>
        <v>155798</v>
      </c>
      <c r="AC3956" s="4">
        <f t="shared" si="611"/>
        <v>0</v>
      </c>
      <c r="AD3956" s="6">
        <f t="shared" si="606"/>
        <v>155798</v>
      </c>
      <c r="AE3956" s="2">
        <f>VLOOKUP(I3956,[1]媒体政策预估表!A:N,MATCH(O3956,[1]媒体政策预估表!$A$2:$M$2,0),0)</f>
        <v>7.0000000000000007E-2</v>
      </c>
      <c r="AF3956" s="6">
        <f t="shared" si="612"/>
        <v>10905.86</v>
      </c>
      <c r="AG3956" s="14">
        <v>0</v>
      </c>
      <c r="AH3956" s="65">
        <f t="shared" si="607"/>
        <v>155798</v>
      </c>
      <c r="AI3956" s="47"/>
      <c r="AJ3956" s="126" t="e">
        <v>#N/A</v>
      </c>
      <c r="AK3956" s="80">
        <f t="shared" si="610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04"/>
        <v>50183.39003000001</v>
      </c>
      <c r="X3957" s="6">
        <f t="shared" si="605"/>
        <v>195862.9411764706</v>
      </c>
      <c r="Y3957" s="13">
        <f t="shared" si="608"/>
        <v>0</v>
      </c>
      <c r="Z3957" s="14">
        <v>0</v>
      </c>
      <c r="AA3957" s="6">
        <v>0</v>
      </c>
      <c r="AB3957" s="4">
        <f t="shared" si="609"/>
        <v>195862.9411764706</v>
      </c>
      <c r="AC3957" s="4">
        <f t="shared" si="611"/>
        <v>3917.2588235294097</v>
      </c>
      <c r="AD3957" s="6">
        <f t="shared" si="606"/>
        <v>199780.2</v>
      </c>
      <c r="AE3957" s="2">
        <f>VLOOKUP(I3957,[1]媒体政策预估表!A:N,MATCH(O3957,[1]媒体政策预估表!$A$2:$M$2,0),0)</f>
        <v>7.0000000000000007E-2</v>
      </c>
      <c r="AF3957" s="6">
        <f t="shared" si="612"/>
        <v>13984.614000000001</v>
      </c>
      <c r="AG3957" s="14">
        <v>0</v>
      </c>
      <c r="AH3957" s="65">
        <f t="shared" si="607"/>
        <v>199780.2</v>
      </c>
      <c r="AI3957" s="47"/>
      <c r="AJ3957" s="126" t="e">
        <v>#N/A</v>
      </c>
      <c r="AK3957" s="80">
        <f t="shared" si="610"/>
        <v>0</v>
      </c>
      <c r="AM3957" s="85"/>
    </row>
    <row r="3958" spans="1:39" hidden="1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04"/>
        <v>24292.00999999998</v>
      </c>
      <c r="X3958" s="6">
        <f t="shared" si="605"/>
        <v>120852.35294117646</v>
      </c>
      <c r="Y3958" s="13">
        <f t="shared" si="608"/>
        <v>0</v>
      </c>
      <c r="Z3958" s="14">
        <v>0</v>
      </c>
      <c r="AA3958" s="6">
        <v>0</v>
      </c>
      <c r="AB3958" s="4">
        <f t="shared" si="609"/>
        <v>120852.35294117646</v>
      </c>
      <c r="AC3958" s="4">
        <f t="shared" si="611"/>
        <v>2417.047058823533</v>
      </c>
      <c r="AD3958" s="6">
        <f t="shared" si="606"/>
        <v>123269.4</v>
      </c>
      <c r="AE3958" s="2">
        <f>VLOOKUP(I3958,[1]媒体政策预估表!A:N,MATCH(O3958,[1]媒体政策预估表!$A$2:$M$2,0),0)</f>
        <v>7.0000000000000007E-2</v>
      </c>
      <c r="AF3958" s="6">
        <f t="shared" si="612"/>
        <v>8628.8580000000002</v>
      </c>
      <c r="AG3958" s="14">
        <v>0</v>
      </c>
      <c r="AH3958" s="65">
        <f t="shared" si="607"/>
        <v>123269.4</v>
      </c>
      <c r="AI3958" s="47"/>
      <c r="AJ3958" s="126" t="e">
        <v>#N/A</v>
      </c>
      <c r="AK3958" s="80">
        <f t="shared" si="610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04"/>
        <v>2.0200000000004366</v>
      </c>
      <c r="X3959" s="6">
        <f t="shared" si="605"/>
        <v>9997.98</v>
      </c>
      <c r="Y3959" s="13">
        <f t="shared" si="608"/>
        <v>0</v>
      </c>
      <c r="Z3959" s="14">
        <v>0</v>
      </c>
      <c r="AA3959" s="6">
        <v>0</v>
      </c>
      <c r="AB3959" s="4">
        <f t="shared" si="609"/>
        <v>9997.98</v>
      </c>
      <c r="AC3959" s="4">
        <f t="shared" si="611"/>
        <v>0</v>
      </c>
      <c r="AD3959" s="6">
        <f t="shared" si="606"/>
        <v>9997.98</v>
      </c>
      <c r="AE3959" s="2">
        <f>VLOOKUP(I3959,[1]媒体政策预估表!A:N,MATCH(O3959,[1]媒体政策预估表!$A$2:$M$2,0),0)</f>
        <v>7.0000000000000007E-2</v>
      </c>
      <c r="AF3959" s="6">
        <f t="shared" si="612"/>
        <v>699.85860000000002</v>
      </c>
      <c r="AG3959" s="14">
        <v>0</v>
      </c>
      <c r="AH3959" s="65">
        <f t="shared" si="607"/>
        <v>9997.98</v>
      </c>
      <c r="AI3959" s="47"/>
      <c r="AJ3959" s="126" t="e">
        <v>#N/A</v>
      </c>
      <c r="AK3959" s="80">
        <f t="shared" si="610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04"/>
        <v>160308.94</v>
      </c>
      <c r="X3960" s="6">
        <f t="shared" si="605"/>
        <v>123063.86</v>
      </c>
      <c r="Y3960" s="13">
        <f t="shared" si="608"/>
        <v>0</v>
      </c>
      <c r="Z3960" s="14">
        <v>0</v>
      </c>
      <c r="AA3960" s="6">
        <v>0</v>
      </c>
      <c r="AB3960" s="4">
        <f t="shared" si="609"/>
        <v>123063.86</v>
      </c>
      <c r="AC3960" s="4">
        <f t="shared" si="611"/>
        <v>0</v>
      </c>
      <c r="AD3960" s="6">
        <f t="shared" si="606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12"/>
        <v>8614.4702000000016</v>
      </c>
      <c r="AG3960" s="14">
        <v>0</v>
      </c>
      <c r="AH3960" s="65">
        <f t="shared" si="607"/>
        <v>123063.86</v>
      </c>
      <c r="AI3960" s="47"/>
      <c r="AJ3960" s="126" t="e">
        <v>#N/A</v>
      </c>
      <c r="AK3960" s="80">
        <f t="shared" si="610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04"/>
        <v>480682.58370999992</v>
      </c>
      <c r="X3961" s="6">
        <f t="shared" si="605"/>
        <v>579932.71600000001</v>
      </c>
      <c r="Y3961" s="13">
        <f t="shared" si="608"/>
        <v>0</v>
      </c>
      <c r="Z3961" s="14">
        <v>0</v>
      </c>
      <c r="AA3961" s="6">
        <v>0</v>
      </c>
      <c r="AB3961" s="4">
        <f t="shared" si="609"/>
        <v>579932.71600000001</v>
      </c>
      <c r="AC3961" s="4">
        <f t="shared" si="611"/>
        <v>0</v>
      </c>
      <c r="AD3961" s="6">
        <f t="shared" si="606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12"/>
        <v>40595.290120000005</v>
      </c>
      <c r="AG3961" s="14">
        <v>0</v>
      </c>
      <c r="AH3961" s="65">
        <f t="shared" si="607"/>
        <v>579932.71600000001</v>
      </c>
      <c r="AI3961" s="47"/>
      <c r="AJ3961" s="126" t="e">
        <v>#N/A</v>
      </c>
      <c r="AK3961" s="80">
        <f t="shared" si="610"/>
        <v>0</v>
      </c>
      <c r="AM3961" s="85"/>
    </row>
    <row r="3962" spans="1:39" hidden="1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04"/>
        <v>483.70000000000005</v>
      </c>
      <c r="X3962" s="6">
        <f t="shared" si="605"/>
        <v>898.33333333333326</v>
      </c>
      <c r="Y3962" s="13">
        <f t="shared" si="608"/>
        <v>0</v>
      </c>
      <c r="Z3962" s="14">
        <v>0</v>
      </c>
      <c r="AA3962" s="6">
        <v>0</v>
      </c>
      <c r="AB3962" s="4">
        <f t="shared" si="609"/>
        <v>898.33333333333326</v>
      </c>
      <c r="AC3962" s="4">
        <f t="shared" si="611"/>
        <v>17.966666666666697</v>
      </c>
      <c r="AD3962" s="6">
        <f t="shared" si="606"/>
        <v>916.3</v>
      </c>
      <c r="AE3962" s="2">
        <f>VLOOKUP(I3962,[1]媒体政策预估表!A:N,MATCH(O3962,[1]媒体政策预估表!$A$2:$M$2,0),0)</f>
        <v>7.0000000000000007E-2</v>
      </c>
      <c r="AF3962" s="6">
        <f t="shared" si="612"/>
        <v>64.141000000000005</v>
      </c>
      <c r="AG3962" s="14">
        <v>0</v>
      </c>
      <c r="AH3962" s="65">
        <f t="shared" si="607"/>
        <v>916.3</v>
      </c>
      <c r="AI3962" s="47"/>
      <c r="AJ3962" s="126" t="e">
        <v>#N/A</v>
      </c>
      <c r="AK3962" s="80">
        <f t="shared" si="610"/>
        <v>0</v>
      </c>
      <c r="AM3962" s="85"/>
    </row>
    <row r="3963" spans="1:39" hidden="1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13">T3963+U3963-V3963</f>
        <v>11900.8</v>
      </c>
      <c r="X3963" s="6">
        <f t="shared" ref="X3963:X4026" si="614">IF(P3963="折扣",V3963*Q3963,IF(P3963="返现",V3963,V3963/(1+Q3963)))</f>
        <v>19876.274509803919</v>
      </c>
      <c r="Y3963" s="13">
        <f t="shared" si="608"/>
        <v>0</v>
      </c>
      <c r="Z3963" s="14">
        <v>0</v>
      </c>
      <c r="AA3963" s="6">
        <v>0</v>
      </c>
      <c r="AB3963" s="4">
        <f t="shared" si="609"/>
        <v>19876.274509803919</v>
      </c>
      <c r="AC3963" s="4">
        <f t="shared" si="611"/>
        <v>397.52549019607977</v>
      </c>
      <c r="AD3963" s="6">
        <f t="shared" ref="AD3963:AD4026" si="615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12"/>
        <v>1419.1660000000002</v>
      </c>
      <c r="AG3963" s="14">
        <v>0</v>
      </c>
      <c r="AH3963" s="65">
        <f t="shared" ref="AH3963:AH4026" si="616">V3963</f>
        <v>20273.8</v>
      </c>
      <c r="AI3963" s="47"/>
      <c r="AJ3963" s="126" t="e">
        <v>#N/A</v>
      </c>
      <c r="AK3963" s="80">
        <f t="shared" si="610"/>
        <v>0</v>
      </c>
      <c r="AM3963" s="85"/>
    </row>
    <row r="3964" spans="1:39" hidden="1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13"/>
        <v>20893.5</v>
      </c>
      <c r="X3964" s="6">
        <f t="shared" si="614"/>
        <v>135792.6</v>
      </c>
      <c r="Y3964" s="13">
        <f t="shared" si="608"/>
        <v>0</v>
      </c>
      <c r="Z3964" s="14">
        <v>0</v>
      </c>
      <c r="AA3964" s="6">
        <v>0</v>
      </c>
      <c r="AB3964" s="4">
        <f t="shared" si="609"/>
        <v>135792.6</v>
      </c>
      <c r="AC3964" s="4">
        <f t="shared" si="611"/>
        <v>0</v>
      </c>
      <c r="AD3964" s="6">
        <f t="shared" si="615"/>
        <v>135792.6</v>
      </c>
      <c r="AE3964" s="2">
        <f>VLOOKUP(I3964,[1]媒体政策预估表!A:N,MATCH(O3964,[1]媒体政策预估表!$A$2:$M$2,0),0)</f>
        <v>7.0000000000000007E-2</v>
      </c>
      <c r="AF3964" s="6">
        <f t="shared" si="612"/>
        <v>9505.4820000000018</v>
      </c>
      <c r="AG3964" s="14">
        <v>0</v>
      </c>
      <c r="AH3964" s="65">
        <f t="shared" si="616"/>
        <v>135792.6</v>
      </c>
      <c r="AI3964" s="47"/>
      <c r="AJ3964" s="126" t="e">
        <v>#N/A</v>
      </c>
      <c r="AK3964" s="80">
        <f t="shared" si="610"/>
        <v>0</v>
      </c>
      <c r="AM3964" s="85"/>
    </row>
    <row r="3965" spans="1:39" hidden="1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13"/>
        <v>5398.1000500000082</v>
      </c>
      <c r="X3965" s="6">
        <f t="shared" si="614"/>
        <v>57841.2</v>
      </c>
      <c r="Y3965" s="13">
        <f t="shared" si="608"/>
        <v>0</v>
      </c>
      <c r="Z3965" s="14">
        <v>0</v>
      </c>
      <c r="AA3965" s="6">
        <v>0</v>
      </c>
      <c r="AB3965" s="4">
        <f t="shared" si="609"/>
        <v>57841.2</v>
      </c>
      <c r="AC3965" s="4">
        <f t="shared" si="611"/>
        <v>0</v>
      </c>
      <c r="AD3965" s="6">
        <f t="shared" si="615"/>
        <v>57841.2</v>
      </c>
      <c r="AE3965" s="2">
        <f>VLOOKUP(I3965,[1]媒体政策预估表!A:N,MATCH(O3965,[1]媒体政策预估表!$A$2:$M$2,0),0)</f>
        <v>7.0000000000000007E-2</v>
      </c>
      <c r="AF3965" s="6">
        <f t="shared" si="612"/>
        <v>4048.884</v>
      </c>
      <c r="AG3965" s="14">
        <v>0</v>
      </c>
      <c r="AH3965" s="65">
        <f t="shared" si="616"/>
        <v>57841.2</v>
      </c>
      <c r="AI3965" s="47"/>
      <c r="AJ3965" s="126" t="e">
        <v>#N/A</v>
      </c>
      <c r="AK3965" s="80">
        <f t="shared" si="610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13"/>
        <v>5973.579999999999</v>
      </c>
      <c r="X3966" s="6">
        <f t="shared" si="614"/>
        <v>7248.3</v>
      </c>
      <c r="Y3966" s="13">
        <f t="shared" si="608"/>
        <v>0</v>
      </c>
      <c r="Z3966" s="14">
        <v>0</v>
      </c>
      <c r="AA3966" s="6">
        <v>0</v>
      </c>
      <c r="AB3966" s="4">
        <f t="shared" si="609"/>
        <v>7248.3</v>
      </c>
      <c r="AC3966" s="4">
        <f t="shared" si="611"/>
        <v>0</v>
      </c>
      <c r="AD3966" s="6">
        <f t="shared" si="615"/>
        <v>7248.3</v>
      </c>
      <c r="AE3966" s="2">
        <f>VLOOKUP(I3966,[1]媒体政策预估表!A:N,MATCH(O3966,[1]媒体政策预估表!$A$2:$M$2,0),0)</f>
        <v>7.0000000000000007E-2</v>
      </c>
      <c r="AF3966" s="6">
        <f t="shared" si="612"/>
        <v>507.38100000000009</v>
      </c>
      <c r="AG3966" s="14">
        <v>0</v>
      </c>
      <c r="AH3966" s="65">
        <f t="shared" si="616"/>
        <v>7248.3</v>
      </c>
      <c r="AI3966" s="47"/>
      <c r="AJ3966" s="126" t="e">
        <v>#N/A</v>
      </c>
      <c r="AK3966" s="80">
        <f t="shared" si="610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13"/>
        <v>5217.6999999999971</v>
      </c>
      <c r="X3967" s="6">
        <f t="shared" si="614"/>
        <v>24954.117647058825</v>
      </c>
      <c r="Y3967" s="13">
        <f t="shared" si="608"/>
        <v>0</v>
      </c>
      <c r="Z3967" s="14">
        <v>0</v>
      </c>
      <c r="AA3967" s="6">
        <v>0</v>
      </c>
      <c r="AB3967" s="4">
        <f t="shared" si="609"/>
        <v>24954.117647058825</v>
      </c>
      <c r="AC3967" s="4">
        <f t="shared" si="611"/>
        <v>499.08235294117549</v>
      </c>
      <c r="AD3967" s="6">
        <f t="shared" si="615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12"/>
        <v>1781.7240000000002</v>
      </c>
      <c r="AG3967" s="14">
        <v>0</v>
      </c>
      <c r="AH3967" s="65">
        <f t="shared" si="616"/>
        <v>25453.200000000001</v>
      </c>
      <c r="AI3967" s="47"/>
      <c r="AJ3967" s="126" t="e">
        <v>#N/A</v>
      </c>
      <c r="AK3967" s="80">
        <f t="shared" si="610"/>
        <v>0</v>
      </c>
      <c r="AM3967" s="85"/>
    </row>
    <row r="3968" spans="1:39" hidden="1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13"/>
        <v>254683</v>
      </c>
      <c r="X3968" s="6">
        <f t="shared" si="614"/>
        <v>373711.48514851485</v>
      </c>
      <c r="Y3968" s="13">
        <f t="shared" si="608"/>
        <v>0</v>
      </c>
      <c r="Z3968" s="14">
        <v>0</v>
      </c>
      <c r="AA3968" s="6">
        <v>0</v>
      </c>
      <c r="AB3968" s="4">
        <f t="shared" si="609"/>
        <v>373711.48514851485</v>
      </c>
      <c r="AC3968" s="4">
        <f t="shared" si="611"/>
        <v>3737.1148514851229</v>
      </c>
      <c r="AD3968" s="6">
        <f t="shared" si="615"/>
        <v>377448.6</v>
      </c>
      <c r="AE3968" s="2">
        <f>VLOOKUP(I3968,[1]媒体政策预估表!A:N,MATCH(O3968,[1]媒体政策预估表!$A$2:$M$2,0),0)</f>
        <v>7.0000000000000007E-2</v>
      </c>
      <c r="AF3968" s="6">
        <f t="shared" si="612"/>
        <v>26421.402000000002</v>
      </c>
      <c r="AG3968" s="14">
        <v>0</v>
      </c>
      <c r="AH3968" s="65">
        <f t="shared" si="616"/>
        <v>377448.6</v>
      </c>
      <c r="AI3968" s="47"/>
      <c r="AJ3968" s="126" t="e">
        <v>#N/A</v>
      </c>
      <c r="AK3968" s="80">
        <f t="shared" si="610"/>
        <v>0</v>
      </c>
      <c r="AM3968" s="85"/>
    </row>
    <row r="3969" spans="1:39" hidden="1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13"/>
        <v>36037.310000000012</v>
      </c>
      <c r="X3969" s="6">
        <f t="shared" si="614"/>
        <v>42354.705882352944</v>
      </c>
      <c r="Y3969" s="13">
        <f t="shared" si="608"/>
        <v>0</v>
      </c>
      <c r="Z3969" s="14">
        <v>0</v>
      </c>
      <c r="AA3969" s="6">
        <v>0</v>
      </c>
      <c r="AB3969" s="4">
        <f t="shared" si="609"/>
        <v>42354.705882352944</v>
      </c>
      <c r="AC3969" s="4">
        <f t="shared" si="611"/>
        <v>847.09411764705874</v>
      </c>
      <c r="AD3969" s="6">
        <f t="shared" si="615"/>
        <v>43201.8</v>
      </c>
      <c r="AE3969" s="2">
        <f>VLOOKUP(I3969,[1]媒体政策预估表!A:N,MATCH(O3969,[1]媒体政策预估表!$A$2:$M$2,0),0)</f>
        <v>7.0000000000000007E-2</v>
      </c>
      <c r="AF3969" s="6">
        <f t="shared" si="612"/>
        <v>3024.1260000000007</v>
      </c>
      <c r="AG3969" s="14">
        <v>0</v>
      </c>
      <c r="AH3969" s="65">
        <f t="shared" si="616"/>
        <v>43201.8</v>
      </c>
      <c r="AI3969" s="47"/>
      <c r="AJ3969" s="126" t="e">
        <v>#N/A</v>
      </c>
      <c r="AK3969" s="80">
        <f t="shared" si="610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13"/>
        <v>105665.1</v>
      </c>
      <c r="X3970" s="6">
        <f t="shared" si="614"/>
        <v>57345.9</v>
      </c>
      <c r="Y3970" s="13">
        <f t="shared" si="608"/>
        <v>0</v>
      </c>
      <c r="Z3970" s="14">
        <v>0</v>
      </c>
      <c r="AA3970" s="6">
        <v>0</v>
      </c>
      <c r="AB3970" s="4">
        <f t="shared" si="609"/>
        <v>57345.9</v>
      </c>
      <c r="AC3970" s="4">
        <f t="shared" si="611"/>
        <v>0</v>
      </c>
      <c r="AD3970" s="6">
        <f t="shared" si="615"/>
        <v>57345.9</v>
      </c>
      <c r="AE3970" s="2">
        <f>VLOOKUP(I3970,[1]媒体政策预估表!A:N,MATCH(O3970,[1]媒体政策预估表!$A$2:$M$2,0),0)</f>
        <v>7.0000000000000007E-2</v>
      </c>
      <c r="AF3970" s="6">
        <f t="shared" si="612"/>
        <v>4014.2130000000006</v>
      </c>
      <c r="AG3970" s="14">
        <v>0</v>
      </c>
      <c r="AH3970" s="65">
        <f t="shared" si="616"/>
        <v>57345.9</v>
      </c>
      <c r="AI3970" s="47"/>
      <c r="AJ3970" s="126" t="e">
        <v>#N/A</v>
      </c>
      <c r="AK3970" s="80">
        <f t="shared" si="610"/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13"/>
        <v>5476.3000000000029</v>
      </c>
      <c r="X3971" s="6">
        <f t="shared" si="614"/>
        <v>87639.9</v>
      </c>
      <c r="Y3971" s="13">
        <f t="shared" ref="Y3971:Y4034" si="617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18">X3971+AA3971</f>
        <v>87639.9</v>
      </c>
      <c r="AC3971" s="4">
        <f t="shared" si="611"/>
        <v>0</v>
      </c>
      <c r="AD3971" s="6">
        <f t="shared" si="615"/>
        <v>87639.9</v>
      </c>
      <c r="AE3971" s="2">
        <f>VLOOKUP(I3971,[1]媒体政策预估表!A:N,MATCH(O3971,[1]媒体政策预估表!$A$2:$M$2,0),0)</f>
        <v>7.0000000000000007E-2</v>
      </c>
      <c r="AF3971" s="6">
        <f t="shared" si="612"/>
        <v>6134.7930000000006</v>
      </c>
      <c r="AG3971" s="14">
        <v>0</v>
      </c>
      <c r="AH3971" s="65">
        <f t="shared" si="616"/>
        <v>87639.9</v>
      </c>
      <c r="AI3971" s="47"/>
      <c r="AJ3971" s="126" t="e">
        <v>#N/A</v>
      </c>
      <c r="AK3971" s="80">
        <f t="shared" ref="AK3971:AK4034" si="619">X3971+AA3971-AB3971</f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13"/>
        <v>4629.1000000000022</v>
      </c>
      <c r="X3972" s="6">
        <f t="shared" si="614"/>
        <v>23632.3</v>
      </c>
      <c r="Y3972" s="13">
        <f t="shared" si="617"/>
        <v>0</v>
      </c>
      <c r="Z3972" s="14">
        <v>0</v>
      </c>
      <c r="AA3972" s="6">
        <v>0</v>
      </c>
      <c r="AB3972" s="4">
        <f t="shared" si="618"/>
        <v>23632.3</v>
      </c>
      <c r="AC3972" s="4">
        <f t="shared" si="611"/>
        <v>0</v>
      </c>
      <c r="AD3972" s="6">
        <f t="shared" si="615"/>
        <v>23632.3</v>
      </c>
      <c r="AE3972" s="2">
        <f>VLOOKUP(I3972,[1]媒体政策预估表!A:N,MATCH(O3972,[1]媒体政策预估表!$A$2:$M$2,0),0)</f>
        <v>7.0000000000000007E-2</v>
      </c>
      <c r="AF3972" s="6">
        <f t="shared" si="612"/>
        <v>1654.2610000000002</v>
      </c>
      <c r="AG3972" s="14">
        <v>0</v>
      </c>
      <c r="AH3972" s="65">
        <f t="shared" si="616"/>
        <v>23632.3</v>
      </c>
      <c r="AI3972" s="47"/>
      <c r="AJ3972" s="126" t="e">
        <v>#N/A</v>
      </c>
      <c r="AK3972" s="80">
        <f t="shared" si="619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13"/>
        <v>5720.5299999999988</v>
      </c>
      <c r="X3973" s="6">
        <f t="shared" si="614"/>
        <v>51983.5</v>
      </c>
      <c r="Y3973" s="13">
        <f t="shared" si="617"/>
        <v>0</v>
      </c>
      <c r="Z3973" s="14">
        <v>0</v>
      </c>
      <c r="AA3973" s="6">
        <v>0</v>
      </c>
      <c r="AB3973" s="4">
        <f t="shared" si="618"/>
        <v>51983.5</v>
      </c>
      <c r="AC3973" s="4">
        <f t="shared" si="611"/>
        <v>0</v>
      </c>
      <c r="AD3973" s="6">
        <f t="shared" si="615"/>
        <v>51983.5</v>
      </c>
      <c r="AE3973" s="2">
        <f>VLOOKUP(I3973,[1]媒体政策预估表!A:N,MATCH(O3973,[1]媒体政策预估表!$A$2:$M$2,0),0)</f>
        <v>7.0000000000000007E-2</v>
      </c>
      <c r="AF3973" s="6">
        <f t="shared" si="612"/>
        <v>3638.8450000000003</v>
      </c>
      <c r="AG3973" s="14">
        <v>0</v>
      </c>
      <c r="AH3973" s="65">
        <f t="shared" si="616"/>
        <v>51983.5</v>
      </c>
      <c r="AI3973" s="47"/>
      <c r="AJ3973" s="126" t="e">
        <v>#N/A</v>
      </c>
      <c r="AK3973" s="80">
        <f t="shared" si="619"/>
        <v>0</v>
      </c>
      <c r="AM3973" s="85"/>
    </row>
    <row r="3974" spans="1:39" hidden="1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13"/>
        <v>36608.300000000003</v>
      </c>
      <c r="X3974" s="6">
        <f t="shared" si="614"/>
        <v>81392.450980392154</v>
      </c>
      <c r="Y3974" s="13">
        <f t="shared" si="617"/>
        <v>0</v>
      </c>
      <c r="Z3974" s="14">
        <v>0</v>
      </c>
      <c r="AA3974" s="6">
        <v>0</v>
      </c>
      <c r="AB3974" s="4">
        <f t="shared" si="618"/>
        <v>81392.450980392154</v>
      </c>
      <c r="AC3974" s="4">
        <f t="shared" si="611"/>
        <v>1627.8490196078492</v>
      </c>
      <c r="AD3974" s="6">
        <f t="shared" si="615"/>
        <v>83020.3</v>
      </c>
      <c r="AE3974" s="2">
        <f>VLOOKUP(I3974,[1]媒体政策预估表!A:N,MATCH(O3974,[1]媒体政策预估表!$A$2:$M$2,0),0)</f>
        <v>7.0000000000000007E-2</v>
      </c>
      <c r="AF3974" s="6">
        <f t="shared" si="612"/>
        <v>5811.4210000000012</v>
      </c>
      <c r="AG3974" s="14">
        <v>0</v>
      </c>
      <c r="AH3974" s="65">
        <f t="shared" si="616"/>
        <v>83020.3</v>
      </c>
      <c r="AI3974" s="47"/>
      <c r="AJ3974" s="126" t="e">
        <v>#N/A</v>
      </c>
      <c r="AK3974" s="80">
        <f t="shared" si="619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13"/>
        <v>9355</v>
      </c>
      <c r="X3975" s="6">
        <f t="shared" si="614"/>
        <v>15072</v>
      </c>
      <c r="Y3975" s="13">
        <f t="shared" si="617"/>
        <v>0</v>
      </c>
      <c r="Z3975" s="14">
        <v>0</v>
      </c>
      <c r="AA3975" s="6">
        <v>0</v>
      </c>
      <c r="AB3975" s="4">
        <f t="shared" si="618"/>
        <v>15072</v>
      </c>
      <c r="AC3975" s="4">
        <f t="shared" si="611"/>
        <v>0</v>
      </c>
      <c r="AD3975" s="6">
        <f t="shared" si="615"/>
        <v>15072</v>
      </c>
      <c r="AE3975" s="2">
        <f>VLOOKUP(I3975,[1]媒体政策预估表!A:N,MATCH(O3975,[1]媒体政策预估表!$A$2:$M$2,0),0)</f>
        <v>7.0000000000000007E-2</v>
      </c>
      <c r="AF3975" s="6">
        <f t="shared" si="612"/>
        <v>1055.0400000000002</v>
      </c>
      <c r="AG3975" s="14">
        <v>0</v>
      </c>
      <c r="AH3975" s="65">
        <f t="shared" si="616"/>
        <v>15072</v>
      </c>
      <c r="AI3975" s="47"/>
      <c r="AJ3975" s="126" t="e">
        <v>#N/A</v>
      </c>
      <c r="AK3975" s="80">
        <f t="shared" si="619"/>
        <v>0</v>
      </c>
      <c r="AM3975" s="85"/>
    </row>
    <row r="3976" spans="1:39" hidden="1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13"/>
        <v>0</v>
      </c>
      <c r="X3976" s="6">
        <f t="shared" si="614"/>
        <v>0</v>
      </c>
      <c r="Y3976" s="13">
        <f t="shared" si="617"/>
        <v>0</v>
      </c>
      <c r="Z3976" s="14">
        <v>0</v>
      </c>
      <c r="AA3976" s="6">
        <v>0</v>
      </c>
      <c r="AB3976" s="4">
        <f t="shared" si="618"/>
        <v>0</v>
      </c>
      <c r="AC3976" s="4">
        <f t="shared" si="611"/>
        <v>0</v>
      </c>
      <c r="AD3976" s="6">
        <f t="shared" si="615"/>
        <v>0</v>
      </c>
      <c r="AE3976" s="2">
        <f>VLOOKUP(I3976,[1]媒体政策预估表!A:N,MATCH(O3976,[1]媒体政策预估表!$A$2:$M$2,0),0)</f>
        <v>0.12</v>
      </c>
      <c r="AF3976" s="6">
        <f t="shared" si="612"/>
        <v>0</v>
      </c>
      <c r="AG3976" s="14">
        <v>0</v>
      </c>
      <c r="AH3976" s="65">
        <f t="shared" si="616"/>
        <v>0</v>
      </c>
      <c r="AI3976" s="47"/>
      <c r="AJ3976" s="126" t="e">
        <v>#N/A</v>
      </c>
      <c r="AK3976" s="80">
        <f t="shared" si="619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13"/>
        <v>9914.01</v>
      </c>
      <c r="X3977" s="6">
        <f t="shared" si="614"/>
        <v>0</v>
      </c>
      <c r="Y3977" s="13">
        <f t="shared" si="617"/>
        <v>0</v>
      </c>
      <c r="Z3977" s="14">
        <v>0</v>
      </c>
      <c r="AA3977" s="6">
        <v>0</v>
      </c>
      <c r="AB3977" s="4">
        <f t="shared" si="618"/>
        <v>0</v>
      </c>
      <c r="AC3977" s="4">
        <f t="shared" si="611"/>
        <v>0</v>
      </c>
      <c r="AD3977" s="6">
        <f t="shared" si="615"/>
        <v>0</v>
      </c>
      <c r="AE3977" s="2">
        <f>VLOOKUP(I3977,[1]媒体政策预估表!A:N,MATCH(O3977,[1]媒体政策预估表!$A$2:$M$2,0),0)</f>
        <v>0.12</v>
      </c>
      <c r="AF3977" s="6">
        <f t="shared" si="612"/>
        <v>0</v>
      </c>
      <c r="AG3977" s="14">
        <v>0</v>
      </c>
      <c r="AH3977" s="65">
        <f t="shared" si="616"/>
        <v>0</v>
      </c>
      <c r="AI3977" s="47"/>
      <c r="AJ3977" s="126" t="e">
        <v>#N/A</v>
      </c>
      <c r="AK3977" s="80">
        <f t="shared" si="619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13"/>
        <v>17816.130799999999</v>
      </c>
      <c r="X3978" s="6">
        <f t="shared" si="614"/>
        <v>2141.0482352941176</v>
      </c>
      <c r="Y3978" s="13">
        <f t="shared" si="617"/>
        <v>0</v>
      </c>
      <c r="Z3978" s="14">
        <v>0</v>
      </c>
      <c r="AA3978" s="6">
        <v>0</v>
      </c>
      <c r="AB3978" s="4">
        <f t="shared" si="618"/>
        <v>2141.0482352941176</v>
      </c>
      <c r="AC3978" s="4">
        <f t="shared" si="611"/>
        <v>42.820964705882488</v>
      </c>
      <c r="AD3978" s="6">
        <f t="shared" si="615"/>
        <v>2183.8692000000001</v>
      </c>
      <c r="AE3978" s="2">
        <f>VLOOKUP(I3978,[1]媒体政策预估表!A:N,MATCH(O3978,[1]媒体政策预估表!$A$2:$M$2,0),0)</f>
        <v>0.12</v>
      </c>
      <c r="AF3978" s="6">
        <f t="shared" si="612"/>
        <v>262.06430399999999</v>
      </c>
      <c r="AG3978" s="14">
        <v>0</v>
      </c>
      <c r="AH3978" s="65">
        <f t="shared" si="616"/>
        <v>2183.8692000000001</v>
      </c>
      <c r="AI3978" s="47"/>
      <c r="AJ3978" s="126" t="e">
        <v>#N/A</v>
      </c>
      <c r="AK3978" s="80">
        <f t="shared" si="619"/>
        <v>0</v>
      </c>
      <c r="AM3978" s="85"/>
    </row>
    <row r="3979" spans="1:39" hidden="1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13"/>
        <v>50000</v>
      </c>
      <c r="X3979" s="6">
        <f t="shared" si="614"/>
        <v>0</v>
      </c>
      <c r="Y3979" s="13">
        <f t="shared" si="617"/>
        <v>0</v>
      </c>
      <c r="Z3979" s="14">
        <v>0</v>
      </c>
      <c r="AA3979" s="6">
        <v>0</v>
      </c>
      <c r="AB3979" s="4">
        <f t="shared" si="618"/>
        <v>0</v>
      </c>
      <c r="AC3979" s="4">
        <f t="shared" si="611"/>
        <v>0</v>
      </c>
      <c r="AD3979" s="6">
        <f t="shared" si="615"/>
        <v>0</v>
      </c>
      <c r="AE3979" s="2">
        <f>VLOOKUP(I3979,[1]媒体政策预估表!A:N,MATCH(O3979,[1]媒体政策预估表!$A$2:$M$2,0),0)</f>
        <v>7.0000000000000007E-2</v>
      </c>
      <c r="AF3979" s="6">
        <f t="shared" si="612"/>
        <v>0</v>
      </c>
      <c r="AG3979" s="14">
        <v>0</v>
      </c>
      <c r="AH3979" s="65">
        <f t="shared" si="616"/>
        <v>0</v>
      </c>
      <c r="AI3979" s="47"/>
      <c r="AJ3979" s="126" t="e">
        <v>#N/A</v>
      </c>
      <c r="AK3979" s="80">
        <f t="shared" si="619"/>
        <v>0</v>
      </c>
      <c r="AM3979" s="85"/>
    </row>
    <row r="3980" spans="1:39" hidden="1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13"/>
        <v>137786.39000000001</v>
      </c>
      <c r="X3980" s="6">
        <f t="shared" si="614"/>
        <v>444768.9</v>
      </c>
      <c r="Y3980" s="13">
        <f t="shared" si="617"/>
        <v>0</v>
      </c>
      <c r="Z3980" s="14">
        <v>0</v>
      </c>
      <c r="AA3980" s="6">
        <v>0</v>
      </c>
      <c r="AB3980" s="4">
        <f t="shared" si="618"/>
        <v>444768.9</v>
      </c>
      <c r="AC3980" s="4">
        <f t="shared" ref="AC3980:AC4043" si="620">IF(P3980="返现",X3980*Q3980,V3980-X3980)</f>
        <v>0</v>
      </c>
      <c r="AD3980" s="6">
        <f t="shared" si="615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21">AD3980*AE3980</f>
        <v>31133.823000000004</v>
      </c>
      <c r="AG3980" s="14">
        <v>0</v>
      </c>
      <c r="AH3980" s="65">
        <f t="shared" si="616"/>
        <v>444768.9</v>
      </c>
      <c r="AI3980" s="47"/>
      <c r="AJ3980" s="126" t="e">
        <v>#N/A</v>
      </c>
      <c r="AK3980" s="80">
        <f t="shared" si="619"/>
        <v>0</v>
      </c>
      <c r="AM3980" s="85"/>
    </row>
    <row r="3981" spans="1:39" hidden="1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13"/>
        <v>0</v>
      </c>
      <c r="X3981" s="6">
        <f t="shared" si="614"/>
        <v>0</v>
      </c>
      <c r="Y3981" s="13">
        <f t="shared" si="617"/>
        <v>0</v>
      </c>
      <c r="Z3981" s="14">
        <v>0</v>
      </c>
      <c r="AA3981" s="6">
        <v>0</v>
      </c>
      <c r="AB3981" s="4">
        <f t="shared" si="618"/>
        <v>0</v>
      </c>
      <c r="AC3981" s="4">
        <f t="shared" si="620"/>
        <v>0</v>
      </c>
      <c r="AD3981" s="6">
        <f t="shared" si="615"/>
        <v>0</v>
      </c>
      <c r="AE3981" s="2">
        <f>VLOOKUP(I3981,[1]媒体政策预估表!A:N,MATCH(O3981,[1]媒体政策预估表!$A$2:$M$2,0),0)</f>
        <v>7.0000000000000007E-2</v>
      </c>
      <c r="AF3981" s="6">
        <f t="shared" si="621"/>
        <v>0</v>
      </c>
      <c r="AG3981" s="14">
        <v>0</v>
      </c>
      <c r="AH3981" s="65">
        <f t="shared" si="616"/>
        <v>0</v>
      </c>
      <c r="AI3981" s="47"/>
      <c r="AJ3981" s="126" t="e">
        <v>#N/A</v>
      </c>
      <c r="AK3981" s="80">
        <f t="shared" si="619"/>
        <v>0</v>
      </c>
      <c r="AM3981" s="85"/>
    </row>
    <row r="3982" spans="1:39" hidden="1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13"/>
        <v>0</v>
      </c>
      <c r="X3982" s="6">
        <f t="shared" si="614"/>
        <v>0</v>
      </c>
      <c r="Y3982" s="13">
        <f t="shared" si="617"/>
        <v>0</v>
      </c>
      <c r="Z3982" s="14">
        <v>0</v>
      </c>
      <c r="AA3982" s="6">
        <v>0</v>
      </c>
      <c r="AB3982" s="4">
        <f t="shared" si="618"/>
        <v>0</v>
      </c>
      <c r="AC3982" s="4">
        <f t="shared" si="620"/>
        <v>0</v>
      </c>
      <c r="AD3982" s="6">
        <f t="shared" si="615"/>
        <v>0</v>
      </c>
      <c r="AE3982" s="2">
        <f>VLOOKUP(I3982,[1]媒体政策预估表!A:N,MATCH(O3982,[1]媒体政策预估表!$A$2:$M$2,0),0)</f>
        <v>7.0000000000000007E-2</v>
      </c>
      <c r="AF3982" s="6">
        <f t="shared" si="621"/>
        <v>0</v>
      </c>
      <c r="AG3982" s="14">
        <v>0</v>
      </c>
      <c r="AH3982" s="65">
        <f t="shared" si="616"/>
        <v>0</v>
      </c>
      <c r="AI3982" s="47"/>
      <c r="AJ3982" s="126" t="e">
        <v>#N/A</v>
      </c>
      <c r="AK3982" s="80">
        <f t="shared" si="619"/>
        <v>0</v>
      </c>
      <c r="AM3982" s="85"/>
    </row>
    <row r="3983" spans="1:39" hidden="1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13"/>
        <v>0</v>
      </c>
      <c r="X3983" s="6">
        <f t="shared" si="614"/>
        <v>0</v>
      </c>
      <c r="Y3983" s="13">
        <f t="shared" si="617"/>
        <v>0</v>
      </c>
      <c r="Z3983" s="14">
        <v>0</v>
      </c>
      <c r="AA3983" s="6">
        <v>0</v>
      </c>
      <c r="AB3983" s="4">
        <f t="shared" si="618"/>
        <v>0</v>
      </c>
      <c r="AC3983" s="4">
        <f t="shared" si="620"/>
        <v>0</v>
      </c>
      <c r="AD3983" s="6">
        <f t="shared" si="615"/>
        <v>0</v>
      </c>
      <c r="AE3983" s="2">
        <f>VLOOKUP(I3983,[1]媒体政策预估表!A:N,MATCH(O3983,[1]媒体政策预估表!$A$2:$M$2,0),0)</f>
        <v>7.0000000000000007E-2</v>
      </c>
      <c r="AF3983" s="6">
        <f t="shared" si="621"/>
        <v>0</v>
      </c>
      <c r="AG3983" s="14">
        <v>0</v>
      </c>
      <c r="AH3983" s="65">
        <f t="shared" si="616"/>
        <v>0</v>
      </c>
      <c r="AI3983" s="47"/>
      <c r="AJ3983" s="126" t="e">
        <v>#N/A</v>
      </c>
      <c r="AK3983" s="80">
        <f t="shared" si="619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13"/>
        <v>4056.239999999998</v>
      </c>
      <c r="X3984" s="6">
        <f t="shared" si="614"/>
        <v>3881</v>
      </c>
      <c r="Y3984" s="13">
        <f t="shared" si="617"/>
        <v>0</v>
      </c>
      <c r="Z3984" s="14">
        <v>0</v>
      </c>
      <c r="AA3984" s="6">
        <v>0</v>
      </c>
      <c r="AB3984" s="4">
        <f t="shared" si="618"/>
        <v>3881</v>
      </c>
      <c r="AC3984" s="4">
        <f t="shared" si="620"/>
        <v>0</v>
      </c>
      <c r="AD3984" s="6">
        <f t="shared" si="615"/>
        <v>3881</v>
      </c>
      <c r="AE3984" s="2">
        <f>VLOOKUP(I3984,[1]媒体政策预估表!A:N,MATCH(O3984,[1]媒体政策预估表!$A$2:$M$2,0),0)</f>
        <v>7.0000000000000007E-2</v>
      </c>
      <c r="AF3984" s="6">
        <f t="shared" si="621"/>
        <v>271.67</v>
      </c>
      <c r="AG3984" s="14">
        <v>0</v>
      </c>
      <c r="AH3984" s="65">
        <f t="shared" si="616"/>
        <v>3881</v>
      </c>
      <c r="AI3984" s="47"/>
      <c r="AJ3984" s="126" t="e">
        <v>#N/A</v>
      </c>
      <c r="AK3984" s="80">
        <f t="shared" si="619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13"/>
        <v>19727.350000000035</v>
      </c>
      <c r="X3985" s="6">
        <f t="shared" si="614"/>
        <v>169427.7</v>
      </c>
      <c r="Y3985" s="13">
        <f t="shared" si="617"/>
        <v>0</v>
      </c>
      <c r="Z3985" s="14">
        <v>0</v>
      </c>
      <c r="AA3985" s="6">
        <v>0</v>
      </c>
      <c r="AB3985" s="4">
        <f t="shared" si="618"/>
        <v>169427.7</v>
      </c>
      <c r="AC3985" s="4">
        <f t="shared" si="620"/>
        <v>0</v>
      </c>
      <c r="AD3985" s="6">
        <f t="shared" si="615"/>
        <v>169427.7</v>
      </c>
      <c r="AE3985" s="2">
        <f>VLOOKUP(I3985,[1]媒体政策预估表!A:N,MATCH(O3985,[1]媒体政策预估表!$A$2:$M$2,0),0)</f>
        <v>7.0000000000000007E-2</v>
      </c>
      <c r="AF3985" s="6">
        <f t="shared" si="621"/>
        <v>11859.939000000002</v>
      </c>
      <c r="AG3985" s="14">
        <v>0</v>
      </c>
      <c r="AH3985" s="65">
        <f t="shared" si="616"/>
        <v>169427.7</v>
      </c>
      <c r="AI3985" s="47"/>
      <c r="AJ3985" s="126" t="e">
        <v>#N/A</v>
      </c>
      <c r="AK3985" s="80">
        <f t="shared" si="619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13"/>
        <v>19561.800000000003</v>
      </c>
      <c r="X3986" s="6">
        <f t="shared" si="614"/>
        <v>107618.6</v>
      </c>
      <c r="Y3986" s="13">
        <f t="shared" si="617"/>
        <v>0</v>
      </c>
      <c r="Z3986" s="14">
        <v>0</v>
      </c>
      <c r="AA3986" s="6">
        <v>0</v>
      </c>
      <c r="AB3986" s="4">
        <f t="shared" si="618"/>
        <v>107618.6</v>
      </c>
      <c r="AC3986" s="4">
        <f t="shared" si="620"/>
        <v>0</v>
      </c>
      <c r="AD3986" s="6">
        <f t="shared" si="615"/>
        <v>107618.6</v>
      </c>
      <c r="AE3986" s="2">
        <f>VLOOKUP(I3986,[1]媒体政策预估表!A:N,MATCH(O3986,[1]媒体政策预估表!$A$2:$M$2,0),0)</f>
        <v>7.0000000000000007E-2</v>
      </c>
      <c r="AF3986" s="6">
        <f t="shared" si="621"/>
        <v>7533.3020000000015</v>
      </c>
      <c r="AG3986" s="14">
        <v>0</v>
      </c>
      <c r="AH3986" s="65">
        <f t="shared" si="616"/>
        <v>107618.6</v>
      </c>
      <c r="AI3986" s="47"/>
      <c r="AJ3986" s="126" t="e">
        <v>#N/A</v>
      </c>
      <c r="AK3986" s="80">
        <f t="shared" si="619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13"/>
        <v>6137.199999999998</v>
      </c>
      <c r="X3987" s="6">
        <f t="shared" si="614"/>
        <v>3138.7</v>
      </c>
      <c r="Y3987" s="13">
        <f t="shared" si="617"/>
        <v>0</v>
      </c>
      <c r="Z3987" s="14">
        <v>0</v>
      </c>
      <c r="AA3987" s="6">
        <v>0</v>
      </c>
      <c r="AB3987" s="4">
        <f t="shared" si="618"/>
        <v>3138.7</v>
      </c>
      <c r="AC3987" s="4">
        <f t="shared" si="620"/>
        <v>0</v>
      </c>
      <c r="AD3987" s="6">
        <f t="shared" si="615"/>
        <v>3138.7</v>
      </c>
      <c r="AE3987" s="2">
        <f>VLOOKUP(I3987,[1]媒体政策预估表!A:N,MATCH(O3987,[1]媒体政策预估表!$A$2:$M$2,0),0)</f>
        <v>7.0000000000000007E-2</v>
      </c>
      <c r="AF3987" s="6">
        <f t="shared" si="621"/>
        <v>219.709</v>
      </c>
      <c r="AG3987" s="14">
        <v>0</v>
      </c>
      <c r="AH3987" s="65">
        <f t="shared" si="616"/>
        <v>3138.7</v>
      </c>
      <c r="AI3987" s="47"/>
      <c r="AJ3987" s="126" t="e">
        <v>#N/A</v>
      </c>
      <c r="AK3987" s="80">
        <f t="shared" si="619"/>
        <v>0</v>
      </c>
      <c r="AM3987" s="85"/>
    </row>
    <row r="3988" spans="1:39" hidden="1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13"/>
        <v>19005.5</v>
      </c>
      <c r="X3988" s="6">
        <f t="shared" si="614"/>
        <v>96620.1</v>
      </c>
      <c r="Y3988" s="13">
        <f t="shared" si="617"/>
        <v>0</v>
      </c>
      <c r="Z3988" s="14">
        <v>0</v>
      </c>
      <c r="AA3988" s="6">
        <v>0</v>
      </c>
      <c r="AB3988" s="4">
        <f t="shared" si="618"/>
        <v>96620.1</v>
      </c>
      <c r="AC3988" s="4">
        <f t="shared" si="620"/>
        <v>0</v>
      </c>
      <c r="AD3988" s="6">
        <f t="shared" si="615"/>
        <v>96620.1</v>
      </c>
      <c r="AE3988" s="2">
        <f>VLOOKUP(I3988,[1]媒体政策预估表!A:N,MATCH(O3988,[1]媒体政策预估表!$A$2:$M$2,0),0)</f>
        <v>7.0000000000000007E-2</v>
      </c>
      <c r="AF3988" s="6">
        <f t="shared" si="621"/>
        <v>6763.4070000000011</v>
      </c>
      <c r="AG3988" s="14">
        <v>0</v>
      </c>
      <c r="AH3988" s="65">
        <f t="shared" si="616"/>
        <v>96620.1</v>
      </c>
      <c r="AI3988" s="47"/>
      <c r="AJ3988" s="126" t="e">
        <v>#N/A</v>
      </c>
      <c r="AK3988" s="80">
        <f t="shared" si="619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13"/>
        <v>5981</v>
      </c>
      <c r="X3989" s="6">
        <f t="shared" si="614"/>
        <v>21267.5</v>
      </c>
      <c r="Y3989" s="13">
        <f t="shared" si="617"/>
        <v>0</v>
      </c>
      <c r="Z3989" s="14">
        <v>0</v>
      </c>
      <c r="AA3989" s="6">
        <v>0</v>
      </c>
      <c r="AB3989" s="4">
        <f t="shared" si="618"/>
        <v>21267.5</v>
      </c>
      <c r="AC3989" s="4">
        <f t="shared" si="620"/>
        <v>0</v>
      </c>
      <c r="AD3989" s="6">
        <f t="shared" si="615"/>
        <v>21267.5</v>
      </c>
      <c r="AE3989" s="2">
        <f>VLOOKUP(I3989,[1]媒体政策预估表!A:N,MATCH(O3989,[1]媒体政策预估表!$A$2:$M$2,0),0)</f>
        <v>7.0000000000000007E-2</v>
      </c>
      <c r="AF3989" s="6">
        <f t="shared" si="621"/>
        <v>1488.7250000000001</v>
      </c>
      <c r="AG3989" s="14">
        <v>0</v>
      </c>
      <c r="AH3989" s="65">
        <f t="shared" si="616"/>
        <v>21267.5</v>
      </c>
      <c r="AI3989" s="47"/>
      <c r="AJ3989" s="126" t="e">
        <v>#N/A</v>
      </c>
      <c r="AK3989" s="80">
        <f t="shared" si="619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13"/>
        <v>6155.9999999999991</v>
      </c>
      <c r="X3990" s="6">
        <f t="shared" si="614"/>
        <v>5989.8</v>
      </c>
      <c r="Y3990" s="13">
        <f t="shared" si="617"/>
        <v>0</v>
      </c>
      <c r="Z3990" s="14">
        <v>0</v>
      </c>
      <c r="AA3990" s="6">
        <v>0</v>
      </c>
      <c r="AB3990" s="4">
        <f t="shared" si="618"/>
        <v>5989.8</v>
      </c>
      <c r="AC3990" s="4">
        <f t="shared" si="620"/>
        <v>0</v>
      </c>
      <c r="AD3990" s="6">
        <f t="shared" si="615"/>
        <v>5989.8</v>
      </c>
      <c r="AE3990" s="2">
        <f>VLOOKUP(I3990,[1]媒体政策预估表!A:N,MATCH(O3990,[1]媒体政策预估表!$A$2:$M$2,0),0)</f>
        <v>7.0000000000000007E-2</v>
      </c>
      <c r="AF3990" s="6">
        <f t="shared" si="621"/>
        <v>419.28600000000006</v>
      </c>
      <c r="AG3990" s="14">
        <v>0</v>
      </c>
      <c r="AH3990" s="65">
        <f t="shared" si="616"/>
        <v>5989.8</v>
      </c>
      <c r="AI3990" s="47"/>
      <c r="AJ3990" s="126" t="e">
        <v>#N/A</v>
      </c>
      <c r="AK3990" s="80">
        <f t="shared" si="619"/>
        <v>0</v>
      </c>
      <c r="AM3990" s="85"/>
    </row>
    <row r="3991" spans="1:39" hidden="1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13"/>
        <v>5037.4099999999926</v>
      </c>
      <c r="X3991" s="6">
        <f t="shared" si="614"/>
        <v>3757.5</v>
      </c>
      <c r="Y3991" s="13">
        <f t="shared" si="617"/>
        <v>0</v>
      </c>
      <c r="Z3991" s="14">
        <v>0</v>
      </c>
      <c r="AA3991" s="6">
        <v>0</v>
      </c>
      <c r="AB3991" s="4">
        <f t="shared" si="618"/>
        <v>3757.5</v>
      </c>
      <c r="AC3991" s="4">
        <f t="shared" si="620"/>
        <v>0</v>
      </c>
      <c r="AD3991" s="6">
        <f t="shared" si="615"/>
        <v>3757.5</v>
      </c>
      <c r="AE3991" s="2">
        <f>VLOOKUP(I3991,[1]媒体政策预估表!A:N,MATCH(O3991,[1]媒体政策预估表!$A$2:$M$2,0),0)</f>
        <v>7.0000000000000007E-2</v>
      </c>
      <c r="AF3991" s="6">
        <f t="shared" si="621"/>
        <v>263.02500000000003</v>
      </c>
      <c r="AG3991" s="14">
        <v>0</v>
      </c>
      <c r="AH3991" s="65">
        <f t="shared" si="616"/>
        <v>3757.5</v>
      </c>
      <c r="AI3991" s="47"/>
      <c r="AJ3991" s="126" t="e">
        <v>#N/A</v>
      </c>
      <c r="AK3991" s="80">
        <f t="shared" si="619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13"/>
        <v>13242.899999999994</v>
      </c>
      <c r="X3992" s="6">
        <f t="shared" si="614"/>
        <v>34251.800000000003</v>
      </c>
      <c r="Y3992" s="13">
        <f t="shared" si="617"/>
        <v>0</v>
      </c>
      <c r="Z3992" s="14">
        <v>0</v>
      </c>
      <c r="AA3992" s="6">
        <v>0</v>
      </c>
      <c r="AB3992" s="4">
        <f t="shared" si="618"/>
        <v>34251.800000000003</v>
      </c>
      <c r="AC3992" s="4">
        <f t="shared" si="620"/>
        <v>0</v>
      </c>
      <c r="AD3992" s="6">
        <f t="shared" si="615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21"/>
        <v>2397.6260000000007</v>
      </c>
      <c r="AG3992" s="14">
        <v>0</v>
      </c>
      <c r="AH3992" s="65">
        <f t="shared" si="616"/>
        <v>34251.800000000003</v>
      </c>
      <c r="AI3992" s="47"/>
      <c r="AJ3992" s="126" t="e">
        <v>#N/A</v>
      </c>
      <c r="AK3992" s="80">
        <f t="shared" si="619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13"/>
        <v>92002.299999999988</v>
      </c>
      <c r="X3993" s="6">
        <f t="shared" si="614"/>
        <v>167997.7</v>
      </c>
      <c r="Y3993" s="13">
        <f t="shared" si="617"/>
        <v>0</v>
      </c>
      <c r="Z3993" s="14">
        <v>0</v>
      </c>
      <c r="AA3993" s="6">
        <v>0</v>
      </c>
      <c r="AB3993" s="4">
        <f t="shared" si="618"/>
        <v>167997.7</v>
      </c>
      <c r="AC3993" s="4">
        <f t="shared" si="620"/>
        <v>0</v>
      </c>
      <c r="AD3993" s="6">
        <f t="shared" si="615"/>
        <v>167997.7</v>
      </c>
      <c r="AE3993" s="2">
        <f>VLOOKUP(I3993,[1]媒体政策预估表!A:N,MATCH(O3993,[1]媒体政策预估表!$A$2:$M$2,0),0)</f>
        <v>7.0000000000000007E-2</v>
      </c>
      <c r="AF3993" s="6">
        <f t="shared" si="621"/>
        <v>11759.839000000002</v>
      </c>
      <c r="AG3993" s="14">
        <v>0</v>
      </c>
      <c r="AH3993" s="65">
        <f t="shared" si="616"/>
        <v>167997.7</v>
      </c>
      <c r="AI3993" s="47"/>
      <c r="AJ3993" s="126" t="e">
        <v>#N/A</v>
      </c>
      <c r="AK3993" s="80">
        <f t="shared" si="619"/>
        <v>0</v>
      </c>
      <c r="AM3993" s="85"/>
    </row>
    <row r="3994" spans="1:39" hidden="1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13"/>
        <v>5298.0999999999995</v>
      </c>
      <c r="X3994" s="6">
        <f t="shared" si="614"/>
        <v>5912.2</v>
      </c>
      <c r="Y3994" s="13">
        <f t="shared" si="617"/>
        <v>0</v>
      </c>
      <c r="Z3994" s="14">
        <v>0</v>
      </c>
      <c r="AA3994" s="6">
        <v>0</v>
      </c>
      <c r="AB3994" s="4">
        <f t="shared" si="618"/>
        <v>5912.2</v>
      </c>
      <c r="AC3994" s="4">
        <f t="shared" si="620"/>
        <v>0</v>
      </c>
      <c r="AD3994" s="6">
        <f t="shared" si="615"/>
        <v>5912.2</v>
      </c>
      <c r="AE3994" s="2">
        <f>VLOOKUP(I3994,[1]媒体政策预估表!A:N,MATCH(O3994,[1]媒体政策预估表!$A$2:$M$2,0),0)</f>
        <v>7.0000000000000007E-2</v>
      </c>
      <c r="AF3994" s="6">
        <f t="shared" si="621"/>
        <v>413.85400000000004</v>
      </c>
      <c r="AG3994" s="14">
        <v>0</v>
      </c>
      <c r="AH3994" s="65">
        <f t="shared" si="616"/>
        <v>5912.2</v>
      </c>
      <c r="AI3994" s="47"/>
      <c r="AJ3994" s="126" t="e">
        <v>#N/A</v>
      </c>
      <c r="AK3994" s="80">
        <f t="shared" si="619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13"/>
        <v>23582.399999999994</v>
      </c>
      <c r="X3995" s="6">
        <f t="shared" si="614"/>
        <v>212833.5</v>
      </c>
      <c r="Y3995" s="13">
        <f t="shared" si="617"/>
        <v>0</v>
      </c>
      <c r="Z3995" s="14">
        <v>0</v>
      </c>
      <c r="AA3995" s="6">
        <v>0</v>
      </c>
      <c r="AB3995" s="4">
        <f t="shared" si="618"/>
        <v>212833.5</v>
      </c>
      <c r="AC3995" s="4">
        <f t="shared" si="620"/>
        <v>0</v>
      </c>
      <c r="AD3995" s="6">
        <f t="shared" si="615"/>
        <v>212833.5</v>
      </c>
      <c r="AE3995" s="2">
        <f>VLOOKUP(I3995,[1]媒体政策预估表!A:N,MATCH(O3995,[1]媒体政策预估表!$A$2:$M$2,0),0)</f>
        <v>7.0000000000000007E-2</v>
      </c>
      <c r="AF3995" s="6">
        <f t="shared" si="621"/>
        <v>14898.345000000001</v>
      </c>
      <c r="AG3995" s="14">
        <v>0</v>
      </c>
      <c r="AH3995" s="65">
        <f t="shared" si="616"/>
        <v>212833.5</v>
      </c>
      <c r="AI3995" s="47"/>
      <c r="AJ3995" s="126" t="e">
        <v>#N/A</v>
      </c>
      <c r="AK3995" s="80">
        <f t="shared" si="619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13"/>
        <v>52068.069999999992</v>
      </c>
      <c r="X3996" s="6">
        <f t="shared" si="614"/>
        <v>57510.294117647056</v>
      </c>
      <c r="Y3996" s="13">
        <f t="shared" si="617"/>
        <v>0</v>
      </c>
      <c r="Z3996" s="14">
        <v>0</v>
      </c>
      <c r="AA3996" s="6">
        <v>0</v>
      </c>
      <c r="AB3996" s="4">
        <f t="shared" si="618"/>
        <v>57510.294117647056</v>
      </c>
      <c r="AC3996" s="4">
        <f t="shared" si="620"/>
        <v>1150.2058823529442</v>
      </c>
      <c r="AD3996" s="6">
        <f t="shared" si="615"/>
        <v>58660.5</v>
      </c>
      <c r="AE3996" s="2">
        <f>VLOOKUP(I3996,[1]媒体政策预估表!A:N,MATCH(O3996,[1]媒体政策预估表!$A$2:$M$2,0),0)</f>
        <v>7.0000000000000007E-2</v>
      </c>
      <c r="AF3996" s="6">
        <f t="shared" si="621"/>
        <v>4106.2350000000006</v>
      </c>
      <c r="AG3996" s="14">
        <v>0</v>
      </c>
      <c r="AH3996" s="65">
        <f t="shared" si="616"/>
        <v>58660.5</v>
      </c>
      <c r="AI3996" s="47"/>
      <c r="AJ3996" s="126" t="e">
        <v>#N/A</v>
      </c>
      <c r="AK3996" s="80">
        <f t="shared" si="619"/>
        <v>0</v>
      </c>
      <c r="AM3996" s="85"/>
    </row>
    <row r="3997" spans="1:39" hidden="1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13"/>
        <v>5000</v>
      </c>
      <c r="X3997" s="6">
        <f t="shared" si="614"/>
        <v>0</v>
      </c>
      <c r="Y3997" s="13">
        <f t="shared" si="617"/>
        <v>0</v>
      </c>
      <c r="Z3997" s="14">
        <v>0</v>
      </c>
      <c r="AA3997" s="6">
        <v>0</v>
      </c>
      <c r="AB3997" s="4">
        <f t="shared" si="618"/>
        <v>0</v>
      </c>
      <c r="AC3997" s="4">
        <f t="shared" si="620"/>
        <v>0</v>
      </c>
      <c r="AD3997" s="6">
        <f t="shared" si="615"/>
        <v>0</v>
      </c>
      <c r="AE3997" s="2">
        <f>VLOOKUP(I3997,[1]媒体政策预估表!A:N,MATCH(O3997,[1]媒体政策预估表!$A$2:$M$2,0),0)</f>
        <v>7.0000000000000007E-2</v>
      </c>
      <c r="AF3997" s="6">
        <f t="shared" si="621"/>
        <v>0</v>
      </c>
      <c r="AG3997" s="14">
        <v>0</v>
      </c>
      <c r="AH3997" s="65">
        <f t="shared" si="616"/>
        <v>0</v>
      </c>
      <c r="AI3997" s="47"/>
      <c r="AJ3997" s="126" t="e">
        <v>#N/A</v>
      </c>
      <c r="AK3997" s="80">
        <f t="shared" si="619"/>
        <v>0</v>
      </c>
      <c r="AM3997" s="85"/>
    </row>
    <row r="3998" spans="1:39" hidden="1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13"/>
        <v>13317.380000000001</v>
      </c>
      <c r="X3998" s="6">
        <f t="shared" si="614"/>
        <v>7065.1683168316831</v>
      </c>
      <c r="Y3998" s="13">
        <f t="shared" si="617"/>
        <v>0</v>
      </c>
      <c r="Z3998" s="14">
        <v>0</v>
      </c>
      <c r="AA3998" s="6">
        <v>0</v>
      </c>
      <c r="AB3998" s="4">
        <f t="shared" si="618"/>
        <v>7065.1683168316831</v>
      </c>
      <c r="AC3998" s="4">
        <f t="shared" si="620"/>
        <v>70.651683168316595</v>
      </c>
      <c r="AD3998" s="6">
        <f t="shared" si="615"/>
        <v>7135.82</v>
      </c>
      <c r="AE3998" s="2">
        <f>VLOOKUP(I3998,[1]媒体政策预估表!A:N,MATCH(O3998,[1]媒体政策预估表!$A$2:$M$2,0),0)</f>
        <v>7.0000000000000007E-2</v>
      </c>
      <c r="AF3998" s="6">
        <f t="shared" si="621"/>
        <v>499.50740000000002</v>
      </c>
      <c r="AG3998" s="14">
        <v>0</v>
      </c>
      <c r="AH3998" s="65">
        <f t="shared" si="616"/>
        <v>7135.82</v>
      </c>
      <c r="AI3998" s="47"/>
      <c r="AJ3998" s="126" t="e">
        <v>#N/A</v>
      </c>
      <c r="AK3998" s="80">
        <f t="shared" si="619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13"/>
        <v>8382.6000000000058</v>
      </c>
      <c r="X3999" s="6">
        <f t="shared" si="614"/>
        <v>50291.584158415841</v>
      </c>
      <c r="Y3999" s="13">
        <f t="shared" si="617"/>
        <v>0</v>
      </c>
      <c r="Z3999" s="14">
        <v>0</v>
      </c>
      <c r="AA3999" s="6">
        <v>0</v>
      </c>
      <c r="AB3999" s="4">
        <f t="shared" si="618"/>
        <v>50291.584158415841</v>
      </c>
      <c r="AC3999" s="4">
        <f t="shared" si="620"/>
        <v>502.91584158415935</v>
      </c>
      <c r="AD3999" s="6">
        <f t="shared" si="615"/>
        <v>50794.5</v>
      </c>
      <c r="AE3999" s="2">
        <f>VLOOKUP(I3999,[1]媒体政策预估表!A:N,MATCH(O3999,[1]媒体政策预估表!$A$2:$M$2,0),0)</f>
        <v>7.0000000000000007E-2</v>
      </c>
      <c r="AF3999" s="6">
        <f t="shared" si="621"/>
        <v>3555.6150000000002</v>
      </c>
      <c r="AG3999" s="14">
        <v>0</v>
      </c>
      <c r="AH3999" s="65">
        <f t="shared" si="616"/>
        <v>50794.5</v>
      </c>
      <c r="AI3999" s="47"/>
      <c r="AJ3999" s="126" t="e">
        <v>#N/A</v>
      </c>
      <c r="AK3999" s="80">
        <f t="shared" si="619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13"/>
        <v>10284.68</v>
      </c>
      <c r="X4000" s="6">
        <f t="shared" si="614"/>
        <v>16199.306930693068</v>
      </c>
      <c r="Y4000" s="13">
        <f t="shared" si="617"/>
        <v>0</v>
      </c>
      <c r="Z4000" s="14">
        <v>0</v>
      </c>
      <c r="AA4000" s="6">
        <v>0</v>
      </c>
      <c r="AB4000" s="4">
        <f t="shared" si="618"/>
        <v>16199.306930693068</v>
      </c>
      <c r="AC4000" s="4">
        <f t="shared" si="620"/>
        <v>161.99306930693092</v>
      </c>
      <c r="AD4000" s="6">
        <f t="shared" si="615"/>
        <v>16361.3</v>
      </c>
      <c r="AE4000" s="2">
        <f>VLOOKUP(I4000,[1]媒体政策预估表!A:N,MATCH(O4000,[1]媒体政策预估表!$A$2:$M$2,0),0)</f>
        <v>7.0000000000000007E-2</v>
      </c>
      <c r="AF4000" s="6">
        <f t="shared" si="621"/>
        <v>1145.2910000000002</v>
      </c>
      <c r="AG4000" s="14">
        <v>0</v>
      </c>
      <c r="AH4000" s="65">
        <f t="shared" si="616"/>
        <v>16361.3</v>
      </c>
      <c r="AI4000" s="47"/>
      <c r="AJ4000" s="126" t="e">
        <v>#N/A</v>
      </c>
      <c r="AK4000" s="80">
        <f t="shared" si="619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13"/>
        <v>0</v>
      </c>
      <c r="X4001" s="6">
        <f t="shared" si="614"/>
        <v>0</v>
      </c>
      <c r="Y4001" s="13">
        <f t="shared" si="617"/>
        <v>0</v>
      </c>
      <c r="Z4001" s="14">
        <v>0</v>
      </c>
      <c r="AA4001" s="6">
        <v>0</v>
      </c>
      <c r="AB4001" s="4">
        <f t="shared" si="618"/>
        <v>0</v>
      </c>
      <c r="AC4001" s="4">
        <f t="shared" si="620"/>
        <v>0</v>
      </c>
      <c r="AD4001" s="6">
        <f t="shared" si="615"/>
        <v>0</v>
      </c>
      <c r="AE4001" s="2">
        <f>VLOOKUP(I4001,[1]媒体政策预估表!A:N,MATCH(O4001,[1]媒体政策预估表!$A$2:$M$2,0),0)</f>
        <v>7.0000000000000007E-2</v>
      </c>
      <c r="AF4001" s="6">
        <f t="shared" si="621"/>
        <v>0</v>
      </c>
      <c r="AG4001" s="14">
        <v>0</v>
      </c>
      <c r="AH4001" s="65">
        <f t="shared" si="616"/>
        <v>0</v>
      </c>
      <c r="AI4001" s="47"/>
      <c r="AJ4001" s="126" t="e">
        <v>#N/A</v>
      </c>
      <c r="AK4001" s="80">
        <f t="shared" si="619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13"/>
        <v>14467.900000000001</v>
      </c>
      <c r="X4002" s="6">
        <f t="shared" si="614"/>
        <v>25532.1</v>
      </c>
      <c r="Y4002" s="13">
        <f t="shared" si="617"/>
        <v>0</v>
      </c>
      <c r="Z4002" s="14">
        <v>0</v>
      </c>
      <c r="AA4002" s="6">
        <v>0</v>
      </c>
      <c r="AB4002" s="4">
        <f t="shared" si="618"/>
        <v>25532.1</v>
      </c>
      <c r="AC4002" s="4">
        <f t="shared" si="620"/>
        <v>0</v>
      </c>
      <c r="AD4002" s="6">
        <f t="shared" si="615"/>
        <v>25532.1</v>
      </c>
      <c r="AE4002" s="2">
        <f>VLOOKUP(I4002,[1]媒体政策预估表!A:N,MATCH(O4002,[1]媒体政策预估表!$A$2:$M$2,0),0)</f>
        <v>7.0000000000000007E-2</v>
      </c>
      <c r="AF4002" s="6">
        <f t="shared" si="621"/>
        <v>1787.2470000000001</v>
      </c>
      <c r="AG4002" s="14">
        <v>0</v>
      </c>
      <c r="AH4002" s="65">
        <f t="shared" si="616"/>
        <v>25532.1</v>
      </c>
      <c r="AI4002" s="47"/>
      <c r="AJ4002" s="126" t="e">
        <v>#N/A</v>
      </c>
      <c r="AK4002" s="80">
        <f t="shared" si="619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13"/>
        <v>7846</v>
      </c>
      <c r="X4003" s="6">
        <f t="shared" si="614"/>
        <v>24098.1</v>
      </c>
      <c r="Y4003" s="13">
        <f t="shared" si="617"/>
        <v>0</v>
      </c>
      <c r="Z4003" s="14">
        <v>0</v>
      </c>
      <c r="AA4003" s="6">
        <v>0</v>
      </c>
      <c r="AB4003" s="4">
        <f t="shared" si="618"/>
        <v>24098.1</v>
      </c>
      <c r="AC4003" s="4">
        <f t="shared" si="620"/>
        <v>0</v>
      </c>
      <c r="AD4003" s="6">
        <f t="shared" si="615"/>
        <v>24098.1</v>
      </c>
      <c r="AE4003" s="2">
        <f>VLOOKUP(I4003,[1]媒体政策预估表!A:N,MATCH(O4003,[1]媒体政策预估表!$A$2:$M$2,0),0)</f>
        <v>7.0000000000000007E-2</v>
      </c>
      <c r="AF4003" s="6">
        <f t="shared" si="621"/>
        <v>1686.867</v>
      </c>
      <c r="AG4003" s="14">
        <v>0</v>
      </c>
      <c r="AH4003" s="65">
        <f t="shared" si="616"/>
        <v>24098.1</v>
      </c>
      <c r="AI4003" s="47"/>
      <c r="AJ4003" s="126" t="e">
        <v>#N/A</v>
      </c>
      <c r="AK4003" s="80">
        <f t="shared" si="619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13"/>
        <v>3792.2000000000007</v>
      </c>
      <c r="X4004" s="6">
        <f t="shared" si="614"/>
        <v>25538</v>
      </c>
      <c r="Y4004" s="13">
        <f t="shared" si="617"/>
        <v>0</v>
      </c>
      <c r="Z4004" s="14">
        <v>0</v>
      </c>
      <c r="AA4004" s="6">
        <v>0</v>
      </c>
      <c r="AB4004" s="4">
        <f t="shared" si="618"/>
        <v>25538</v>
      </c>
      <c r="AC4004" s="4">
        <f t="shared" si="620"/>
        <v>0</v>
      </c>
      <c r="AD4004" s="6">
        <f t="shared" si="615"/>
        <v>25538</v>
      </c>
      <c r="AE4004" s="2">
        <f>VLOOKUP(I4004,[1]媒体政策预估表!A:N,MATCH(O4004,[1]媒体政策预估表!$A$2:$M$2,0),0)</f>
        <v>7.0000000000000007E-2</v>
      </c>
      <c r="AF4004" s="6">
        <f t="shared" si="621"/>
        <v>1787.66</v>
      </c>
      <c r="AG4004" s="14">
        <v>0</v>
      </c>
      <c r="AH4004" s="65">
        <f t="shared" si="616"/>
        <v>25538</v>
      </c>
      <c r="AI4004" s="47"/>
      <c r="AJ4004" s="126" t="e">
        <v>#N/A</v>
      </c>
      <c r="AK4004" s="80">
        <f t="shared" si="619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13"/>
        <v>10870.939999999973</v>
      </c>
      <c r="X4005" s="6">
        <f t="shared" si="614"/>
        <v>154129.06000000003</v>
      </c>
      <c r="Y4005" s="13">
        <f t="shared" si="617"/>
        <v>0</v>
      </c>
      <c r="Z4005" s="14">
        <v>0</v>
      </c>
      <c r="AA4005" s="6">
        <v>0</v>
      </c>
      <c r="AB4005" s="4">
        <f t="shared" si="618"/>
        <v>154129.06000000003</v>
      </c>
      <c r="AC4005" s="4">
        <f t="shared" si="620"/>
        <v>0</v>
      </c>
      <c r="AD4005" s="6">
        <f t="shared" si="615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21"/>
        <v>10789.034200000004</v>
      </c>
      <c r="AG4005" s="14">
        <v>0</v>
      </c>
      <c r="AH4005" s="65">
        <f t="shared" si="616"/>
        <v>154129.06000000003</v>
      </c>
      <c r="AI4005" s="47"/>
      <c r="AJ4005" s="126" t="e">
        <v>#N/A</v>
      </c>
      <c r="AK4005" s="80">
        <f t="shared" si="619"/>
        <v>0</v>
      </c>
      <c r="AM4005" s="85"/>
    </row>
    <row r="4006" spans="1:39" hidden="1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13"/>
        <v>0</v>
      </c>
      <c r="X4006" s="6">
        <f t="shared" si="614"/>
        <v>14952.94</v>
      </c>
      <c r="Y4006" s="13">
        <f t="shared" si="617"/>
        <v>0</v>
      </c>
      <c r="Z4006" s="14">
        <v>0</v>
      </c>
      <c r="AA4006" s="6">
        <v>0</v>
      </c>
      <c r="AB4006" s="4">
        <f t="shared" si="618"/>
        <v>14952.94</v>
      </c>
      <c r="AC4006" s="4">
        <f t="shared" si="620"/>
        <v>0</v>
      </c>
      <c r="AD4006" s="6">
        <f t="shared" si="615"/>
        <v>14952.94</v>
      </c>
      <c r="AE4006" s="2">
        <f>VLOOKUP(I4006,[1]媒体政策预估表!A:N,MATCH(O4006,[1]媒体政策预估表!$A$2:$M$2,0),0)</f>
        <v>7.0000000000000007E-2</v>
      </c>
      <c r="AF4006" s="6">
        <f t="shared" si="621"/>
        <v>1046.7058000000002</v>
      </c>
      <c r="AG4006" s="14">
        <v>0</v>
      </c>
      <c r="AH4006" s="65">
        <f t="shared" si="616"/>
        <v>14952.94</v>
      </c>
      <c r="AI4006" s="47"/>
      <c r="AJ4006" s="126" t="e">
        <v>#N/A</v>
      </c>
      <c r="AK4006" s="80">
        <f t="shared" si="619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13"/>
        <v>53586.580000000075</v>
      </c>
      <c r="X4007" s="6">
        <f t="shared" si="614"/>
        <v>393732.9</v>
      </c>
      <c r="Y4007" s="13">
        <f t="shared" si="617"/>
        <v>0</v>
      </c>
      <c r="Z4007" s="14">
        <v>0</v>
      </c>
      <c r="AA4007" s="6">
        <v>0</v>
      </c>
      <c r="AB4007" s="4">
        <f t="shared" si="618"/>
        <v>393732.9</v>
      </c>
      <c r="AC4007" s="4">
        <f t="shared" si="620"/>
        <v>0</v>
      </c>
      <c r="AD4007" s="6">
        <f t="shared" si="615"/>
        <v>393732.9</v>
      </c>
      <c r="AE4007" s="2">
        <f>VLOOKUP(I4007,[1]媒体政策预估表!A:N,MATCH(O4007,[1]媒体政策预估表!$A$2:$M$2,0),0)</f>
        <v>7.0000000000000007E-2</v>
      </c>
      <c r="AF4007" s="6">
        <f t="shared" si="621"/>
        <v>27561.303000000004</v>
      </c>
      <c r="AG4007" s="14">
        <v>0</v>
      </c>
      <c r="AH4007" s="65">
        <f t="shared" si="616"/>
        <v>393732.9</v>
      </c>
      <c r="AI4007" s="47"/>
      <c r="AJ4007" s="126" t="e">
        <v>#N/A</v>
      </c>
      <c r="AK4007" s="80">
        <f t="shared" si="619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13"/>
        <v>0</v>
      </c>
      <c r="X4008" s="6">
        <f t="shared" si="614"/>
        <v>-26049.19</v>
      </c>
      <c r="Y4008" s="13">
        <f t="shared" si="617"/>
        <v>0</v>
      </c>
      <c r="Z4008" s="14">
        <v>0</v>
      </c>
      <c r="AA4008" s="6">
        <v>0</v>
      </c>
      <c r="AB4008" s="4">
        <f t="shared" si="618"/>
        <v>-26049.19</v>
      </c>
      <c r="AC4008" s="4">
        <f t="shared" si="620"/>
        <v>0</v>
      </c>
      <c r="AD4008" s="6">
        <f t="shared" si="615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21"/>
        <v>-1823.4433000000001</v>
      </c>
      <c r="AG4008" s="14">
        <v>0</v>
      </c>
      <c r="AH4008" s="65">
        <f t="shared" si="616"/>
        <v>-26049.19</v>
      </c>
      <c r="AI4008" s="47"/>
      <c r="AJ4008" s="126" t="e">
        <v>#N/A</v>
      </c>
      <c r="AK4008" s="80">
        <f t="shared" si="619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13"/>
        <v>7386.8999999999651</v>
      </c>
      <c r="X4009" s="6">
        <f t="shared" si="614"/>
        <v>402787.2</v>
      </c>
      <c r="Y4009" s="13">
        <f t="shared" si="617"/>
        <v>0</v>
      </c>
      <c r="Z4009" s="14">
        <v>0</v>
      </c>
      <c r="AA4009" s="6">
        <v>0</v>
      </c>
      <c r="AB4009" s="4">
        <f t="shared" si="618"/>
        <v>402787.2</v>
      </c>
      <c r="AC4009" s="4">
        <f t="shared" si="620"/>
        <v>0</v>
      </c>
      <c r="AD4009" s="6">
        <f t="shared" si="615"/>
        <v>402787.2</v>
      </c>
      <c r="AE4009" s="2">
        <f>VLOOKUP(I4009,[1]媒体政策预估表!A:N,MATCH(O4009,[1]媒体政策预估表!$A$2:$M$2,0),0)</f>
        <v>7.0000000000000007E-2</v>
      </c>
      <c r="AF4009" s="6">
        <f t="shared" si="621"/>
        <v>28195.104000000003</v>
      </c>
      <c r="AG4009" s="14">
        <v>0</v>
      </c>
      <c r="AH4009" s="65">
        <f t="shared" si="616"/>
        <v>402787.2</v>
      </c>
      <c r="AI4009" s="47"/>
      <c r="AJ4009" s="126" t="e">
        <v>#N/A</v>
      </c>
      <c r="AK4009" s="80">
        <f t="shared" si="619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13"/>
        <v>19659.100000000006</v>
      </c>
      <c r="X4010" s="6">
        <f t="shared" si="614"/>
        <v>140311.9</v>
      </c>
      <c r="Y4010" s="13">
        <f t="shared" si="617"/>
        <v>0</v>
      </c>
      <c r="Z4010" s="14">
        <v>0</v>
      </c>
      <c r="AA4010" s="6">
        <v>0</v>
      </c>
      <c r="AB4010" s="4">
        <f t="shared" si="618"/>
        <v>140311.9</v>
      </c>
      <c r="AC4010" s="4">
        <f t="shared" si="620"/>
        <v>0</v>
      </c>
      <c r="AD4010" s="6">
        <f t="shared" si="615"/>
        <v>140311.9</v>
      </c>
      <c r="AE4010" s="2">
        <f>VLOOKUP(I4010,[1]媒体政策预估表!A:N,MATCH(O4010,[1]媒体政策预估表!$A$2:$M$2,0),0)</f>
        <v>7.0000000000000007E-2</v>
      </c>
      <c r="AF4010" s="6">
        <f t="shared" si="621"/>
        <v>9821.8330000000005</v>
      </c>
      <c r="AG4010" s="14">
        <v>0</v>
      </c>
      <c r="AH4010" s="65">
        <f t="shared" si="616"/>
        <v>140311.9</v>
      </c>
      <c r="AI4010" s="47"/>
      <c r="AJ4010" s="126" t="e">
        <v>#N/A</v>
      </c>
      <c r="AK4010" s="80">
        <f t="shared" si="619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13"/>
        <v>5155</v>
      </c>
      <c r="X4011" s="6">
        <f t="shared" si="614"/>
        <v>14553.921568627451</v>
      </c>
      <c r="Y4011" s="13">
        <f t="shared" si="617"/>
        <v>0</v>
      </c>
      <c r="Z4011" s="14">
        <v>0</v>
      </c>
      <c r="AA4011" s="6">
        <v>0</v>
      </c>
      <c r="AB4011" s="4">
        <f t="shared" si="618"/>
        <v>14553.921568627451</v>
      </c>
      <c r="AC4011" s="4">
        <f t="shared" si="620"/>
        <v>291.07843137254895</v>
      </c>
      <c r="AD4011" s="6">
        <f t="shared" si="615"/>
        <v>14845</v>
      </c>
      <c r="AE4011" s="2">
        <f>VLOOKUP(I4011,[1]媒体政策预估表!A:N,MATCH(O4011,[1]媒体政策预估表!$A$2:$M$2,0),0)</f>
        <v>7.0000000000000007E-2</v>
      </c>
      <c r="AF4011" s="6">
        <f t="shared" si="621"/>
        <v>1039.1500000000001</v>
      </c>
      <c r="AG4011" s="14">
        <v>0</v>
      </c>
      <c r="AH4011" s="65">
        <f t="shared" si="616"/>
        <v>14845</v>
      </c>
      <c r="AI4011" s="47"/>
      <c r="AJ4011" s="126" t="e">
        <v>#N/A</v>
      </c>
      <c r="AK4011" s="80">
        <f t="shared" si="619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13"/>
        <v>15155.460000000079</v>
      </c>
      <c r="X4012" s="6">
        <f t="shared" si="614"/>
        <v>495246.63366336632</v>
      </c>
      <c r="Y4012" s="13">
        <f t="shared" si="617"/>
        <v>0</v>
      </c>
      <c r="Z4012" s="14">
        <v>0</v>
      </c>
      <c r="AA4012" s="6">
        <v>0</v>
      </c>
      <c r="AB4012" s="4">
        <f t="shared" si="618"/>
        <v>495246.63366336632</v>
      </c>
      <c r="AC4012" s="4">
        <f t="shared" si="620"/>
        <v>4952.4663366336608</v>
      </c>
      <c r="AD4012" s="6">
        <f t="shared" si="615"/>
        <v>500199.1</v>
      </c>
      <c r="AE4012" s="2">
        <f>VLOOKUP(I4012,[1]媒体政策预估表!A:N,MATCH(O4012,[1]媒体政策预估表!$A$2:$M$2,0),0)</f>
        <v>7.0000000000000007E-2</v>
      </c>
      <c r="AF4012" s="6">
        <f t="shared" si="621"/>
        <v>35013.936999999998</v>
      </c>
      <c r="AG4012" s="14">
        <v>0</v>
      </c>
      <c r="AH4012" s="65">
        <f t="shared" si="616"/>
        <v>500199.1</v>
      </c>
      <c r="AI4012" s="47"/>
      <c r="AJ4012" s="126" t="e">
        <v>#N/A</v>
      </c>
      <c r="AK4012" s="80">
        <f t="shared" si="619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13"/>
        <v>32222.100249999901</v>
      </c>
      <c r="X4013" s="6">
        <f t="shared" si="614"/>
        <v>1228838.7127722772</v>
      </c>
      <c r="Y4013" s="13">
        <f t="shared" si="617"/>
        <v>0</v>
      </c>
      <c r="Z4013" s="14">
        <v>0</v>
      </c>
      <c r="AA4013" s="6">
        <v>0</v>
      </c>
      <c r="AB4013" s="4">
        <f t="shared" si="618"/>
        <v>1228838.7127722772</v>
      </c>
      <c r="AC4013" s="4">
        <f t="shared" si="620"/>
        <v>12288.387127722846</v>
      </c>
      <c r="AD4013" s="6">
        <f t="shared" si="615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21"/>
        <v>86878.896993000017</v>
      </c>
      <c r="AG4013" s="14">
        <v>0</v>
      </c>
      <c r="AH4013" s="65">
        <f t="shared" si="616"/>
        <v>1241127.0999</v>
      </c>
      <c r="AI4013" s="47"/>
      <c r="AJ4013" s="126" t="e">
        <v>#N/A</v>
      </c>
      <c r="AK4013" s="80">
        <f t="shared" si="619"/>
        <v>0</v>
      </c>
      <c r="AM4013" s="85"/>
    </row>
    <row r="4014" spans="1:39" hidden="1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13"/>
        <v>25446.700000000041</v>
      </c>
      <c r="X4014" s="6">
        <f t="shared" si="614"/>
        <v>222323.1</v>
      </c>
      <c r="Y4014" s="13">
        <f t="shared" si="617"/>
        <v>0</v>
      </c>
      <c r="Z4014" s="14">
        <v>0</v>
      </c>
      <c r="AA4014" s="6">
        <v>0</v>
      </c>
      <c r="AB4014" s="4">
        <f t="shared" si="618"/>
        <v>222323.1</v>
      </c>
      <c r="AC4014" s="4">
        <f t="shared" si="620"/>
        <v>0</v>
      </c>
      <c r="AD4014" s="6">
        <f t="shared" si="615"/>
        <v>222323.1</v>
      </c>
      <c r="AE4014" s="2">
        <f>VLOOKUP(I4014,[1]媒体政策预估表!A:N,MATCH(O4014,[1]媒体政策预估表!$A$2:$M$2,0),0)</f>
        <v>7.0000000000000007E-2</v>
      </c>
      <c r="AF4014" s="6">
        <f t="shared" si="621"/>
        <v>15562.617000000002</v>
      </c>
      <c r="AG4014" s="14">
        <v>0</v>
      </c>
      <c r="AH4014" s="65">
        <f t="shared" si="616"/>
        <v>222323.1</v>
      </c>
      <c r="AI4014" s="47"/>
      <c r="AJ4014" s="126" t="e">
        <v>#N/A</v>
      </c>
      <c r="AK4014" s="80">
        <f t="shared" si="619"/>
        <v>0</v>
      </c>
      <c r="AM4014" s="85"/>
    </row>
    <row r="4015" spans="1:39" hidden="1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13"/>
        <v>120000</v>
      </c>
      <c r="X4015" s="6">
        <f t="shared" si="614"/>
        <v>0</v>
      </c>
      <c r="Y4015" s="13">
        <f t="shared" si="617"/>
        <v>0</v>
      </c>
      <c r="Z4015" s="14">
        <v>0</v>
      </c>
      <c r="AA4015" s="6">
        <v>0</v>
      </c>
      <c r="AB4015" s="4">
        <f t="shared" si="618"/>
        <v>0</v>
      </c>
      <c r="AC4015" s="4">
        <f t="shared" si="620"/>
        <v>0</v>
      </c>
      <c r="AD4015" s="6">
        <f t="shared" si="615"/>
        <v>0</v>
      </c>
      <c r="AE4015" s="2">
        <f>VLOOKUP(I4015,[1]媒体政策预估表!A:N,MATCH(O4015,[1]媒体政策预估表!$A$2:$M$2,0),0)</f>
        <v>7.0000000000000007E-2</v>
      </c>
      <c r="AF4015" s="6">
        <f t="shared" si="621"/>
        <v>0</v>
      </c>
      <c r="AG4015" s="14">
        <v>0</v>
      </c>
      <c r="AH4015" s="65">
        <f t="shared" si="616"/>
        <v>0</v>
      </c>
      <c r="AI4015" s="47"/>
      <c r="AJ4015" s="126" t="e">
        <v>#N/A</v>
      </c>
      <c r="AK4015" s="80">
        <f t="shared" si="619"/>
        <v>0</v>
      </c>
      <c r="AM4015" s="85"/>
    </row>
    <row r="4016" spans="1:39" hidden="1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13"/>
        <v>2130000</v>
      </c>
      <c r="X4016" s="6">
        <f t="shared" si="614"/>
        <v>0</v>
      </c>
      <c r="Y4016" s="13">
        <f t="shared" si="617"/>
        <v>0</v>
      </c>
      <c r="Z4016" s="14">
        <v>0</v>
      </c>
      <c r="AA4016" s="6">
        <v>0</v>
      </c>
      <c r="AB4016" s="4">
        <f t="shared" si="618"/>
        <v>0</v>
      </c>
      <c r="AC4016" s="4">
        <f t="shared" si="620"/>
        <v>0</v>
      </c>
      <c r="AD4016" s="6">
        <f t="shared" si="615"/>
        <v>0</v>
      </c>
      <c r="AE4016" s="2">
        <f>VLOOKUP(I4016,[1]媒体政策预估表!A:N,MATCH(O4016,[1]媒体政策预估表!$A$2:$M$2,0),0)</f>
        <v>7.0000000000000007E-2</v>
      </c>
      <c r="AF4016" s="6">
        <f t="shared" si="621"/>
        <v>0</v>
      </c>
      <c r="AG4016" s="14">
        <v>0</v>
      </c>
      <c r="AH4016" s="65">
        <f t="shared" si="616"/>
        <v>0</v>
      </c>
      <c r="AI4016" s="47"/>
      <c r="AJ4016" s="126" t="e">
        <v>#N/A</v>
      </c>
      <c r="AK4016" s="80">
        <f t="shared" si="619"/>
        <v>0</v>
      </c>
      <c r="AM4016" s="85"/>
    </row>
    <row r="4017" spans="1:39" hidden="1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13"/>
        <v>11217.94</v>
      </c>
      <c r="X4017" s="6">
        <f t="shared" si="614"/>
        <v>13773.9</v>
      </c>
      <c r="Y4017" s="13">
        <f t="shared" si="617"/>
        <v>0</v>
      </c>
      <c r="Z4017" s="14">
        <v>0</v>
      </c>
      <c r="AA4017" s="6">
        <v>0</v>
      </c>
      <c r="AB4017" s="4">
        <f t="shared" si="618"/>
        <v>13773.9</v>
      </c>
      <c r="AC4017" s="4">
        <f t="shared" si="620"/>
        <v>0</v>
      </c>
      <c r="AD4017" s="6">
        <f t="shared" si="615"/>
        <v>13773.9</v>
      </c>
      <c r="AE4017" s="2">
        <f>VLOOKUP(I4017,[1]媒体政策预估表!A:N,MATCH(O4017,[1]媒体政策预估表!$A$2:$M$2,0),0)</f>
        <v>7.0000000000000007E-2</v>
      </c>
      <c r="AF4017" s="6">
        <f t="shared" si="621"/>
        <v>964.17300000000012</v>
      </c>
      <c r="AG4017" s="14">
        <v>0</v>
      </c>
      <c r="AH4017" s="65">
        <f t="shared" si="616"/>
        <v>13773.9</v>
      </c>
      <c r="AI4017" s="47"/>
      <c r="AJ4017" s="126" t="e">
        <v>#N/A</v>
      </c>
      <c r="AK4017" s="80">
        <f t="shared" si="619"/>
        <v>0</v>
      </c>
      <c r="AM4017" s="85"/>
    </row>
    <row r="4018" spans="1:39" hidden="1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13"/>
        <v>6.9300000322982669E-3</v>
      </c>
      <c r="X4018" s="6">
        <f t="shared" si="614"/>
        <v>0</v>
      </c>
      <c r="Y4018" s="13">
        <f t="shared" si="617"/>
        <v>0</v>
      </c>
      <c r="Z4018" s="14">
        <v>0</v>
      </c>
      <c r="AA4018" s="6">
        <v>0</v>
      </c>
      <c r="AB4018" s="4">
        <f t="shared" si="618"/>
        <v>0</v>
      </c>
      <c r="AC4018" s="4">
        <f t="shared" si="620"/>
        <v>0</v>
      </c>
      <c r="AD4018" s="6">
        <f t="shared" si="615"/>
        <v>0</v>
      </c>
      <c r="AE4018" s="2">
        <f>VLOOKUP(I4018,[1]媒体政策预估表!A:N,MATCH(O4018,[1]媒体政策预估表!$A$2:$M$2,0),0)</f>
        <v>7.0000000000000007E-2</v>
      </c>
      <c r="AF4018" s="6">
        <f t="shared" si="621"/>
        <v>0</v>
      </c>
      <c r="AG4018" s="14">
        <v>0</v>
      </c>
      <c r="AH4018" s="65">
        <f t="shared" si="616"/>
        <v>0</v>
      </c>
      <c r="AI4018" s="47"/>
      <c r="AJ4018" s="126" t="e">
        <v>#N/A</v>
      </c>
      <c r="AK4018" s="80">
        <f t="shared" si="619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13"/>
        <v>290630.18027999997</v>
      </c>
      <c r="X4019" s="6">
        <f t="shared" si="614"/>
        <v>4560419.62</v>
      </c>
      <c r="Y4019" s="13">
        <f t="shared" si="617"/>
        <v>0</v>
      </c>
      <c r="Z4019" s="14">
        <v>0</v>
      </c>
      <c r="AA4019" s="6">
        <v>0</v>
      </c>
      <c r="AB4019" s="4">
        <f t="shared" si="618"/>
        <v>4560419.62</v>
      </c>
      <c r="AC4019" s="4">
        <f t="shared" si="620"/>
        <v>0</v>
      </c>
      <c r="AD4019" s="6">
        <f t="shared" si="615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21"/>
        <v>319229.37340000004</v>
      </c>
      <c r="AG4019" s="14">
        <v>0</v>
      </c>
      <c r="AH4019" s="65">
        <f t="shared" si="616"/>
        <v>4560419.62</v>
      </c>
      <c r="AI4019" s="47"/>
      <c r="AJ4019" s="126" t="e">
        <v>#N/A</v>
      </c>
      <c r="AK4019" s="80">
        <f t="shared" si="619"/>
        <v>0</v>
      </c>
      <c r="AM4019" s="85"/>
    </row>
    <row r="4020" spans="1:39" hidden="1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13"/>
        <v>206438</v>
      </c>
      <c r="X4020" s="6">
        <f t="shared" si="614"/>
        <v>724293.1</v>
      </c>
      <c r="Y4020" s="13">
        <f t="shared" si="617"/>
        <v>0</v>
      </c>
      <c r="Z4020" s="14">
        <v>0</v>
      </c>
      <c r="AA4020" s="6">
        <v>0</v>
      </c>
      <c r="AB4020" s="4">
        <f t="shared" si="618"/>
        <v>724293.1</v>
      </c>
      <c r="AC4020" s="4">
        <f t="shared" si="620"/>
        <v>0</v>
      </c>
      <c r="AD4020" s="6">
        <f t="shared" si="615"/>
        <v>724293.1</v>
      </c>
      <c r="AE4020" s="2">
        <f>VLOOKUP(I4020,[1]媒体政策预估表!A:N,MATCH(O4020,[1]媒体政策预估表!$A$2:$M$2,0),0)</f>
        <v>7.0000000000000007E-2</v>
      </c>
      <c r="AF4020" s="6">
        <f t="shared" si="621"/>
        <v>50700.517</v>
      </c>
      <c r="AG4020" s="14">
        <v>0</v>
      </c>
      <c r="AH4020" s="65">
        <f t="shared" si="616"/>
        <v>724293.1</v>
      </c>
      <c r="AI4020" s="47"/>
      <c r="AJ4020" s="126" t="e">
        <v>#N/A</v>
      </c>
      <c r="AK4020" s="80">
        <f t="shared" si="619"/>
        <v>0</v>
      </c>
      <c r="AM4020" s="85"/>
    </row>
    <row r="4021" spans="1:39" hidden="1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13"/>
        <v>182941.30000000005</v>
      </c>
      <c r="X4021" s="6">
        <f t="shared" si="614"/>
        <v>652094.80000000005</v>
      </c>
      <c r="Y4021" s="13">
        <f t="shared" si="617"/>
        <v>0</v>
      </c>
      <c r="Z4021" s="14">
        <v>0</v>
      </c>
      <c r="AA4021" s="6">
        <v>0</v>
      </c>
      <c r="AB4021" s="4">
        <f t="shared" si="618"/>
        <v>652094.80000000005</v>
      </c>
      <c r="AC4021" s="4">
        <f t="shared" si="620"/>
        <v>0</v>
      </c>
      <c r="AD4021" s="6">
        <f t="shared" si="615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21"/>
        <v>45646.636000000006</v>
      </c>
      <c r="AG4021" s="14">
        <v>0</v>
      </c>
      <c r="AH4021" s="65">
        <f t="shared" si="616"/>
        <v>652094.80000000005</v>
      </c>
      <c r="AI4021" s="47"/>
      <c r="AJ4021" s="126" t="e">
        <v>#N/A</v>
      </c>
      <c r="AK4021" s="80">
        <f t="shared" si="619"/>
        <v>0</v>
      </c>
      <c r="AM4021" s="85"/>
    </row>
    <row r="4022" spans="1:39" hidden="1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13"/>
        <v>30032.000000000007</v>
      </c>
      <c r="X4022" s="6">
        <f t="shared" si="614"/>
        <v>34806.534653465344</v>
      </c>
      <c r="Y4022" s="13">
        <f t="shared" si="617"/>
        <v>0</v>
      </c>
      <c r="Z4022" s="14">
        <v>0</v>
      </c>
      <c r="AA4022" s="6">
        <v>0</v>
      </c>
      <c r="AB4022" s="4">
        <f t="shared" si="618"/>
        <v>34806.534653465344</v>
      </c>
      <c r="AC4022" s="4">
        <f t="shared" si="620"/>
        <v>348.06534653465496</v>
      </c>
      <c r="AD4022" s="6">
        <f t="shared" si="615"/>
        <v>35154.6</v>
      </c>
      <c r="AE4022" s="2">
        <f>VLOOKUP(I4022,[1]媒体政策预估表!A:N,MATCH(O4022,[1]媒体政策预估表!$A$2:$M$2,0),0)</f>
        <v>7.0000000000000007E-2</v>
      </c>
      <c r="AF4022" s="6">
        <f t="shared" si="621"/>
        <v>2460.8220000000001</v>
      </c>
      <c r="AG4022" s="14">
        <v>0</v>
      </c>
      <c r="AH4022" s="65">
        <f t="shared" si="616"/>
        <v>35154.6</v>
      </c>
      <c r="AI4022" s="47"/>
      <c r="AJ4022" s="126" t="e">
        <v>#N/A</v>
      </c>
      <c r="AK4022" s="80">
        <f t="shared" si="619"/>
        <v>0</v>
      </c>
      <c r="AM4022" s="85"/>
    </row>
    <row r="4023" spans="1:39" hidden="1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13"/>
        <v>26052.049999999988</v>
      </c>
      <c r="X4023" s="6">
        <f t="shared" si="614"/>
        <v>57361.76470588235</v>
      </c>
      <c r="Y4023" s="13">
        <f t="shared" si="617"/>
        <v>0</v>
      </c>
      <c r="Z4023" s="14">
        <v>0</v>
      </c>
      <c r="AA4023" s="6">
        <v>0</v>
      </c>
      <c r="AB4023" s="4">
        <f t="shared" si="618"/>
        <v>57361.76470588235</v>
      </c>
      <c r="AC4023" s="4">
        <f t="shared" si="620"/>
        <v>1147.2352941176505</v>
      </c>
      <c r="AD4023" s="6">
        <f t="shared" si="615"/>
        <v>58509</v>
      </c>
      <c r="AE4023" s="2">
        <f>VLOOKUP(I4023,[1]媒体政策预估表!A:N,MATCH(O4023,[1]媒体政策预估表!$A$2:$M$2,0),0)</f>
        <v>7.0000000000000007E-2</v>
      </c>
      <c r="AF4023" s="6">
        <f t="shared" si="621"/>
        <v>4095.6300000000006</v>
      </c>
      <c r="AG4023" s="14">
        <v>0</v>
      </c>
      <c r="AH4023" s="65">
        <f t="shared" si="616"/>
        <v>58509</v>
      </c>
      <c r="AI4023" s="47"/>
      <c r="AJ4023" s="126" t="e">
        <v>#N/A</v>
      </c>
      <c r="AK4023" s="80">
        <f t="shared" si="619"/>
        <v>0</v>
      </c>
      <c r="AM4023" s="85"/>
    </row>
    <row r="4024" spans="1:39" hidden="1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13"/>
        <v>18990</v>
      </c>
      <c r="X4024" s="6">
        <f t="shared" si="614"/>
        <v>1010</v>
      </c>
      <c r="Y4024" s="13">
        <f t="shared" si="617"/>
        <v>0</v>
      </c>
      <c r="Z4024" s="14">
        <v>0</v>
      </c>
      <c r="AA4024" s="6">
        <v>0</v>
      </c>
      <c r="AB4024" s="4">
        <f t="shared" si="618"/>
        <v>1010</v>
      </c>
      <c r="AC4024" s="4">
        <f t="shared" si="620"/>
        <v>0</v>
      </c>
      <c r="AD4024" s="6">
        <f t="shared" si="615"/>
        <v>1010</v>
      </c>
      <c r="AE4024" s="2">
        <f>VLOOKUP(I4024,[1]媒体政策预估表!A:N,MATCH(O4024,[1]媒体政策预估表!$A$2:$M$2,0),0)</f>
        <v>7.0000000000000007E-2</v>
      </c>
      <c r="AF4024" s="6">
        <f t="shared" si="621"/>
        <v>70.7</v>
      </c>
      <c r="AG4024" s="14">
        <v>0</v>
      </c>
      <c r="AH4024" s="65">
        <f t="shared" si="616"/>
        <v>1010</v>
      </c>
      <c r="AI4024" s="47"/>
      <c r="AJ4024" s="126" t="e">
        <v>#N/A</v>
      </c>
      <c r="AK4024" s="80">
        <f t="shared" si="619"/>
        <v>0</v>
      </c>
      <c r="AM4024" s="85"/>
    </row>
    <row r="4025" spans="1:39" hidden="1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13"/>
        <v>0</v>
      </c>
      <c r="X4025" s="6">
        <f t="shared" si="614"/>
        <v>19607.843137254902</v>
      </c>
      <c r="Y4025" s="13">
        <f t="shared" si="617"/>
        <v>0</v>
      </c>
      <c r="Z4025" s="14">
        <v>0</v>
      </c>
      <c r="AA4025" s="6">
        <v>0</v>
      </c>
      <c r="AB4025" s="4">
        <f t="shared" si="618"/>
        <v>19607.843137254902</v>
      </c>
      <c r="AC4025" s="4">
        <f t="shared" si="620"/>
        <v>392.1568627450979</v>
      </c>
      <c r="AD4025" s="6">
        <f t="shared" si="615"/>
        <v>20000</v>
      </c>
      <c r="AE4025" s="2">
        <f>VLOOKUP(I4025,[1]媒体政策预估表!A:N,MATCH(O4025,[1]媒体政策预估表!$A$2:$M$2,0),0)</f>
        <v>7.0000000000000007E-2</v>
      </c>
      <c r="AF4025" s="6">
        <f t="shared" si="621"/>
        <v>1400.0000000000002</v>
      </c>
      <c r="AG4025" s="14">
        <v>0</v>
      </c>
      <c r="AH4025" s="65">
        <f t="shared" si="616"/>
        <v>20000</v>
      </c>
      <c r="AI4025" s="47"/>
      <c r="AJ4025" s="126" t="e">
        <v>#N/A</v>
      </c>
      <c r="AK4025" s="80">
        <f t="shared" si="619"/>
        <v>0</v>
      </c>
      <c r="AM4025" s="85"/>
    </row>
    <row r="4026" spans="1:39" hidden="1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13"/>
        <v>3859.1100000000006</v>
      </c>
      <c r="X4026" s="6">
        <f t="shared" si="614"/>
        <v>40822.509803921566</v>
      </c>
      <c r="Y4026" s="13">
        <f t="shared" si="617"/>
        <v>0</v>
      </c>
      <c r="Z4026" s="14">
        <v>0</v>
      </c>
      <c r="AA4026" s="6">
        <v>0</v>
      </c>
      <c r="AB4026" s="4">
        <f t="shared" si="618"/>
        <v>40822.509803921566</v>
      </c>
      <c r="AC4026" s="4">
        <f t="shared" si="620"/>
        <v>816.45019607843278</v>
      </c>
      <c r="AD4026" s="6">
        <f t="shared" si="615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21"/>
        <v>2914.7272000000003</v>
      </c>
      <c r="AG4026" s="14">
        <v>0</v>
      </c>
      <c r="AH4026" s="65">
        <f t="shared" si="616"/>
        <v>41638.959999999999</v>
      </c>
      <c r="AI4026" s="47"/>
      <c r="AJ4026" s="126" t="e">
        <v>#N/A</v>
      </c>
      <c r="AK4026" s="80">
        <f t="shared" si="619"/>
        <v>0</v>
      </c>
      <c r="AM4026" s="85"/>
    </row>
    <row r="4027" spans="1:39" hidden="1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22">T4027+U4027-V4027</f>
        <v>945740.15580999991</v>
      </c>
      <c r="X4027" s="6">
        <f t="shared" ref="X4027:X4090" si="623">IF(P4027="折扣",V4027*Q4027,IF(P4027="返现",V4027,V4027/(1+Q4027)))</f>
        <v>892.35023529411762</v>
      </c>
      <c r="Y4027" s="13">
        <f t="shared" si="617"/>
        <v>0</v>
      </c>
      <c r="Z4027" s="14">
        <v>0</v>
      </c>
      <c r="AA4027" s="6">
        <v>0</v>
      </c>
      <c r="AB4027" s="4">
        <f t="shared" si="618"/>
        <v>892.35023529411762</v>
      </c>
      <c r="AC4027" s="4">
        <f t="shared" si="620"/>
        <v>17.847004705882341</v>
      </c>
      <c r="AD4027" s="6">
        <f t="shared" ref="AD4027:AD4090" si="624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21"/>
        <v>109.2236688</v>
      </c>
      <c r="AG4027" s="14">
        <v>0</v>
      </c>
      <c r="AH4027" s="65">
        <f t="shared" ref="AH4027:AH4090" si="625">V4027</f>
        <v>910.19723999999997</v>
      </c>
      <c r="AI4027" s="47"/>
      <c r="AJ4027" s="126" t="e">
        <v>#N/A</v>
      </c>
      <c r="AK4027" s="80">
        <f t="shared" si="619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22"/>
        <v>1745813.402569999</v>
      </c>
      <c r="X4028" s="6">
        <f t="shared" si="623"/>
        <v>5509597.453303922</v>
      </c>
      <c r="Y4028" s="13">
        <f t="shared" si="617"/>
        <v>0</v>
      </c>
      <c r="Z4028" s="14">
        <v>0</v>
      </c>
      <c r="AA4028" s="6">
        <v>0</v>
      </c>
      <c r="AB4028" s="4">
        <f t="shared" si="618"/>
        <v>5509597.453303922</v>
      </c>
      <c r="AC4028" s="4">
        <f t="shared" si="620"/>
        <v>110191.94906607829</v>
      </c>
      <c r="AD4028" s="6">
        <f t="shared" si="624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21"/>
        <v>393385.25816590007</v>
      </c>
      <c r="AG4028" s="14">
        <v>0</v>
      </c>
      <c r="AH4028" s="65">
        <f t="shared" si="625"/>
        <v>5619789.4023700003</v>
      </c>
      <c r="AI4028" s="47"/>
      <c r="AJ4028" s="126" t="e">
        <v>#N/A</v>
      </c>
      <c r="AK4028" s="80">
        <f t="shared" si="619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22"/>
        <v>112050.90500000004</v>
      </c>
      <c r="X4029" s="6">
        <f t="shared" si="623"/>
        <v>124883.53921568628</v>
      </c>
      <c r="Y4029" s="13">
        <f t="shared" si="617"/>
        <v>0</v>
      </c>
      <c r="Z4029" s="14">
        <v>0</v>
      </c>
      <c r="AA4029" s="6">
        <v>0</v>
      </c>
      <c r="AB4029" s="4">
        <f t="shared" si="618"/>
        <v>124883.53921568628</v>
      </c>
      <c r="AC4029" s="4">
        <f t="shared" si="620"/>
        <v>2497.6707843137265</v>
      </c>
      <c r="AD4029" s="6">
        <f t="shared" si="624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21"/>
        <v>8916.6847000000016</v>
      </c>
      <c r="AG4029" s="14">
        <v>0</v>
      </c>
      <c r="AH4029" s="65">
        <f t="shared" si="625"/>
        <v>127381.21</v>
      </c>
      <c r="AI4029" s="47"/>
      <c r="AJ4029" s="126" t="e">
        <v>#N/A</v>
      </c>
      <c r="AK4029" s="80">
        <f t="shared" si="619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22"/>
        <v>2746.8399999999965</v>
      </c>
      <c r="X4030" s="6">
        <f t="shared" si="623"/>
        <v>47749.598039215685</v>
      </c>
      <c r="Y4030" s="13">
        <f t="shared" si="617"/>
        <v>0</v>
      </c>
      <c r="Z4030" s="14">
        <v>0</v>
      </c>
      <c r="AA4030" s="6">
        <v>0</v>
      </c>
      <c r="AB4030" s="4">
        <f t="shared" si="618"/>
        <v>47749.598039215685</v>
      </c>
      <c r="AC4030" s="4">
        <f t="shared" si="620"/>
        <v>954.99196078431123</v>
      </c>
      <c r="AD4030" s="6">
        <f t="shared" si="624"/>
        <v>48704.59</v>
      </c>
      <c r="AE4030" s="2">
        <f>VLOOKUP(I4030,[1]媒体政策预估表!A:N,MATCH(O4030,[1]媒体政策预估表!$A$2:$M$2,0),0)</f>
        <v>7.0000000000000007E-2</v>
      </c>
      <c r="AF4030" s="6">
        <f t="shared" si="621"/>
        <v>3409.3213000000001</v>
      </c>
      <c r="AG4030" s="14">
        <v>0</v>
      </c>
      <c r="AH4030" s="65">
        <f t="shared" si="625"/>
        <v>48704.59</v>
      </c>
      <c r="AI4030" s="47"/>
      <c r="AJ4030" s="126" t="e">
        <v>#N/A</v>
      </c>
      <c r="AK4030" s="80">
        <f t="shared" si="619"/>
        <v>0</v>
      </c>
      <c r="AM4030" s="85"/>
    </row>
    <row r="4031" spans="1:39" hidden="1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22"/>
        <v>38654.340000000011</v>
      </c>
      <c r="X4031" s="6">
        <f t="shared" si="623"/>
        <v>11346.862745098038</v>
      </c>
      <c r="Y4031" s="13">
        <f t="shared" si="617"/>
        <v>0</v>
      </c>
      <c r="Z4031" s="14">
        <v>0</v>
      </c>
      <c r="AA4031" s="6">
        <v>0</v>
      </c>
      <c r="AB4031" s="4">
        <f t="shared" si="618"/>
        <v>11346.862745098038</v>
      </c>
      <c r="AC4031" s="4">
        <f t="shared" si="620"/>
        <v>226.93725490196084</v>
      </c>
      <c r="AD4031" s="6">
        <f t="shared" si="624"/>
        <v>11573.8</v>
      </c>
      <c r="AE4031" s="2">
        <f>VLOOKUP(I4031,[1]媒体政策预估表!A:N,MATCH(O4031,[1]媒体政策预估表!$A$2:$M$2,0),0)</f>
        <v>7.0000000000000007E-2</v>
      </c>
      <c r="AF4031" s="6">
        <f t="shared" si="621"/>
        <v>810.16600000000005</v>
      </c>
      <c r="AG4031" s="14">
        <v>0</v>
      </c>
      <c r="AH4031" s="65">
        <f t="shared" si="625"/>
        <v>11573.8</v>
      </c>
      <c r="AI4031" s="47"/>
      <c r="AJ4031" s="126" t="e">
        <v>#N/A</v>
      </c>
      <c r="AK4031" s="80">
        <f t="shared" si="619"/>
        <v>0</v>
      </c>
      <c r="AM4031" s="85"/>
    </row>
    <row r="4032" spans="1:39" hidden="1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22"/>
        <v>46136.100000000006</v>
      </c>
      <c r="X4032" s="6">
        <f t="shared" si="623"/>
        <v>99849</v>
      </c>
      <c r="Y4032" s="13">
        <f t="shared" si="617"/>
        <v>0</v>
      </c>
      <c r="Z4032" s="14">
        <v>0</v>
      </c>
      <c r="AA4032" s="6">
        <v>0</v>
      </c>
      <c r="AB4032" s="4">
        <f t="shared" si="618"/>
        <v>99849</v>
      </c>
      <c r="AC4032" s="4">
        <f t="shared" si="620"/>
        <v>0</v>
      </c>
      <c r="AD4032" s="6">
        <f t="shared" si="624"/>
        <v>99849</v>
      </c>
      <c r="AE4032" s="2">
        <f>VLOOKUP(I4032,[1]媒体政策预估表!A:N,MATCH(O4032,[1]媒体政策预估表!$A$2:$M$2,0),0)</f>
        <v>7.0000000000000007E-2</v>
      </c>
      <c r="AF4032" s="6">
        <f t="shared" si="621"/>
        <v>6989.43</v>
      </c>
      <c r="AG4032" s="14">
        <v>0</v>
      </c>
      <c r="AH4032" s="65">
        <f t="shared" si="625"/>
        <v>99849</v>
      </c>
      <c r="AI4032" s="47"/>
      <c r="AJ4032" s="126" t="e">
        <v>#N/A</v>
      </c>
      <c r="AK4032" s="80">
        <f t="shared" si="619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22"/>
        <v>8519</v>
      </c>
      <c r="X4033" s="6">
        <f t="shared" si="623"/>
        <v>60752.941176470587</v>
      </c>
      <c r="Y4033" s="13">
        <f t="shared" si="617"/>
        <v>0</v>
      </c>
      <c r="Z4033" s="14">
        <v>0</v>
      </c>
      <c r="AA4033" s="6">
        <v>0</v>
      </c>
      <c r="AB4033" s="4">
        <f t="shared" si="618"/>
        <v>60752.941176470587</v>
      </c>
      <c r="AC4033" s="4">
        <f t="shared" si="620"/>
        <v>1215.0588235294126</v>
      </c>
      <c r="AD4033" s="6">
        <f t="shared" si="624"/>
        <v>61968</v>
      </c>
      <c r="AE4033" s="2">
        <f>VLOOKUP(I4033,[1]媒体政策预估表!A:N,MATCH(O4033,[1]媒体政策预估表!$A$2:$M$2,0),0)</f>
        <v>7.0000000000000007E-2</v>
      </c>
      <c r="AF4033" s="6">
        <f t="shared" si="621"/>
        <v>4337.76</v>
      </c>
      <c r="AG4033" s="14">
        <v>0</v>
      </c>
      <c r="AH4033" s="65">
        <f t="shared" si="625"/>
        <v>61968</v>
      </c>
      <c r="AI4033" s="47"/>
      <c r="AJ4033" s="126" t="e">
        <v>#N/A</v>
      </c>
      <c r="AK4033" s="80">
        <f t="shared" si="619"/>
        <v>0</v>
      </c>
      <c r="AM4033" s="85"/>
    </row>
    <row r="4034" spans="1:39" hidden="1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22"/>
        <v>36719.149999999994</v>
      </c>
      <c r="X4034" s="6">
        <f t="shared" si="623"/>
        <v>114000.78431372551</v>
      </c>
      <c r="Y4034" s="13">
        <f t="shared" si="617"/>
        <v>0</v>
      </c>
      <c r="Z4034" s="14">
        <v>0</v>
      </c>
      <c r="AA4034" s="6">
        <v>0</v>
      </c>
      <c r="AB4034" s="4">
        <f t="shared" si="618"/>
        <v>114000.78431372551</v>
      </c>
      <c r="AC4034" s="4">
        <f t="shared" si="620"/>
        <v>2280.0156862745062</v>
      </c>
      <c r="AD4034" s="6">
        <f t="shared" si="624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21"/>
        <v>8139.6560000000018</v>
      </c>
      <c r="AG4034" s="14">
        <v>0</v>
      </c>
      <c r="AH4034" s="65">
        <f t="shared" si="625"/>
        <v>116280.80000000002</v>
      </c>
      <c r="AI4034" s="47"/>
      <c r="AJ4034" s="126" t="e">
        <v>#N/A</v>
      </c>
      <c r="AK4034" s="80">
        <f t="shared" si="619"/>
        <v>0</v>
      </c>
      <c r="AM4034" s="85"/>
    </row>
    <row r="4035" spans="1:39" hidden="1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22"/>
        <v>7699.8000000000029</v>
      </c>
      <c r="X4035" s="6">
        <f t="shared" si="623"/>
        <v>62416.5</v>
      </c>
      <c r="Y4035" s="13">
        <f t="shared" ref="Y4035:Y4098" si="626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27">X4035+AA4035</f>
        <v>62416.5</v>
      </c>
      <c r="AC4035" s="4">
        <f t="shared" si="620"/>
        <v>0</v>
      </c>
      <c r="AD4035" s="6">
        <f t="shared" si="624"/>
        <v>62416.5</v>
      </c>
      <c r="AE4035" s="2">
        <f>VLOOKUP(I4035,[1]媒体政策预估表!A:N,MATCH(O4035,[1]媒体政策预估表!$A$2:$M$2,0),0)</f>
        <v>7.0000000000000007E-2</v>
      </c>
      <c r="AF4035" s="6">
        <f t="shared" si="621"/>
        <v>4369.1550000000007</v>
      </c>
      <c r="AG4035" s="14">
        <v>0</v>
      </c>
      <c r="AH4035" s="65">
        <f t="shared" si="625"/>
        <v>62416.5</v>
      </c>
      <c r="AI4035" s="47"/>
      <c r="AJ4035" s="126" t="e">
        <v>#N/A</v>
      </c>
      <c r="AK4035" s="80">
        <f t="shared" ref="AK4035:AK4098" si="628">X4035+AA4035-AB4035</f>
        <v>0</v>
      </c>
      <c r="AM4035" s="85"/>
    </row>
    <row r="4036" spans="1:39" hidden="1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22"/>
        <v>36834.6</v>
      </c>
      <c r="X4036" s="6">
        <f t="shared" si="623"/>
        <v>53165.4</v>
      </c>
      <c r="Y4036" s="13">
        <f t="shared" si="626"/>
        <v>0</v>
      </c>
      <c r="Z4036" s="14">
        <v>0</v>
      </c>
      <c r="AA4036" s="6">
        <v>0</v>
      </c>
      <c r="AB4036" s="4">
        <f t="shared" si="627"/>
        <v>53165.4</v>
      </c>
      <c r="AC4036" s="4">
        <f t="shared" si="620"/>
        <v>0</v>
      </c>
      <c r="AD4036" s="6">
        <f t="shared" si="624"/>
        <v>53165.4</v>
      </c>
      <c r="AE4036" s="2">
        <f>VLOOKUP(I4036,[1]媒体政策预估表!A:N,MATCH(O4036,[1]媒体政策预估表!$A$2:$M$2,0),0)</f>
        <v>7.0000000000000007E-2</v>
      </c>
      <c r="AF4036" s="6">
        <f t="shared" si="621"/>
        <v>3721.5780000000004</v>
      </c>
      <c r="AG4036" s="14">
        <v>0</v>
      </c>
      <c r="AH4036" s="65">
        <f t="shared" si="625"/>
        <v>53165.4</v>
      </c>
      <c r="AI4036" s="47"/>
      <c r="AJ4036" s="126" t="e">
        <v>#N/A</v>
      </c>
      <c r="AK4036" s="80">
        <f t="shared" si="628"/>
        <v>0</v>
      </c>
      <c r="AM4036" s="85"/>
    </row>
    <row r="4037" spans="1:39" hidden="1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22"/>
        <v>7705.2399999999907</v>
      </c>
      <c r="X4037" s="6">
        <f t="shared" si="623"/>
        <v>86085.66</v>
      </c>
      <c r="Y4037" s="13">
        <f t="shared" si="626"/>
        <v>0</v>
      </c>
      <c r="Z4037" s="14">
        <v>0</v>
      </c>
      <c r="AA4037" s="6">
        <v>0</v>
      </c>
      <c r="AB4037" s="4">
        <f t="shared" si="627"/>
        <v>86085.66</v>
      </c>
      <c r="AC4037" s="4">
        <f t="shared" si="620"/>
        <v>0</v>
      </c>
      <c r="AD4037" s="6">
        <f t="shared" si="624"/>
        <v>86085.66</v>
      </c>
      <c r="AE4037" s="2">
        <f>VLOOKUP(I4037,[1]媒体政策预估表!A:N,MATCH(O4037,[1]媒体政策预估表!$A$2:$M$2,0),0)</f>
        <v>7.0000000000000007E-2</v>
      </c>
      <c r="AF4037" s="6">
        <f t="shared" si="621"/>
        <v>6025.9962000000005</v>
      </c>
      <c r="AG4037" s="14">
        <v>0</v>
      </c>
      <c r="AH4037" s="65">
        <f t="shared" si="625"/>
        <v>86085.66</v>
      </c>
      <c r="AI4037" s="47"/>
      <c r="AJ4037" s="126" t="e">
        <v>#N/A</v>
      </c>
      <c r="AK4037" s="80">
        <f t="shared" si="628"/>
        <v>0</v>
      </c>
      <c r="AM4037" s="85"/>
    </row>
    <row r="4038" spans="1:39" hidden="1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22"/>
        <v>8375.9900100000086</v>
      </c>
      <c r="X4038" s="6">
        <f t="shared" si="623"/>
        <v>207529.4</v>
      </c>
      <c r="Y4038" s="13">
        <f t="shared" si="626"/>
        <v>0</v>
      </c>
      <c r="Z4038" s="14">
        <v>0</v>
      </c>
      <c r="AA4038" s="6">
        <v>0</v>
      </c>
      <c r="AB4038" s="4">
        <f t="shared" si="627"/>
        <v>207529.4</v>
      </c>
      <c r="AC4038" s="4">
        <f t="shared" si="620"/>
        <v>0</v>
      </c>
      <c r="AD4038" s="6">
        <f t="shared" si="624"/>
        <v>207529.4</v>
      </c>
      <c r="AE4038" s="2">
        <f>VLOOKUP(I4038,[1]媒体政策预估表!A:N,MATCH(O4038,[1]媒体政策预估表!$A$2:$M$2,0),0)</f>
        <v>7.0000000000000007E-2</v>
      </c>
      <c r="AF4038" s="6">
        <f t="shared" si="621"/>
        <v>14527.058000000001</v>
      </c>
      <c r="AG4038" s="14">
        <v>0</v>
      </c>
      <c r="AH4038" s="65">
        <f t="shared" si="625"/>
        <v>207529.4</v>
      </c>
      <c r="AI4038" s="47"/>
      <c r="AJ4038" s="126" t="e">
        <v>#N/A</v>
      </c>
      <c r="AK4038" s="80">
        <f t="shared" si="628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22"/>
        <v>1447976.7</v>
      </c>
      <c r="X4039" s="6">
        <f t="shared" si="623"/>
        <v>107154.1</v>
      </c>
      <c r="Y4039" s="13">
        <f t="shared" si="626"/>
        <v>0</v>
      </c>
      <c r="Z4039" s="14">
        <v>0</v>
      </c>
      <c r="AA4039" s="6">
        <v>0</v>
      </c>
      <c r="AB4039" s="4">
        <f t="shared" si="627"/>
        <v>107154.1</v>
      </c>
      <c r="AC4039" s="4">
        <f t="shared" si="620"/>
        <v>0</v>
      </c>
      <c r="AD4039" s="6">
        <f t="shared" si="624"/>
        <v>107154.1</v>
      </c>
      <c r="AE4039" s="2">
        <f>VLOOKUP(I4039,[1]媒体政策预估表!A:N,MATCH(O4039,[1]媒体政策预估表!$A$2:$M$2,0),0)</f>
        <v>7.0000000000000007E-2</v>
      </c>
      <c r="AF4039" s="6">
        <f t="shared" si="621"/>
        <v>7500.7870000000012</v>
      </c>
      <c r="AG4039" s="14">
        <v>0</v>
      </c>
      <c r="AH4039" s="65">
        <f t="shared" si="625"/>
        <v>107154.1</v>
      </c>
      <c r="AI4039" s="47"/>
      <c r="AJ4039" s="126" t="e">
        <v>#N/A</v>
      </c>
      <c r="AK4039" s="80">
        <f t="shared" si="628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22"/>
        <v>843.20000000000073</v>
      </c>
      <c r="X4040" s="6">
        <f t="shared" si="623"/>
        <v>19156.8</v>
      </c>
      <c r="Y4040" s="13">
        <f t="shared" si="626"/>
        <v>0</v>
      </c>
      <c r="Z4040" s="14">
        <v>0</v>
      </c>
      <c r="AA4040" s="6">
        <v>0</v>
      </c>
      <c r="AB4040" s="4">
        <f t="shared" si="627"/>
        <v>19156.8</v>
      </c>
      <c r="AC4040" s="4">
        <f t="shared" si="620"/>
        <v>0</v>
      </c>
      <c r="AD4040" s="6">
        <f t="shared" si="624"/>
        <v>19156.8</v>
      </c>
      <c r="AE4040" s="2">
        <f>VLOOKUP(I4040,[1]媒体政策预估表!A:N,MATCH(O4040,[1]媒体政策预估表!$A$2:$M$2,0),0)</f>
        <v>7.0000000000000007E-2</v>
      </c>
      <c r="AF4040" s="6">
        <f t="shared" si="621"/>
        <v>1340.9760000000001</v>
      </c>
      <c r="AG4040" s="14">
        <v>0</v>
      </c>
      <c r="AH4040" s="65">
        <f t="shared" si="625"/>
        <v>19156.8</v>
      </c>
      <c r="AI4040" s="47"/>
      <c r="AJ4040" s="126" t="e">
        <v>#N/A</v>
      </c>
      <c r="AK4040" s="80">
        <f t="shared" si="628"/>
        <v>0</v>
      </c>
      <c r="AM4040" s="85"/>
    </row>
    <row r="4041" spans="1:39" hidden="1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22"/>
        <v>0</v>
      </c>
      <c r="X4041" s="6">
        <f t="shared" si="623"/>
        <v>500000</v>
      </c>
      <c r="Y4041" s="13">
        <f t="shared" si="626"/>
        <v>0</v>
      </c>
      <c r="Z4041" s="14">
        <v>0</v>
      </c>
      <c r="AA4041" s="6">
        <v>0</v>
      </c>
      <c r="AB4041" s="4">
        <f t="shared" si="627"/>
        <v>500000</v>
      </c>
      <c r="AC4041" s="4">
        <f t="shared" si="620"/>
        <v>0</v>
      </c>
      <c r="AD4041" s="6">
        <f t="shared" si="624"/>
        <v>500000</v>
      </c>
      <c r="AE4041" s="2">
        <f>VLOOKUP(I4041,[1]媒体政策预估表!A:N,MATCH(O4041,[1]媒体政策预估表!$A$2:$M$2,0),0)</f>
        <v>0.02</v>
      </c>
      <c r="AF4041" s="6">
        <f t="shared" si="621"/>
        <v>10000</v>
      </c>
      <c r="AG4041" s="14">
        <v>0</v>
      </c>
      <c r="AH4041" s="65">
        <f t="shared" si="625"/>
        <v>500000</v>
      </c>
      <c r="AI4041" s="47"/>
      <c r="AJ4041" s="126" t="e">
        <v>#N/A</v>
      </c>
      <c r="AK4041" s="80">
        <f t="shared" si="628"/>
        <v>0</v>
      </c>
      <c r="AM4041" s="85"/>
    </row>
    <row r="4042" spans="1:39" hidden="1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22"/>
        <v>18834.5</v>
      </c>
      <c r="X4042" s="6">
        <f t="shared" si="623"/>
        <v>1165.5</v>
      </c>
      <c r="Y4042" s="13">
        <f t="shared" si="626"/>
        <v>0</v>
      </c>
      <c r="Z4042" s="14">
        <v>0</v>
      </c>
      <c r="AA4042" s="6">
        <v>0</v>
      </c>
      <c r="AB4042" s="4">
        <f t="shared" si="627"/>
        <v>1165.5</v>
      </c>
      <c r="AC4042" s="4">
        <f t="shared" si="620"/>
        <v>0</v>
      </c>
      <c r="AD4042" s="6">
        <f t="shared" si="624"/>
        <v>1165.5</v>
      </c>
      <c r="AE4042" s="2">
        <f>VLOOKUP(I4042,[1]媒体政策预估表!A:N,MATCH(O4042,[1]媒体政策预估表!$A$2:$M$2,0),0)</f>
        <v>7.0000000000000007E-2</v>
      </c>
      <c r="AF4042" s="6">
        <f t="shared" si="621"/>
        <v>81.585000000000008</v>
      </c>
      <c r="AG4042" s="14">
        <v>0</v>
      </c>
      <c r="AH4042" s="65">
        <f t="shared" si="625"/>
        <v>1165.5</v>
      </c>
      <c r="AI4042" s="47"/>
      <c r="AJ4042" s="126" t="e">
        <v>#N/A</v>
      </c>
      <c r="AK4042" s="80">
        <f t="shared" si="628"/>
        <v>0</v>
      </c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22"/>
        <v>0</v>
      </c>
      <c r="X4043" s="6">
        <f t="shared" si="623"/>
        <v>50000</v>
      </c>
      <c r="Y4043" s="13">
        <f t="shared" si="626"/>
        <v>0</v>
      </c>
      <c r="Z4043" s="14">
        <v>0</v>
      </c>
      <c r="AA4043" s="6">
        <v>0</v>
      </c>
      <c r="AB4043" s="4">
        <f t="shared" si="627"/>
        <v>50000</v>
      </c>
      <c r="AC4043" s="4">
        <f t="shared" si="620"/>
        <v>0</v>
      </c>
      <c r="AD4043" s="6">
        <f t="shared" si="624"/>
        <v>50000</v>
      </c>
      <c r="AE4043" s="2">
        <f>VLOOKUP(I4043,[1]媒体政策预估表!A:N,MATCH(O4043,[1]媒体政策预估表!$A$2:$M$2,0),0)</f>
        <v>7.0000000000000007E-2</v>
      </c>
      <c r="AF4043" s="6">
        <f t="shared" si="621"/>
        <v>3500.0000000000005</v>
      </c>
      <c r="AG4043" s="14">
        <v>0</v>
      </c>
      <c r="AH4043" s="65">
        <f t="shared" si="625"/>
        <v>50000</v>
      </c>
      <c r="AI4043" s="47"/>
      <c r="AJ4043" s="126" t="e">
        <v>#N/A</v>
      </c>
      <c r="AK4043" s="80">
        <f t="shared" si="628"/>
        <v>0</v>
      </c>
      <c r="AM4043" s="85"/>
    </row>
    <row r="4044" spans="1:39" hidden="1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22"/>
        <v>20000</v>
      </c>
      <c r="X4044" s="6">
        <f t="shared" si="623"/>
        <v>0</v>
      </c>
      <c r="Y4044" s="13">
        <f t="shared" si="626"/>
        <v>0</v>
      </c>
      <c r="Z4044" s="14">
        <v>0</v>
      </c>
      <c r="AA4044" s="6">
        <v>0</v>
      </c>
      <c r="AB4044" s="4">
        <f t="shared" si="627"/>
        <v>0</v>
      </c>
      <c r="AC4044" s="4">
        <f t="shared" ref="AC4044:AC4107" si="629">IF(P4044="返现",X4044*Q4044,V4044-X4044)</f>
        <v>0</v>
      </c>
      <c r="AD4044" s="6">
        <f t="shared" si="624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30">AD4044*AE4044</f>
        <v>0</v>
      </c>
      <c r="AG4044" s="14">
        <v>0</v>
      </c>
      <c r="AH4044" s="65">
        <f t="shared" si="625"/>
        <v>0</v>
      </c>
      <c r="AI4044" s="47"/>
      <c r="AJ4044" s="126" t="e">
        <v>#N/A</v>
      </c>
      <c r="AK4044" s="80">
        <f t="shared" si="628"/>
        <v>0</v>
      </c>
      <c r="AM4044" s="85"/>
    </row>
    <row r="4045" spans="1:39" hidden="1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22"/>
        <v>7798.4000400000077</v>
      </c>
      <c r="X4045" s="6">
        <f t="shared" si="623"/>
        <v>178684</v>
      </c>
      <c r="Y4045" s="13">
        <f t="shared" si="626"/>
        <v>0</v>
      </c>
      <c r="Z4045" s="14">
        <v>0</v>
      </c>
      <c r="AA4045" s="6">
        <v>0</v>
      </c>
      <c r="AB4045" s="4">
        <f t="shared" si="627"/>
        <v>178684</v>
      </c>
      <c r="AC4045" s="4">
        <f t="shared" si="629"/>
        <v>0</v>
      </c>
      <c r="AD4045" s="6">
        <f t="shared" si="624"/>
        <v>178684</v>
      </c>
      <c r="AE4045" s="2">
        <f>VLOOKUP(I4045,[1]媒体政策预估表!A:N,MATCH(O4045,[1]媒体政策预估表!$A$2:$M$2,0),0)</f>
        <v>7.0000000000000007E-2</v>
      </c>
      <c r="AF4045" s="6">
        <f t="shared" si="630"/>
        <v>12507.880000000001</v>
      </c>
      <c r="AG4045" s="14">
        <v>0</v>
      </c>
      <c r="AH4045" s="65">
        <f t="shared" si="625"/>
        <v>178684</v>
      </c>
      <c r="AI4045" s="47"/>
      <c r="AJ4045" s="126" t="e">
        <v>#N/A</v>
      </c>
      <c r="AK4045" s="80">
        <f t="shared" si="628"/>
        <v>0</v>
      </c>
      <c r="AM4045" s="85"/>
    </row>
    <row r="4046" spans="1:39" hidden="1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22"/>
        <v>4631660.2436700007</v>
      </c>
      <c r="X4046" s="6">
        <f t="shared" si="623"/>
        <v>503657.90633999999</v>
      </c>
      <c r="Y4046" s="13">
        <f t="shared" si="626"/>
        <v>0</v>
      </c>
      <c r="Z4046" s="14">
        <v>0</v>
      </c>
      <c r="AA4046" s="6">
        <v>0</v>
      </c>
      <c r="AB4046" s="4">
        <f t="shared" si="627"/>
        <v>503657.90633999999</v>
      </c>
      <c r="AC4046" s="4">
        <f t="shared" si="629"/>
        <v>0</v>
      </c>
      <c r="AD4046" s="6">
        <f t="shared" si="624"/>
        <v>503657.90633999999</v>
      </c>
      <c r="AE4046" s="2">
        <f>VLOOKUP(I4046,[1]媒体政策预估表!A:N,MATCH(O4046,[1]媒体政策预估表!$A$2:$M$2,0),0)</f>
        <v>0.02</v>
      </c>
      <c r="AF4046" s="6">
        <f t="shared" si="630"/>
        <v>10073.158126799999</v>
      </c>
      <c r="AG4046" s="14">
        <v>0</v>
      </c>
      <c r="AH4046" s="65">
        <f t="shared" si="625"/>
        <v>503657.90633999999</v>
      </c>
      <c r="AI4046" s="47"/>
      <c r="AJ4046" s="126" t="e">
        <v>#N/A</v>
      </c>
      <c r="AK4046" s="80">
        <f t="shared" si="628"/>
        <v>0</v>
      </c>
      <c r="AM4046" s="85"/>
    </row>
    <row r="4047" spans="1:39" hidden="1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22"/>
        <v>62911.080000000075</v>
      </c>
      <c r="X4047" s="6">
        <f t="shared" si="623"/>
        <v>551916.69999999995</v>
      </c>
      <c r="Y4047" s="13">
        <f t="shared" si="626"/>
        <v>0</v>
      </c>
      <c r="Z4047" s="14">
        <v>0</v>
      </c>
      <c r="AA4047" s="6">
        <v>0</v>
      </c>
      <c r="AB4047" s="4">
        <f t="shared" si="627"/>
        <v>551916.69999999995</v>
      </c>
      <c r="AC4047" s="4">
        <f t="shared" si="629"/>
        <v>0</v>
      </c>
      <c r="AD4047" s="6">
        <f t="shared" si="624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30"/>
        <v>38634.169000000002</v>
      </c>
      <c r="AG4047" s="14">
        <v>0</v>
      </c>
      <c r="AH4047" s="65">
        <f t="shared" si="625"/>
        <v>551916.69999999995</v>
      </c>
      <c r="AI4047" s="47"/>
      <c r="AJ4047" s="126" t="e">
        <v>#N/A</v>
      </c>
      <c r="AK4047" s="80">
        <f t="shared" si="628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22"/>
        <v>38316.100000000006</v>
      </c>
      <c r="X4048" s="6">
        <f t="shared" si="623"/>
        <v>56777.7</v>
      </c>
      <c r="Y4048" s="13">
        <f t="shared" si="626"/>
        <v>0</v>
      </c>
      <c r="Z4048" s="14">
        <v>0</v>
      </c>
      <c r="AA4048" s="6">
        <v>0</v>
      </c>
      <c r="AB4048" s="4">
        <f t="shared" si="627"/>
        <v>56777.7</v>
      </c>
      <c r="AC4048" s="4">
        <f t="shared" si="629"/>
        <v>0</v>
      </c>
      <c r="AD4048" s="6">
        <f t="shared" si="624"/>
        <v>56777.7</v>
      </c>
      <c r="AE4048" s="2">
        <f>VLOOKUP(I4048,[1]媒体政策预估表!A:N,MATCH(O4048,[1]媒体政策预估表!$A$2:$M$2,0),0)</f>
        <v>7.0000000000000007E-2</v>
      </c>
      <c r="AF4048" s="6">
        <f t="shared" si="630"/>
        <v>3974.4390000000003</v>
      </c>
      <c r="AG4048" s="14">
        <v>0</v>
      </c>
      <c r="AH4048" s="65">
        <f t="shared" si="625"/>
        <v>56777.7</v>
      </c>
      <c r="AI4048" s="47"/>
      <c r="AJ4048" s="126" t="e">
        <v>#N/A</v>
      </c>
      <c r="AK4048" s="80">
        <f t="shared" si="628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22"/>
        <v>0</v>
      </c>
      <c r="X4049" s="6">
        <f t="shared" si="623"/>
        <v>13769.7</v>
      </c>
      <c r="Y4049" s="13">
        <f t="shared" si="626"/>
        <v>0</v>
      </c>
      <c r="Z4049" s="14">
        <v>0</v>
      </c>
      <c r="AA4049" s="6">
        <v>0</v>
      </c>
      <c r="AB4049" s="4">
        <f t="shared" si="627"/>
        <v>13769.7</v>
      </c>
      <c r="AC4049" s="4">
        <f t="shared" si="629"/>
        <v>0</v>
      </c>
      <c r="AD4049" s="6">
        <f t="shared" si="624"/>
        <v>13769.7</v>
      </c>
      <c r="AE4049" s="2">
        <f>VLOOKUP(I4049,[1]媒体政策预估表!A:N,MATCH(O4049,[1]媒体政策预估表!$A$2:$M$2,0),0)</f>
        <v>7.0000000000000007E-2</v>
      </c>
      <c r="AF4049" s="6">
        <f t="shared" si="630"/>
        <v>963.87900000000013</v>
      </c>
      <c r="AG4049" s="14">
        <v>0</v>
      </c>
      <c r="AH4049" s="65">
        <f t="shared" si="625"/>
        <v>13769.7</v>
      </c>
      <c r="AI4049" s="47"/>
      <c r="AJ4049" s="126" t="e">
        <v>#N/A</v>
      </c>
      <c r="AK4049" s="80">
        <f t="shared" si="628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22"/>
        <v>2517.3000000000002</v>
      </c>
      <c r="X4050" s="6">
        <f t="shared" si="623"/>
        <v>7482.7</v>
      </c>
      <c r="Y4050" s="13">
        <f t="shared" si="626"/>
        <v>0</v>
      </c>
      <c r="Z4050" s="14">
        <v>0</v>
      </c>
      <c r="AA4050" s="6">
        <v>0</v>
      </c>
      <c r="AB4050" s="4">
        <f t="shared" si="627"/>
        <v>7482.7</v>
      </c>
      <c r="AC4050" s="4">
        <f t="shared" si="629"/>
        <v>0</v>
      </c>
      <c r="AD4050" s="6">
        <f t="shared" si="624"/>
        <v>7482.7</v>
      </c>
      <c r="AE4050" s="2">
        <f>VLOOKUP(I4050,[1]媒体政策预估表!A:N,MATCH(O4050,[1]媒体政策预估表!$A$2:$M$2,0),0)</f>
        <v>7.0000000000000007E-2</v>
      </c>
      <c r="AF4050" s="6">
        <f t="shared" si="630"/>
        <v>523.78899999999999</v>
      </c>
      <c r="AG4050" s="14">
        <v>0</v>
      </c>
      <c r="AH4050" s="65">
        <f t="shared" si="625"/>
        <v>7482.7</v>
      </c>
      <c r="AI4050" s="47"/>
      <c r="AJ4050" s="126" t="e">
        <v>#N/A</v>
      </c>
      <c r="AK4050" s="80">
        <f t="shared" si="628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22"/>
        <v>27057.960000000006</v>
      </c>
      <c r="X4051" s="6">
        <f t="shared" si="623"/>
        <v>65650</v>
      </c>
      <c r="Y4051" s="13">
        <f t="shared" si="626"/>
        <v>0</v>
      </c>
      <c r="Z4051" s="14">
        <v>0</v>
      </c>
      <c r="AA4051" s="6">
        <v>0</v>
      </c>
      <c r="AB4051" s="4">
        <f t="shared" si="627"/>
        <v>65650</v>
      </c>
      <c r="AC4051" s="4">
        <f t="shared" si="629"/>
        <v>0</v>
      </c>
      <c r="AD4051" s="6">
        <f t="shared" si="624"/>
        <v>65650</v>
      </c>
      <c r="AE4051" s="2">
        <f>VLOOKUP(I4051,[1]媒体政策预估表!A:N,MATCH(O4051,[1]媒体政策预估表!$A$2:$M$2,0),0)</f>
        <v>7.0000000000000007E-2</v>
      </c>
      <c r="AF4051" s="6">
        <f t="shared" si="630"/>
        <v>4595.5</v>
      </c>
      <c r="AG4051" s="14">
        <v>0</v>
      </c>
      <c r="AH4051" s="65">
        <f t="shared" si="625"/>
        <v>65650</v>
      </c>
      <c r="AI4051" s="47"/>
      <c r="AJ4051" s="126" t="e">
        <v>#N/A</v>
      </c>
      <c r="AK4051" s="80">
        <f t="shared" si="628"/>
        <v>0</v>
      </c>
      <c r="AM4051" s="85"/>
    </row>
    <row r="4052" spans="1:39" hidden="1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22"/>
        <v>6166.2000000000007</v>
      </c>
      <c r="X4052" s="6">
        <f t="shared" si="623"/>
        <v>18464.509803921566</v>
      </c>
      <c r="Y4052" s="13">
        <f t="shared" si="626"/>
        <v>0</v>
      </c>
      <c r="Z4052" s="14">
        <v>0</v>
      </c>
      <c r="AA4052" s="6">
        <v>0</v>
      </c>
      <c r="AB4052" s="4">
        <f t="shared" si="627"/>
        <v>18464.509803921566</v>
      </c>
      <c r="AC4052" s="4">
        <f t="shared" si="629"/>
        <v>369.29019607843293</v>
      </c>
      <c r="AD4052" s="6">
        <f t="shared" si="624"/>
        <v>18833.8</v>
      </c>
      <c r="AE4052" s="2">
        <f>VLOOKUP(I4052,[1]媒体政策预估表!A:N,MATCH(O4052,[1]媒体政策预估表!$A$2:$M$2,0),0)</f>
        <v>7.0000000000000007E-2</v>
      </c>
      <c r="AF4052" s="6">
        <f t="shared" si="630"/>
        <v>1318.366</v>
      </c>
      <c r="AG4052" s="14">
        <v>0</v>
      </c>
      <c r="AH4052" s="65">
        <f t="shared" si="625"/>
        <v>18833.8</v>
      </c>
      <c r="AI4052" s="47"/>
      <c r="AJ4052" s="126" t="e">
        <v>#N/A</v>
      </c>
      <c r="AK4052" s="80">
        <f t="shared" si="628"/>
        <v>0</v>
      </c>
      <c r="AM4052" s="85"/>
    </row>
    <row r="4053" spans="1:39" hidden="1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22"/>
        <v>5000</v>
      </c>
      <c r="X4053" s="6">
        <f t="shared" si="623"/>
        <v>0</v>
      </c>
      <c r="Y4053" s="13">
        <f t="shared" si="626"/>
        <v>0</v>
      </c>
      <c r="Z4053" s="14">
        <v>0</v>
      </c>
      <c r="AA4053" s="6">
        <v>0</v>
      </c>
      <c r="AB4053" s="4">
        <f t="shared" si="627"/>
        <v>0</v>
      </c>
      <c r="AC4053" s="4">
        <f t="shared" si="629"/>
        <v>0</v>
      </c>
      <c r="AD4053" s="6">
        <f t="shared" si="624"/>
        <v>0</v>
      </c>
      <c r="AE4053" s="2">
        <f>VLOOKUP(I4053,[1]媒体政策预估表!A:N,MATCH(O4053,[1]媒体政策预估表!$A$2:$M$2,0),0)</f>
        <v>7.0000000000000007E-2</v>
      </c>
      <c r="AF4053" s="6">
        <f t="shared" si="630"/>
        <v>0</v>
      </c>
      <c r="AG4053" s="14">
        <v>0</v>
      </c>
      <c r="AH4053" s="65">
        <f t="shared" si="625"/>
        <v>0</v>
      </c>
      <c r="AI4053" s="47"/>
      <c r="AJ4053" s="126" t="e">
        <v>#N/A</v>
      </c>
      <c r="AK4053" s="80">
        <f t="shared" si="628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22"/>
        <v>12231.8</v>
      </c>
      <c r="X4054" s="6">
        <f t="shared" si="623"/>
        <v>8778</v>
      </c>
      <c r="Y4054" s="13">
        <f t="shared" si="626"/>
        <v>0</v>
      </c>
      <c r="Z4054" s="14">
        <v>0</v>
      </c>
      <c r="AA4054" s="6">
        <v>0</v>
      </c>
      <c r="AB4054" s="4">
        <f t="shared" si="627"/>
        <v>8778</v>
      </c>
      <c r="AC4054" s="4">
        <f t="shared" si="629"/>
        <v>0</v>
      </c>
      <c r="AD4054" s="6">
        <f t="shared" si="624"/>
        <v>8778</v>
      </c>
      <c r="AE4054" s="2">
        <f>VLOOKUP(I4054,[1]媒体政策预估表!A:N,MATCH(O4054,[1]媒体政策预估表!$A$2:$M$2,0),0)</f>
        <v>7.0000000000000007E-2</v>
      </c>
      <c r="AF4054" s="6">
        <f t="shared" si="630"/>
        <v>614.46</v>
      </c>
      <c r="AG4054" s="14">
        <v>0</v>
      </c>
      <c r="AH4054" s="65">
        <f t="shared" si="625"/>
        <v>8778</v>
      </c>
      <c r="AI4054" s="47"/>
      <c r="AJ4054" s="126" t="e">
        <v>#N/A</v>
      </c>
      <c r="AK4054" s="80">
        <f t="shared" si="628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22"/>
        <v>12545.169999999998</v>
      </c>
      <c r="X4055" s="6">
        <f t="shared" si="623"/>
        <v>68610.399999999994</v>
      </c>
      <c r="Y4055" s="13">
        <f t="shared" si="626"/>
        <v>0</v>
      </c>
      <c r="Z4055" s="14">
        <v>0</v>
      </c>
      <c r="AA4055" s="6">
        <v>0</v>
      </c>
      <c r="AB4055" s="4">
        <f t="shared" si="627"/>
        <v>68610.399999999994</v>
      </c>
      <c r="AC4055" s="4">
        <f t="shared" si="629"/>
        <v>0</v>
      </c>
      <c r="AD4055" s="6">
        <f t="shared" si="624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30"/>
        <v>4802.7280000000001</v>
      </c>
      <c r="AG4055" s="14">
        <v>0</v>
      </c>
      <c r="AH4055" s="65">
        <f t="shared" si="625"/>
        <v>68610.399999999994</v>
      </c>
      <c r="AI4055" s="47"/>
      <c r="AJ4055" s="126" t="e">
        <v>#N/A</v>
      </c>
      <c r="AK4055" s="80">
        <f t="shared" si="628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22"/>
        <v>20000</v>
      </c>
      <c r="X4056" s="6">
        <f t="shared" si="623"/>
        <v>0</v>
      </c>
      <c r="Y4056" s="13">
        <f t="shared" si="626"/>
        <v>0</v>
      </c>
      <c r="Z4056" s="14">
        <v>0</v>
      </c>
      <c r="AA4056" s="6">
        <v>0</v>
      </c>
      <c r="AB4056" s="4">
        <f t="shared" si="627"/>
        <v>0</v>
      </c>
      <c r="AC4056" s="4">
        <f t="shared" si="629"/>
        <v>0</v>
      </c>
      <c r="AD4056" s="6">
        <f t="shared" si="624"/>
        <v>0</v>
      </c>
      <c r="AE4056" s="2">
        <f>VLOOKUP(I4056,[1]媒体政策预估表!A:N,MATCH(O4056,[1]媒体政策预估表!$A$2:$M$2,0),0)</f>
        <v>7.0000000000000007E-2</v>
      </c>
      <c r="AF4056" s="6">
        <f t="shared" si="630"/>
        <v>0</v>
      </c>
      <c r="AG4056" s="14">
        <v>0</v>
      </c>
      <c r="AH4056" s="65">
        <f t="shared" si="625"/>
        <v>0</v>
      </c>
      <c r="AI4056" s="47"/>
      <c r="AJ4056" s="126" t="e">
        <v>#N/A</v>
      </c>
      <c r="AK4056" s="80">
        <f t="shared" si="628"/>
        <v>0</v>
      </c>
      <c r="AM4056" s="85"/>
    </row>
    <row r="4057" spans="1:39" hidden="1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22"/>
        <v>40778.450020000004</v>
      </c>
      <c r="X4057" s="6">
        <f t="shared" si="623"/>
        <v>59221.549979999996</v>
      </c>
      <c r="Y4057" s="13">
        <f t="shared" si="626"/>
        <v>0</v>
      </c>
      <c r="Z4057" s="14">
        <v>0</v>
      </c>
      <c r="AA4057" s="6">
        <v>0</v>
      </c>
      <c r="AB4057" s="4">
        <f t="shared" si="627"/>
        <v>59221.549979999996</v>
      </c>
      <c r="AC4057" s="4">
        <f t="shared" si="629"/>
        <v>0</v>
      </c>
      <c r="AD4057" s="6">
        <f t="shared" si="624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30"/>
        <v>4145.5084986000002</v>
      </c>
      <c r="AG4057" s="14">
        <v>0</v>
      </c>
      <c r="AH4057" s="65">
        <f t="shared" si="625"/>
        <v>59221.549979999996</v>
      </c>
      <c r="AI4057" s="47"/>
      <c r="AJ4057" s="126" t="e">
        <v>#N/A</v>
      </c>
      <c r="AK4057" s="80">
        <f t="shared" si="628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22"/>
        <v>19220.500090000001</v>
      </c>
      <c r="X4058" s="6">
        <f t="shared" si="623"/>
        <v>110779.49991</v>
      </c>
      <c r="Y4058" s="13">
        <f t="shared" si="626"/>
        <v>0</v>
      </c>
      <c r="Z4058" s="14">
        <v>0</v>
      </c>
      <c r="AA4058" s="6">
        <v>0</v>
      </c>
      <c r="AB4058" s="4">
        <f t="shared" si="627"/>
        <v>110779.49991</v>
      </c>
      <c r="AC4058" s="4">
        <f t="shared" si="629"/>
        <v>0</v>
      </c>
      <c r="AD4058" s="6">
        <f t="shared" si="624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30"/>
        <v>7754.5649937000007</v>
      </c>
      <c r="AG4058" s="14">
        <v>0</v>
      </c>
      <c r="AH4058" s="65">
        <f t="shared" si="625"/>
        <v>110779.49991</v>
      </c>
      <c r="AI4058" s="47"/>
      <c r="AJ4058" s="126" t="e">
        <v>#N/A</v>
      </c>
      <c r="AK4058" s="80">
        <f t="shared" si="628"/>
        <v>0</v>
      </c>
      <c r="AM4058" s="85"/>
    </row>
    <row r="4059" spans="1:39" hidden="1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22"/>
        <v>30599.699999999997</v>
      </c>
      <c r="X4059" s="6">
        <f t="shared" si="623"/>
        <v>109400.3</v>
      </c>
      <c r="Y4059" s="13">
        <f t="shared" si="626"/>
        <v>0</v>
      </c>
      <c r="Z4059" s="14">
        <v>0</v>
      </c>
      <c r="AA4059" s="6">
        <v>0</v>
      </c>
      <c r="AB4059" s="4">
        <f t="shared" si="627"/>
        <v>109400.3</v>
      </c>
      <c r="AC4059" s="4">
        <f t="shared" si="629"/>
        <v>0</v>
      </c>
      <c r="AD4059" s="6">
        <f t="shared" si="624"/>
        <v>109400.3</v>
      </c>
      <c r="AE4059" s="2">
        <f>VLOOKUP(I4059,[1]媒体政策预估表!A:N,MATCH(O4059,[1]媒体政策预估表!$A$2:$M$2,0),0)</f>
        <v>7.0000000000000007E-2</v>
      </c>
      <c r="AF4059" s="6">
        <f t="shared" si="630"/>
        <v>7658.0210000000006</v>
      </c>
      <c r="AG4059" s="14">
        <v>0</v>
      </c>
      <c r="AH4059" s="65">
        <f t="shared" si="625"/>
        <v>109400.3</v>
      </c>
      <c r="AI4059" s="47"/>
      <c r="AJ4059" s="126" t="e">
        <v>#N/A</v>
      </c>
      <c r="AK4059" s="80">
        <f t="shared" si="628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22"/>
        <v>24995.800000000003</v>
      </c>
      <c r="X4060" s="6">
        <f t="shared" si="623"/>
        <v>105004.2</v>
      </c>
      <c r="Y4060" s="13">
        <f t="shared" si="626"/>
        <v>0</v>
      </c>
      <c r="Z4060" s="14">
        <v>0</v>
      </c>
      <c r="AA4060" s="6">
        <v>0</v>
      </c>
      <c r="AB4060" s="4">
        <f t="shared" si="627"/>
        <v>105004.2</v>
      </c>
      <c r="AC4060" s="4">
        <f t="shared" si="629"/>
        <v>0</v>
      </c>
      <c r="AD4060" s="6">
        <f t="shared" si="624"/>
        <v>105004.2</v>
      </c>
      <c r="AE4060" s="2">
        <f>VLOOKUP(I4060,[1]媒体政策预估表!A:N,MATCH(O4060,[1]媒体政策预估表!$A$2:$M$2,0),0)</f>
        <v>7.0000000000000007E-2</v>
      </c>
      <c r="AF4060" s="6">
        <f t="shared" si="630"/>
        <v>7350.2940000000008</v>
      </c>
      <c r="AG4060" s="14">
        <v>0</v>
      </c>
      <c r="AH4060" s="65">
        <f t="shared" si="625"/>
        <v>105004.2</v>
      </c>
      <c r="AI4060" s="47"/>
      <c r="AJ4060" s="126" t="e">
        <v>#N/A</v>
      </c>
      <c r="AK4060" s="80">
        <f t="shared" si="628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22"/>
        <v>229306.38</v>
      </c>
      <c r="X4061" s="6">
        <f t="shared" si="623"/>
        <v>614458.82352941181</v>
      </c>
      <c r="Y4061" s="13">
        <f t="shared" si="626"/>
        <v>0</v>
      </c>
      <c r="Z4061" s="14">
        <v>0</v>
      </c>
      <c r="AA4061" s="6">
        <v>0</v>
      </c>
      <c r="AB4061" s="4">
        <f t="shared" si="627"/>
        <v>614458.82352941181</v>
      </c>
      <c r="AC4061" s="4">
        <f t="shared" si="629"/>
        <v>12289.176470588194</v>
      </c>
      <c r="AD4061" s="6">
        <f t="shared" si="624"/>
        <v>626748</v>
      </c>
      <c r="AE4061" s="2">
        <f>VLOOKUP(I4061,[1]媒体政策预估表!A:N,MATCH(O4061,[1]媒体政策预估表!$A$2:$M$2,0),0)</f>
        <v>7.0000000000000007E-2</v>
      </c>
      <c r="AF4061" s="6">
        <f t="shared" si="630"/>
        <v>43872.36</v>
      </c>
      <c r="AG4061" s="14">
        <v>0</v>
      </c>
      <c r="AH4061" s="65">
        <f t="shared" si="625"/>
        <v>626748</v>
      </c>
      <c r="AI4061" s="47"/>
      <c r="AJ4061" s="126" t="e">
        <v>#N/A</v>
      </c>
      <c r="AK4061" s="80">
        <f t="shared" si="628"/>
        <v>0</v>
      </c>
      <c r="AM4061" s="85"/>
    </row>
    <row r="4062" spans="1:39" hidden="1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22"/>
        <v>7402.4</v>
      </c>
      <c r="X4062" s="6">
        <f t="shared" si="623"/>
        <v>2597.6</v>
      </c>
      <c r="Y4062" s="13">
        <f t="shared" si="626"/>
        <v>0</v>
      </c>
      <c r="Z4062" s="14">
        <v>0</v>
      </c>
      <c r="AA4062" s="6">
        <v>0</v>
      </c>
      <c r="AB4062" s="4">
        <f t="shared" si="627"/>
        <v>2597.6</v>
      </c>
      <c r="AC4062" s="4">
        <f t="shared" si="629"/>
        <v>0</v>
      </c>
      <c r="AD4062" s="6">
        <f t="shared" si="624"/>
        <v>2597.6</v>
      </c>
      <c r="AE4062" s="2">
        <f>VLOOKUP(I4062,[1]媒体政策预估表!A:N,MATCH(O4062,[1]媒体政策预估表!$A$2:$M$2,0),0)</f>
        <v>7.0000000000000007E-2</v>
      </c>
      <c r="AF4062" s="6">
        <f t="shared" si="630"/>
        <v>181.83200000000002</v>
      </c>
      <c r="AG4062" s="14">
        <v>0</v>
      </c>
      <c r="AH4062" s="65">
        <f t="shared" si="625"/>
        <v>2597.6</v>
      </c>
      <c r="AI4062" s="47"/>
      <c r="AJ4062" s="126" t="e">
        <v>#N/A</v>
      </c>
      <c r="AK4062" s="80">
        <f t="shared" si="628"/>
        <v>0</v>
      </c>
      <c r="AM4062" s="85"/>
    </row>
    <row r="4063" spans="1:39" hidden="1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22"/>
        <v>14092.910000000062</v>
      </c>
      <c r="X4063" s="6">
        <f t="shared" si="623"/>
        <v>131932.79999999999</v>
      </c>
      <c r="Y4063" s="13">
        <f t="shared" si="626"/>
        <v>0</v>
      </c>
      <c r="Z4063" s="14">
        <v>0</v>
      </c>
      <c r="AA4063" s="6">
        <v>0</v>
      </c>
      <c r="AB4063" s="4">
        <f t="shared" si="627"/>
        <v>131932.79999999999</v>
      </c>
      <c r="AC4063" s="4">
        <f t="shared" si="629"/>
        <v>0</v>
      </c>
      <c r="AD4063" s="6">
        <f t="shared" si="624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30"/>
        <v>9235.2960000000003</v>
      </c>
      <c r="AG4063" s="14">
        <v>0</v>
      </c>
      <c r="AH4063" s="65">
        <f t="shared" si="625"/>
        <v>131932.79999999999</v>
      </c>
      <c r="AI4063" s="47"/>
      <c r="AJ4063" s="126" t="e">
        <v>#N/A</v>
      </c>
      <c r="AK4063" s="80">
        <f t="shared" si="628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22"/>
        <v>4841.7000000000007</v>
      </c>
      <c r="X4064" s="6">
        <f t="shared" si="623"/>
        <v>609</v>
      </c>
      <c r="Y4064" s="13">
        <f t="shared" si="626"/>
        <v>0</v>
      </c>
      <c r="Z4064" s="14">
        <v>0</v>
      </c>
      <c r="AA4064" s="6">
        <v>0</v>
      </c>
      <c r="AB4064" s="4">
        <f t="shared" si="627"/>
        <v>609</v>
      </c>
      <c r="AC4064" s="4">
        <f t="shared" si="629"/>
        <v>0</v>
      </c>
      <c r="AD4064" s="6">
        <f t="shared" si="624"/>
        <v>609</v>
      </c>
      <c r="AE4064" s="2">
        <f>VLOOKUP(I4064,[1]媒体政策预估表!A:N,MATCH(O4064,[1]媒体政策预估表!$A$2:$M$2,0),0)</f>
        <v>7.0000000000000007E-2</v>
      </c>
      <c r="AF4064" s="6">
        <f t="shared" si="630"/>
        <v>42.63</v>
      </c>
      <c r="AG4064" s="14">
        <v>0</v>
      </c>
      <c r="AH4064" s="65">
        <f t="shared" si="625"/>
        <v>609</v>
      </c>
      <c r="AI4064" s="47"/>
      <c r="AJ4064" s="126" t="e">
        <v>#N/A</v>
      </c>
      <c r="AK4064" s="80">
        <f t="shared" si="628"/>
        <v>0</v>
      </c>
      <c r="AM4064" s="85"/>
    </row>
    <row r="4065" spans="1:39" hidden="1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22"/>
        <v>12663.685010000008</v>
      </c>
      <c r="X4065" s="6">
        <f t="shared" si="623"/>
        <v>57833.4</v>
      </c>
      <c r="Y4065" s="13">
        <f t="shared" si="626"/>
        <v>0</v>
      </c>
      <c r="Z4065" s="14">
        <v>0</v>
      </c>
      <c r="AA4065" s="6">
        <v>0</v>
      </c>
      <c r="AB4065" s="4">
        <f t="shared" si="627"/>
        <v>57833.4</v>
      </c>
      <c r="AC4065" s="4">
        <f t="shared" si="629"/>
        <v>0</v>
      </c>
      <c r="AD4065" s="6">
        <f t="shared" si="624"/>
        <v>57833.4</v>
      </c>
      <c r="AE4065" s="2">
        <f>VLOOKUP(I4065,[1]媒体政策预估表!A:N,MATCH(O4065,[1]媒体政策预估表!$A$2:$M$2,0),0)</f>
        <v>7.0000000000000007E-2</v>
      </c>
      <c r="AF4065" s="6">
        <f t="shared" si="630"/>
        <v>4048.3380000000006</v>
      </c>
      <c r="AG4065" s="14">
        <v>0</v>
      </c>
      <c r="AH4065" s="65">
        <f t="shared" si="625"/>
        <v>57833.4</v>
      </c>
      <c r="AI4065" s="47"/>
      <c r="AJ4065" s="126" t="e">
        <v>#N/A</v>
      </c>
      <c r="AK4065" s="80">
        <f t="shared" si="628"/>
        <v>0</v>
      </c>
      <c r="AM4065" s="85"/>
    </row>
    <row r="4066" spans="1:39" hidden="1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22"/>
        <v>24068.1</v>
      </c>
      <c r="X4066" s="6">
        <f t="shared" si="623"/>
        <v>34214.9</v>
      </c>
      <c r="Y4066" s="13">
        <f t="shared" si="626"/>
        <v>0</v>
      </c>
      <c r="Z4066" s="14">
        <v>0</v>
      </c>
      <c r="AA4066" s="6">
        <v>0</v>
      </c>
      <c r="AB4066" s="4">
        <f t="shared" si="627"/>
        <v>34214.9</v>
      </c>
      <c r="AC4066" s="4">
        <f t="shared" si="629"/>
        <v>0</v>
      </c>
      <c r="AD4066" s="6">
        <f t="shared" si="624"/>
        <v>34214.9</v>
      </c>
      <c r="AE4066" s="2">
        <f>VLOOKUP(I4066,[1]媒体政策预估表!A:N,MATCH(O4066,[1]媒体政策预估表!$A$2:$M$2,0),0)</f>
        <v>7.0000000000000007E-2</v>
      </c>
      <c r="AF4066" s="6">
        <f t="shared" si="630"/>
        <v>2395.0430000000001</v>
      </c>
      <c r="AG4066" s="14">
        <v>0</v>
      </c>
      <c r="AH4066" s="65">
        <f t="shared" si="625"/>
        <v>34214.9</v>
      </c>
      <c r="AI4066" s="47"/>
      <c r="AJ4066" s="126" t="e">
        <v>#N/A</v>
      </c>
      <c r="AK4066" s="80">
        <f t="shared" si="628"/>
        <v>0</v>
      </c>
      <c r="AM4066" s="85"/>
    </row>
    <row r="4067" spans="1:39" hidden="1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22"/>
        <v>858371.99999999977</v>
      </c>
      <c r="X4067" s="6">
        <f t="shared" si="623"/>
        <v>1469046.8</v>
      </c>
      <c r="Y4067" s="13">
        <f t="shared" si="626"/>
        <v>0</v>
      </c>
      <c r="Z4067" s="14">
        <v>0</v>
      </c>
      <c r="AA4067" s="6">
        <v>0</v>
      </c>
      <c r="AB4067" s="4">
        <f t="shared" si="627"/>
        <v>1469046.8</v>
      </c>
      <c r="AC4067" s="4">
        <f t="shared" si="629"/>
        <v>0</v>
      </c>
      <c r="AD4067" s="6">
        <f t="shared" si="624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30"/>
        <v>102833.27600000001</v>
      </c>
      <c r="AG4067" s="14">
        <v>0</v>
      </c>
      <c r="AH4067" s="65">
        <f t="shared" si="625"/>
        <v>1469046.8</v>
      </c>
      <c r="AI4067" s="47"/>
      <c r="AJ4067" s="126" t="e">
        <v>#N/A</v>
      </c>
      <c r="AK4067" s="80">
        <f t="shared" si="628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22"/>
        <v>151790.2408400001</v>
      </c>
      <c r="X4068" s="6">
        <f t="shared" si="623"/>
        <v>2608887.2599999998</v>
      </c>
      <c r="Y4068" s="13">
        <f t="shared" si="626"/>
        <v>0</v>
      </c>
      <c r="Z4068" s="14">
        <v>0</v>
      </c>
      <c r="AA4068" s="6">
        <v>0</v>
      </c>
      <c r="AB4068" s="4">
        <f t="shared" si="627"/>
        <v>2608887.2599999998</v>
      </c>
      <c r="AC4068" s="4">
        <f t="shared" si="629"/>
        <v>0</v>
      </c>
      <c r="AD4068" s="6">
        <f t="shared" si="624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30"/>
        <v>182622.10819999999</v>
      </c>
      <c r="AG4068" s="14">
        <v>0</v>
      </c>
      <c r="AH4068" s="65">
        <f t="shared" si="625"/>
        <v>2608887.2599999998</v>
      </c>
      <c r="AI4068" s="47"/>
      <c r="AJ4068" s="126" t="e">
        <v>#N/A</v>
      </c>
      <c r="AK4068" s="80">
        <f t="shared" si="628"/>
        <v>0</v>
      </c>
      <c r="AM4068" s="85"/>
    </row>
    <row r="4069" spans="1:39" hidden="1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22"/>
        <v>187207.30000000005</v>
      </c>
      <c r="X4069" s="6">
        <f t="shared" si="623"/>
        <v>528119.6</v>
      </c>
      <c r="Y4069" s="13">
        <f t="shared" si="626"/>
        <v>0</v>
      </c>
      <c r="Z4069" s="14">
        <v>0</v>
      </c>
      <c r="AA4069" s="6">
        <v>0</v>
      </c>
      <c r="AB4069" s="4">
        <f t="shared" si="627"/>
        <v>528119.6</v>
      </c>
      <c r="AC4069" s="4">
        <f t="shared" si="629"/>
        <v>0</v>
      </c>
      <c r="AD4069" s="6">
        <f t="shared" si="624"/>
        <v>528119.6</v>
      </c>
      <c r="AE4069" s="2">
        <f>VLOOKUP(I4069,[1]媒体政策预估表!A:N,MATCH(O4069,[1]媒体政策预估表!$A$2:$M$2,0),0)</f>
        <v>7.0000000000000007E-2</v>
      </c>
      <c r="AF4069" s="6">
        <f t="shared" si="630"/>
        <v>36968.372000000003</v>
      </c>
      <c r="AG4069" s="14">
        <v>0</v>
      </c>
      <c r="AH4069" s="65">
        <f t="shared" si="625"/>
        <v>528119.6</v>
      </c>
      <c r="AI4069" s="47"/>
      <c r="AJ4069" s="126" t="e">
        <v>#N/A</v>
      </c>
      <c r="AK4069" s="80">
        <f t="shared" si="628"/>
        <v>0</v>
      </c>
      <c r="AM4069" s="85"/>
    </row>
    <row r="4070" spans="1:39" hidden="1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22"/>
        <v>9134.4000000000015</v>
      </c>
      <c r="X4070" s="6">
        <f t="shared" si="623"/>
        <v>19497.599999999999</v>
      </c>
      <c r="Y4070" s="13">
        <f t="shared" si="626"/>
        <v>0</v>
      </c>
      <c r="Z4070" s="14">
        <v>0</v>
      </c>
      <c r="AA4070" s="6">
        <v>0</v>
      </c>
      <c r="AB4070" s="4">
        <f t="shared" si="627"/>
        <v>19497.599999999999</v>
      </c>
      <c r="AC4070" s="4">
        <f t="shared" si="629"/>
        <v>0</v>
      </c>
      <c r="AD4070" s="6">
        <f t="shared" si="624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30"/>
        <v>1364.8320000000001</v>
      </c>
      <c r="AG4070" s="14">
        <v>0</v>
      </c>
      <c r="AH4070" s="65">
        <f t="shared" si="625"/>
        <v>19497.599999999999</v>
      </c>
      <c r="AI4070" s="47"/>
      <c r="AJ4070" s="126" t="e">
        <v>#N/A</v>
      </c>
      <c r="AK4070" s="80">
        <f t="shared" si="628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22"/>
        <v>5272.2999999999993</v>
      </c>
      <c r="X4071" s="6">
        <f t="shared" si="623"/>
        <v>21112.799999999999</v>
      </c>
      <c r="Y4071" s="13">
        <f t="shared" si="626"/>
        <v>0</v>
      </c>
      <c r="Z4071" s="14">
        <v>0</v>
      </c>
      <c r="AA4071" s="6">
        <v>0</v>
      </c>
      <c r="AB4071" s="4">
        <f t="shared" si="627"/>
        <v>21112.799999999999</v>
      </c>
      <c r="AC4071" s="4">
        <f t="shared" si="629"/>
        <v>0</v>
      </c>
      <c r="AD4071" s="6">
        <f t="shared" si="624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30"/>
        <v>1477.8960000000002</v>
      </c>
      <c r="AG4071" s="14">
        <v>0</v>
      </c>
      <c r="AH4071" s="65">
        <f t="shared" si="625"/>
        <v>21112.799999999999</v>
      </c>
      <c r="AI4071" s="47"/>
      <c r="AJ4071" s="126" t="e">
        <v>#N/A</v>
      </c>
      <c r="AK4071" s="80">
        <f t="shared" si="628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22"/>
        <v>88143.5</v>
      </c>
      <c r="X4072" s="6">
        <f t="shared" si="623"/>
        <v>334016.59999999998</v>
      </c>
      <c r="Y4072" s="13">
        <f t="shared" si="626"/>
        <v>0</v>
      </c>
      <c r="Z4072" s="14">
        <v>0</v>
      </c>
      <c r="AA4072" s="6">
        <v>0</v>
      </c>
      <c r="AB4072" s="4">
        <f t="shared" si="627"/>
        <v>334016.59999999998</v>
      </c>
      <c r="AC4072" s="4">
        <f t="shared" si="629"/>
        <v>0</v>
      </c>
      <c r="AD4072" s="6">
        <f t="shared" si="624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30"/>
        <v>23381.162</v>
      </c>
      <c r="AG4072" s="14">
        <v>0</v>
      </c>
      <c r="AH4072" s="65">
        <f t="shared" si="625"/>
        <v>334016.59999999998</v>
      </c>
      <c r="AI4072" s="47"/>
      <c r="AJ4072" s="126" t="e">
        <v>#N/A</v>
      </c>
      <c r="AK4072" s="80">
        <f t="shared" si="628"/>
        <v>0</v>
      </c>
      <c r="AM4072" s="85"/>
    </row>
    <row r="4073" spans="1:39" hidden="1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22"/>
        <v>44266.499999999993</v>
      </c>
      <c r="X4073" s="6">
        <f t="shared" si="623"/>
        <v>60963.4</v>
      </c>
      <c r="Y4073" s="13">
        <f t="shared" si="626"/>
        <v>0</v>
      </c>
      <c r="Z4073" s="14">
        <v>0</v>
      </c>
      <c r="AA4073" s="6">
        <v>0</v>
      </c>
      <c r="AB4073" s="4">
        <f t="shared" si="627"/>
        <v>60963.4</v>
      </c>
      <c r="AC4073" s="4">
        <f t="shared" si="629"/>
        <v>0</v>
      </c>
      <c r="AD4073" s="6">
        <f t="shared" si="624"/>
        <v>60963.4</v>
      </c>
      <c r="AE4073" s="2">
        <f>VLOOKUP(I4073,[1]媒体政策预估表!A:N,MATCH(O4073,[1]媒体政策预估表!$A$2:$M$2,0),0)</f>
        <v>7.0000000000000007E-2</v>
      </c>
      <c r="AF4073" s="6">
        <f t="shared" si="630"/>
        <v>4267.4380000000001</v>
      </c>
      <c r="AG4073" s="14">
        <v>0</v>
      </c>
      <c r="AH4073" s="65">
        <f t="shared" si="625"/>
        <v>60963.4</v>
      </c>
      <c r="AI4073" s="47"/>
      <c r="AJ4073" s="126" t="e">
        <v>#N/A</v>
      </c>
      <c r="AK4073" s="80">
        <f t="shared" si="628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22"/>
        <v>29869.699999999997</v>
      </c>
      <c r="X4074" s="6">
        <f t="shared" si="623"/>
        <v>64854.3</v>
      </c>
      <c r="Y4074" s="13">
        <f t="shared" si="626"/>
        <v>0</v>
      </c>
      <c r="Z4074" s="14">
        <v>0</v>
      </c>
      <c r="AA4074" s="6">
        <v>0</v>
      </c>
      <c r="AB4074" s="4">
        <f t="shared" si="627"/>
        <v>64854.3</v>
      </c>
      <c r="AC4074" s="4">
        <f t="shared" si="629"/>
        <v>0</v>
      </c>
      <c r="AD4074" s="6">
        <f t="shared" si="624"/>
        <v>64854.3</v>
      </c>
      <c r="AE4074" s="2">
        <f>VLOOKUP(I4074,[1]媒体政策预估表!A:N,MATCH(O4074,[1]媒体政策预估表!$A$2:$M$2,0),0)</f>
        <v>7.0000000000000007E-2</v>
      </c>
      <c r="AF4074" s="6">
        <f t="shared" si="630"/>
        <v>4539.8010000000004</v>
      </c>
      <c r="AG4074" s="14">
        <v>0</v>
      </c>
      <c r="AH4074" s="65">
        <f t="shared" si="625"/>
        <v>64854.3</v>
      </c>
      <c r="AI4074" s="47"/>
      <c r="AJ4074" s="126" t="e">
        <v>#N/A</v>
      </c>
      <c r="AK4074" s="80">
        <f t="shared" si="628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22"/>
        <v>31999.400000000023</v>
      </c>
      <c r="X4075" s="6">
        <f t="shared" si="623"/>
        <v>62696.3</v>
      </c>
      <c r="Y4075" s="13">
        <f t="shared" si="626"/>
        <v>0</v>
      </c>
      <c r="Z4075" s="14">
        <v>0</v>
      </c>
      <c r="AA4075" s="6">
        <v>0</v>
      </c>
      <c r="AB4075" s="4">
        <f t="shared" si="627"/>
        <v>62696.3</v>
      </c>
      <c r="AC4075" s="4">
        <f t="shared" si="629"/>
        <v>0</v>
      </c>
      <c r="AD4075" s="6">
        <f t="shared" si="624"/>
        <v>62696.3</v>
      </c>
      <c r="AE4075" s="2">
        <f>VLOOKUP(I4075,[1]媒体政策预估表!A:N,MATCH(O4075,[1]媒体政策预估表!$A$2:$M$2,0),0)</f>
        <v>7.0000000000000007E-2</v>
      </c>
      <c r="AF4075" s="6">
        <f t="shared" si="630"/>
        <v>4388.7410000000009</v>
      </c>
      <c r="AG4075" s="14">
        <v>0</v>
      </c>
      <c r="AH4075" s="65">
        <f t="shared" si="625"/>
        <v>62696.3</v>
      </c>
      <c r="AI4075" s="47"/>
      <c r="AJ4075" s="126" t="e">
        <v>#N/A</v>
      </c>
      <c r="AK4075" s="80">
        <f t="shared" si="628"/>
        <v>0</v>
      </c>
      <c r="AM4075" s="85"/>
    </row>
    <row r="4076" spans="1:39" hidden="1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22"/>
        <v>39699</v>
      </c>
      <c r="X4076" s="6">
        <f t="shared" si="623"/>
        <v>73817.5</v>
      </c>
      <c r="Y4076" s="13">
        <f t="shared" si="626"/>
        <v>0</v>
      </c>
      <c r="Z4076" s="14">
        <v>0</v>
      </c>
      <c r="AA4076" s="6">
        <v>0</v>
      </c>
      <c r="AB4076" s="4">
        <f t="shared" si="627"/>
        <v>73817.5</v>
      </c>
      <c r="AC4076" s="4">
        <f t="shared" si="629"/>
        <v>0</v>
      </c>
      <c r="AD4076" s="6">
        <f t="shared" si="624"/>
        <v>73817.5</v>
      </c>
      <c r="AE4076" s="2">
        <f>VLOOKUP(I4076,[1]媒体政策预估表!A:N,MATCH(O4076,[1]媒体政策预估表!$A$2:$M$2,0),0)</f>
        <v>7.0000000000000007E-2</v>
      </c>
      <c r="AF4076" s="6">
        <f t="shared" si="630"/>
        <v>5167.2250000000004</v>
      </c>
      <c r="AG4076" s="14">
        <v>0</v>
      </c>
      <c r="AH4076" s="65">
        <f t="shared" si="625"/>
        <v>73817.5</v>
      </c>
      <c r="AI4076" s="47"/>
      <c r="AJ4076" s="126" t="e">
        <v>#N/A</v>
      </c>
      <c r="AK4076" s="80">
        <f t="shared" si="628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22"/>
        <v>391328.67312999995</v>
      </c>
      <c r="X4077" s="6">
        <f t="shared" si="623"/>
        <v>329794.02687</v>
      </c>
      <c r="Y4077" s="13">
        <f t="shared" si="626"/>
        <v>0</v>
      </c>
      <c r="Z4077" s="14">
        <v>0</v>
      </c>
      <c r="AA4077" s="6">
        <v>0</v>
      </c>
      <c r="AB4077" s="4">
        <f t="shared" si="627"/>
        <v>329794.02687</v>
      </c>
      <c r="AC4077" s="4">
        <f t="shared" si="629"/>
        <v>0</v>
      </c>
      <c r="AD4077" s="6">
        <f t="shared" si="624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30"/>
        <v>23085.581880900001</v>
      </c>
      <c r="AG4077" s="14">
        <v>0</v>
      </c>
      <c r="AH4077" s="65">
        <f t="shared" si="625"/>
        <v>329794.02687</v>
      </c>
      <c r="AI4077" s="47"/>
      <c r="AJ4077" s="126" t="e">
        <v>#N/A</v>
      </c>
      <c r="AK4077" s="80">
        <f t="shared" si="628"/>
        <v>0</v>
      </c>
      <c r="AM4077" s="85"/>
    </row>
    <row r="4078" spans="1:39" hidden="1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22"/>
        <v>97879.740000000093</v>
      </c>
      <c r="X4078" s="6">
        <f t="shared" si="623"/>
        <v>74586.435643564357</v>
      </c>
      <c r="Y4078" s="13">
        <f t="shared" si="626"/>
        <v>0</v>
      </c>
      <c r="Z4078" s="14">
        <v>0</v>
      </c>
      <c r="AA4078" s="6">
        <v>0</v>
      </c>
      <c r="AB4078" s="4">
        <f t="shared" si="627"/>
        <v>74586.435643564357</v>
      </c>
      <c r="AC4078" s="4">
        <f t="shared" si="629"/>
        <v>745.86435643564619</v>
      </c>
      <c r="AD4078" s="6">
        <f t="shared" si="624"/>
        <v>75332.3</v>
      </c>
      <c r="AE4078" s="2">
        <f>VLOOKUP(I4078,[1]媒体政策预估表!A:N,MATCH(O4078,[1]媒体政策预估表!$A$2:$M$2,0),0)</f>
        <v>7.0000000000000007E-2</v>
      </c>
      <c r="AF4078" s="6">
        <f t="shared" si="630"/>
        <v>5273.2610000000004</v>
      </c>
      <c r="AG4078" s="14">
        <v>0</v>
      </c>
      <c r="AH4078" s="65">
        <f t="shared" si="625"/>
        <v>75332.3</v>
      </c>
      <c r="AI4078" s="47"/>
      <c r="AJ4078" s="126" t="e">
        <v>#N/A</v>
      </c>
      <c r="AK4078" s="80">
        <f t="shared" si="628"/>
        <v>0</v>
      </c>
      <c r="AM4078" s="85"/>
    </row>
    <row r="4079" spans="1:39" hidden="1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22"/>
        <v>1246807.3415999999</v>
      </c>
      <c r="X4079" s="6">
        <f t="shared" si="623"/>
        <v>1160365.0171300001</v>
      </c>
      <c r="Y4079" s="13">
        <f t="shared" si="626"/>
        <v>0</v>
      </c>
      <c r="Z4079" s="14">
        <v>0</v>
      </c>
      <c r="AA4079" s="6">
        <v>0</v>
      </c>
      <c r="AB4079" s="4">
        <f t="shared" si="627"/>
        <v>1160365.0171300001</v>
      </c>
      <c r="AC4079" s="4">
        <f t="shared" si="629"/>
        <v>0</v>
      </c>
      <c r="AD4079" s="6">
        <f t="shared" si="624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30"/>
        <v>81225.551199100009</v>
      </c>
      <c r="AG4079" s="14">
        <v>0</v>
      </c>
      <c r="AH4079" s="65">
        <f t="shared" si="625"/>
        <v>1160365.0171300001</v>
      </c>
      <c r="AI4079" s="47"/>
      <c r="AJ4079" s="126" t="e">
        <v>#N/A</v>
      </c>
      <c r="AK4079" s="80">
        <f t="shared" si="628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22"/>
        <v>9416.5</v>
      </c>
      <c r="X4080" s="6">
        <f t="shared" si="623"/>
        <v>572.05882352941171</v>
      </c>
      <c r="Y4080" s="13">
        <f t="shared" si="626"/>
        <v>0</v>
      </c>
      <c r="Z4080" s="14">
        <v>0</v>
      </c>
      <c r="AA4080" s="6">
        <v>0</v>
      </c>
      <c r="AB4080" s="4">
        <f t="shared" si="627"/>
        <v>572.05882352941171</v>
      </c>
      <c r="AC4080" s="4">
        <f t="shared" si="629"/>
        <v>11.441176470588289</v>
      </c>
      <c r="AD4080" s="6">
        <f t="shared" si="624"/>
        <v>583.5</v>
      </c>
      <c r="AE4080" s="2">
        <f>VLOOKUP(I4080,[1]媒体政策预估表!A:N,MATCH(O4080,[1]媒体政策预估表!$A$2:$M$2,0),0)</f>
        <v>7.0000000000000007E-2</v>
      </c>
      <c r="AF4080" s="6">
        <f t="shared" si="630"/>
        <v>40.845000000000006</v>
      </c>
      <c r="AG4080" s="14">
        <v>0</v>
      </c>
      <c r="AH4080" s="65">
        <f t="shared" si="625"/>
        <v>583.5</v>
      </c>
      <c r="AI4080" s="47"/>
      <c r="AJ4080" s="126" t="e">
        <v>#N/A</v>
      </c>
      <c r="AK4080" s="80">
        <f t="shared" si="628"/>
        <v>0</v>
      </c>
      <c r="AM4080" s="85"/>
    </row>
    <row r="4081" spans="1:39" hidden="1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22"/>
        <v>0</v>
      </c>
      <c r="X4081" s="6">
        <f t="shared" si="623"/>
        <v>0</v>
      </c>
      <c r="Y4081" s="13">
        <f t="shared" si="626"/>
        <v>0</v>
      </c>
      <c r="Z4081" s="14">
        <v>0</v>
      </c>
      <c r="AA4081" s="6">
        <v>0</v>
      </c>
      <c r="AB4081" s="4">
        <f t="shared" si="627"/>
        <v>0</v>
      </c>
      <c r="AC4081" s="4">
        <f t="shared" si="629"/>
        <v>0</v>
      </c>
      <c r="AD4081" s="6">
        <f t="shared" si="624"/>
        <v>0</v>
      </c>
      <c r="AE4081" s="2">
        <f>VLOOKUP(I4081,[1]媒体政策预估表!A:N,MATCH(O4081,[1]媒体政策预估表!$A$2:$M$2,0),0)</f>
        <v>0.12</v>
      </c>
      <c r="AF4081" s="6">
        <f t="shared" si="630"/>
        <v>0</v>
      </c>
      <c r="AG4081" s="14">
        <v>0</v>
      </c>
      <c r="AH4081" s="65">
        <f t="shared" si="625"/>
        <v>0</v>
      </c>
      <c r="AI4081" s="47"/>
      <c r="AJ4081" s="126" t="e">
        <v>#N/A</v>
      </c>
      <c r="AK4081" s="80">
        <f t="shared" si="628"/>
        <v>0</v>
      </c>
      <c r="AM4081" s="85"/>
    </row>
    <row r="4082" spans="1:39" hidden="1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22"/>
        <v>0</v>
      </c>
      <c r="X4082" s="6">
        <f t="shared" si="623"/>
        <v>0</v>
      </c>
      <c r="Y4082" s="13">
        <f t="shared" si="626"/>
        <v>0</v>
      </c>
      <c r="Z4082" s="14">
        <v>0</v>
      </c>
      <c r="AA4082" s="6">
        <v>0</v>
      </c>
      <c r="AB4082" s="4">
        <f t="shared" si="627"/>
        <v>0</v>
      </c>
      <c r="AC4082" s="4">
        <f t="shared" si="629"/>
        <v>0</v>
      </c>
      <c r="AD4082" s="6">
        <f t="shared" si="624"/>
        <v>0</v>
      </c>
      <c r="AE4082" s="2">
        <f>VLOOKUP(I4082,[1]媒体政策预估表!A:N,MATCH(O4082,[1]媒体政策预估表!$A$2:$M$2,0),0)</f>
        <v>0.12</v>
      </c>
      <c r="AF4082" s="6">
        <f t="shared" si="630"/>
        <v>0</v>
      </c>
      <c r="AG4082" s="14">
        <v>0</v>
      </c>
      <c r="AH4082" s="65">
        <f t="shared" si="625"/>
        <v>0</v>
      </c>
      <c r="AI4082" s="47"/>
      <c r="AJ4082" s="126" t="e">
        <v>#N/A</v>
      </c>
      <c r="AK4082" s="80">
        <f t="shared" si="628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22"/>
        <v>1825.46</v>
      </c>
      <c r="X4083" s="6">
        <f t="shared" si="623"/>
        <v>5392.64</v>
      </c>
      <c r="Y4083" s="13">
        <f t="shared" si="626"/>
        <v>0</v>
      </c>
      <c r="Z4083" s="14">
        <v>0</v>
      </c>
      <c r="AA4083" s="6">
        <v>0</v>
      </c>
      <c r="AB4083" s="4">
        <f t="shared" si="627"/>
        <v>5392.64</v>
      </c>
      <c r="AC4083" s="4">
        <f t="shared" si="629"/>
        <v>0</v>
      </c>
      <c r="AD4083" s="6">
        <f t="shared" si="624"/>
        <v>5392.64</v>
      </c>
      <c r="AE4083" s="2">
        <f>VLOOKUP(I4083,[1]媒体政策预估表!A:N,MATCH(O4083,[1]媒体政策预估表!$A$2:$M$2,0),0)</f>
        <v>7.0000000000000007E-2</v>
      </c>
      <c r="AF4083" s="6">
        <f t="shared" si="630"/>
        <v>377.48480000000006</v>
      </c>
      <c r="AG4083" s="14">
        <v>0</v>
      </c>
      <c r="AH4083" s="65">
        <f t="shared" si="625"/>
        <v>5392.64</v>
      </c>
      <c r="AI4083" s="47"/>
      <c r="AJ4083" s="126" t="e">
        <v>#N/A</v>
      </c>
      <c r="AK4083" s="80">
        <f t="shared" si="628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22"/>
        <v>9069.0200000000041</v>
      </c>
      <c r="X4084" s="6">
        <f>V4084-600</f>
        <v>101385.58</v>
      </c>
      <c r="Y4084" s="13">
        <f t="shared" si="626"/>
        <v>0</v>
      </c>
      <c r="Z4084" s="14">
        <v>0</v>
      </c>
      <c r="AA4084" s="6">
        <v>0</v>
      </c>
      <c r="AB4084" s="4">
        <f t="shared" si="627"/>
        <v>101385.58</v>
      </c>
      <c r="AC4084" s="4">
        <f t="shared" si="629"/>
        <v>600</v>
      </c>
      <c r="AD4084" s="6">
        <f t="shared" si="624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30"/>
        <v>7138.990600000001</v>
      </c>
      <c r="AG4084" s="14">
        <v>0</v>
      </c>
      <c r="AH4084" s="65">
        <f t="shared" si="625"/>
        <v>101985.58</v>
      </c>
      <c r="AI4084" s="47"/>
      <c r="AJ4084" s="126" t="e">
        <v>#N/A</v>
      </c>
      <c r="AK4084" s="80">
        <f t="shared" si="628"/>
        <v>0</v>
      </c>
      <c r="AM4084" s="85"/>
    </row>
    <row r="4085" spans="1:39" hidden="1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23"/>
        <v>0</v>
      </c>
      <c r="Y4085" s="13">
        <f t="shared" si="626"/>
        <v>0</v>
      </c>
      <c r="Z4085" s="14">
        <v>0</v>
      </c>
      <c r="AA4085" s="6">
        <v>0</v>
      </c>
      <c r="AB4085" s="4">
        <f t="shared" si="627"/>
        <v>0</v>
      </c>
      <c r="AC4085" s="4">
        <f t="shared" si="629"/>
        <v>0</v>
      </c>
      <c r="AD4085" s="6">
        <f t="shared" si="624"/>
        <v>0</v>
      </c>
      <c r="AE4085" s="2">
        <f>VLOOKUP(I4085,[1]媒体政策预估表!A:N,MATCH(O4085,[1]媒体政策预估表!$A$2:$M$2,0),0)</f>
        <v>0.12</v>
      </c>
      <c r="AF4085" s="6">
        <f t="shared" si="630"/>
        <v>0</v>
      </c>
      <c r="AG4085" s="14">
        <v>0</v>
      </c>
      <c r="AH4085" s="65">
        <f t="shared" si="625"/>
        <v>0</v>
      </c>
      <c r="AI4085" s="47"/>
      <c r="AJ4085" s="126" t="e">
        <v>#N/A</v>
      </c>
      <c r="AK4085" s="80">
        <f t="shared" si="628"/>
        <v>0</v>
      </c>
      <c r="AM4085" s="85"/>
    </row>
    <row r="4086" spans="1:39" hidden="1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23"/>
        <v>0</v>
      </c>
      <c r="Y4086" s="13">
        <f t="shared" si="626"/>
        <v>0</v>
      </c>
      <c r="Z4086" s="14">
        <v>0</v>
      </c>
      <c r="AA4086" s="6">
        <v>0</v>
      </c>
      <c r="AB4086" s="4">
        <f t="shared" si="627"/>
        <v>0</v>
      </c>
      <c r="AC4086" s="4">
        <f t="shared" si="629"/>
        <v>0</v>
      </c>
      <c r="AD4086" s="6">
        <f t="shared" si="624"/>
        <v>0</v>
      </c>
      <c r="AE4086" s="2">
        <f>VLOOKUP(I4086,[1]媒体政策预估表!A:N,MATCH(O4086,[1]媒体政策预估表!$A$2:$M$2,0),0)</f>
        <v>0.12</v>
      </c>
      <c r="AF4086" s="6">
        <f t="shared" si="630"/>
        <v>0</v>
      </c>
      <c r="AG4086" s="14">
        <v>0</v>
      </c>
      <c r="AH4086" s="65">
        <f t="shared" si="625"/>
        <v>0</v>
      </c>
      <c r="AI4086" s="47"/>
      <c r="AJ4086" s="126" t="e">
        <v>#N/A</v>
      </c>
      <c r="AK4086" s="80">
        <f t="shared" si="628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22"/>
        <v>14419.3</v>
      </c>
      <c r="X4087" s="6">
        <f t="shared" si="623"/>
        <v>15607.5</v>
      </c>
      <c r="Y4087" s="13">
        <f t="shared" si="626"/>
        <v>0</v>
      </c>
      <c r="Z4087" s="14">
        <v>0</v>
      </c>
      <c r="AA4087" s="6">
        <v>0</v>
      </c>
      <c r="AB4087" s="4">
        <f t="shared" si="627"/>
        <v>15607.5</v>
      </c>
      <c r="AC4087" s="4">
        <f t="shared" si="629"/>
        <v>0</v>
      </c>
      <c r="AD4087" s="6">
        <f t="shared" si="624"/>
        <v>15607.5</v>
      </c>
      <c r="AE4087" s="2">
        <f>VLOOKUP(I4087,[1]媒体政策预估表!A:N,MATCH(O4087,[1]媒体政策预估表!$A$2:$M$2,0),0)</f>
        <v>7.0000000000000007E-2</v>
      </c>
      <c r="AF4087" s="6">
        <f t="shared" si="630"/>
        <v>1092.5250000000001</v>
      </c>
      <c r="AG4087" s="14">
        <v>0</v>
      </c>
      <c r="AH4087" s="65">
        <f t="shared" si="625"/>
        <v>15607.5</v>
      </c>
      <c r="AI4087" s="47"/>
      <c r="AJ4087" s="126" t="e">
        <v>#N/A</v>
      </c>
      <c r="AK4087" s="80">
        <f t="shared" si="628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22"/>
        <v>26725.5</v>
      </c>
      <c r="X4088" s="6">
        <f t="shared" si="623"/>
        <v>26772.5</v>
      </c>
      <c r="Y4088" s="13">
        <f t="shared" si="626"/>
        <v>0</v>
      </c>
      <c r="Z4088" s="14">
        <v>0</v>
      </c>
      <c r="AA4088" s="6">
        <v>0</v>
      </c>
      <c r="AB4088" s="4">
        <f t="shared" si="627"/>
        <v>26772.5</v>
      </c>
      <c r="AC4088" s="4">
        <f t="shared" si="629"/>
        <v>0</v>
      </c>
      <c r="AD4088" s="6">
        <f t="shared" si="624"/>
        <v>26772.5</v>
      </c>
      <c r="AE4088" s="2">
        <f>VLOOKUP(I4088,[1]媒体政策预估表!A:N,MATCH(O4088,[1]媒体政策预估表!$A$2:$M$2,0),0)</f>
        <v>7.0000000000000007E-2</v>
      </c>
      <c r="AF4088" s="6">
        <f t="shared" si="630"/>
        <v>1874.0750000000003</v>
      </c>
      <c r="AG4088" s="14">
        <v>0</v>
      </c>
      <c r="AH4088" s="65">
        <f t="shared" si="625"/>
        <v>26772.5</v>
      </c>
      <c r="AI4088" s="47"/>
      <c r="AJ4088" s="126" t="e">
        <v>#N/A</v>
      </c>
      <c r="AK4088" s="80">
        <f t="shared" si="628"/>
        <v>0</v>
      </c>
      <c r="AM4088" s="85"/>
    </row>
    <row r="4089" spans="1:39" hidden="1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22"/>
        <v>243081.61856000003</v>
      </c>
      <c r="X4089" s="6">
        <f t="shared" si="623"/>
        <v>25010.188346534651</v>
      </c>
      <c r="Y4089" s="13">
        <f t="shared" si="626"/>
        <v>0</v>
      </c>
      <c r="Z4089" s="14">
        <v>0</v>
      </c>
      <c r="AA4089" s="6">
        <v>0</v>
      </c>
      <c r="AB4089" s="4">
        <f t="shared" si="627"/>
        <v>25010.188346534651</v>
      </c>
      <c r="AC4089" s="4">
        <f t="shared" si="629"/>
        <v>250.10188346534778</v>
      </c>
      <c r="AD4089" s="6">
        <f t="shared" si="624"/>
        <v>25260.290229999999</v>
      </c>
      <c r="AE4089" s="2">
        <f>VLOOKUP(I4089,[1]媒体政策预估表!A:N,MATCH(O4089,[1]媒体政策预估表!$A$2:$M$2,0),0)</f>
        <v>0.12</v>
      </c>
      <c r="AF4089" s="6">
        <f t="shared" si="630"/>
        <v>3031.2348275999998</v>
      </c>
      <c r="AG4089" s="14">
        <v>0</v>
      </c>
      <c r="AH4089" s="65">
        <f t="shared" si="625"/>
        <v>25260.290229999999</v>
      </c>
      <c r="AI4089" s="47"/>
      <c r="AJ4089" s="126" t="e">
        <v>#N/A</v>
      </c>
      <c r="AK4089" s="80">
        <f t="shared" si="628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22"/>
        <v>799036.7885299999</v>
      </c>
      <c r="X4090" s="6">
        <f t="shared" si="623"/>
        <v>14467.48303960396</v>
      </c>
      <c r="Y4090" s="13">
        <f t="shared" si="626"/>
        <v>0</v>
      </c>
      <c r="Z4090" s="14">
        <v>0</v>
      </c>
      <c r="AA4090" s="6">
        <v>0</v>
      </c>
      <c r="AB4090" s="4">
        <f t="shared" si="627"/>
        <v>14467.48303960396</v>
      </c>
      <c r="AC4090" s="4">
        <f t="shared" si="629"/>
        <v>144.6748303960394</v>
      </c>
      <c r="AD4090" s="6">
        <f t="shared" si="624"/>
        <v>14612.157869999999</v>
      </c>
      <c r="AE4090" s="2">
        <f>VLOOKUP(I4090,[1]媒体政策预估表!A:N,MATCH(O4090,[1]媒体政策预估表!$A$2:$M$2,0),0)</f>
        <v>0.12</v>
      </c>
      <c r="AF4090" s="6">
        <f t="shared" si="630"/>
        <v>1753.4589443999998</v>
      </c>
      <c r="AG4090" s="14">
        <v>0</v>
      </c>
      <c r="AH4090" s="65">
        <f t="shared" si="625"/>
        <v>14612.157869999999</v>
      </c>
      <c r="AI4090" s="47"/>
      <c r="AJ4090" s="126" t="e">
        <v>#N/A</v>
      </c>
      <c r="AK4090" s="80">
        <f t="shared" si="628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31">T4091+U4091-V4091</f>
        <v>289715.71581000002</v>
      </c>
      <c r="X4091" s="6">
        <f t="shared" ref="X4091:X4154" si="632">IF(P4091="折扣",V4091*Q4091,IF(P4091="返现",V4091,V4091/(1+Q4091)))</f>
        <v>10182.459594059406</v>
      </c>
      <c r="Y4091" s="13">
        <f t="shared" si="626"/>
        <v>0</v>
      </c>
      <c r="Z4091" s="14">
        <v>0</v>
      </c>
      <c r="AA4091" s="6">
        <v>0</v>
      </c>
      <c r="AB4091" s="4">
        <f t="shared" si="627"/>
        <v>10182.459594059406</v>
      </c>
      <c r="AC4091" s="4">
        <f t="shared" si="629"/>
        <v>101.82459594059401</v>
      </c>
      <c r="AD4091" s="6">
        <f t="shared" ref="AD4091:AD4154" si="633">V4091</f>
        <v>10284.28419</v>
      </c>
      <c r="AE4091" s="2">
        <f>VLOOKUP(I4091,[1]媒体政策预估表!A:N,MATCH(O4091,[1]媒体政策预估表!$A$2:$M$2,0),0)</f>
        <v>0.12</v>
      </c>
      <c r="AF4091" s="6">
        <f t="shared" si="630"/>
        <v>1234.1141028</v>
      </c>
      <c r="AG4091" s="14">
        <v>0</v>
      </c>
      <c r="AH4091" s="65">
        <f t="shared" ref="AH4091:AH4154" si="634">V4091</f>
        <v>10284.28419</v>
      </c>
      <c r="AI4091" s="47"/>
      <c r="AJ4091" s="126" t="e">
        <v>#N/A</v>
      </c>
      <c r="AK4091" s="80">
        <f t="shared" si="628"/>
        <v>0</v>
      </c>
      <c r="AM4091" s="85"/>
    </row>
    <row r="4092" spans="1:39" hidden="1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31"/>
        <v>134157.08465</v>
      </c>
      <c r="X4092" s="6">
        <f t="shared" si="632"/>
        <v>1242.8798316831683</v>
      </c>
      <c r="Y4092" s="13">
        <f t="shared" si="626"/>
        <v>0</v>
      </c>
      <c r="Z4092" s="14">
        <v>0</v>
      </c>
      <c r="AA4092" s="6">
        <v>0</v>
      </c>
      <c r="AB4092" s="4">
        <f t="shared" si="627"/>
        <v>1242.8798316831683</v>
      </c>
      <c r="AC4092" s="4">
        <f t="shared" si="629"/>
        <v>12.428798316831717</v>
      </c>
      <c r="AD4092" s="6">
        <f t="shared" si="633"/>
        <v>1255.30863</v>
      </c>
      <c r="AE4092" s="2">
        <f>VLOOKUP(I4092,[1]媒体政策预估表!A:N,MATCH(O4092,[1]媒体政策预估表!$A$2:$M$2,0),0)</f>
        <v>0.12</v>
      </c>
      <c r="AF4092" s="6">
        <f t="shared" si="630"/>
        <v>150.63703559999999</v>
      </c>
      <c r="AG4092" s="14">
        <v>0</v>
      </c>
      <c r="AH4092" s="65">
        <f t="shared" si="634"/>
        <v>1255.30863</v>
      </c>
      <c r="AI4092" s="47"/>
      <c r="AJ4092" s="126" t="e">
        <v>#N/A</v>
      </c>
      <c r="AK4092" s="80">
        <f t="shared" si="628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31"/>
        <v>2146152.3859100016</v>
      </c>
      <c r="X4093" s="6">
        <f t="shared" si="632"/>
        <v>6978062.2397800004</v>
      </c>
      <c r="Y4093" s="13">
        <f t="shared" si="626"/>
        <v>0</v>
      </c>
      <c r="Z4093" s="14">
        <v>0</v>
      </c>
      <c r="AA4093" s="6">
        <v>0</v>
      </c>
      <c r="AB4093" s="4">
        <f t="shared" si="627"/>
        <v>6978062.2397800004</v>
      </c>
      <c r="AC4093" s="4">
        <f t="shared" si="629"/>
        <v>0</v>
      </c>
      <c r="AD4093" s="6">
        <f t="shared" si="633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30"/>
        <v>488464.35678460007</v>
      </c>
      <c r="AG4093" s="14">
        <v>0</v>
      </c>
      <c r="AH4093" s="65">
        <f t="shared" si="634"/>
        <v>6978062.2397800004</v>
      </c>
      <c r="AI4093" s="47"/>
      <c r="AJ4093" s="126" t="e">
        <v>#N/A</v>
      </c>
      <c r="AK4093" s="80">
        <f t="shared" si="628"/>
        <v>0</v>
      </c>
      <c r="AM4093" s="85"/>
    </row>
    <row r="4094" spans="1:39" hidden="1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31"/>
        <v>57793</v>
      </c>
      <c r="X4094" s="6">
        <f t="shared" si="632"/>
        <v>764179.9</v>
      </c>
      <c r="Y4094" s="13">
        <f t="shared" si="626"/>
        <v>0</v>
      </c>
      <c r="Z4094" s="14">
        <v>0</v>
      </c>
      <c r="AA4094" s="6">
        <v>0</v>
      </c>
      <c r="AB4094" s="4">
        <f t="shared" si="627"/>
        <v>764179.9</v>
      </c>
      <c r="AC4094" s="4">
        <f t="shared" si="629"/>
        <v>0</v>
      </c>
      <c r="AD4094" s="6">
        <f t="shared" si="633"/>
        <v>764179.9</v>
      </c>
      <c r="AE4094" s="2">
        <f>VLOOKUP(I4094,[1]媒体政策预估表!A:N,MATCH(O4094,[1]媒体政策预估表!$A$2:$M$2,0),0)</f>
        <v>7.0000000000000007E-2</v>
      </c>
      <c r="AF4094" s="6">
        <f t="shared" si="630"/>
        <v>53492.593000000008</v>
      </c>
      <c r="AG4094" s="14">
        <v>0</v>
      </c>
      <c r="AH4094" s="65">
        <f t="shared" si="634"/>
        <v>764179.9</v>
      </c>
      <c r="AI4094" s="47"/>
      <c r="AJ4094" s="126" t="e">
        <v>#N/A</v>
      </c>
      <c r="AK4094" s="80">
        <f t="shared" si="628"/>
        <v>0</v>
      </c>
      <c r="AM4094" s="85"/>
    </row>
    <row r="4095" spans="1:39" hidden="1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31"/>
        <v>95077.590000000026</v>
      </c>
      <c r="X4095" s="6">
        <f t="shared" si="632"/>
        <v>266362.7</v>
      </c>
      <c r="Y4095" s="13">
        <f t="shared" si="626"/>
        <v>0</v>
      </c>
      <c r="Z4095" s="14">
        <v>0</v>
      </c>
      <c r="AA4095" s="6">
        <v>0</v>
      </c>
      <c r="AB4095" s="4">
        <f t="shared" si="627"/>
        <v>266362.7</v>
      </c>
      <c r="AC4095" s="4">
        <f t="shared" si="629"/>
        <v>0</v>
      </c>
      <c r="AD4095" s="6">
        <f t="shared" si="633"/>
        <v>266362.7</v>
      </c>
      <c r="AE4095" s="2">
        <f>VLOOKUP(I4095,[1]媒体政策预估表!A:N,MATCH(O4095,[1]媒体政策预估表!$A$2:$M$2,0),0)</f>
        <v>7.0000000000000007E-2</v>
      </c>
      <c r="AF4095" s="6">
        <f t="shared" si="630"/>
        <v>18645.389000000003</v>
      </c>
      <c r="AG4095" s="14">
        <v>0</v>
      </c>
      <c r="AH4095" s="65">
        <f t="shared" si="634"/>
        <v>266362.7</v>
      </c>
      <c r="AI4095" s="47"/>
      <c r="AJ4095" s="126" t="e">
        <v>#N/A</v>
      </c>
      <c r="AK4095" s="80">
        <f t="shared" si="628"/>
        <v>0</v>
      </c>
      <c r="AM4095" s="85"/>
    </row>
    <row r="4096" spans="1:39" hidden="1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31"/>
        <v>61601.34</v>
      </c>
      <c r="X4096" s="6">
        <f t="shared" si="632"/>
        <v>76043.899999999994</v>
      </c>
      <c r="Y4096" s="13">
        <f t="shared" si="626"/>
        <v>0</v>
      </c>
      <c r="Z4096" s="14">
        <v>0</v>
      </c>
      <c r="AA4096" s="6">
        <v>0</v>
      </c>
      <c r="AB4096" s="4">
        <f t="shared" si="627"/>
        <v>76043.899999999994</v>
      </c>
      <c r="AC4096" s="4">
        <f t="shared" si="629"/>
        <v>0</v>
      </c>
      <c r="AD4096" s="6">
        <f t="shared" si="633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30"/>
        <v>5323.0730000000003</v>
      </c>
      <c r="AG4096" s="14">
        <v>0</v>
      </c>
      <c r="AH4096" s="65">
        <f t="shared" si="634"/>
        <v>76043.899999999994</v>
      </c>
      <c r="AI4096" s="47"/>
      <c r="AJ4096" s="126" t="e">
        <v>#N/A</v>
      </c>
      <c r="AK4096" s="80">
        <f t="shared" si="628"/>
        <v>0</v>
      </c>
      <c r="AM4096" s="85"/>
    </row>
    <row r="4097" spans="1:39" hidden="1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31"/>
        <v>279963.31</v>
      </c>
      <c r="X4097" s="6">
        <f t="shared" si="632"/>
        <v>294905.0882352941</v>
      </c>
      <c r="Y4097" s="13">
        <f t="shared" si="626"/>
        <v>0</v>
      </c>
      <c r="Z4097" s="14">
        <v>0</v>
      </c>
      <c r="AA4097" s="6">
        <v>0</v>
      </c>
      <c r="AB4097" s="4">
        <f t="shared" si="627"/>
        <v>294905.0882352941</v>
      </c>
      <c r="AC4097" s="4">
        <f t="shared" si="629"/>
        <v>5898.1017647059052</v>
      </c>
      <c r="AD4097" s="6">
        <f t="shared" si="633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30"/>
        <v>21056.223300000001</v>
      </c>
      <c r="AG4097" s="14">
        <v>0</v>
      </c>
      <c r="AH4097" s="65">
        <f t="shared" si="634"/>
        <v>300803.19</v>
      </c>
      <c r="AI4097" s="47"/>
      <c r="AJ4097" s="126" t="e">
        <v>#N/A</v>
      </c>
      <c r="AK4097" s="80">
        <f t="shared" si="628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31"/>
        <v>0</v>
      </c>
      <c r="X4098" s="6">
        <f t="shared" si="632"/>
        <v>0</v>
      </c>
      <c r="Y4098" s="13">
        <f t="shared" si="626"/>
        <v>0</v>
      </c>
      <c r="Z4098" s="14">
        <v>0</v>
      </c>
      <c r="AA4098" s="6">
        <v>0</v>
      </c>
      <c r="AB4098" s="4">
        <f t="shared" si="627"/>
        <v>0</v>
      </c>
      <c r="AC4098" s="4">
        <f t="shared" si="629"/>
        <v>0</v>
      </c>
      <c r="AD4098" s="6">
        <f t="shared" si="633"/>
        <v>0</v>
      </c>
      <c r="AE4098" s="2">
        <f>VLOOKUP(I4098,[1]媒体政策预估表!A:N,MATCH(O4098,[1]媒体政策预估表!$A$2:$M$2,0),0)</f>
        <v>7.0000000000000007E-2</v>
      </c>
      <c r="AF4098" s="6">
        <f t="shared" si="630"/>
        <v>0</v>
      </c>
      <c r="AG4098" s="14">
        <v>0</v>
      </c>
      <c r="AH4098" s="65">
        <f t="shared" si="634"/>
        <v>0</v>
      </c>
      <c r="AI4098" s="47"/>
      <c r="AJ4098" s="126" t="e">
        <v>#N/A</v>
      </c>
      <c r="AK4098" s="80">
        <f t="shared" si="628"/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31"/>
        <v>15902.2</v>
      </c>
      <c r="X4099" s="6">
        <f t="shared" si="632"/>
        <v>14097.8</v>
      </c>
      <c r="Y4099" s="13">
        <f t="shared" ref="Y4099:Y4162" si="635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36">X4099+AA4099</f>
        <v>14097.8</v>
      </c>
      <c r="AC4099" s="4">
        <f t="shared" si="629"/>
        <v>0</v>
      </c>
      <c r="AD4099" s="6">
        <f t="shared" si="633"/>
        <v>14097.8</v>
      </c>
      <c r="AE4099" s="2">
        <f>VLOOKUP(I4099,[1]媒体政策预估表!A:N,MATCH(O4099,[1]媒体政策预估表!$A$2:$M$2,0),0)</f>
        <v>7.0000000000000007E-2</v>
      </c>
      <c r="AF4099" s="6">
        <f t="shared" si="630"/>
        <v>986.846</v>
      </c>
      <c r="AG4099" s="14">
        <v>0</v>
      </c>
      <c r="AH4099" s="65">
        <f t="shared" si="634"/>
        <v>14097.8</v>
      </c>
      <c r="AI4099" s="47"/>
      <c r="AJ4099" s="126" t="e">
        <v>#N/A</v>
      </c>
      <c r="AK4099" s="80">
        <f t="shared" ref="AK4099:AK4162" si="637">X4099+AA4099-AB4099</f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31"/>
        <v>893.03999999999905</v>
      </c>
      <c r="X4100" s="6">
        <f t="shared" si="632"/>
        <v>12465.7</v>
      </c>
      <c r="Y4100" s="13">
        <f t="shared" si="635"/>
        <v>0</v>
      </c>
      <c r="Z4100" s="14">
        <v>0</v>
      </c>
      <c r="AA4100" s="6">
        <v>0</v>
      </c>
      <c r="AB4100" s="4">
        <f t="shared" si="636"/>
        <v>12465.7</v>
      </c>
      <c r="AC4100" s="4">
        <f t="shared" si="629"/>
        <v>0</v>
      </c>
      <c r="AD4100" s="6">
        <f t="shared" si="633"/>
        <v>12465.7</v>
      </c>
      <c r="AE4100" s="2">
        <f>VLOOKUP(I4100,[1]媒体政策预估表!A:N,MATCH(O4100,[1]媒体政策预估表!$A$2:$M$2,0),0)</f>
        <v>7.0000000000000007E-2</v>
      </c>
      <c r="AF4100" s="6">
        <f t="shared" si="630"/>
        <v>872.59900000000016</v>
      </c>
      <c r="AG4100" s="14">
        <v>0</v>
      </c>
      <c r="AH4100" s="65">
        <f t="shared" si="634"/>
        <v>12465.7</v>
      </c>
      <c r="AI4100" s="47"/>
      <c r="AJ4100" s="126" t="e">
        <v>#N/A</v>
      </c>
      <c r="AK4100" s="80">
        <f t="shared" si="637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31"/>
        <v>2525.2500000000018</v>
      </c>
      <c r="X4101" s="6">
        <f t="shared" si="632"/>
        <v>8768.9</v>
      </c>
      <c r="Y4101" s="13">
        <f t="shared" si="635"/>
        <v>0</v>
      </c>
      <c r="Z4101" s="14">
        <v>0</v>
      </c>
      <c r="AA4101" s="6">
        <v>0</v>
      </c>
      <c r="AB4101" s="4">
        <f t="shared" si="636"/>
        <v>8768.9</v>
      </c>
      <c r="AC4101" s="4">
        <f t="shared" si="629"/>
        <v>0</v>
      </c>
      <c r="AD4101" s="6">
        <f t="shared" si="633"/>
        <v>8768.9</v>
      </c>
      <c r="AE4101" s="2">
        <f>VLOOKUP(I4101,[1]媒体政策预估表!A:N,MATCH(O4101,[1]媒体政策预估表!$A$2:$M$2,0),0)</f>
        <v>7.0000000000000007E-2</v>
      </c>
      <c r="AF4101" s="6">
        <f t="shared" si="630"/>
        <v>613.82299999999998</v>
      </c>
      <c r="AG4101" s="14">
        <v>0</v>
      </c>
      <c r="AH4101" s="65">
        <f t="shared" si="634"/>
        <v>8768.9</v>
      </c>
      <c r="AI4101" s="47"/>
      <c r="AJ4101" s="126" t="e">
        <v>#N/A</v>
      </c>
      <c r="AK4101" s="80">
        <f t="shared" si="637"/>
        <v>0</v>
      </c>
      <c r="AM4101" s="85"/>
    </row>
    <row r="4102" spans="1:39" hidden="1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31"/>
        <v>1685.5</v>
      </c>
      <c r="X4102" s="6">
        <f t="shared" si="632"/>
        <v>10299.200000000001</v>
      </c>
      <c r="Y4102" s="13">
        <f t="shared" si="635"/>
        <v>0</v>
      </c>
      <c r="Z4102" s="14">
        <v>0</v>
      </c>
      <c r="AA4102" s="6">
        <v>0</v>
      </c>
      <c r="AB4102" s="4"/>
      <c r="AC4102" s="4">
        <f t="shared" si="629"/>
        <v>0</v>
      </c>
      <c r="AD4102" s="6">
        <f t="shared" si="633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30"/>
        <v>720.94400000000007</v>
      </c>
      <c r="AG4102" s="14">
        <v>0</v>
      </c>
      <c r="AH4102" s="65">
        <f t="shared" si="634"/>
        <v>10299.200000000001</v>
      </c>
      <c r="AI4102" s="47"/>
      <c r="AJ4102" s="126">
        <v>114</v>
      </c>
      <c r="AK4102" s="80">
        <f t="shared" si="637"/>
        <v>10299.200000000001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31"/>
        <v>11943.439999999999</v>
      </c>
      <c r="X4103" s="6">
        <f t="shared" si="632"/>
        <v>31676.3</v>
      </c>
      <c r="Y4103" s="13">
        <f t="shared" si="635"/>
        <v>0</v>
      </c>
      <c r="Z4103" s="14">
        <v>0</v>
      </c>
      <c r="AA4103" s="6">
        <v>0</v>
      </c>
      <c r="AB4103" s="4">
        <f t="shared" si="636"/>
        <v>31676.3</v>
      </c>
      <c r="AC4103" s="4">
        <f t="shared" si="629"/>
        <v>0</v>
      </c>
      <c r="AD4103" s="6">
        <f t="shared" si="633"/>
        <v>31676.3</v>
      </c>
      <c r="AE4103" s="2">
        <f>VLOOKUP(I4103,[1]媒体政策预估表!A:N,MATCH(O4103,[1]媒体政策预估表!$A$2:$M$2,0),0)</f>
        <v>7.0000000000000007E-2</v>
      </c>
      <c r="AF4103" s="6">
        <f t="shared" si="630"/>
        <v>2217.3410000000003</v>
      </c>
      <c r="AG4103" s="14">
        <v>0</v>
      </c>
      <c r="AH4103" s="65">
        <f t="shared" si="634"/>
        <v>31676.3</v>
      </c>
      <c r="AI4103" s="47"/>
      <c r="AJ4103" s="126" t="e">
        <v>#N/A</v>
      </c>
      <c r="AK4103" s="80">
        <f t="shared" si="637"/>
        <v>0</v>
      </c>
      <c r="AM4103" s="85"/>
    </row>
    <row r="4104" spans="1:39" hidden="1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31"/>
        <v>5442.4000000000015</v>
      </c>
      <c r="X4104" s="6">
        <f t="shared" si="632"/>
        <v>32109</v>
      </c>
      <c r="Y4104" s="13">
        <f t="shared" si="635"/>
        <v>0</v>
      </c>
      <c r="Z4104" s="14">
        <v>0</v>
      </c>
      <c r="AA4104" s="6">
        <v>0</v>
      </c>
      <c r="AB4104" s="4">
        <f t="shared" si="636"/>
        <v>32109</v>
      </c>
      <c r="AC4104" s="4">
        <f t="shared" si="629"/>
        <v>0</v>
      </c>
      <c r="AD4104" s="6">
        <f t="shared" si="633"/>
        <v>32109</v>
      </c>
      <c r="AE4104" s="2">
        <f>VLOOKUP(I4104,[1]媒体政策预估表!A:N,MATCH(O4104,[1]媒体政策预估表!$A$2:$M$2,0),0)</f>
        <v>7.0000000000000007E-2</v>
      </c>
      <c r="AF4104" s="6">
        <f t="shared" si="630"/>
        <v>2247.63</v>
      </c>
      <c r="AG4104" s="14">
        <v>0</v>
      </c>
      <c r="AH4104" s="65">
        <f t="shared" si="634"/>
        <v>32109</v>
      </c>
      <c r="AI4104" s="47"/>
      <c r="AJ4104" s="126" t="e">
        <v>#N/A</v>
      </c>
      <c r="AK4104" s="80">
        <f t="shared" si="637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31"/>
        <v>122101.80000000008</v>
      </c>
      <c r="X4105" s="6">
        <f t="shared" si="632"/>
        <v>243280.9</v>
      </c>
      <c r="Y4105" s="13">
        <f t="shared" si="635"/>
        <v>0</v>
      </c>
      <c r="Z4105" s="14">
        <v>0</v>
      </c>
      <c r="AA4105" s="6">
        <v>0</v>
      </c>
      <c r="AB4105" s="4">
        <f t="shared" si="636"/>
        <v>243280.9</v>
      </c>
      <c r="AC4105" s="4">
        <f t="shared" si="629"/>
        <v>0</v>
      </c>
      <c r="AD4105" s="6">
        <f t="shared" si="633"/>
        <v>243280.9</v>
      </c>
      <c r="AE4105" s="2">
        <f>VLOOKUP(I4105,[1]媒体政策预估表!A:N,MATCH(O4105,[1]媒体政策预估表!$A$2:$M$2,0),0)</f>
        <v>7.0000000000000007E-2</v>
      </c>
      <c r="AF4105" s="6">
        <f t="shared" si="630"/>
        <v>17029.663</v>
      </c>
      <c r="AG4105" s="14">
        <v>0</v>
      </c>
      <c r="AH4105" s="65">
        <f t="shared" si="634"/>
        <v>243280.9</v>
      </c>
      <c r="AI4105" s="47"/>
      <c r="AJ4105" s="126" t="e">
        <v>#N/A</v>
      </c>
      <c r="AK4105" s="80">
        <f t="shared" si="637"/>
        <v>0</v>
      </c>
      <c r="AM4105" s="85"/>
    </row>
    <row r="4106" spans="1:39" hidden="1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31"/>
        <v>7492.4</v>
      </c>
      <c r="X4106" s="6">
        <f t="shared" si="632"/>
        <v>5926.4</v>
      </c>
      <c r="Y4106" s="13">
        <f t="shared" si="635"/>
        <v>0</v>
      </c>
      <c r="Z4106" s="14">
        <v>0</v>
      </c>
      <c r="AA4106" s="6">
        <v>0</v>
      </c>
      <c r="AB4106" s="4"/>
      <c r="AC4106" s="4">
        <f t="shared" si="629"/>
        <v>0</v>
      </c>
      <c r="AD4106" s="6">
        <f t="shared" si="633"/>
        <v>5926.4</v>
      </c>
      <c r="AE4106" s="2">
        <f>VLOOKUP(I4106,[1]媒体政策预估表!A:N,MATCH(O4106,[1]媒体政策预估表!$A$2:$M$2,0),0)</f>
        <v>7.0000000000000007E-2</v>
      </c>
      <c r="AF4106" s="6">
        <f t="shared" si="630"/>
        <v>414.84800000000001</v>
      </c>
      <c r="AG4106" s="14">
        <v>0</v>
      </c>
      <c r="AH4106" s="65">
        <f t="shared" si="634"/>
        <v>5926.4</v>
      </c>
      <c r="AI4106" s="47"/>
      <c r="AJ4106" s="126">
        <v>111</v>
      </c>
      <c r="AK4106" s="80">
        <f t="shared" si="637"/>
        <v>5926.4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31"/>
        <v>714.33999999999651</v>
      </c>
      <c r="X4107" s="6">
        <f t="shared" si="632"/>
        <v>151343.62745098039</v>
      </c>
      <c r="Y4107" s="13">
        <f t="shared" si="635"/>
        <v>0</v>
      </c>
      <c r="Z4107" s="14">
        <v>0</v>
      </c>
      <c r="AA4107" s="6">
        <v>0</v>
      </c>
      <c r="AB4107" s="4">
        <f t="shared" si="636"/>
        <v>151343.62745098039</v>
      </c>
      <c r="AC4107" s="4">
        <f t="shared" si="629"/>
        <v>3026.8725490196084</v>
      </c>
      <c r="AD4107" s="6">
        <f t="shared" si="633"/>
        <v>154370.5</v>
      </c>
      <c r="AE4107" s="2">
        <f>VLOOKUP(I4107,[1]媒体政策预估表!A:N,MATCH(O4107,[1]媒体政策预估表!$A$2:$M$2,0),0)</f>
        <v>7.0000000000000007E-2</v>
      </c>
      <c r="AF4107" s="6">
        <f t="shared" si="630"/>
        <v>10805.935000000001</v>
      </c>
      <c r="AG4107" s="14">
        <v>0</v>
      </c>
      <c r="AH4107" s="65">
        <f t="shared" si="634"/>
        <v>154370.5</v>
      </c>
      <c r="AI4107" s="47"/>
      <c r="AJ4107" s="126" t="e">
        <v>#N/A</v>
      </c>
      <c r="AK4107" s="80">
        <f t="shared" si="637"/>
        <v>0</v>
      </c>
      <c r="AM4107" s="85"/>
    </row>
    <row r="4108" spans="1:39" hidden="1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31"/>
        <v>434.04999999998836</v>
      </c>
      <c r="X4108" s="6">
        <f t="shared" si="632"/>
        <v>55292.6</v>
      </c>
      <c r="Y4108" s="13">
        <f t="shared" si="635"/>
        <v>0</v>
      </c>
      <c r="Z4108" s="14">
        <v>0</v>
      </c>
      <c r="AA4108" s="6">
        <v>0</v>
      </c>
      <c r="AB4108" s="4">
        <f t="shared" si="636"/>
        <v>55292.6</v>
      </c>
      <c r="AC4108" s="4">
        <f t="shared" ref="AC4108:AC4171" si="638">IF(P4108="返现",X4108*Q4108,V4108-X4108)</f>
        <v>0</v>
      </c>
      <c r="AD4108" s="6">
        <f t="shared" si="633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39">AD4108*AE4108</f>
        <v>3870.4820000000004</v>
      </c>
      <c r="AG4108" s="14">
        <v>0</v>
      </c>
      <c r="AH4108" s="65">
        <f t="shared" si="634"/>
        <v>55292.6</v>
      </c>
      <c r="AI4108" s="47"/>
      <c r="AJ4108" s="126" t="e">
        <v>#N/A</v>
      </c>
      <c r="AK4108" s="80">
        <f t="shared" si="637"/>
        <v>0</v>
      </c>
      <c r="AM4108" s="85"/>
    </row>
    <row r="4109" spans="1:39" hidden="1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31"/>
        <v>5178.6000000000058</v>
      </c>
      <c r="X4109" s="6">
        <f t="shared" si="632"/>
        <v>125331.9</v>
      </c>
      <c r="Y4109" s="13">
        <f t="shared" si="635"/>
        <v>0</v>
      </c>
      <c r="Z4109" s="14">
        <v>0</v>
      </c>
      <c r="AA4109" s="6">
        <v>0</v>
      </c>
      <c r="AB4109" s="4">
        <f t="shared" si="636"/>
        <v>125331.9</v>
      </c>
      <c r="AC4109" s="4">
        <f t="shared" si="638"/>
        <v>0</v>
      </c>
      <c r="AD4109" s="6">
        <f t="shared" si="633"/>
        <v>125331.9</v>
      </c>
      <c r="AE4109" s="2">
        <f>VLOOKUP(I4109,[1]媒体政策预估表!A:N,MATCH(O4109,[1]媒体政策预估表!$A$2:$M$2,0),0)</f>
        <v>7.0000000000000007E-2</v>
      </c>
      <c r="AF4109" s="6">
        <f t="shared" si="639"/>
        <v>8773.2330000000002</v>
      </c>
      <c r="AG4109" s="14">
        <v>0</v>
      </c>
      <c r="AH4109" s="65">
        <f t="shared" si="634"/>
        <v>125331.9</v>
      </c>
      <c r="AI4109" s="47"/>
      <c r="AJ4109" s="126" t="e">
        <v>#N/A</v>
      </c>
      <c r="AK4109" s="80">
        <f t="shared" si="637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32"/>
        <v>0</v>
      </c>
      <c r="Y4110" s="13">
        <f t="shared" si="635"/>
        <v>0</v>
      </c>
      <c r="Z4110" s="14">
        <v>0</v>
      </c>
      <c r="AA4110" s="6">
        <v>0</v>
      </c>
      <c r="AB4110" s="4">
        <f t="shared" si="636"/>
        <v>0</v>
      </c>
      <c r="AC4110" s="4">
        <f t="shared" si="638"/>
        <v>0</v>
      </c>
      <c r="AD4110" s="6">
        <f t="shared" si="633"/>
        <v>0</v>
      </c>
      <c r="AE4110" s="2">
        <f>VLOOKUP(I4110,[1]媒体政策预估表!A:N,MATCH(O4110,[1]媒体政策预估表!$A$2:$M$2,0),0)</f>
        <v>7.0000000000000007E-2</v>
      </c>
      <c r="AF4110" s="6">
        <f t="shared" si="639"/>
        <v>0</v>
      </c>
      <c r="AG4110" s="14">
        <v>0</v>
      </c>
      <c r="AH4110" s="65">
        <f t="shared" si="634"/>
        <v>0</v>
      </c>
      <c r="AI4110" s="47"/>
      <c r="AJ4110" s="126" t="e">
        <v>#N/A</v>
      </c>
      <c r="AK4110" s="80">
        <f t="shared" si="637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31"/>
        <v>0</v>
      </c>
      <c r="X4111" s="6">
        <f t="shared" si="632"/>
        <v>0</v>
      </c>
      <c r="Y4111" s="13">
        <f t="shared" si="635"/>
        <v>0</v>
      </c>
      <c r="Z4111" s="14">
        <v>0</v>
      </c>
      <c r="AA4111" s="6">
        <v>0</v>
      </c>
      <c r="AB4111" s="4">
        <f t="shared" si="636"/>
        <v>0</v>
      </c>
      <c r="AC4111" s="4">
        <f t="shared" si="638"/>
        <v>0</v>
      </c>
      <c r="AD4111" s="6">
        <f t="shared" si="633"/>
        <v>0</v>
      </c>
      <c r="AE4111" s="2">
        <f>VLOOKUP(I4111,[1]媒体政策预估表!A:N,MATCH(O4111,[1]媒体政策预估表!$A$2:$M$2,0),0)</f>
        <v>7.0000000000000007E-2</v>
      </c>
      <c r="AF4111" s="6">
        <f t="shared" si="639"/>
        <v>0</v>
      </c>
      <c r="AG4111" s="14">
        <v>0</v>
      </c>
      <c r="AH4111" s="65">
        <f t="shared" si="634"/>
        <v>0</v>
      </c>
      <c r="AI4111" s="47"/>
      <c r="AJ4111" s="126" t="e">
        <v>#N/A</v>
      </c>
      <c r="AK4111" s="80">
        <f t="shared" si="637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31"/>
        <v>21802.410000000003</v>
      </c>
      <c r="X4112" s="6">
        <f t="shared" si="632"/>
        <v>123414.9</v>
      </c>
      <c r="Y4112" s="13">
        <f t="shared" si="635"/>
        <v>0</v>
      </c>
      <c r="Z4112" s="14">
        <v>0</v>
      </c>
      <c r="AA4112" s="6">
        <v>0</v>
      </c>
      <c r="AB4112" s="4">
        <f t="shared" si="636"/>
        <v>123414.9</v>
      </c>
      <c r="AC4112" s="4">
        <f t="shared" si="638"/>
        <v>0</v>
      </c>
      <c r="AD4112" s="6">
        <f t="shared" si="633"/>
        <v>123414.9</v>
      </c>
      <c r="AE4112" s="2">
        <f>VLOOKUP(I4112,[1]媒体政策预估表!A:N,MATCH(O4112,[1]媒体政策预估表!$A$2:$M$2,0),0)</f>
        <v>7.0000000000000007E-2</v>
      </c>
      <c r="AF4112" s="6">
        <f t="shared" si="639"/>
        <v>8639.0429999999997</v>
      </c>
      <c r="AG4112" s="14">
        <v>0</v>
      </c>
      <c r="AH4112" s="65">
        <f t="shared" si="634"/>
        <v>123414.9</v>
      </c>
      <c r="AI4112" s="47"/>
      <c r="AJ4112" s="126" t="e">
        <v>#N/A</v>
      </c>
      <c r="AK4112" s="80">
        <f t="shared" si="637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31"/>
        <v>0</v>
      </c>
      <c r="X4113" s="6">
        <v>0</v>
      </c>
      <c r="Y4113" s="13">
        <f t="shared" si="635"/>
        <v>0</v>
      </c>
      <c r="Z4113" s="14">
        <v>0</v>
      </c>
      <c r="AA4113" s="6">
        <v>0</v>
      </c>
      <c r="AB4113" s="4">
        <f t="shared" si="636"/>
        <v>0</v>
      </c>
      <c r="AC4113" s="4">
        <f t="shared" si="638"/>
        <v>1162.3699999999999</v>
      </c>
      <c r="AD4113" s="6">
        <f t="shared" si="633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39"/>
        <v>81.365899999999996</v>
      </c>
      <c r="AG4113" s="14">
        <v>0</v>
      </c>
      <c r="AH4113" s="65">
        <f t="shared" si="634"/>
        <v>1162.3699999999999</v>
      </c>
      <c r="AI4113" s="47"/>
      <c r="AJ4113" s="126" t="e">
        <v>#N/A</v>
      </c>
      <c r="AK4113" s="80">
        <f t="shared" si="637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31"/>
        <v>39121.160000000033</v>
      </c>
      <c r="X4114" s="6">
        <f t="shared" si="632"/>
        <v>146498.89000000001</v>
      </c>
      <c r="Y4114" s="13">
        <f t="shared" si="635"/>
        <v>0</v>
      </c>
      <c r="Z4114" s="14">
        <v>0</v>
      </c>
      <c r="AA4114" s="6">
        <v>0</v>
      </c>
      <c r="AB4114" s="4">
        <f t="shared" si="636"/>
        <v>146498.89000000001</v>
      </c>
      <c r="AC4114" s="4">
        <f t="shared" si="638"/>
        <v>0</v>
      </c>
      <c r="AD4114" s="6">
        <f t="shared" si="633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39"/>
        <v>10254.922300000002</v>
      </c>
      <c r="AG4114" s="14">
        <v>0</v>
      </c>
      <c r="AH4114" s="65">
        <f t="shared" si="634"/>
        <v>146498.89000000001</v>
      </c>
      <c r="AI4114" s="47"/>
      <c r="AJ4114" s="126" t="e">
        <v>#N/A</v>
      </c>
      <c r="AK4114" s="80">
        <f t="shared" si="637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31"/>
        <v>4938.2250000000013</v>
      </c>
      <c r="X4115" s="6">
        <f t="shared" si="632"/>
        <v>5576.6750000000002</v>
      </c>
      <c r="Y4115" s="13">
        <f t="shared" si="635"/>
        <v>0</v>
      </c>
      <c r="Z4115" s="14">
        <v>0</v>
      </c>
      <c r="AA4115" s="6">
        <v>0</v>
      </c>
      <c r="AB4115" s="4">
        <f t="shared" si="636"/>
        <v>5576.6750000000002</v>
      </c>
      <c r="AC4115" s="4">
        <f t="shared" si="638"/>
        <v>0</v>
      </c>
      <c r="AD4115" s="6">
        <f t="shared" si="633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39"/>
        <v>390.36725000000007</v>
      </c>
      <c r="AG4115" s="14">
        <v>0</v>
      </c>
      <c r="AH4115" s="65">
        <f t="shared" si="634"/>
        <v>5576.6750000000002</v>
      </c>
      <c r="AI4115" s="47"/>
      <c r="AJ4115" s="126" t="e">
        <v>#N/A</v>
      </c>
      <c r="AK4115" s="80">
        <f t="shared" si="637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31"/>
        <v>64388.5</v>
      </c>
      <c r="X4116" s="6">
        <f t="shared" si="632"/>
        <v>446738.82352941175</v>
      </c>
      <c r="Y4116" s="13">
        <f t="shared" si="635"/>
        <v>0</v>
      </c>
      <c r="Z4116" s="14">
        <v>0</v>
      </c>
      <c r="AA4116" s="6">
        <v>0</v>
      </c>
      <c r="AB4116" s="4">
        <f t="shared" si="636"/>
        <v>446738.82352941175</v>
      </c>
      <c r="AC4116" s="4">
        <f t="shared" si="638"/>
        <v>8934.7764705882291</v>
      </c>
      <c r="AD4116" s="6">
        <f t="shared" si="633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39"/>
        <v>31897.152000000002</v>
      </c>
      <c r="AG4116" s="14">
        <v>0</v>
      </c>
      <c r="AH4116" s="65">
        <f t="shared" si="634"/>
        <v>455673.59999999998</v>
      </c>
      <c r="AI4116" s="47"/>
      <c r="AJ4116" s="126" t="e">
        <v>#N/A</v>
      </c>
      <c r="AK4116" s="80">
        <f t="shared" si="637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31"/>
        <v>9565.3000000000011</v>
      </c>
      <c r="X4117" s="6">
        <f t="shared" si="632"/>
        <v>13220.9</v>
      </c>
      <c r="Y4117" s="13">
        <f t="shared" si="635"/>
        <v>0</v>
      </c>
      <c r="Z4117" s="14">
        <v>0</v>
      </c>
      <c r="AA4117" s="6">
        <v>0</v>
      </c>
      <c r="AB4117" s="4">
        <f t="shared" si="636"/>
        <v>13220.9</v>
      </c>
      <c r="AC4117" s="4">
        <f t="shared" si="638"/>
        <v>0</v>
      </c>
      <c r="AD4117" s="6">
        <f t="shared" si="633"/>
        <v>13220.9</v>
      </c>
      <c r="AE4117" s="2">
        <f>VLOOKUP(I4117,[1]媒体政策预估表!A:N,MATCH(O4117,[1]媒体政策预估表!$A$2:$M$2,0),0)</f>
        <v>7.0000000000000007E-2</v>
      </c>
      <c r="AF4117" s="6">
        <f t="shared" si="639"/>
        <v>925.46300000000008</v>
      </c>
      <c r="AG4117" s="14">
        <v>0</v>
      </c>
      <c r="AH4117" s="65">
        <f t="shared" si="634"/>
        <v>13220.9</v>
      </c>
      <c r="AI4117" s="47"/>
      <c r="AJ4117" s="126" t="e">
        <v>#N/A</v>
      </c>
      <c r="AK4117" s="80">
        <f t="shared" si="637"/>
        <v>0</v>
      </c>
      <c r="AM4117" s="85"/>
    </row>
    <row r="4118" spans="1:39" hidden="1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31"/>
        <v>12699.910000000003</v>
      </c>
      <c r="X4118" s="6">
        <f t="shared" si="632"/>
        <v>143669.1</v>
      </c>
      <c r="Y4118" s="13">
        <f t="shared" si="635"/>
        <v>0</v>
      </c>
      <c r="Z4118" s="14">
        <v>0</v>
      </c>
      <c r="AA4118" s="6">
        <v>0</v>
      </c>
      <c r="AB4118" s="4">
        <f t="shared" si="636"/>
        <v>143669.1</v>
      </c>
      <c r="AC4118" s="4">
        <f t="shared" si="638"/>
        <v>0</v>
      </c>
      <c r="AD4118" s="6">
        <f t="shared" si="633"/>
        <v>143669.1</v>
      </c>
      <c r="AE4118" s="2">
        <f>VLOOKUP(I4118,[1]媒体政策预估表!A:N,MATCH(O4118,[1]媒体政策预估表!$A$2:$M$2,0),0)</f>
        <v>7.0000000000000007E-2</v>
      </c>
      <c r="AF4118" s="6">
        <f t="shared" si="639"/>
        <v>10056.837000000001</v>
      </c>
      <c r="AG4118" s="14">
        <v>0</v>
      </c>
      <c r="AH4118" s="65">
        <f t="shared" si="634"/>
        <v>143669.1</v>
      </c>
      <c r="AI4118" s="47"/>
      <c r="AJ4118" s="126" t="e">
        <v>#N/A</v>
      </c>
      <c r="AK4118" s="80">
        <f t="shared" si="637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31"/>
        <v>8427.3099999999831</v>
      </c>
      <c r="X4119" s="6">
        <f t="shared" si="632"/>
        <v>91359.2</v>
      </c>
      <c r="Y4119" s="13">
        <f t="shared" si="635"/>
        <v>0</v>
      </c>
      <c r="Z4119" s="14">
        <v>0</v>
      </c>
      <c r="AA4119" s="6">
        <v>0</v>
      </c>
      <c r="AB4119" s="4">
        <f t="shared" si="636"/>
        <v>91359.2</v>
      </c>
      <c r="AC4119" s="4">
        <f t="shared" si="638"/>
        <v>0</v>
      </c>
      <c r="AD4119" s="6">
        <f t="shared" si="633"/>
        <v>91359.2</v>
      </c>
      <c r="AE4119" s="2">
        <f>VLOOKUP(I4119,[1]媒体政策预估表!A:N,MATCH(O4119,[1]媒体政策预估表!$A$2:$M$2,0),0)</f>
        <v>7.0000000000000007E-2</v>
      </c>
      <c r="AF4119" s="6">
        <f t="shared" si="639"/>
        <v>6395.1440000000002</v>
      </c>
      <c r="AG4119" s="14">
        <v>0</v>
      </c>
      <c r="AH4119" s="65">
        <f t="shared" si="634"/>
        <v>91359.2</v>
      </c>
      <c r="AI4119" s="47"/>
      <c r="AJ4119" s="126" t="e">
        <v>#N/A</v>
      </c>
      <c r="AK4119" s="80">
        <f t="shared" si="637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31"/>
        <v>4722.0999999999995</v>
      </c>
      <c r="X4120" s="6">
        <f t="shared" si="632"/>
        <v>3049.8</v>
      </c>
      <c r="Y4120" s="13">
        <f t="shared" si="635"/>
        <v>0</v>
      </c>
      <c r="Z4120" s="14">
        <v>0</v>
      </c>
      <c r="AA4120" s="6">
        <v>0</v>
      </c>
      <c r="AB4120" s="4">
        <f t="shared" si="636"/>
        <v>3049.8</v>
      </c>
      <c r="AC4120" s="4">
        <f t="shared" si="638"/>
        <v>0</v>
      </c>
      <c r="AD4120" s="6">
        <f t="shared" si="633"/>
        <v>3049.8</v>
      </c>
      <c r="AE4120" s="2">
        <f>VLOOKUP(I4120,[1]媒体政策预估表!A:N,MATCH(O4120,[1]媒体政策预估表!$A$2:$M$2,0),0)</f>
        <v>7.0000000000000007E-2</v>
      </c>
      <c r="AF4120" s="6">
        <f t="shared" si="639"/>
        <v>213.48600000000005</v>
      </c>
      <c r="AG4120" s="14">
        <v>0</v>
      </c>
      <c r="AH4120" s="65">
        <f t="shared" si="634"/>
        <v>3049.8</v>
      </c>
      <c r="AI4120" s="47"/>
      <c r="AJ4120" s="126" t="e">
        <v>#N/A</v>
      </c>
      <c r="AK4120" s="80">
        <f t="shared" si="637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31"/>
        <v>7795.3599999999933</v>
      </c>
      <c r="X4121" s="6">
        <f t="shared" si="632"/>
        <v>57855.040000000001</v>
      </c>
      <c r="Y4121" s="13">
        <f t="shared" si="635"/>
        <v>0</v>
      </c>
      <c r="Z4121" s="14">
        <v>0</v>
      </c>
      <c r="AA4121" s="6">
        <v>0</v>
      </c>
      <c r="AB4121" s="4">
        <f t="shared" si="636"/>
        <v>57855.040000000001</v>
      </c>
      <c r="AC4121" s="4">
        <f t="shared" si="638"/>
        <v>0</v>
      </c>
      <c r="AD4121" s="6">
        <f t="shared" si="633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39"/>
        <v>4049.8528000000006</v>
      </c>
      <c r="AG4121" s="14">
        <v>0</v>
      </c>
      <c r="AH4121" s="65">
        <f t="shared" si="634"/>
        <v>57855.040000000001</v>
      </c>
      <c r="AI4121" s="47"/>
      <c r="AJ4121" s="126" t="e">
        <v>#N/A</v>
      </c>
      <c r="AK4121" s="80">
        <f t="shared" si="637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31"/>
        <v>43826.424679999996</v>
      </c>
      <c r="X4122" s="6">
        <f t="shared" si="632"/>
        <v>9961.6032300000006</v>
      </c>
      <c r="Y4122" s="13">
        <f t="shared" si="635"/>
        <v>0</v>
      </c>
      <c r="Z4122" s="14">
        <v>0</v>
      </c>
      <c r="AA4122" s="6">
        <v>0</v>
      </c>
      <c r="AB4122" s="4">
        <f t="shared" si="636"/>
        <v>9961.6032300000006</v>
      </c>
      <c r="AC4122" s="4">
        <f t="shared" si="638"/>
        <v>0</v>
      </c>
      <c r="AD4122" s="6">
        <f t="shared" si="633"/>
        <v>9961.6032300000006</v>
      </c>
      <c r="AE4122" s="2">
        <f>VLOOKUP(I4122,[1]媒体政策预估表!A:N,MATCH(O4122,[1]媒体政策预估表!$A$2:$M$2,0),0)</f>
        <v>0.12</v>
      </c>
      <c r="AF4122" s="6">
        <f t="shared" si="639"/>
        <v>1195.3923876000001</v>
      </c>
      <c r="AG4122" s="14">
        <v>0</v>
      </c>
      <c r="AH4122" s="65">
        <f t="shared" si="634"/>
        <v>9961.6032300000006</v>
      </c>
      <c r="AI4122" s="47"/>
      <c r="AJ4122" s="126" t="e">
        <v>#N/A</v>
      </c>
      <c r="AK4122" s="80">
        <f t="shared" si="637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31"/>
        <v>21906.031590000006</v>
      </c>
      <c r="X4123" s="6">
        <f t="shared" si="632"/>
        <v>3093.9684099999949</v>
      </c>
      <c r="Y4123" s="13">
        <f t="shared" si="635"/>
        <v>0</v>
      </c>
      <c r="Z4123" s="14">
        <v>0</v>
      </c>
      <c r="AA4123" s="6">
        <v>0</v>
      </c>
      <c r="AB4123" s="4">
        <f t="shared" si="636"/>
        <v>3093.9684099999949</v>
      </c>
      <c r="AC4123" s="4">
        <f t="shared" si="638"/>
        <v>0</v>
      </c>
      <c r="AD4123" s="6">
        <f t="shared" si="633"/>
        <v>3093.9684099999949</v>
      </c>
      <c r="AE4123" s="2">
        <f>VLOOKUP(I4123,[1]媒体政策预估表!A:N,MATCH(O4123,[1]媒体政策预估表!$A$2:$M$2,0),0)</f>
        <v>0.12</v>
      </c>
      <c r="AF4123" s="6">
        <f t="shared" si="639"/>
        <v>371.27620919999936</v>
      </c>
      <c r="AG4123" s="14">
        <v>0</v>
      </c>
      <c r="AH4123" s="65">
        <f t="shared" si="634"/>
        <v>3093.9684099999949</v>
      </c>
      <c r="AI4123" s="47"/>
      <c r="AJ4123" s="126" t="e">
        <v>#N/A</v>
      </c>
      <c r="AK4123" s="80">
        <f t="shared" si="637"/>
        <v>0</v>
      </c>
      <c r="AM4123" s="85"/>
    </row>
    <row r="4124" spans="1:39" hidden="1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31"/>
        <v>75961.850000000006</v>
      </c>
      <c r="X4124" s="6">
        <f t="shared" si="632"/>
        <v>148668.39000000001</v>
      </c>
      <c r="Y4124" s="13">
        <f t="shared" si="635"/>
        <v>0</v>
      </c>
      <c r="Z4124" s="14">
        <v>0</v>
      </c>
      <c r="AA4124" s="6">
        <v>0</v>
      </c>
      <c r="AB4124" s="4">
        <f t="shared" si="636"/>
        <v>148668.39000000001</v>
      </c>
      <c r="AC4124" s="4">
        <f t="shared" si="638"/>
        <v>0</v>
      </c>
      <c r="AD4124" s="6">
        <f t="shared" si="633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39"/>
        <v>10406.787300000002</v>
      </c>
      <c r="AG4124" s="14">
        <v>0</v>
      </c>
      <c r="AH4124" s="65">
        <f t="shared" si="634"/>
        <v>148668.39000000001</v>
      </c>
      <c r="AI4124" s="47"/>
      <c r="AJ4124" s="126" t="e">
        <v>#N/A</v>
      </c>
      <c r="AK4124" s="80">
        <f t="shared" si="637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31"/>
        <v>10098.170000000042</v>
      </c>
      <c r="X4125" s="6">
        <f t="shared" si="632"/>
        <v>48732</v>
      </c>
      <c r="Y4125" s="13">
        <f t="shared" si="635"/>
        <v>0</v>
      </c>
      <c r="Z4125" s="14">
        <v>0</v>
      </c>
      <c r="AA4125" s="6">
        <v>0</v>
      </c>
      <c r="AB4125" s="4">
        <f t="shared" si="636"/>
        <v>48732</v>
      </c>
      <c r="AC4125" s="4">
        <f t="shared" si="638"/>
        <v>0</v>
      </c>
      <c r="AD4125" s="6">
        <f t="shared" si="633"/>
        <v>48732</v>
      </c>
      <c r="AE4125" s="2">
        <f>VLOOKUP(I4125,[1]媒体政策预估表!A:N,MATCH(O4125,[1]媒体政策预估表!$A$2:$M$2,0),0)</f>
        <v>7.0000000000000007E-2</v>
      </c>
      <c r="AF4125" s="6">
        <f t="shared" si="639"/>
        <v>3411.2400000000002</v>
      </c>
      <c r="AG4125" s="14">
        <v>0</v>
      </c>
      <c r="AH4125" s="65">
        <f t="shared" si="634"/>
        <v>48732</v>
      </c>
      <c r="AI4125" s="47"/>
      <c r="AJ4125" s="126" t="e">
        <v>#N/A</v>
      </c>
      <c r="AK4125" s="80">
        <f t="shared" si="637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31"/>
        <v>69771.268420000037</v>
      </c>
      <c r="X4126" s="6">
        <f t="shared" si="632"/>
        <v>237963.37</v>
      </c>
      <c r="Y4126" s="13">
        <f t="shared" si="635"/>
        <v>0</v>
      </c>
      <c r="Z4126" s="14">
        <v>0</v>
      </c>
      <c r="AA4126" s="6">
        <v>0</v>
      </c>
      <c r="AB4126" s="4">
        <f t="shared" si="636"/>
        <v>237963.37</v>
      </c>
      <c r="AC4126" s="4">
        <f t="shared" si="638"/>
        <v>0</v>
      </c>
      <c r="AD4126" s="6">
        <f t="shared" si="633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39"/>
        <v>16657.4359</v>
      </c>
      <c r="AG4126" s="14">
        <v>0</v>
      </c>
      <c r="AH4126" s="65">
        <f t="shared" si="634"/>
        <v>237963.37</v>
      </c>
      <c r="AI4126" s="47"/>
      <c r="AJ4126" s="126" t="e">
        <v>#N/A</v>
      </c>
      <c r="AK4126" s="80">
        <f t="shared" si="637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31"/>
        <v>20971.199999999997</v>
      </c>
      <c r="X4127" s="6">
        <f t="shared" si="632"/>
        <v>84517.7</v>
      </c>
      <c r="Y4127" s="13">
        <f t="shared" si="635"/>
        <v>0</v>
      </c>
      <c r="Z4127" s="14">
        <v>0</v>
      </c>
      <c r="AA4127" s="6">
        <v>0</v>
      </c>
      <c r="AB4127" s="4">
        <f t="shared" si="636"/>
        <v>84517.7</v>
      </c>
      <c r="AC4127" s="4">
        <f t="shared" si="638"/>
        <v>0</v>
      </c>
      <c r="AD4127" s="6">
        <f t="shared" si="633"/>
        <v>84517.7</v>
      </c>
      <c r="AE4127" s="2">
        <f>VLOOKUP(I4127,[1]媒体政策预估表!A:N,MATCH(O4127,[1]媒体政策预估表!$A$2:$M$2,0),0)</f>
        <v>7.0000000000000007E-2</v>
      </c>
      <c r="AF4127" s="6">
        <f t="shared" si="639"/>
        <v>5916.2390000000005</v>
      </c>
      <c r="AG4127" s="14">
        <v>0</v>
      </c>
      <c r="AH4127" s="65">
        <f t="shared" si="634"/>
        <v>84517.7</v>
      </c>
      <c r="AI4127" s="47"/>
      <c r="AJ4127" s="126" t="e">
        <v>#N/A</v>
      </c>
      <c r="AK4127" s="80">
        <f t="shared" si="637"/>
        <v>0</v>
      </c>
      <c r="AM4127" s="85"/>
    </row>
    <row r="4128" spans="1:39" hidden="1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31"/>
        <v>216716.5</v>
      </c>
      <c r="X4128" s="6">
        <f t="shared" si="632"/>
        <v>244521.7</v>
      </c>
      <c r="Y4128" s="13">
        <f t="shared" si="635"/>
        <v>0</v>
      </c>
      <c r="Z4128" s="14">
        <v>0</v>
      </c>
      <c r="AA4128" s="6">
        <v>0</v>
      </c>
      <c r="AB4128" s="4">
        <f t="shared" si="636"/>
        <v>244521.7</v>
      </c>
      <c r="AC4128" s="4">
        <f t="shared" si="638"/>
        <v>0</v>
      </c>
      <c r="AD4128" s="6">
        <f t="shared" si="633"/>
        <v>244521.7</v>
      </c>
      <c r="AE4128" s="2">
        <f>VLOOKUP(I4128,[1]媒体政策预估表!A:N,MATCH(O4128,[1]媒体政策预估表!$A$2:$M$2,0),0)</f>
        <v>7.0000000000000007E-2</v>
      </c>
      <c r="AF4128" s="6">
        <f t="shared" si="639"/>
        <v>17116.519000000004</v>
      </c>
      <c r="AG4128" s="14">
        <v>0</v>
      </c>
      <c r="AH4128" s="65">
        <f t="shared" si="634"/>
        <v>244521.7</v>
      </c>
      <c r="AI4128" s="47"/>
      <c r="AJ4128" s="126" t="e">
        <v>#N/A</v>
      </c>
      <c r="AK4128" s="80">
        <f t="shared" si="637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31"/>
        <v>43323.400000000009</v>
      </c>
      <c r="X4129" s="6">
        <f t="shared" si="632"/>
        <v>87099.9</v>
      </c>
      <c r="Y4129" s="13">
        <f t="shared" si="635"/>
        <v>0</v>
      </c>
      <c r="Z4129" s="14">
        <v>0</v>
      </c>
      <c r="AA4129" s="6">
        <v>0</v>
      </c>
      <c r="AB4129" s="4">
        <f t="shared" si="636"/>
        <v>87099.9</v>
      </c>
      <c r="AC4129" s="4">
        <f t="shared" si="638"/>
        <v>0</v>
      </c>
      <c r="AD4129" s="6">
        <f t="shared" si="633"/>
        <v>87099.9</v>
      </c>
      <c r="AE4129" s="2">
        <f>VLOOKUP(I4129,[1]媒体政策预估表!A:N,MATCH(O4129,[1]媒体政策预估表!$A$2:$M$2,0),0)</f>
        <v>7.0000000000000007E-2</v>
      </c>
      <c r="AF4129" s="6">
        <f t="shared" si="639"/>
        <v>6096.9930000000004</v>
      </c>
      <c r="AG4129" s="14">
        <v>0</v>
      </c>
      <c r="AH4129" s="65">
        <f t="shared" si="634"/>
        <v>87099.9</v>
      </c>
      <c r="AI4129" s="47"/>
      <c r="AJ4129" s="126" t="e">
        <v>#N/A</v>
      </c>
      <c r="AK4129" s="80">
        <f t="shared" si="637"/>
        <v>0</v>
      </c>
      <c r="AM4129" s="85"/>
    </row>
    <row r="4130" spans="1:39" hidden="1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31"/>
        <v>7397.1000000000058</v>
      </c>
      <c r="X4130" s="6">
        <f t="shared" si="632"/>
        <v>44750.2</v>
      </c>
      <c r="Y4130" s="13">
        <f t="shared" si="635"/>
        <v>0</v>
      </c>
      <c r="Z4130" s="14">
        <v>0</v>
      </c>
      <c r="AA4130" s="6">
        <v>0</v>
      </c>
      <c r="AB4130" s="4">
        <f t="shared" si="636"/>
        <v>44750.2</v>
      </c>
      <c r="AC4130" s="4">
        <f t="shared" si="638"/>
        <v>0</v>
      </c>
      <c r="AD4130" s="6">
        <f t="shared" si="633"/>
        <v>44750.2</v>
      </c>
      <c r="AE4130" s="2">
        <f>VLOOKUP(I4130,[1]媒体政策预估表!A:N,MATCH(O4130,[1]媒体政策预估表!$A$2:$M$2,0),0)</f>
        <v>7.0000000000000007E-2</v>
      </c>
      <c r="AF4130" s="6">
        <f t="shared" si="639"/>
        <v>3132.5140000000001</v>
      </c>
      <c r="AG4130" s="14">
        <v>0</v>
      </c>
      <c r="AH4130" s="65">
        <f t="shared" si="634"/>
        <v>44750.2</v>
      </c>
      <c r="AI4130" s="47"/>
      <c r="AJ4130" s="126" t="e">
        <v>#N/A</v>
      </c>
      <c r="AK4130" s="80">
        <f t="shared" si="637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31"/>
        <v>4758.82</v>
      </c>
      <c r="X4131" s="6">
        <f t="shared" si="632"/>
        <v>34567.9</v>
      </c>
      <c r="Y4131" s="13">
        <f t="shared" si="635"/>
        <v>0</v>
      </c>
      <c r="Z4131" s="14">
        <v>0</v>
      </c>
      <c r="AA4131" s="6">
        <v>0</v>
      </c>
      <c r="AB4131" s="4">
        <v>34567.9</v>
      </c>
      <c r="AC4131" s="4">
        <f t="shared" si="638"/>
        <v>0</v>
      </c>
      <c r="AD4131" s="6">
        <f t="shared" si="633"/>
        <v>34567.9</v>
      </c>
      <c r="AE4131" s="2">
        <f>VLOOKUP(I4131,[1]媒体政策预估表!A:N,MATCH(O4131,[1]媒体政策预估表!$A$2:$M$2,0),0)</f>
        <v>7.0000000000000007E-2</v>
      </c>
      <c r="AF4131" s="6">
        <f t="shared" si="639"/>
        <v>2419.7530000000002</v>
      </c>
      <c r="AG4131" s="14">
        <v>0</v>
      </c>
      <c r="AH4131" s="65">
        <f t="shared" si="634"/>
        <v>34567.9</v>
      </c>
      <c r="AI4131" s="47"/>
      <c r="AJ4131" s="126" t="s">
        <v>4225</v>
      </c>
      <c r="AK4131" s="80">
        <f t="shared" si="637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31"/>
        <v>14524.100000000006</v>
      </c>
      <c r="X4132" s="6">
        <f t="shared" si="632"/>
        <v>133607</v>
      </c>
      <c r="Y4132" s="13">
        <f t="shared" si="635"/>
        <v>0</v>
      </c>
      <c r="Z4132" s="14">
        <v>0</v>
      </c>
      <c r="AA4132" s="6">
        <v>0</v>
      </c>
      <c r="AB4132" s="4">
        <f t="shared" si="636"/>
        <v>133607</v>
      </c>
      <c r="AC4132" s="4">
        <f t="shared" si="638"/>
        <v>0</v>
      </c>
      <c r="AD4132" s="6">
        <f t="shared" si="633"/>
        <v>133607</v>
      </c>
      <c r="AE4132" s="2">
        <f>VLOOKUP(I4132,[1]媒体政策预估表!A:N,MATCH(O4132,[1]媒体政策预估表!$A$2:$M$2,0),0)</f>
        <v>7.0000000000000007E-2</v>
      </c>
      <c r="AF4132" s="6">
        <f t="shared" si="639"/>
        <v>9352.4900000000016</v>
      </c>
      <c r="AG4132" s="14">
        <v>0</v>
      </c>
      <c r="AH4132" s="65">
        <f t="shared" si="634"/>
        <v>133607</v>
      </c>
      <c r="AI4132" s="47"/>
      <c r="AJ4132" s="126" t="e">
        <v>#N/A</v>
      </c>
      <c r="AK4132" s="80">
        <f t="shared" si="637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31"/>
        <v>77056.989999999932</v>
      </c>
      <c r="X4133" s="6">
        <f t="shared" si="632"/>
        <v>290578.90000000002</v>
      </c>
      <c r="Y4133" s="13">
        <f t="shared" si="635"/>
        <v>0</v>
      </c>
      <c r="Z4133" s="14">
        <v>0</v>
      </c>
      <c r="AA4133" s="6">
        <v>0</v>
      </c>
      <c r="AB4133" s="4">
        <f t="shared" si="636"/>
        <v>290578.90000000002</v>
      </c>
      <c r="AC4133" s="4">
        <f t="shared" si="638"/>
        <v>0</v>
      </c>
      <c r="AD4133" s="6">
        <f t="shared" si="633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39"/>
        <v>20340.523000000005</v>
      </c>
      <c r="AG4133" s="14">
        <v>0</v>
      </c>
      <c r="AH4133" s="65">
        <f t="shared" si="634"/>
        <v>290578.90000000002</v>
      </c>
      <c r="AI4133" s="47"/>
      <c r="AJ4133" s="126" t="e">
        <v>#N/A</v>
      </c>
      <c r="AK4133" s="80">
        <f t="shared" si="637"/>
        <v>0</v>
      </c>
      <c r="AM4133" s="85"/>
    </row>
    <row r="4134" spans="1:39" hidden="1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31"/>
        <v>3336.8999999999978</v>
      </c>
      <c r="X4134" s="6">
        <f t="shared" si="632"/>
        <v>25607.722772277226</v>
      </c>
      <c r="Y4134" s="13">
        <f t="shared" si="635"/>
        <v>0</v>
      </c>
      <c r="Z4134" s="14">
        <v>0</v>
      </c>
      <c r="AA4134" s="6">
        <v>0</v>
      </c>
      <c r="AB4134" s="4">
        <f t="shared" si="636"/>
        <v>25607.722772277226</v>
      </c>
      <c r="AC4134" s="4">
        <f t="shared" si="638"/>
        <v>256.07722772277339</v>
      </c>
      <c r="AD4134" s="6">
        <f t="shared" si="633"/>
        <v>25863.8</v>
      </c>
      <c r="AE4134" s="2">
        <f>VLOOKUP(I4134,[1]媒体政策预估表!A:N,MATCH(O4134,[1]媒体政策预估表!$A$2:$M$2,0),0)</f>
        <v>7.0000000000000007E-2</v>
      </c>
      <c r="AF4134" s="6">
        <f t="shared" si="639"/>
        <v>1810.4660000000001</v>
      </c>
      <c r="AG4134" s="14">
        <v>0</v>
      </c>
      <c r="AH4134" s="65">
        <f t="shared" si="634"/>
        <v>25863.8</v>
      </c>
      <c r="AI4134" s="47"/>
      <c r="AJ4134" s="126" t="e">
        <v>#N/A</v>
      </c>
      <c r="AK4134" s="80">
        <f t="shared" si="637"/>
        <v>0</v>
      </c>
      <c r="AM4134" s="85"/>
    </row>
    <row r="4135" spans="1:39" hidden="1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31"/>
        <v>26817.9</v>
      </c>
      <c r="X4135" s="6">
        <f t="shared" si="632"/>
        <v>15252.376237623763</v>
      </c>
      <c r="Y4135" s="13">
        <f t="shared" si="635"/>
        <v>0</v>
      </c>
      <c r="Z4135" s="14">
        <v>0</v>
      </c>
      <c r="AA4135" s="6">
        <v>0</v>
      </c>
      <c r="AB4135" s="4">
        <f t="shared" si="636"/>
        <v>15252.376237623763</v>
      </c>
      <c r="AC4135" s="4">
        <f t="shared" si="638"/>
        <v>152.52376237623685</v>
      </c>
      <c r="AD4135" s="6">
        <f t="shared" si="633"/>
        <v>15404.9</v>
      </c>
      <c r="AE4135" s="2">
        <f>VLOOKUP(I4135,[1]媒体政策预估表!A:N,MATCH(O4135,[1]媒体政策预估表!$A$2:$M$2,0),0)</f>
        <v>7.0000000000000007E-2</v>
      </c>
      <c r="AF4135" s="6">
        <f t="shared" si="639"/>
        <v>1078.3430000000001</v>
      </c>
      <c r="AG4135" s="14">
        <v>0</v>
      </c>
      <c r="AH4135" s="65">
        <f t="shared" si="634"/>
        <v>15404.9</v>
      </c>
      <c r="AI4135" s="47"/>
      <c r="AJ4135" s="126" t="e">
        <v>#N/A</v>
      </c>
      <c r="AK4135" s="80">
        <f t="shared" si="637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31"/>
        <v>51142.65000000014</v>
      </c>
      <c r="X4136" s="6">
        <f t="shared" si="632"/>
        <v>401464.1</v>
      </c>
      <c r="Y4136" s="13">
        <f t="shared" si="635"/>
        <v>0</v>
      </c>
      <c r="Z4136" s="14">
        <v>0</v>
      </c>
      <c r="AA4136" s="6">
        <v>0</v>
      </c>
      <c r="AB4136" s="4">
        <f t="shared" si="636"/>
        <v>401464.1</v>
      </c>
      <c r="AC4136" s="4">
        <f t="shared" si="638"/>
        <v>0</v>
      </c>
      <c r="AD4136" s="6">
        <f t="shared" si="633"/>
        <v>401464.1</v>
      </c>
      <c r="AE4136" s="2">
        <f>VLOOKUP(I4136,[1]媒体政策预估表!A:N,MATCH(O4136,[1]媒体政策预估表!$A$2:$M$2,0),0)</f>
        <v>7.0000000000000007E-2</v>
      </c>
      <c r="AF4136" s="6">
        <f t="shared" si="639"/>
        <v>28102.487000000001</v>
      </c>
      <c r="AG4136" s="14">
        <v>0</v>
      </c>
      <c r="AH4136" s="65">
        <f t="shared" si="634"/>
        <v>401464.1</v>
      </c>
      <c r="AI4136" s="47"/>
      <c r="AJ4136" s="126" t="e">
        <v>#N/A</v>
      </c>
      <c r="AK4136" s="80">
        <f t="shared" si="637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31"/>
        <v>130676.05006999976</v>
      </c>
      <c r="X4137" s="6">
        <f t="shared" si="632"/>
        <v>791832</v>
      </c>
      <c r="Y4137" s="13">
        <f t="shared" si="635"/>
        <v>0</v>
      </c>
      <c r="Z4137" s="14">
        <v>0</v>
      </c>
      <c r="AA4137" s="6">
        <v>0</v>
      </c>
      <c r="AB4137" s="4">
        <f t="shared" si="636"/>
        <v>791832</v>
      </c>
      <c r="AC4137" s="4">
        <f t="shared" si="638"/>
        <v>0</v>
      </c>
      <c r="AD4137" s="6">
        <f t="shared" si="633"/>
        <v>791832</v>
      </c>
      <c r="AE4137" s="2">
        <f>VLOOKUP(I4137,[1]媒体政策预估表!A:N,MATCH(O4137,[1]媒体政策预估表!$A$2:$M$2,0),0)</f>
        <v>7.0000000000000007E-2</v>
      </c>
      <c r="AF4137" s="6">
        <f t="shared" si="639"/>
        <v>55428.240000000005</v>
      </c>
      <c r="AG4137" s="14">
        <v>0</v>
      </c>
      <c r="AH4137" s="65">
        <f t="shared" si="634"/>
        <v>791832</v>
      </c>
      <c r="AI4137" s="47"/>
      <c r="AJ4137" s="126" t="e">
        <v>#N/A</v>
      </c>
      <c r="AK4137" s="80">
        <f t="shared" si="637"/>
        <v>0</v>
      </c>
      <c r="AM4137" s="85"/>
    </row>
    <row r="4138" spans="1:39" hidden="1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31"/>
        <v>282681.03000000003</v>
      </c>
      <c r="X4138" s="6">
        <f t="shared" si="632"/>
        <v>1890954.1176470588</v>
      </c>
      <c r="Y4138" s="13">
        <f t="shared" si="635"/>
        <v>0</v>
      </c>
      <c r="Z4138" s="14">
        <v>0</v>
      </c>
      <c r="AA4138" s="6">
        <v>0</v>
      </c>
      <c r="AB4138" s="4">
        <f t="shared" si="636"/>
        <v>1890954.1176470588</v>
      </c>
      <c r="AC4138" s="4">
        <f t="shared" si="638"/>
        <v>37819.082352941157</v>
      </c>
      <c r="AD4138" s="6">
        <f t="shared" si="633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39"/>
        <v>135014.12400000001</v>
      </c>
      <c r="AG4138" s="14">
        <v>0</v>
      </c>
      <c r="AH4138" s="65">
        <f t="shared" si="634"/>
        <v>1928773.2</v>
      </c>
      <c r="AI4138" s="47"/>
      <c r="AJ4138" s="126" t="e">
        <v>#N/A</v>
      </c>
      <c r="AK4138" s="80">
        <f t="shared" si="637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31"/>
        <v>59398.700000000004</v>
      </c>
      <c r="X4139" s="6">
        <f t="shared" si="632"/>
        <v>12839.6</v>
      </c>
      <c r="Y4139" s="13">
        <f t="shared" si="635"/>
        <v>0</v>
      </c>
      <c r="Z4139" s="14">
        <v>0</v>
      </c>
      <c r="AA4139" s="6">
        <v>0</v>
      </c>
      <c r="AB4139" s="4">
        <f t="shared" si="636"/>
        <v>12839.6</v>
      </c>
      <c r="AC4139" s="4">
        <f t="shared" si="638"/>
        <v>0</v>
      </c>
      <c r="AD4139" s="6">
        <f t="shared" si="633"/>
        <v>12839.6</v>
      </c>
      <c r="AE4139" s="2">
        <f>VLOOKUP(I4139,[1]媒体政策预估表!A:N,MATCH(O4139,[1]媒体政策预估表!$A$2:$M$2,0),0)</f>
        <v>7.0000000000000007E-2</v>
      </c>
      <c r="AF4139" s="6">
        <f t="shared" si="639"/>
        <v>898.77200000000016</v>
      </c>
      <c r="AG4139" s="14">
        <v>0</v>
      </c>
      <c r="AH4139" s="65">
        <f t="shared" si="634"/>
        <v>12839.6</v>
      </c>
      <c r="AI4139" s="47"/>
      <c r="AJ4139" s="126" t="e">
        <v>#N/A</v>
      </c>
      <c r="AK4139" s="80">
        <f t="shared" si="637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31"/>
        <v>52849.799999999996</v>
      </c>
      <c r="X4140" s="6">
        <f t="shared" si="632"/>
        <v>61515.9</v>
      </c>
      <c r="Y4140" s="13">
        <f t="shared" si="635"/>
        <v>0</v>
      </c>
      <c r="Z4140" s="14">
        <v>0</v>
      </c>
      <c r="AA4140" s="6">
        <v>0</v>
      </c>
      <c r="AB4140" s="4">
        <f t="shared" si="636"/>
        <v>61515.9</v>
      </c>
      <c r="AC4140" s="4">
        <f t="shared" si="638"/>
        <v>0</v>
      </c>
      <c r="AD4140" s="6">
        <f t="shared" si="633"/>
        <v>61515.9</v>
      </c>
      <c r="AE4140" s="2">
        <f>VLOOKUP(I4140,[1]媒体政策预估表!A:N,MATCH(O4140,[1]媒体政策预估表!$A$2:$M$2,0),0)</f>
        <v>7.0000000000000007E-2</v>
      </c>
      <c r="AF4140" s="6">
        <f t="shared" si="639"/>
        <v>4306.1130000000003</v>
      </c>
      <c r="AG4140" s="14">
        <v>0</v>
      </c>
      <c r="AH4140" s="65">
        <f t="shared" si="634"/>
        <v>61515.9</v>
      </c>
      <c r="AI4140" s="47"/>
      <c r="AJ4140" s="126" t="e">
        <v>#N/A</v>
      </c>
      <c r="AK4140" s="80">
        <f t="shared" si="637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31"/>
        <v>208108.69999999998</v>
      </c>
      <c r="X4141" s="6">
        <f t="shared" si="632"/>
        <v>82172.100000000006</v>
      </c>
      <c r="Y4141" s="13">
        <f t="shared" si="635"/>
        <v>0</v>
      </c>
      <c r="Z4141" s="14">
        <v>0</v>
      </c>
      <c r="AA4141" s="6">
        <v>0</v>
      </c>
      <c r="AB4141" s="4">
        <f t="shared" si="636"/>
        <v>82172.100000000006</v>
      </c>
      <c r="AC4141" s="4">
        <f t="shared" si="638"/>
        <v>0</v>
      </c>
      <c r="AD4141" s="6">
        <f t="shared" si="633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39"/>
        <v>5752.0470000000014</v>
      </c>
      <c r="AG4141" s="14">
        <v>0</v>
      </c>
      <c r="AH4141" s="65">
        <f t="shared" si="634"/>
        <v>82172.100000000006</v>
      </c>
      <c r="AI4141" s="47"/>
      <c r="AJ4141" s="126" t="e">
        <v>#N/A</v>
      </c>
      <c r="AK4141" s="80">
        <f t="shared" si="637"/>
        <v>0</v>
      </c>
      <c r="AM4141" s="85"/>
    </row>
    <row r="4142" spans="1:39" hidden="1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31"/>
        <v>769493.39999999991</v>
      </c>
      <c r="X4142" s="6">
        <f t="shared" si="632"/>
        <v>80701.3</v>
      </c>
      <c r="Y4142" s="13">
        <f t="shared" si="635"/>
        <v>0</v>
      </c>
      <c r="Z4142" s="14">
        <v>0</v>
      </c>
      <c r="AA4142" s="6">
        <v>0</v>
      </c>
      <c r="AB4142" s="4">
        <f t="shared" si="636"/>
        <v>80701.3</v>
      </c>
      <c r="AC4142" s="4">
        <f t="shared" si="638"/>
        <v>0</v>
      </c>
      <c r="AD4142" s="6">
        <f t="shared" si="633"/>
        <v>80701.3</v>
      </c>
      <c r="AE4142" s="2">
        <f>VLOOKUP(I4142,[1]媒体政策预估表!A:N,MATCH(O4142,[1]媒体政策预估表!$A$2:$M$2,0),0)</f>
        <v>7.0000000000000007E-2</v>
      </c>
      <c r="AF4142" s="6">
        <f t="shared" si="639"/>
        <v>5649.0910000000003</v>
      </c>
      <c r="AG4142" s="14">
        <v>0</v>
      </c>
      <c r="AH4142" s="65">
        <f t="shared" si="634"/>
        <v>80701.3</v>
      </c>
      <c r="AI4142" s="47"/>
      <c r="AJ4142" s="126" t="e">
        <v>#N/A</v>
      </c>
      <c r="AK4142" s="80">
        <f t="shared" si="637"/>
        <v>0</v>
      </c>
      <c r="AM4142" s="85"/>
    </row>
    <row r="4143" spans="1:39" hidden="1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31"/>
        <v>30131.799999999988</v>
      </c>
      <c r="X4143" s="6">
        <f t="shared" si="632"/>
        <v>456018.2</v>
      </c>
      <c r="Y4143" s="13">
        <f t="shared" si="635"/>
        <v>0</v>
      </c>
      <c r="Z4143" s="14">
        <v>0</v>
      </c>
      <c r="AA4143" s="6">
        <v>0</v>
      </c>
      <c r="AB4143" s="4">
        <f t="shared" si="636"/>
        <v>456018.2</v>
      </c>
      <c r="AC4143" s="4">
        <f t="shared" si="638"/>
        <v>0</v>
      </c>
      <c r="AD4143" s="6">
        <f t="shared" si="633"/>
        <v>456018.2</v>
      </c>
      <c r="AE4143" s="2">
        <f>VLOOKUP(I4143,[1]媒体政策预估表!A:N,MATCH(O4143,[1]媒体政策预估表!$A$2:$M$2,0),0)</f>
        <v>7.0000000000000007E-2</v>
      </c>
      <c r="AF4143" s="6">
        <f t="shared" si="639"/>
        <v>31921.274000000005</v>
      </c>
      <c r="AG4143" s="14">
        <v>0</v>
      </c>
      <c r="AH4143" s="65">
        <f t="shared" si="634"/>
        <v>456018.2</v>
      </c>
      <c r="AI4143" s="47"/>
      <c r="AJ4143" s="126" t="e">
        <v>#N/A</v>
      </c>
      <c r="AK4143" s="80">
        <f t="shared" si="637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31"/>
        <v>7139.2000000000007</v>
      </c>
      <c r="X4144" s="6">
        <f t="shared" si="632"/>
        <v>8381.5</v>
      </c>
      <c r="Y4144" s="13">
        <f t="shared" si="635"/>
        <v>0</v>
      </c>
      <c r="Z4144" s="14">
        <v>0</v>
      </c>
      <c r="AA4144" s="6">
        <v>0</v>
      </c>
      <c r="AB4144" s="4">
        <f t="shared" si="636"/>
        <v>8381.5</v>
      </c>
      <c r="AC4144" s="4">
        <f t="shared" si="638"/>
        <v>0</v>
      </c>
      <c r="AD4144" s="6">
        <f t="shared" si="633"/>
        <v>8381.5</v>
      </c>
      <c r="AE4144" s="2">
        <f>VLOOKUP(I4144,[1]媒体政策预估表!A:N,MATCH(O4144,[1]媒体政策预估表!$A$2:$M$2,0),0)</f>
        <v>7.0000000000000007E-2</v>
      </c>
      <c r="AF4144" s="6">
        <f t="shared" si="639"/>
        <v>586.70500000000004</v>
      </c>
      <c r="AG4144" s="14">
        <v>0</v>
      </c>
      <c r="AH4144" s="65">
        <f t="shared" si="634"/>
        <v>8381.5</v>
      </c>
      <c r="AI4144" s="47"/>
      <c r="AJ4144" s="126" t="e">
        <v>#N/A</v>
      </c>
      <c r="AK4144" s="80">
        <f t="shared" si="637"/>
        <v>0</v>
      </c>
      <c r="AM4144" s="85"/>
    </row>
    <row r="4145" spans="1:39" hidden="1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31"/>
        <v>10304.800000000003</v>
      </c>
      <c r="X4145" s="6">
        <f t="shared" si="632"/>
        <v>71765.5</v>
      </c>
      <c r="Y4145" s="13">
        <f t="shared" si="635"/>
        <v>0</v>
      </c>
      <c r="Z4145" s="14">
        <v>0</v>
      </c>
      <c r="AA4145" s="6">
        <v>0</v>
      </c>
      <c r="AB4145" s="4">
        <f t="shared" si="636"/>
        <v>71765.5</v>
      </c>
      <c r="AC4145" s="4">
        <f t="shared" si="638"/>
        <v>0</v>
      </c>
      <c r="AD4145" s="6">
        <f t="shared" si="633"/>
        <v>71765.5</v>
      </c>
      <c r="AE4145" s="2">
        <f>VLOOKUP(I4145,[1]媒体政策预估表!A:N,MATCH(O4145,[1]媒体政策预估表!$A$2:$M$2,0),0)</f>
        <v>7.0000000000000007E-2</v>
      </c>
      <c r="AF4145" s="6">
        <f t="shared" si="639"/>
        <v>5023.585</v>
      </c>
      <c r="AG4145" s="14">
        <v>0</v>
      </c>
      <c r="AH4145" s="65">
        <f t="shared" si="634"/>
        <v>71765.5</v>
      </c>
      <c r="AI4145" s="47"/>
      <c r="AJ4145" s="126" t="e">
        <v>#N/A</v>
      </c>
      <c r="AK4145" s="80">
        <f t="shared" si="637"/>
        <v>0</v>
      </c>
      <c r="AM4145" s="85"/>
    </row>
    <row r="4146" spans="1:39" hidden="1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31"/>
        <v>17007.5</v>
      </c>
      <c r="X4146" s="6">
        <f t="shared" si="632"/>
        <v>2992.5</v>
      </c>
      <c r="Y4146" s="13">
        <f t="shared" si="635"/>
        <v>0</v>
      </c>
      <c r="Z4146" s="14">
        <v>0</v>
      </c>
      <c r="AA4146" s="6">
        <v>0</v>
      </c>
      <c r="AB4146" s="4">
        <f t="shared" si="636"/>
        <v>2992.5</v>
      </c>
      <c r="AC4146" s="4">
        <f t="shared" si="638"/>
        <v>0</v>
      </c>
      <c r="AD4146" s="6">
        <f t="shared" si="633"/>
        <v>2992.5</v>
      </c>
      <c r="AE4146" s="2">
        <f>VLOOKUP(I4146,[1]媒体政策预估表!A:N,MATCH(O4146,[1]媒体政策预估表!$A$2:$M$2,0),0)</f>
        <v>7.0000000000000007E-2</v>
      </c>
      <c r="AF4146" s="6">
        <f t="shared" si="639"/>
        <v>209.47500000000002</v>
      </c>
      <c r="AG4146" s="14">
        <v>0</v>
      </c>
      <c r="AH4146" s="65">
        <f t="shared" si="634"/>
        <v>2992.5</v>
      </c>
      <c r="AI4146" s="47"/>
      <c r="AJ4146" s="126" t="e">
        <v>#N/A</v>
      </c>
      <c r="AK4146" s="80">
        <f t="shared" si="637"/>
        <v>0</v>
      </c>
      <c r="AM4146" s="85"/>
    </row>
    <row r="4147" spans="1:39" hidden="1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31"/>
        <v>2396</v>
      </c>
      <c r="X4147" s="6">
        <f t="shared" si="632"/>
        <v>86167.2</v>
      </c>
      <c r="Y4147" s="13">
        <f t="shared" si="635"/>
        <v>0</v>
      </c>
      <c r="Z4147" s="14">
        <v>0</v>
      </c>
      <c r="AA4147" s="6">
        <v>0</v>
      </c>
      <c r="AB4147" s="4"/>
      <c r="AC4147" s="4">
        <f t="shared" si="638"/>
        <v>0</v>
      </c>
      <c r="AD4147" s="6">
        <f t="shared" si="633"/>
        <v>86167.2</v>
      </c>
      <c r="AE4147" s="2">
        <f>VLOOKUP(I4147,[1]媒体政策预估表!A:N,MATCH(O4147,[1]媒体政策预估表!$A$2:$M$2,0),0)</f>
        <v>7.0000000000000007E-2</v>
      </c>
      <c r="AF4147" s="6">
        <f t="shared" si="639"/>
        <v>6031.7040000000006</v>
      </c>
      <c r="AG4147" s="14">
        <v>0</v>
      </c>
      <c r="AH4147" s="65">
        <f t="shared" si="634"/>
        <v>86167.2</v>
      </c>
      <c r="AI4147" s="47"/>
      <c r="AJ4147" s="126">
        <v>113</v>
      </c>
      <c r="AK4147" s="80">
        <f t="shared" si="637"/>
        <v>86167.2</v>
      </c>
      <c r="AM4147" s="85"/>
    </row>
    <row r="4148" spans="1:39" hidden="1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31"/>
        <v>37240.049999999988</v>
      </c>
      <c r="X4148" s="6">
        <f t="shared" si="632"/>
        <v>168901.2</v>
      </c>
      <c r="Y4148" s="13">
        <f t="shared" si="635"/>
        <v>0</v>
      </c>
      <c r="Z4148" s="14">
        <v>0</v>
      </c>
      <c r="AA4148" s="6">
        <v>0</v>
      </c>
      <c r="AB4148" s="4">
        <f t="shared" si="636"/>
        <v>168901.2</v>
      </c>
      <c r="AC4148" s="4">
        <f t="shared" si="638"/>
        <v>0</v>
      </c>
      <c r="AD4148" s="6">
        <f t="shared" si="633"/>
        <v>168901.2</v>
      </c>
      <c r="AE4148" s="2">
        <f>VLOOKUP(I4148,[1]媒体政策预估表!A:N,MATCH(O4148,[1]媒体政策预估表!$A$2:$M$2,0),0)</f>
        <v>7.0000000000000007E-2</v>
      </c>
      <c r="AF4148" s="6">
        <f t="shared" si="639"/>
        <v>11823.084000000003</v>
      </c>
      <c r="AG4148" s="14">
        <v>0</v>
      </c>
      <c r="AH4148" s="65">
        <f t="shared" si="634"/>
        <v>168901.2</v>
      </c>
      <c r="AI4148" s="47"/>
      <c r="AJ4148" s="126" t="e">
        <v>#N/A</v>
      </c>
      <c r="AK4148" s="80">
        <f t="shared" si="637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31"/>
        <v>3627.2000000000007</v>
      </c>
      <c r="X4149" s="6">
        <f t="shared" si="632"/>
        <v>30161.3</v>
      </c>
      <c r="Y4149" s="13">
        <f t="shared" si="635"/>
        <v>0</v>
      </c>
      <c r="Z4149" s="14">
        <v>0</v>
      </c>
      <c r="AA4149" s="6">
        <v>0</v>
      </c>
      <c r="AB4149" s="4">
        <f t="shared" si="636"/>
        <v>30161.3</v>
      </c>
      <c r="AC4149" s="4">
        <f t="shared" si="638"/>
        <v>0</v>
      </c>
      <c r="AD4149" s="6">
        <f t="shared" si="633"/>
        <v>30161.3</v>
      </c>
      <c r="AE4149" s="2">
        <f>VLOOKUP(I4149,[1]媒体政策预估表!A:N,MATCH(O4149,[1]媒体政策预估表!$A$2:$M$2,0),0)</f>
        <v>7.0000000000000007E-2</v>
      </c>
      <c r="AF4149" s="6">
        <f t="shared" si="639"/>
        <v>2111.2910000000002</v>
      </c>
      <c r="AG4149" s="14">
        <v>0</v>
      </c>
      <c r="AH4149" s="65">
        <f t="shared" si="634"/>
        <v>30161.3</v>
      </c>
      <c r="AI4149" s="47"/>
      <c r="AJ4149" s="126" t="e">
        <v>#N/A</v>
      </c>
      <c r="AK4149" s="80">
        <f t="shared" si="637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31"/>
        <v>10236.379999999997</v>
      </c>
      <c r="X4150" s="6">
        <f t="shared" si="632"/>
        <v>36856.930693069306</v>
      </c>
      <c r="Y4150" s="13">
        <f t="shared" si="635"/>
        <v>0</v>
      </c>
      <c r="Z4150" s="14">
        <v>0</v>
      </c>
      <c r="AA4150" s="6">
        <v>0</v>
      </c>
      <c r="AB4150" s="4">
        <f t="shared" si="636"/>
        <v>36856.930693069306</v>
      </c>
      <c r="AC4150" s="4">
        <f t="shared" si="638"/>
        <v>368.56930693069444</v>
      </c>
      <c r="AD4150" s="6">
        <f t="shared" si="633"/>
        <v>37225.5</v>
      </c>
      <c r="AE4150" s="2">
        <f>VLOOKUP(I4150,[1]媒体政策预估表!A:N,MATCH(O4150,[1]媒体政策预估表!$A$2:$M$2,0),0)</f>
        <v>7.0000000000000007E-2</v>
      </c>
      <c r="AF4150" s="6">
        <f t="shared" si="639"/>
        <v>2605.7850000000003</v>
      </c>
      <c r="AG4150" s="14">
        <v>0</v>
      </c>
      <c r="AH4150" s="65">
        <f t="shared" si="634"/>
        <v>37225.5</v>
      </c>
      <c r="AI4150" s="47"/>
      <c r="AJ4150" s="126" t="e">
        <v>#N/A</v>
      </c>
      <c r="AK4150" s="80">
        <f t="shared" si="637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31"/>
        <v>20098.600000000035</v>
      </c>
      <c r="X4151" s="6">
        <f t="shared" si="632"/>
        <v>147208.91089108909</v>
      </c>
      <c r="Y4151" s="13">
        <f t="shared" si="635"/>
        <v>0</v>
      </c>
      <c r="Z4151" s="14">
        <v>0</v>
      </c>
      <c r="AA4151" s="6">
        <v>0</v>
      </c>
      <c r="AB4151" s="4">
        <f t="shared" si="636"/>
        <v>147208.91089108909</v>
      </c>
      <c r="AC4151" s="4">
        <f t="shared" si="638"/>
        <v>1472.0891089109064</v>
      </c>
      <c r="AD4151" s="6">
        <f t="shared" si="633"/>
        <v>148681</v>
      </c>
      <c r="AE4151" s="2">
        <f>VLOOKUP(I4151,[1]媒体政策预估表!A:N,MATCH(O4151,[1]媒体政策预估表!$A$2:$M$2,0),0)</f>
        <v>7.0000000000000007E-2</v>
      </c>
      <c r="AF4151" s="6">
        <f t="shared" si="639"/>
        <v>10407.670000000002</v>
      </c>
      <c r="AG4151" s="14">
        <v>0</v>
      </c>
      <c r="AH4151" s="65">
        <f t="shared" si="634"/>
        <v>148681</v>
      </c>
      <c r="AI4151" s="47"/>
      <c r="AJ4151" s="126" t="e">
        <v>#N/A</v>
      </c>
      <c r="AK4151" s="80">
        <f t="shared" si="637"/>
        <v>0</v>
      </c>
      <c r="AM4151" s="85"/>
    </row>
    <row r="4152" spans="1:39" hidden="1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31"/>
        <v>8013.1900000000005</v>
      </c>
      <c r="X4152" s="6">
        <f t="shared" si="632"/>
        <v>11986.81</v>
      </c>
      <c r="Y4152" s="13">
        <f t="shared" si="635"/>
        <v>0</v>
      </c>
      <c r="Z4152" s="14">
        <v>0</v>
      </c>
      <c r="AA4152" s="6">
        <v>0</v>
      </c>
      <c r="AB4152" s="4">
        <f t="shared" si="636"/>
        <v>11986.81</v>
      </c>
      <c r="AC4152" s="4">
        <f t="shared" si="638"/>
        <v>0</v>
      </c>
      <c r="AD4152" s="6">
        <f t="shared" si="633"/>
        <v>11986.81</v>
      </c>
      <c r="AE4152" s="2">
        <f>VLOOKUP(I4152,[1]媒体政策预估表!A:N,MATCH(O4152,[1]媒体政策预估表!$A$2:$M$2,0),0)</f>
        <v>7.0000000000000007E-2</v>
      </c>
      <c r="AF4152" s="6">
        <f t="shared" si="639"/>
        <v>839.07670000000007</v>
      </c>
      <c r="AG4152" s="14">
        <v>0</v>
      </c>
      <c r="AH4152" s="65">
        <f t="shared" si="634"/>
        <v>11986.81</v>
      </c>
      <c r="AI4152" s="47"/>
      <c r="AJ4152" s="126" t="e">
        <v>#N/A</v>
      </c>
      <c r="AK4152" s="80">
        <f t="shared" si="637"/>
        <v>0</v>
      </c>
      <c r="AM4152" s="85"/>
    </row>
    <row r="4153" spans="1:39" hidden="1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31"/>
        <v>136858.40000000002</v>
      </c>
      <c r="X4153" s="6">
        <f t="shared" si="632"/>
        <v>277589.80392156861</v>
      </c>
      <c r="Y4153" s="13">
        <f t="shared" si="635"/>
        <v>0</v>
      </c>
      <c r="Z4153" s="14">
        <v>0</v>
      </c>
      <c r="AA4153" s="6">
        <v>0</v>
      </c>
      <c r="AB4153" s="4">
        <f t="shared" si="636"/>
        <v>277589.80392156861</v>
      </c>
      <c r="AC4153" s="4">
        <f t="shared" si="638"/>
        <v>5551.7960784313618</v>
      </c>
      <c r="AD4153" s="6">
        <f t="shared" si="633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39"/>
        <v>19819.912</v>
      </c>
      <c r="AG4153" s="14">
        <v>0</v>
      </c>
      <c r="AH4153" s="65">
        <f t="shared" si="634"/>
        <v>283141.59999999998</v>
      </c>
      <c r="AI4153" s="47"/>
      <c r="AJ4153" s="126" t="e">
        <v>#N/A</v>
      </c>
      <c r="AK4153" s="80">
        <f t="shared" si="637"/>
        <v>0</v>
      </c>
      <c r="AM4153" s="85"/>
    </row>
    <row r="4154" spans="1:39" hidden="1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31"/>
        <v>84806.790000000037</v>
      </c>
      <c r="X4154" s="6">
        <f t="shared" si="632"/>
        <v>553192.69607843144</v>
      </c>
      <c r="Y4154" s="13">
        <f t="shared" si="635"/>
        <v>0</v>
      </c>
      <c r="Z4154" s="14">
        <v>0</v>
      </c>
      <c r="AA4154" s="6">
        <v>0</v>
      </c>
      <c r="AB4154" s="4">
        <f t="shared" si="636"/>
        <v>553192.69607843144</v>
      </c>
      <c r="AC4154" s="4">
        <f t="shared" si="638"/>
        <v>11063.853921568603</v>
      </c>
      <c r="AD4154" s="6">
        <f t="shared" si="633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39"/>
        <v>39497.958500000008</v>
      </c>
      <c r="AG4154" s="14">
        <v>0</v>
      </c>
      <c r="AH4154" s="65">
        <f t="shared" si="634"/>
        <v>564256.55000000005</v>
      </c>
      <c r="AI4154" s="47"/>
      <c r="AJ4154" s="126" t="e">
        <v>#N/A</v>
      </c>
      <c r="AK4154" s="80">
        <f t="shared" si="637"/>
        <v>0</v>
      </c>
      <c r="AM4154" s="85"/>
    </row>
    <row r="4155" spans="1:39" hidden="1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40">T4155+U4155-V4155</f>
        <v>11153.700000000004</v>
      </c>
      <c r="X4155" s="6">
        <f t="shared" ref="X4155:X4218" si="641">IF(P4155="折扣",V4155*Q4155,IF(P4155="返现",V4155,V4155/(1+Q4155)))</f>
        <v>18221.666666666664</v>
      </c>
      <c r="Y4155" s="13">
        <f t="shared" si="635"/>
        <v>0</v>
      </c>
      <c r="Z4155" s="14">
        <v>0</v>
      </c>
      <c r="AA4155" s="6">
        <v>0</v>
      </c>
      <c r="AB4155" s="4">
        <f t="shared" si="636"/>
        <v>18221.666666666664</v>
      </c>
      <c r="AC4155" s="4">
        <f t="shared" si="638"/>
        <v>364.4333333333343</v>
      </c>
      <c r="AD4155" s="6">
        <f t="shared" ref="AD4155:AD4218" si="642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39"/>
        <v>1301.027</v>
      </c>
      <c r="AG4155" s="14">
        <v>0</v>
      </c>
      <c r="AH4155" s="65">
        <f t="shared" ref="AH4155:AH4218" si="643">V4155</f>
        <v>18586.099999999999</v>
      </c>
      <c r="AI4155" s="47"/>
      <c r="AJ4155" s="126" t="e">
        <v>#N/A</v>
      </c>
      <c r="AK4155" s="80">
        <f t="shared" si="637"/>
        <v>0</v>
      </c>
      <c r="AM4155" s="85"/>
    </row>
    <row r="4156" spans="1:39" hidden="1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40"/>
        <v>1699.5</v>
      </c>
      <c r="X4156" s="6">
        <f t="shared" si="641"/>
        <v>8869.5</v>
      </c>
      <c r="Y4156" s="13">
        <f t="shared" si="635"/>
        <v>0</v>
      </c>
      <c r="Z4156" s="14">
        <v>0</v>
      </c>
      <c r="AA4156" s="6">
        <v>0</v>
      </c>
      <c r="AB4156" s="4">
        <f t="shared" si="636"/>
        <v>8869.5</v>
      </c>
      <c r="AC4156" s="4">
        <f t="shared" si="638"/>
        <v>0</v>
      </c>
      <c r="AD4156" s="6">
        <f t="shared" si="642"/>
        <v>8869.5</v>
      </c>
      <c r="AE4156" s="2">
        <f>VLOOKUP(I4156,[1]媒体政策预估表!A:N,MATCH(O4156,[1]媒体政策预估表!$A$2:$M$2,0),0)</f>
        <v>7.0000000000000007E-2</v>
      </c>
      <c r="AF4156" s="6">
        <f t="shared" si="639"/>
        <v>620.86500000000001</v>
      </c>
      <c r="AG4156" s="14">
        <v>0</v>
      </c>
      <c r="AH4156" s="65">
        <f t="shared" si="643"/>
        <v>8869.5</v>
      </c>
      <c r="AI4156" s="47"/>
      <c r="AJ4156" s="126" t="e">
        <v>#N/A</v>
      </c>
      <c r="AK4156" s="80">
        <f t="shared" si="637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40"/>
        <v>0.80000000000291038</v>
      </c>
      <c r="X4157" s="6">
        <f t="shared" si="641"/>
        <v>100241.9</v>
      </c>
      <c r="Y4157" s="13">
        <f t="shared" si="635"/>
        <v>0</v>
      </c>
      <c r="Z4157" s="14">
        <v>0</v>
      </c>
      <c r="AA4157" s="6">
        <v>0</v>
      </c>
      <c r="AB4157" s="4">
        <f t="shared" si="636"/>
        <v>100241.9</v>
      </c>
      <c r="AC4157" s="4">
        <f t="shared" si="638"/>
        <v>0</v>
      </c>
      <c r="AD4157" s="6">
        <f t="shared" si="642"/>
        <v>100241.9</v>
      </c>
      <c r="AE4157" s="2">
        <f>VLOOKUP(I4157,[1]媒体政策预估表!A:N,MATCH(O4157,[1]媒体政策预估表!$A$2:$M$2,0),0)</f>
        <v>7.0000000000000007E-2</v>
      </c>
      <c r="AF4157" s="6">
        <f t="shared" si="639"/>
        <v>7016.933</v>
      </c>
      <c r="AG4157" s="14">
        <v>0</v>
      </c>
      <c r="AH4157" s="65">
        <f t="shared" si="643"/>
        <v>100241.9</v>
      </c>
      <c r="AI4157" s="47"/>
      <c r="AJ4157" s="126" t="e">
        <v>#N/A</v>
      </c>
      <c r="AK4157" s="80">
        <f t="shared" si="637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40"/>
        <v>55429.400000000023</v>
      </c>
      <c r="X4158" s="6">
        <f t="shared" si="641"/>
        <v>128315.34653465346</v>
      </c>
      <c r="Y4158" s="13">
        <f t="shared" si="635"/>
        <v>0</v>
      </c>
      <c r="Z4158" s="14">
        <v>0</v>
      </c>
      <c r="AA4158" s="6">
        <v>0</v>
      </c>
      <c r="AB4158" s="4">
        <f t="shared" si="636"/>
        <v>128315.34653465346</v>
      </c>
      <c r="AC4158" s="4">
        <f t="shared" si="638"/>
        <v>1283.1534653465351</v>
      </c>
      <c r="AD4158" s="6">
        <f t="shared" si="642"/>
        <v>129598.5</v>
      </c>
      <c r="AE4158" s="2">
        <f>VLOOKUP(I4158,[1]媒体政策预估表!A:N,MATCH(O4158,[1]媒体政策预估表!$A$2:$M$2,0),0)</f>
        <v>7.0000000000000007E-2</v>
      </c>
      <c r="AF4158" s="6">
        <f t="shared" si="639"/>
        <v>9071.8950000000004</v>
      </c>
      <c r="AG4158" s="14">
        <v>0</v>
      </c>
      <c r="AH4158" s="65">
        <f t="shared" si="643"/>
        <v>129598.5</v>
      </c>
      <c r="AI4158" s="47"/>
      <c r="AJ4158" s="126" t="e">
        <v>#N/A</v>
      </c>
      <c r="AK4158" s="80">
        <f t="shared" si="637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40"/>
        <v>14609</v>
      </c>
      <c r="X4159" s="6">
        <f t="shared" si="641"/>
        <v>7195.5</v>
      </c>
      <c r="Y4159" s="13">
        <f t="shared" si="635"/>
        <v>0</v>
      </c>
      <c r="Z4159" s="14">
        <v>0</v>
      </c>
      <c r="AA4159" s="6">
        <v>0</v>
      </c>
      <c r="AB4159" s="4">
        <f t="shared" si="636"/>
        <v>7195.5</v>
      </c>
      <c r="AC4159" s="4">
        <f t="shared" si="638"/>
        <v>0</v>
      </c>
      <c r="AD4159" s="6">
        <f t="shared" si="642"/>
        <v>7195.5</v>
      </c>
      <c r="AE4159" s="2">
        <f>VLOOKUP(I4159,[1]媒体政策预估表!A:N,MATCH(O4159,[1]媒体政策预估表!$A$2:$M$2,0),0)</f>
        <v>7.0000000000000007E-2</v>
      </c>
      <c r="AF4159" s="6">
        <f t="shared" si="639"/>
        <v>503.68500000000006</v>
      </c>
      <c r="AG4159" s="14">
        <v>0</v>
      </c>
      <c r="AH4159" s="65">
        <f t="shared" si="643"/>
        <v>7195.5</v>
      </c>
      <c r="AI4159" s="47"/>
      <c r="AJ4159" s="126" t="e">
        <v>#N/A</v>
      </c>
      <c r="AK4159" s="80">
        <f t="shared" si="637"/>
        <v>0</v>
      </c>
      <c r="AM4159" s="85"/>
    </row>
    <row r="4160" spans="1:39" hidden="1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40"/>
        <v>313005.30000000005</v>
      </c>
      <c r="X4160" s="6">
        <f t="shared" si="641"/>
        <v>1976411.8</v>
      </c>
      <c r="Y4160" s="13">
        <f t="shared" si="635"/>
        <v>0</v>
      </c>
      <c r="Z4160" s="14">
        <v>0</v>
      </c>
      <c r="AA4160" s="6">
        <v>0</v>
      </c>
      <c r="AB4160" s="4">
        <f t="shared" si="636"/>
        <v>1976411.8</v>
      </c>
      <c r="AC4160" s="4">
        <f t="shared" si="638"/>
        <v>0</v>
      </c>
      <c r="AD4160" s="6">
        <f t="shared" si="642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39"/>
        <v>138348.82600000003</v>
      </c>
      <c r="AG4160" s="14">
        <v>0</v>
      </c>
      <c r="AH4160" s="65">
        <f t="shared" si="643"/>
        <v>1976411.8</v>
      </c>
      <c r="AI4160" s="47"/>
      <c r="AJ4160" s="126" t="e">
        <v>#N/A</v>
      </c>
      <c r="AK4160" s="80">
        <f t="shared" si="637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40"/>
        <v>10000</v>
      </c>
      <c r="X4161" s="6">
        <f t="shared" si="641"/>
        <v>0</v>
      </c>
      <c r="Y4161" s="13">
        <f t="shared" si="635"/>
        <v>0</v>
      </c>
      <c r="Z4161" s="14">
        <v>0</v>
      </c>
      <c r="AA4161" s="6">
        <v>0</v>
      </c>
      <c r="AB4161" s="4">
        <f t="shared" si="636"/>
        <v>0</v>
      </c>
      <c r="AC4161" s="4">
        <f t="shared" si="638"/>
        <v>0</v>
      </c>
      <c r="AD4161" s="6">
        <f t="shared" si="642"/>
        <v>0</v>
      </c>
      <c r="AE4161" s="2">
        <f>VLOOKUP(I4161,[1]媒体政策预估表!A:N,MATCH(O4161,[1]媒体政策预估表!$A$2:$M$2,0),0)</f>
        <v>0.12</v>
      </c>
      <c r="AF4161" s="6">
        <f t="shared" si="639"/>
        <v>0</v>
      </c>
      <c r="AG4161" s="14">
        <v>0</v>
      </c>
      <c r="AH4161" s="65">
        <f t="shared" si="643"/>
        <v>0</v>
      </c>
      <c r="AI4161" s="47"/>
      <c r="AJ4161" s="126" t="e">
        <v>#N/A</v>
      </c>
      <c r="AK4161" s="80">
        <f t="shared" si="637"/>
        <v>0</v>
      </c>
      <c r="AM4161" s="85"/>
    </row>
    <row r="4162" spans="1:39" hidden="1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40"/>
        <v>58154.799999999996</v>
      </c>
      <c r="X4162" s="6">
        <f t="shared" si="641"/>
        <v>49040.6</v>
      </c>
      <c r="Y4162" s="13">
        <f t="shared" si="635"/>
        <v>0</v>
      </c>
      <c r="Z4162" s="14">
        <v>0</v>
      </c>
      <c r="AA4162" s="6">
        <v>0</v>
      </c>
      <c r="AB4162" s="4">
        <f t="shared" si="636"/>
        <v>49040.6</v>
      </c>
      <c r="AC4162" s="4">
        <f t="shared" si="638"/>
        <v>0</v>
      </c>
      <c r="AD4162" s="6">
        <f t="shared" si="642"/>
        <v>49040.6</v>
      </c>
      <c r="AE4162" s="2">
        <f>VLOOKUP(I4162,[1]媒体政策预估表!A:N,MATCH(O4162,[1]媒体政策预估表!$A$2:$M$2,0),0)</f>
        <v>7.0000000000000007E-2</v>
      </c>
      <c r="AF4162" s="6">
        <f t="shared" si="639"/>
        <v>3432.8420000000001</v>
      </c>
      <c r="AG4162" s="14">
        <v>0</v>
      </c>
      <c r="AH4162" s="65">
        <f t="shared" si="643"/>
        <v>49040.6</v>
      </c>
      <c r="AI4162" s="47"/>
      <c r="AJ4162" s="126" t="e">
        <v>#N/A</v>
      </c>
      <c r="AK4162" s="80">
        <f t="shared" si="637"/>
        <v>0</v>
      </c>
      <c r="AM4162" s="85"/>
    </row>
    <row r="4163" spans="1:39" hidden="1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40"/>
        <v>89746.229999999981</v>
      </c>
      <c r="X4163" s="6">
        <f t="shared" si="641"/>
        <v>195458</v>
      </c>
      <c r="Y4163" s="13">
        <f t="shared" ref="Y4163:Y4226" si="644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45">X4163+AA4163</f>
        <v>195458</v>
      </c>
      <c r="AC4163" s="4">
        <f t="shared" si="638"/>
        <v>0</v>
      </c>
      <c r="AD4163" s="6">
        <f t="shared" si="642"/>
        <v>195458</v>
      </c>
      <c r="AE4163" s="2">
        <f>VLOOKUP(I4163,[1]媒体政策预估表!A:N,MATCH(O4163,[1]媒体政策预估表!$A$2:$M$2,0),0)</f>
        <v>7.0000000000000007E-2</v>
      </c>
      <c r="AF4163" s="6">
        <f t="shared" si="639"/>
        <v>13682.060000000001</v>
      </c>
      <c r="AG4163" s="14">
        <v>0</v>
      </c>
      <c r="AH4163" s="65">
        <f t="shared" si="643"/>
        <v>195458</v>
      </c>
      <c r="AI4163" s="47"/>
      <c r="AJ4163" s="126" t="e">
        <v>#N/A</v>
      </c>
      <c r="AK4163" s="80">
        <f t="shared" ref="AK4163:AK4226" si="646">X4163+AA4163-AB4163</f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40"/>
        <v>226022.69999999998</v>
      </c>
      <c r="X4164" s="6">
        <f t="shared" si="641"/>
        <v>60763.9</v>
      </c>
      <c r="Y4164" s="13">
        <f t="shared" si="644"/>
        <v>0</v>
      </c>
      <c r="Z4164" s="14">
        <v>0</v>
      </c>
      <c r="AA4164" s="6">
        <v>0</v>
      </c>
      <c r="AB4164" s="4">
        <f t="shared" si="645"/>
        <v>60763.9</v>
      </c>
      <c r="AC4164" s="4">
        <f t="shared" si="638"/>
        <v>0</v>
      </c>
      <c r="AD4164" s="6">
        <f t="shared" si="642"/>
        <v>60763.9</v>
      </c>
      <c r="AE4164" s="2">
        <f>VLOOKUP(I4164,[1]媒体政策预估表!A:N,MATCH(O4164,[1]媒体政策预估表!$A$2:$M$2,0),0)</f>
        <v>7.0000000000000007E-2</v>
      </c>
      <c r="AF4164" s="6">
        <f t="shared" si="639"/>
        <v>4253.4730000000009</v>
      </c>
      <c r="AG4164" s="14">
        <v>0</v>
      </c>
      <c r="AH4164" s="65">
        <f t="shared" si="643"/>
        <v>60763.9</v>
      </c>
      <c r="AI4164" s="47"/>
      <c r="AJ4164" s="126" t="e">
        <v>#N/A</v>
      </c>
      <c r="AK4164" s="80">
        <f t="shared" si="646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40"/>
        <v>540000</v>
      </c>
      <c r="X4165" s="6">
        <f t="shared" si="641"/>
        <v>0</v>
      </c>
      <c r="Y4165" s="13">
        <f t="shared" si="644"/>
        <v>0</v>
      </c>
      <c r="Z4165" s="14">
        <v>0</v>
      </c>
      <c r="AA4165" s="6">
        <v>0</v>
      </c>
      <c r="AB4165" s="4">
        <f t="shared" si="645"/>
        <v>0</v>
      </c>
      <c r="AC4165" s="4">
        <f t="shared" si="638"/>
        <v>0</v>
      </c>
      <c r="AD4165" s="6">
        <f t="shared" si="642"/>
        <v>0</v>
      </c>
      <c r="AE4165" s="2">
        <f>VLOOKUP(I4165,[1]媒体政策预估表!A:N,MATCH(O4165,[1]媒体政策预估表!$A$2:$M$2,0),0)</f>
        <v>7.0000000000000007E-2</v>
      </c>
      <c r="AF4165" s="6">
        <f t="shared" si="639"/>
        <v>0</v>
      </c>
      <c r="AG4165" s="14">
        <v>0</v>
      </c>
      <c r="AH4165" s="65">
        <f t="shared" si="643"/>
        <v>0</v>
      </c>
      <c r="AI4165" s="47"/>
      <c r="AJ4165" s="126" t="e">
        <v>#N/A</v>
      </c>
      <c r="AK4165" s="80">
        <f t="shared" si="646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40"/>
        <v>480000</v>
      </c>
      <c r="X4166" s="6">
        <f t="shared" si="641"/>
        <v>0</v>
      </c>
      <c r="Y4166" s="13">
        <f t="shared" si="644"/>
        <v>0</v>
      </c>
      <c r="Z4166" s="14">
        <v>0</v>
      </c>
      <c r="AA4166" s="6">
        <v>0</v>
      </c>
      <c r="AB4166" s="4">
        <f t="shared" si="645"/>
        <v>0</v>
      </c>
      <c r="AC4166" s="4">
        <f t="shared" si="638"/>
        <v>0</v>
      </c>
      <c r="AD4166" s="6">
        <f t="shared" si="642"/>
        <v>0</v>
      </c>
      <c r="AE4166" s="2">
        <f>VLOOKUP(I4166,[1]媒体政策预估表!A:N,MATCH(O4166,[1]媒体政策预估表!$A$2:$M$2,0),0)</f>
        <v>7.0000000000000007E-2</v>
      </c>
      <c r="AF4166" s="6">
        <f t="shared" si="639"/>
        <v>0</v>
      </c>
      <c r="AG4166" s="14">
        <v>0</v>
      </c>
      <c r="AH4166" s="65">
        <f t="shared" si="643"/>
        <v>0</v>
      </c>
      <c r="AI4166" s="47"/>
      <c r="AJ4166" s="126" t="e">
        <v>#N/A</v>
      </c>
      <c r="AK4166" s="80">
        <f t="shared" si="646"/>
        <v>0</v>
      </c>
      <c r="AM4166" s="85"/>
    </row>
    <row r="4167" spans="1:39" hidden="1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40"/>
        <v>1950000</v>
      </c>
      <c r="X4167" s="6">
        <f t="shared" si="641"/>
        <v>0</v>
      </c>
      <c r="Y4167" s="13">
        <f t="shared" si="644"/>
        <v>0</v>
      </c>
      <c r="Z4167" s="14">
        <v>0</v>
      </c>
      <c r="AA4167" s="6">
        <v>0</v>
      </c>
      <c r="AB4167" s="4">
        <f t="shared" si="645"/>
        <v>0</v>
      </c>
      <c r="AC4167" s="4">
        <f t="shared" si="638"/>
        <v>0</v>
      </c>
      <c r="AD4167" s="6">
        <f t="shared" si="642"/>
        <v>0</v>
      </c>
      <c r="AE4167" s="2">
        <f>VLOOKUP(I4167,[1]媒体政策预估表!A:N,MATCH(O4167,[1]媒体政策预估表!$A$2:$M$2,0),0)</f>
        <v>7.0000000000000007E-2</v>
      </c>
      <c r="AF4167" s="6">
        <f t="shared" si="639"/>
        <v>0</v>
      </c>
      <c r="AG4167" s="14">
        <v>0</v>
      </c>
      <c r="AH4167" s="65">
        <f t="shared" si="643"/>
        <v>0</v>
      </c>
      <c r="AI4167" s="47"/>
      <c r="AJ4167" s="126" t="e">
        <v>#N/A</v>
      </c>
      <c r="AK4167" s="80">
        <f t="shared" si="646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40"/>
        <v>2532719.7000000002</v>
      </c>
      <c r="X4168" s="6">
        <f t="shared" si="641"/>
        <v>63450.3</v>
      </c>
      <c r="Y4168" s="13">
        <f t="shared" si="644"/>
        <v>0</v>
      </c>
      <c r="Z4168" s="14">
        <v>0</v>
      </c>
      <c r="AA4168" s="6">
        <v>0</v>
      </c>
      <c r="AB4168" s="4">
        <f t="shared" si="645"/>
        <v>63450.3</v>
      </c>
      <c r="AC4168" s="4">
        <f t="shared" si="638"/>
        <v>0</v>
      </c>
      <c r="AD4168" s="6">
        <f t="shared" si="642"/>
        <v>63450.3</v>
      </c>
      <c r="AE4168" s="2">
        <f>VLOOKUP(I4168,[1]媒体政策预估表!A:N,MATCH(O4168,[1]媒体政策预估表!$A$2:$M$2,0),0)</f>
        <v>7.0000000000000007E-2</v>
      </c>
      <c r="AF4168" s="6">
        <f t="shared" si="639"/>
        <v>4441.5210000000006</v>
      </c>
      <c r="AG4168" s="14">
        <v>0</v>
      </c>
      <c r="AH4168" s="65">
        <f t="shared" si="643"/>
        <v>63450.3</v>
      </c>
      <c r="AI4168" s="47"/>
      <c r="AJ4168" s="126" t="e">
        <v>#N/A</v>
      </c>
      <c r="AK4168" s="80">
        <f t="shared" si="646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40"/>
        <v>2880000</v>
      </c>
      <c r="X4169" s="6">
        <f t="shared" si="641"/>
        <v>0</v>
      </c>
      <c r="Y4169" s="13">
        <f t="shared" si="644"/>
        <v>0</v>
      </c>
      <c r="Z4169" s="14">
        <v>0</v>
      </c>
      <c r="AA4169" s="6">
        <v>0</v>
      </c>
      <c r="AB4169" s="4">
        <f t="shared" si="645"/>
        <v>0</v>
      </c>
      <c r="AC4169" s="4">
        <f t="shared" si="638"/>
        <v>0</v>
      </c>
      <c r="AD4169" s="6">
        <f t="shared" si="642"/>
        <v>0</v>
      </c>
      <c r="AE4169" s="2">
        <f>VLOOKUP(I4169,[1]媒体政策预估表!A:N,MATCH(O4169,[1]媒体政策预估表!$A$2:$M$2,0),0)</f>
        <v>7.0000000000000007E-2</v>
      </c>
      <c r="AF4169" s="6">
        <f t="shared" si="639"/>
        <v>0</v>
      </c>
      <c r="AG4169" s="14">
        <v>0</v>
      </c>
      <c r="AH4169" s="65">
        <f t="shared" si="643"/>
        <v>0</v>
      </c>
      <c r="AI4169" s="47"/>
      <c r="AJ4169" s="126" t="e">
        <v>#N/A</v>
      </c>
      <c r="AK4169" s="80">
        <f t="shared" si="646"/>
        <v>0</v>
      </c>
      <c r="AM4169" s="85"/>
    </row>
    <row r="4170" spans="1:39" hidden="1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40"/>
        <v>850000</v>
      </c>
      <c r="X4170" s="6">
        <f t="shared" si="641"/>
        <v>0</v>
      </c>
      <c r="Y4170" s="13">
        <f t="shared" si="644"/>
        <v>0</v>
      </c>
      <c r="Z4170" s="14">
        <v>0</v>
      </c>
      <c r="AA4170" s="6">
        <v>0</v>
      </c>
      <c r="AB4170" s="4">
        <f t="shared" si="645"/>
        <v>0</v>
      </c>
      <c r="AC4170" s="4">
        <f t="shared" si="638"/>
        <v>0</v>
      </c>
      <c r="AD4170" s="6">
        <f t="shared" si="642"/>
        <v>0</v>
      </c>
      <c r="AE4170" s="2">
        <f>VLOOKUP(I4170,[1]媒体政策预估表!A:N,MATCH(O4170,[1]媒体政策预估表!$A$2:$M$2,0),0)</f>
        <v>7.0000000000000007E-2</v>
      </c>
      <c r="AF4170" s="6">
        <f t="shared" si="639"/>
        <v>0</v>
      </c>
      <c r="AG4170" s="14">
        <v>0</v>
      </c>
      <c r="AH4170" s="65">
        <f t="shared" si="643"/>
        <v>0</v>
      </c>
      <c r="AI4170" s="47"/>
      <c r="AJ4170" s="126" t="e">
        <v>#N/A</v>
      </c>
      <c r="AK4170" s="80">
        <f t="shared" si="646"/>
        <v>0</v>
      </c>
      <c r="AM4170" s="85"/>
    </row>
    <row r="4171" spans="1:39" hidden="1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40"/>
        <v>22171.699999999997</v>
      </c>
      <c r="X4171" s="6">
        <f t="shared" si="641"/>
        <v>20138.725490196077</v>
      </c>
      <c r="Y4171" s="13">
        <f t="shared" si="644"/>
        <v>0</v>
      </c>
      <c r="Z4171" s="14">
        <v>0</v>
      </c>
      <c r="AA4171" s="6">
        <v>0</v>
      </c>
      <c r="AB4171" s="4">
        <v>20138.725490196077</v>
      </c>
      <c r="AC4171" s="4">
        <f t="shared" si="638"/>
        <v>402.77450980392314</v>
      </c>
      <c r="AD4171" s="6">
        <f t="shared" si="642"/>
        <v>20541.5</v>
      </c>
      <c r="AE4171" s="2">
        <f>VLOOKUP(I4171,[1]媒体政策预估表!A:N,MATCH(O4171,[1]媒体政策预估表!$A$2:$M$2,0),0)</f>
        <v>7.0000000000000007E-2</v>
      </c>
      <c r="AF4171" s="6">
        <f t="shared" si="639"/>
        <v>1437.9050000000002</v>
      </c>
      <c r="AG4171" s="14">
        <v>0</v>
      </c>
      <c r="AH4171" s="65">
        <f t="shared" si="643"/>
        <v>20541.5</v>
      </c>
      <c r="AI4171" s="47"/>
      <c r="AJ4171" s="126">
        <v>34</v>
      </c>
      <c r="AK4171" s="80">
        <f t="shared" si="646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40"/>
        <v>109509.4</v>
      </c>
      <c r="X4172" s="6">
        <f t="shared" si="641"/>
        <v>0</v>
      </c>
      <c r="Y4172" s="13">
        <f t="shared" si="644"/>
        <v>0</v>
      </c>
      <c r="Z4172" s="14">
        <v>0</v>
      </c>
      <c r="AA4172" s="6">
        <v>0</v>
      </c>
      <c r="AB4172" s="4">
        <f t="shared" si="645"/>
        <v>0</v>
      </c>
      <c r="AC4172" s="4">
        <f t="shared" ref="AC4172:AC4235" si="647">IF(P4172="返现",X4172*Q4172,V4172-X4172)</f>
        <v>0</v>
      </c>
      <c r="AD4172" s="6">
        <f t="shared" si="642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48">AD4172*AE4172</f>
        <v>0</v>
      </c>
      <c r="AG4172" s="14">
        <v>0</v>
      </c>
      <c r="AH4172" s="65">
        <f t="shared" si="643"/>
        <v>0</v>
      </c>
      <c r="AI4172" s="47"/>
      <c r="AJ4172" s="126" t="e">
        <v>#N/A</v>
      </c>
      <c r="AK4172" s="80">
        <f t="shared" si="646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40"/>
        <v>65.099999999998545</v>
      </c>
      <c r="X4173" s="6">
        <f t="shared" si="641"/>
        <v>22539.215686274511</v>
      </c>
      <c r="Y4173" s="13">
        <f t="shared" si="644"/>
        <v>0</v>
      </c>
      <c r="Z4173" s="14">
        <v>0</v>
      </c>
      <c r="AA4173" s="6">
        <v>0</v>
      </c>
      <c r="AB4173" s="4">
        <f t="shared" si="645"/>
        <v>22539.215686274511</v>
      </c>
      <c r="AC4173" s="4">
        <f t="shared" si="647"/>
        <v>450.78431372548948</v>
      </c>
      <c r="AD4173" s="6">
        <f t="shared" si="642"/>
        <v>22990</v>
      </c>
      <c r="AE4173" s="2">
        <f>VLOOKUP(I4173,[1]媒体政策预估表!A:N,MATCH(O4173,[1]媒体政策预估表!$A$2:$M$2,0),0)</f>
        <v>7.0000000000000007E-2</v>
      </c>
      <c r="AF4173" s="6">
        <f t="shared" si="648"/>
        <v>1609.3000000000002</v>
      </c>
      <c r="AG4173" s="14">
        <v>0</v>
      </c>
      <c r="AH4173" s="65">
        <f t="shared" si="643"/>
        <v>22990</v>
      </c>
      <c r="AI4173" s="47"/>
      <c r="AJ4173" s="126" t="e">
        <v>#N/A</v>
      </c>
      <c r="AK4173" s="80">
        <f t="shared" si="646"/>
        <v>0</v>
      </c>
      <c r="AM4173" s="85"/>
    </row>
    <row r="4174" spans="1:39" hidden="1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40"/>
        <v>381</v>
      </c>
      <c r="X4174" s="6">
        <f t="shared" si="641"/>
        <v>0</v>
      </c>
      <c r="Y4174" s="13">
        <f t="shared" si="644"/>
        <v>0</v>
      </c>
      <c r="Z4174" s="14">
        <v>0</v>
      </c>
      <c r="AA4174" s="6">
        <v>0</v>
      </c>
      <c r="AB4174" s="4">
        <f t="shared" si="645"/>
        <v>0</v>
      </c>
      <c r="AC4174" s="4">
        <f t="shared" si="647"/>
        <v>0</v>
      </c>
      <c r="AD4174" s="6">
        <f t="shared" si="642"/>
        <v>0</v>
      </c>
      <c r="AE4174" s="2">
        <f>VLOOKUP(I4174,[1]媒体政策预估表!A:N,MATCH(O4174,[1]媒体政策预估表!$A$2:$M$2,0),0)</f>
        <v>7.0000000000000007E-2</v>
      </c>
      <c r="AF4174" s="6">
        <f t="shared" si="648"/>
        <v>0</v>
      </c>
      <c r="AG4174" s="14">
        <v>0</v>
      </c>
      <c r="AH4174" s="65">
        <f t="shared" si="643"/>
        <v>0</v>
      </c>
      <c r="AI4174" s="47"/>
      <c r="AJ4174" s="126" t="e">
        <v>#N/A</v>
      </c>
      <c r="AK4174" s="80">
        <f t="shared" si="646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40"/>
        <v>13573.8</v>
      </c>
      <c r="X4175" s="6">
        <f t="shared" si="641"/>
        <v>6300.1960784313724</v>
      </c>
      <c r="Y4175" s="13">
        <f t="shared" si="644"/>
        <v>0</v>
      </c>
      <c r="Z4175" s="14">
        <v>0</v>
      </c>
      <c r="AA4175" s="6">
        <v>0</v>
      </c>
      <c r="AB4175" s="4">
        <f t="shared" si="645"/>
        <v>6300.1960784313724</v>
      </c>
      <c r="AC4175" s="4">
        <f t="shared" si="647"/>
        <v>126.00392156862745</v>
      </c>
      <c r="AD4175" s="6">
        <f t="shared" si="642"/>
        <v>6426.2</v>
      </c>
      <c r="AE4175" s="2">
        <f>VLOOKUP(I4175,[1]媒体政策预估表!A:N,MATCH(O4175,[1]媒体政策预估表!$A$2:$M$2,0),0)</f>
        <v>7.0000000000000007E-2</v>
      </c>
      <c r="AF4175" s="6">
        <f t="shared" si="648"/>
        <v>449.834</v>
      </c>
      <c r="AG4175" s="14">
        <v>0</v>
      </c>
      <c r="AH4175" s="65">
        <f t="shared" si="643"/>
        <v>6426.2</v>
      </c>
      <c r="AI4175" s="47"/>
      <c r="AJ4175" s="126" t="e">
        <v>#N/A</v>
      </c>
      <c r="AK4175" s="80">
        <f t="shared" si="646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40"/>
        <v>11869.46</v>
      </c>
      <c r="X4176" s="6">
        <f t="shared" si="641"/>
        <v>2301.4705882352941</v>
      </c>
      <c r="Y4176" s="13">
        <f t="shared" si="644"/>
        <v>0</v>
      </c>
      <c r="Z4176" s="14">
        <v>0</v>
      </c>
      <c r="AA4176" s="6">
        <v>0</v>
      </c>
      <c r="AB4176" s="4">
        <f t="shared" si="645"/>
        <v>2301.4705882352941</v>
      </c>
      <c r="AC4176" s="4">
        <f t="shared" si="647"/>
        <v>46.029411764705856</v>
      </c>
      <c r="AD4176" s="6">
        <f t="shared" si="642"/>
        <v>2347.5</v>
      </c>
      <c r="AE4176" s="2">
        <f>VLOOKUP(I4176,[1]媒体政策预估表!A:N,MATCH(O4176,[1]媒体政策预估表!$A$2:$M$2,0),0)</f>
        <v>7.0000000000000007E-2</v>
      </c>
      <c r="AF4176" s="6">
        <f t="shared" si="648"/>
        <v>164.32500000000002</v>
      </c>
      <c r="AG4176" s="14">
        <v>0</v>
      </c>
      <c r="AH4176" s="65">
        <f t="shared" si="643"/>
        <v>2347.5</v>
      </c>
      <c r="AI4176" s="47"/>
      <c r="AJ4176" s="126" t="e">
        <v>#N/A</v>
      </c>
      <c r="AK4176" s="80">
        <f t="shared" si="646"/>
        <v>0</v>
      </c>
      <c r="AM4176" s="85"/>
    </row>
    <row r="4177" spans="1:39" hidden="1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40"/>
        <v>1</v>
      </c>
      <c r="X4177" s="6">
        <f t="shared" si="641"/>
        <v>0</v>
      </c>
      <c r="Y4177" s="13">
        <f t="shared" si="644"/>
        <v>0</v>
      </c>
      <c r="Z4177" s="14">
        <v>0</v>
      </c>
      <c r="AA4177" s="6">
        <v>0</v>
      </c>
      <c r="AB4177" s="4">
        <f t="shared" si="645"/>
        <v>0</v>
      </c>
      <c r="AC4177" s="4">
        <f t="shared" si="647"/>
        <v>0</v>
      </c>
      <c r="AD4177" s="6">
        <f t="shared" si="642"/>
        <v>0</v>
      </c>
      <c r="AE4177" s="2">
        <f>VLOOKUP(I4177,[1]媒体政策预估表!A:N,MATCH(O4177,[1]媒体政策预估表!$A$2:$M$2,0),0)</f>
        <v>7.0000000000000007E-2</v>
      </c>
      <c r="AF4177" s="6">
        <f t="shared" si="648"/>
        <v>0</v>
      </c>
      <c r="AG4177" s="14">
        <v>0</v>
      </c>
      <c r="AH4177" s="65">
        <f t="shared" si="643"/>
        <v>0</v>
      </c>
      <c r="AI4177" s="47"/>
      <c r="AJ4177" s="126" t="e">
        <v>#N/A</v>
      </c>
      <c r="AK4177" s="80">
        <f t="shared" si="646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40"/>
        <v>6534.1</v>
      </c>
      <c r="X4178" s="6">
        <f t="shared" si="641"/>
        <v>2289.2156862745096</v>
      </c>
      <c r="Y4178" s="13">
        <f t="shared" si="644"/>
        <v>0</v>
      </c>
      <c r="Z4178" s="14">
        <v>0</v>
      </c>
      <c r="AA4178" s="6">
        <v>0</v>
      </c>
      <c r="AB4178" s="4">
        <f t="shared" si="645"/>
        <v>2289.2156862745096</v>
      </c>
      <c r="AC4178" s="4">
        <f t="shared" si="647"/>
        <v>45.784313725490392</v>
      </c>
      <c r="AD4178" s="6">
        <f t="shared" si="642"/>
        <v>2335</v>
      </c>
      <c r="AE4178" s="2">
        <f>VLOOKUP(I4178,[1]媒体政策预估表!A:N,MATCH(O4178,[1]媒体政策预估表!$A$2:$M$2,0),0)</f>
        <v>7.0000000000000007E-2</v>
      </c>
      <c r="AF4178" s="6">
        <f t="shared" si="648"/>
        <v>163.45000000000002</v>
      </c>
      <c r="AG4178" s="14">
        <v>0</v>
      </c>
      <c r="AH4178" s="65">
        <f t="shared" si="643"/>
        <v>2335</v>
      </c>
      <c r="AI4178" s="47"/>
      <c r="AJ4178" s="126" t="e">
        <v>#N/A</v>
      </c>
      <c r="AK4178" s="80">
        <f t="shared" si="646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40"/>
        <v>1</v>
      </c>
      <c r="X4179" s="6">
        <f t="shared" si="641"/>
        <v>0</v>
      </c>
      <c r="Y4179" s="13">
        <f t="shared" si="644"/>
        <v>0</v>
      </c>
      <c r="Z4179" s="14">
        <v>0</v>
      </c>
      <c r="AA4179" s="6">
        <v>0</v>
      </c>
      <c r="AB4179" s="4">
        <f t="shared" si="645"/>
        <v>0</v>
      </c>
      <c r="AC4179" s="4">
        <f t="shared" si="647"/>
        <v>0</v>
      </c>
      <c r="AD4179" s="6">
        <f t="shared" si="642"/>
        <v>0</v>
      </c>
      <c r="AE4179" s="2">
        <f>VLOOKUP(I4179,[1]媒体政策预估表!A:N,MATCH(O4179,[1]媒体政策预估表!$A$2:$M$2,0),0)</f>
        <v>7.0000000000000007E-2</v>
      </c>
      <c r="AF4179" s="6">
        <f t="shared" si="648"/>
        <v>0</v>
      </c>
      <c r="AG4179" s="14">
        <v>0</v>
      </c>
      <c r="AH4179" s="65">
        <f t="shared" si="643"/>
        <v>0</v>
      </c>
      <c r="AI4179" s="47"/>
      <c r="AJ4179" s="126" t="e">
        <v>#N/A</v>
      </c>
      <c r="AK4179" s="80">
        <f t="shared" si="646"/>
        <v>0</v>
      </c>
      <c r="AM4179" s="85"/>
    </row>
    <row r="4180" spans="1:39" hidden="1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40"/>
        <v>6007.3</v>
      </c>
      <c r="X4180" s="6">
        <f t="shared" si="641"/>
        <v>494.7</v>
      </c>
      <c r="Y4180" s="13">
        <f t="shared" si="644"/>
        <v>0</v>
      </c>
      <c r="Z4180" s="14">
        <v>0</v>
      </c>
      <c r="AA4180" s="6">
        <v>0</v>
      </c>
      <c r="AB4180" s="4">
        <f t="shared" si="645"/>
        <v>494.7</v>
      </c>
      <c r="AC4180" s="4">
        <f t="shared" si="647"/>
        <v>0</v>
      </c>
      <c r="AD4180" s="6">
        <f t="shared" si="642"/>
        <v>494.7</v>
      </c>
      <c r="AE4180" s="2">
        <f>VLOOKUP(I4180,[1]媒体政策预估表!A:N,MATCH(O4180,[1]媒体政策预估表!$A$2:$M$2,0),0)</f>
        <v>7.0000000000000007E-2</v>
      </c>
      <c r="AF4180" s="6">
        <f t="shared" si="648"/>
        <v>34.629000000000005</v>
      </c>
      <c r="AG4180" s="14">
        <v>0</v>
      </c>
      <c r="AH4180" s="65">
        <f t="shared" si="643"/>
        <v>494.7</v>
      </c>
      <c r="AI4180" s="47"/>
      <c r="AJ4180" s="126" t="e">
        <v>#N/A</v>
      </c>
      <c r="AK4180" s="80">
        <f t="shared" si="646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40"/>
        <v>4</v>
      </c>
      <c r="X4181" s="6">
        <f t="shared" si="641"/>
        <v>2173.5</v>
      </c>
      <c r="Y4181" s="13">
        <f t="shared" si="644"/>
        <v>0</v>
      </c>
      <c r="Z4181" s="14">
        <v>0</v>
      </c>
      <c r="AA4181" s="6">
        <v>0</v>
      </c>
      <c r="AB4181" s="4">
        <f t="shared" si="645"/>
        <v>2173.5</v>
      </c>
      <c r="AC4181" s="4">
        <f t="shared" si="647"/>
        <v>0</v>
      </c>
      <c r="AD4181" s="6">
        <f t="shared" si="642"/>
        <v>2173.5</v>
      </c>
      <c r="AE4181" s="2">
        <f>VLOOKUP(I4181,[1]媒体政策预估表!A:N,MATCH(O4181,[1]媒体政策预估表!$A$2:$M$2,0),0)</f>
        <v>7.0000000000000007E-2</v>
      </c>
      <c r="AF4181" s="6">
        <f t="shared" si="648"/>
        <v>152.14500000000001</v>
      </c>
      <c r="AG4181" s="14">
        <v>0</v>
      </c>
      <c r="AH4181" s="65">
        <f t="shared" si="643"/>
        <v>2173.5</v>
      </c>
      <c r="AI4181" s="47"/>
      <c r="AJ4181" s="126" t="e">
        <v>#N/A</v>
      </c>
      <c r="AK4181" s="80">
        <f t="shared" si="646"/>
        <v>0</v>
      </c>
      <c r="AM4181" s="85"/>
    </row>
    <row r="4182" spans="1:39" hidden="1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40"/>
        <v>6833.9</v>
      </c>
      <c r="X4182" s="6">
        <f t="shared" si="641"/>
        <v>2622</v>
      </c>
      <c r="Y4182" s="13">
        <f t="shared" si="644"/>
        <v>0</v>
      </c>
      <c r="Z4182" s="14">
        <v>0</v>
      </c>
      <c r="AA4182" s="6">
        <v>0</v>
      </c>
      <c r="AB4182" s="4">
        <f t="shared" si="645"/>
        <v>2622</v>
      </c>
      <c r="AC4182" s="4">
        <f t="shared" si="647"/>
        <v>0</v>
      </c>
      <c r="AD4182" s="6">
        <f t="shared" si="642"/>
        <v>2622</v>
      </c>
      <c r="AE4182" s="2">
        <f>VLOOKUP(I4182,[1]媒体政策预估表!A:N,MATCH(O4182,[1]媒体政策预估表!$A$2:$M$2,0),0)</f>
        <v>7.0000000000000007E-2</v>
      </c>
      <c r="AF4182" s="6">
        <f t="shared" si="648"/>
        <v>183.54000000000002</v>
      </c>
      <c r="AG4182" s="14">
        <v>0</v>
      </c>
      <c r="AH4182" s="65">
        <f t="shared" si="643"/>
        <v>2622</v>
      </c>
      <c r="AI4182" s="47"/>
      <c r="AJ4182" s="126" t="e">
        <v>#N/A</v>
      </c>
      <c r="AK4182" s="80">
        <f t="shared" si="646"/>
        <v>0</v>
      </c>
      <c r="AM4182" s="85"/>
    </row>
    <row r="4183" spans="1:39" hidden="1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40"/>
        <v>5177.3</v>
      </c>
      <c r="X4183" s="6">
        <f t="shared" si="641"/>
        <v>9.6078431372549034</v>
      </c>
      <c r="Y4183" s="13">
        <f t="shared" si="644"/>
        <v>0</v>
      </c>
      <c r="Z4183" s="14">
        <v>0</v>
      </c>
      <c r="AA4183" s="6">
        <v>0</v>
      </c>
      <c r="AB4183" s="4">
        <f t="shared" si="645"/>
        <v>9.6078431372549034</v>
      </c>
      <c r="AC4183" s="4">
        <f t="shared" si="647"/>
        <v>0.19215686274509736</v>
      </c>
      <c r="AD4183" s="6">
        <f t="shared" si="642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48"/>
        <v>0.68600000000000017</v>
      </c>
      <c r="AG4183" s="14">
        <v>0</v>
      </c>
      <c r="AH4183" s="65">
        <f t="shared" si="643"/>
        <v>9.8000000000000007</v>
      </c>
      <c r="AI4183" s="47"/>
      <c r="AJ4183" s="126" t="e">
        <v>#N/A</v>
      </c>
      <c r="AK4183" s="80">
        <f t="shared" si="646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40"/>
        <v>0.90000000000509317</v>
      </c>
      <c r="X4184" s="6">
        <f t="shared" si="641"/>
        <v>9939.7000000000007</v>
      </c>
      <c r="Y4184" s="13">
        <f t="shared" si="644"/>
        <v>0</v>
      </c>
      <c r="Z4184" s="14">
        <v>0</v>
      </c>
      <c r="AA4184" s="6">
        <v>0</v>
      </c>
      <c r="AB4184" s="4">
        <f t="shared" si="645"/>
        <v>9939.7000000000007</v>
      </c>
      <c r="AC4184" s="4">
        <f t="shared" si="647"/>
        <v>0</v>
      </c>
      <c r="AD4184" s="6">
        <f t="shared" si="642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48"/>
        <v>695.77900000000011</v>
      </c>
      <c r="AG4184" s="14">
        <v>0</v>
      </c>
      <c r="AH4184" s="65">
        <f t="shared" si="643"/>
        <v>9939.7000000000007</v>
      </c>
      <c r="AI4184" s="47"/>
      <c r="AJ4184" s="126" t="e">
        <v>#N/A</v>
      </c>
      <c r="AK4184" s="80">
        <f t="shared" si="646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40"/>
        <v>14520.699999999997</v>
      </c>
      <c r="X4185" s="6">
        <f t="shared" si="641"/>
        <v>0</v>
      </c>
      <c r="Y4185" s="13">
        <f t="shared" si="644"/>
        <v>0</v>
      </c>
      <c r="Z4185" s="14">
        <v>0</v>
      </c>
      <c r="AA4185" s="6">
        <v>0</v>
      </c>
      <c r="AB4185" s="4">
        <f t="shared" si="645"/>
        <v>0</v>
      </c>
      <c r="AC4185" s="4">
        <f t="shared" si="647"/>
        <v>0</v>
      </c>
      <c r="AD4185" s="6">
        <f t="shared" si="642"/>
        <v>0</v>
      </c>
      <c r="AE4185" s="2">
        <f>VLOOKUP(I4185,[1]媒体政策预估表!A:N,MATCH(O4185,[1]媒体政策预估表!$A$2:$M$2,0),0)</f>
        <v>7.0000000000000007E-2</v>
      </c>
      <c r="AF4185" s="6">
        <f t="shared" si="648"/>
        <v>0</v>
      </c>
      <c r="AG4185" s="14">
        <v>0</v>
      </c>
      <c r="AH4185" s="65">
        <f t="shared" si="643"/>
        <v>0</v>
      </c>
      <c r="AI4185" s="47"/>
      <c r="AJ4185" s="126" t="e">
        <v>#N/A</v>
      </c>
      <c r="AK4185" s="80">
        <f t="shared" si="646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40"/>
        <v>10000</v>
      </c>
      <c r="X4186" s="6">
        <f t="shared" si="641"/>
        <v>0</v>
      </c>
      <c r="Y4186" s="13">
        <f t="shared" si="644"/>
        <v>0</v>
      </c>
      <c r="Z4186" s="14">
        <v>0</v>
      </c>
      <c r="AA4186" s="6">
        <v>0</v>
      </c>
      <c r="AB4186" s="4">
        <f t="shared" si="645"/>
        <v>0</v>
      </c>
      <c r="AC4186" s="4">
        <f t="shared" si="647"/>
        <v>0</v>
      </c>
      <c r="AD4186" s="6">
        <f t="shared" si="642"/>
        <v>0</v>
      </c>
      <c r="AE4186" s="2">
        <f>VLOOKUP(I4186,[1]媒体政策预估表!A:N,MATCH(O4186,[1]媒体政策预估表!$A$2:$M$2,0),0)</f>
        <v>0.12</v>
      </c>
      <c r="AF4186" s="6">
        <f t="shared" si="648"/>
        <v>0</v>
      </c>
      <c r="AG4186" s="14">
        <v>0</v>
      </c>
      <c r="AH4186" s="65">
        <f t="shared" si="643"/>
        <v>0</v>
      </c>
      <c r="AI4186" s="47"/>
      <c r="AJ4186" s="126" t="e">
        <v>#N/A</v>
      </c>
      <c r="AK4186" s="80">
        <f t="shared" si="646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40"/>
        <v>109868.69971</v>
      </c>
      <c r="X4187" s="6">
        <f t="shared" si="641"/>
        <v>2956.8910384615383</v>
      </c>
      <c r="Y4187" s="13">
        <f t="shared" si="644"/>
        <v>0</v>
      </c>
      <c r="Z4187" s="14">
        <v>0</v>
      </c>
      <c r="AA4187" s="6">
        <v>0</v>
      </c>
      <c r="AB4187" s="4">
        <f t="shared" si="645"/>
        <v>2956.8910384615383</v>
      </c>
      <c r="AC4187" s="4">
        <f t="shared" si="647"/>
        <v>118.27564153846151</v>
      </c>
      <c r="AD4187" s="6">
        <f t="shared" si="642"/>
        <v>3075.1666799999998</v>
      </c>
      <c r="AE4187" s="2">
        <f>VLOOKUP(I4187,[1]媒体政策预估表!A:N,MATCH(O4187,[1]媒体政策预估表!$A$2:$M$2,0),0)</f>
        <v>0.12</v>
      </c>
      <c r="AF4187" s="6">
        <f t="shared" si="648"/>
        <v>369.02000159999994</v>
      </c>
      <c r="AG4187" s="14">
        <v>0</v>
      </c>
      <c r="AH4187" s="65">
        <f t="shared" si="643"/>
        <v>3075.1666799999998</v>
      </c>
      <c r="AI4187" s="47"/>
      <c r="AJ4187" s="126" t="e">
        <v>#N/A</v>
      </c>
      <c r="AK4187" s="80">
        <f t="shared" si="646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40"/>
        <v>-788.25945000000002</v>
      </c>
      <c r="X4188" s="6">
        <f t="shared" si="641"/>
        <v>0.54920999999999998</v>
      </c>
      <c r="Y4188" s="13">
        <f t="shared" si="644"/>
        <v>0</v>
      </c>
      <c r="Z4188" s="14">
        <v>0</v>
      </c>
      <c r="AA4188" s="6">
        <v>0</v>
      </c>
      <c r="AB4188" s="4">
        <f t="shared" si="645"/>
        <v>0.54920999999999998</v>
      </c>
      <c r="AC4188" s="4">
        <f t="shared" si="647"/>
        <v>0</v>
      </c>
      <c r="AD4188" s="6">
        <f t="shared" si="642"/>
        <v>0.54920999999999998</v>
      </c>
      <c r="AE4188" s="2">
        <f>VLOOKUP(I4188,[1]媒体政策预估表!A:N,MATCH(O4188,[1]媒体政策预估表!$A$2:$M$2,0),0)</f>
        <v>0.12</v>
      </c>
      <c r="AF4188" s="6">
        <f t="shared" si="648"/>
        <v>6.5905199999999997E-2</v>
      </c>
      <c r="AG4188" s="14">
        <v>0</v>
      </c>
      <c r="AH4188" s="65">
        <f t="shared" si="643"/>
        <v>0.54920999999999998</v>
      </c>
      <c r="AI4188" s="47"/>
      <c r="AJ4188" s="126" t="e">
        <v>#N/A</v>
      </c>
      <c r="AK4188" s="80">
        <f t="shared" si="646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40"/>
        <v>8412.8999999999978</v>
      </c>
      <c r="X4189" s="6">
        <f t="shared" si="641"/>
        <v>0</v>
      </c>
      <c r="Y4189" s="13">
        <f t="shared" si="644"/>
        <v>0</v>
      </c>
      <c r="Z4189" s="14">
        <v>0</v>
      </c>
      <c r="AA4189" s="6">
        <v>0</v>
      </c>
      <c r="AB4189" s="4">
        <f t="shared" si="645"/>
        <v>0</v>
      </c>
      <c r="AC4189" s="4">
        <f t="shared" si="647"/>
        <v>0</v>
      </c>
      <c r="AD4189" s="6">
        <f t="shared" si="642"/>
        <v>0</v>
      </c>
      <c r="AE4189" s="2">
        <f>VLOOKUP(I4189,[1]媒体政策预估表!A:N,MATCH(O4189,[1]媒体政策预估表!$A$2:$M$2,0),0)</f>
        <v>7.0000000000000007E-2</v>
      </c>
      <c r="AF4189" s="6">
        <f t="shared" si="648"/>
        <v>0</v>
      </c>
      <c r="AG4189" s="14">
        <v>0</v>
      </c>
      <c r="AH4189" s="65">
        <f t="shared" si="643"/>
        <v>0</v>
      </c>
      <c r="AI4189" s="47"/>
      <c r="AJ4189" s="126" t="e">
        <v>#N/A</v>
      </c>
      <c r="AK4189" s="80">
        <f t="shared" si="646"/>
        <v>0</v>
      </c>
      <c r="AM4189" s="85"/>
    </row>
    <row r="4190" spans="1:39" hidden="1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40"/>
        <v>-0.01</v>
      </c>
      <c r="X4190" s="6">
        <f t="shared" si="641"/>
        <v>0</v>
      </c>
      <c r="Y4190" s="13">
        <f t="shared" si="644"/>
        <v>0</v>
      </c>
      <c r="Z4190" s="14">
        <v>0</v>
      </c>
      <c r="AA4190" s="6">
        <v>0</v>
      </c>
      <c r="AB4190" s="4">
        <f t="shared" si="645"/>
        <v>0</v>
      </c>
      <c r="AC4190" s="4">
        <f t="shared" si="647"/>
        <v>0</v>
      </c>
      <c r="AD4190" s="6">
        <f t="shared" si="642"/>
        <v>0</v>
      </c>
      <c r="AE4190" s="2">
        <f>VLOOKUP(I4190,[1]媒体政策预估表!A:N,MATCH(O4190,[1]媒体政策预估表!$A$2:$M$2,0),0)</f>
        <v>0.12</v>
      </c>
      <c r="AF4190" s="6">
        <f t="shared" si="648"/>
        <v>0</v>
      </c>
      <c r="AG4190" s="14">
        <v>0</v>
      </c>
      <c r="AH4190" s="65">
        <f t="shared" si="643"/>
        <v>0</v>
      </c>
      <c r="AI4190" s="47"/>
      <c r="AJ4190" s="126" t="e">
        <v>#N/A</v>
      </c>
      <c r="AK4190" s="80">
        <f t="shared" si="646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40"/>
        <v>5.7999999999992724</v>
      </c>
      <c r="X4191" s="6">
        <f t="shared" si="641"/>
        <v>0</v>
      </c>
      <c r="Y4191" s="13">
        <f t="shared" si="644"/>
        <v>0</v>
      </c>
      <c r="Z4191" s="14">
        <v>0</v>
      </c>
      <c r="AA4191" s="6">
        <v>0</v>
      </c>
      <c r="AB4191" s="4">
        <f t="shared" si="645"/>
        <v>0</v>
      </c>
      <c r="AC4191" s="4">
        <f t="shared" si="647"/>
        <v>0</v>
      </c>
      <c r="AD4191" s="6">
        <f t="shared" si="642"/>
        <v>0</v>
      </c>
      <c r="AE4191" s="2">
        <f>VLOOKUP(I4191,[1]媒体政策预估表!A:N,MATCH(O4191,[1]媒体政策预估表!$A$2:$M$2,0),0)</f>
        <v>7.0000000000000007E-2</v>
      </c>
      <c r="AF4191" s="6">
        <f t="shared" si="648"/>
        <v>0</v>
      </c>
      <c r="AG4191" s="14">
        <v>0</v>
      </c>
      <c r="AH4191" s="65">
        <f t="shared" si="643"/>
        <v>0</v>
      </c>
      <c r="AI4191" s="47"/>
      <c r="AJ4191" s="126" t="e">
        <v>#N/A</v>
      </c>
      <c r="AK4191" s="80">
        <f t="shared" si="646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40"/>
        <v>10000</v>
      </c>
      <c r="X4192" s="6">
        <f t="shared" si="641"/>
        <v>0</v>
      </c>
      <c r="Y4192" s="13">
        <f t="shared" si="644"/>
        <v>0</v>
      </c>
      <c r="Z4192" s="14">
        <v>0</v>
      </c>
      <c r="AA4192" s="6">
        <v>0</v>
      </c>
      <c r="AB4192" s="4">
        <f t="shared" si="645"/>
        <v>0</v>
      </c>
      <c r="AC4192" s="4">
        <f t="shared" si="647"/>
        <v>0</v>
      </c>
      <c r="AD4192" s="6">
        <f t="shared" si="642"/>
        <v>0</v>
      </c>
      <c r="AE4192" s="2">
        <f>VLOOKUP(I4192,[1]媒体政策预估表!A:N,MATCH(O4192,[1]媒体政策预估表!$A$2:$M$2,0),0)</f>
        <v>7.0000000000000007E-2</v>
      </c>
      <c r="AF4192" s="6">
        <f t="shared" si="648"/>
        <v>0</v>
      </c>
      <c r="AG4192" s="14">
        <v>0</v>
      </c>
      <c r="AH4192" s="65">
        <f t="shared" si="643"/>
        <v>0</v>
      </c>
      <c r="AI4192" s="47"/>
      <c r="AJ4192" s="126" t="e">
        <v>#N/A</v>
      </c>
      <c r="AK4192" s="80">
        <f t="shared" si="646"/>
        <v>0</v>
      </c>
      <c r="AM4192" s="85"/>
    </row>
    <row r="4193" spans="1:39" hidden="1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40"/>
        <v>456.5</v>
      </c>
      <c r="X4193" s="6">
        <f t="shared" si="641"/>
        <v>0</v>
      </c>
      <c r="Y4193" s="13">
        <f t="shared" si="644"/>
        <v>0</v>
      </c>
      <c r="Z4193" s="14">
        <v>0</v>
      </c>
      <c r="AA4193" s="6">
        <v>0</v>
      </c>
      <c r="AB4193" s="4">
        <f t="shared" si="645"/>
        <v>0</v>
      </c>
      <c r="AC4193" s="4">
        <f t="shared" si="647"/>
        <v>0</v>
      </c>
      <c r="AD4193" s="6">
        <f t="shared" si="642"/>
        <v>0</v>
      </c>
      <c r="AE4193" s="2">
        <f>VLOOKUP(I4193,[1]媒体政策预估表!A:N,MATCH(O4193,[1]媒体政策预估表!$A$2:$M$2,0),0)</f>
        <v>7.0000000000000007E-2</v>
      </c>
      <c r="AF4193" s="6">
        <f t="shared" si="648"/>
        <v>0</v>
      </c>
      <c r="AG4193" s="14">
        <v>0</v>
      </c>
      <c r="AH4193" s="65">
        <f t="shared" si="643"/>
        <v>0</v>
      </c>
      <c r="AI4193" s="47"/>
      <c r="AJ4193" s="126" t="e">
        <v>#N/A</v>
      </c>
      <c r="AK4193" s="80">
        <f t="shared" si="646"/>
        <v>0</v>
      </c>
      <c r="AM4193" s="85"/>
    </row>
    <row r="4194" spans="1:39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40"/>
        <v>8705</v>
      </c>
      <c r="X4194" s="6">
        <f t="shared" si="641"/>
        <v>691.5</v>
      </c>
      <c r="Y4194" s="13">
        <f t="shared" si="644"/>
        <v>0</v>
      </c>
      <c r="Z4194" s="14">
        <v>0</v>
      </c>
      <c r="AA4194" s="6">
        <v>0</v>
      </c>
      <c r="AB4194" s="4">
        <f t="shared" si="645"/>
        <v>691.5</v>
      </c>
      <c r="AC4194" s="4">
        <f t="shared" si="647"/>
        <v>0</v>
      </c>
      <c r="AD4194" s="6">
        <f t="shared" si="642"/>
        <v>691.5</v>
      </c>
      <c r="AE4194" s="2">
        <f>VLOOKUP(I4194,[1]媒体政策预估表!A:N,MATCH(O4194,[1]媒体政策预估表!$A$2:$M$2,0),0)</f>
        <v>7.0000000000000007E-2</v>
      </c>
      <c r="AF4194" s="6">
        <f t="shared" si="648"/>
        <v>48.405000000000001</v>
      </c>
      <c r="AG4194" s="14">
        <v>0</v>
      </c>
      <c r="AH4194" s="65">
        <f t="shared" si="643"/>
        <v>691.5</v>
      </c>
      <c r="AI4194" s="47"/>
      <c r="AJ4194" s="126" t="e">
        <v>#N/A</v>
      </c>
      <c r="AK4194" s="80">
        <f t="shared" si="646"/>
        <v>0</v>
      </c>
      <c r="AM4194" s="85"/>
    </row>
    <row r="4195" spans="1:39" hidden="1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40"/>
        <v>9367</v>
      </c>
      <c r="X4195" s="6">
        <f t="shared" si="641"/>
        <v>633</v>
      </c>
      <c r="Y4195" s="13">
        <f t="shared" si="644"/>
        <v>0</v>
      </c>
      <c r="Z4195" s="14">
        <v>0</v>
      </c>
      <c r="AA4195" s="6">
        <v>0</v>
      </c>
      <c r="AB4195" s="4">
        <f t="shared" si="645"/>
        <v>633</v>
      </c>
      <c r="AC4195" s="4">
        <f t="shared" si="647"/>
        <v>0</v>
      </c>
      <c r="AD4195" s="6">
        <f t="shared" si="642"/>
        <v>633</v>
      </c>
      <c r="AE4195" s="2">
        <f>VLOOKUP(I4195,[1]媒体政策预估表!A:N,MATCH(O4195,[1]媒体政策预估表!$A$2:$M$2,0),0)</f>
        <v>7.0000000000000007E-2</v>
      </c>
      <c r="AF4195" s="6">
        <f t="shared" si="648"/>
        <v>44.31</v>
      </c>
      <c r="AG4195" s="14">
        <v>0</v>
      </c>
      <c r="AH4195" s="65">
        <f t="shared" si="643"/>
        <v>633</v>
      </c>
      <c r="AI4195" s="47"/>
      <c r="AJ4195" s="126" t="e">
        <v>#N/A</v>
      </c>
      <c r="AK4195" s="80">
        <f t="shared" si="646"/>
        <v>0</v>
      </c>
      <c r="AM4195" s="85"/>
    </row>
    <row r="4196" spans="1:39" hidden="1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40"/>
        <v>7640.5</v>
      </c>
      <c r="X4196" s="6">
        <f t="shared" si="641"/>
        <v>0</v>
      </c>
      <c r="Y4196" s="13">
        <f t="shared" si="644"/>
        <v>0</v>
      </c>
      <c r="Z4196" s="14">
        <v>0</v>
      </c>
      <c r="AA4196" s="6">
        <v>0</v>
      </c>
      <c r="AB4196" s="4">
        <f t="shared" si="645"/>
        <v>0</v>
      </c>
      <c r="AC4196" s="4">
        <f t="shared" si="647"/>
        <v>0</v>
      </c>
      <c r="AD4196" s="6">
        <f t="shared" si="642"/>
        <v>0</v>
      </c>
      <c r="AE4196" s="2">
        <f>VLOOKUP(I4196,[1]媒体政策预估表!A:N,MATCH(O4196,[1]媒体政策预估表!$A$2:$M$2,0),0)</f>
        <v>7.0000000000000007E-2</v>
      </c>
      <c r="AF4196" s="6">
        <f t="shared" si="648"/>
        <v>0</v>
      </c>
      <c r="AG4196" s="14">
        <v>0</v>
      </c>
      <c r="AH4196" s="65">
        <f t="shared" si="643"/>
        <v>0</v>
      </c>
      <c r="AI4196" s="47"/>
      <c r="AJ4196" s="126" t="e">
        <v>#N/A</v>
      </c>
      <c r="AK4196" s="80">
        <f t="shared" si="646"/>
        <v>0</v>
      </c>
      <c r="AM4196" s="85"/>
    </row>
    <row r="4197" spans="1:39" hidden="1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40"/>
        <v>-5167.7245700000003</v>
      </c>
      <c r="X4197" s="6">
        <f t="shared" si="641"/>
        <v>1140.715549019608</v>
      </c>
      <c r="Y4197" s="13">
        <f t="shared" si="644"/>
        <v>0</v>
      </c>
      <c r="Z4197" s="14">
        <v>0</v>
      </c>
      <c r="AA4197" s="6">
        <v>0</v>
      </c>
      <c r="AB4197" s="4">
        <f t="shared" si="645"/>
        <v>1140.715549019608</v>
      </c>
      <c r="AC4197" s="4">
        <f t="shared" si="647"/>
        <v>22.814310980392065</v>
      </c>
      <c r="AD4197" s="6">
        <f t="shared" si="642"/>
        <v>1163.5298600000001</v>
      </c>
      <c r="AE4197" s="2">
        <f>VLOOKUP(I4197,[1]媒体政策预估表!A:N,MATCH(O4197,[1]媒体政策预估表!$A$2:$M$2,0),0)</f>
        <v>0.12</v>
      </c>
      <c r="AF4197" s="6">
        <f t="shared" si="648"/>
        <v>139.62358320000001</v>
      </c>
      <c r="AG4197" s="14">
        <v>0</v>
      </c>
      <c r="AH4197" s="65">
        <f t="shared" si="643"/>
        <v>1163.5298600000001</v>
      </c>
      <c r="AI4197" s="47"/>
      <c r="AJ4197" s="126" t="e">
        <v>#N/A</v>
      </c>
      <c r="AK4197" s="80">
        <f t="shared" si="646"/>
        <v>0</v>
      </c>
      <c r="AM4197" s="85"/>
    </row>
    <row r="4198" spans="1:39" hidden="1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40"/>
        <v>22478.863280000001</v>
      </c>
      <c r="X4198" s="6">
        <f t="shared" si="641"/>
        <v>5235.4366399999999</v>
      </c>
      <c r="Y4198" s="13">
        <f t="shared" si="644"/>
        <v>0</v>
      </c>
      <c r="Z4198" s="14">
        <v>0</v>
      </c>
      <c r="AA4198" s="6">
        <v>0</v>
      </c>
      <c r="AB4198" s="4">
        <f t="shared" si="645"/>
        <v>5235.4366399999999</v>
      </c>
      <c r="AC4198" s="4">
        <f t="shared" si="647"/>
        <v>0</v>
      </c>
      <c r="AD4198" s="6">
        <f t="shared" si="642"/>
        <v>5235.4366399999999</v>
      </c>
      <c r="AE4198" s="2">
        <f>VLOOKUP(I4198,[1]媒体政策预估表!A:N,MATCH(O4198,[1]媒体政策预估表!$A$2:$M$2,0),0)</f>
        <v>0.12</v>
      </c>
      <c r="AF4198" s="6">
        <f t="shared" si="648"/>
        <v>628.25239679999993</v>
      </c>
      <c r="AG4198" s="14">
        <v>0</v>
      </c>
      <c r="AH4198" s="65">
        <f t="shared" si="643"/>
        <v>5235.4366399999999</v>
      </c>
      <c r="AI4198" s="47"/>
      <c r="AJ4198" s="126" t="e">
        <v>#N/A</v>
      </c>
      <c r="AK4198" s="80">
        <f t="shared" si="646"/>
        <v>0</v>
      </c>
      <c r="AM4198" s="85"/>
    </row>
    <row r="4199" spans="1:39" hidden="1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40"/>
        <v>56998.99338</v>
      </c>
      <c r="X4199" s="6">
        <f t="shared" si="641"/>
        <v>0</v>
      </c>
      <c r="Y4199" s="13">
        <f t="shared" si="644"/>
        <v>0</v>
      </c>
      <c r="Z4199" s="14">
        <v>0</v>
      </c>
      <c r="AA4199" s="6">
        <v>0</v>
      </c>
      <c r="AB4199" s="4">
        <f t="shared" si="645"/>
        <v>0</v>
      </c>
      <c r="AC4199" s="4">
        <f t="shared" si="647"/>
        <v>0</v>
      </c>
      <c r="AD4199" s="6">
        <f t="shared" si="642"/>
        <v>0</v>
      </c>
      <c r="AE4199" s="2">
        <f>VLOOKUP(I4199,[1]媒体政策预估表!A:N,MATCH(O4199,[1]媒体政策预估表!$A$2:$M$2,0),0)</f>
        <v>0.12</v>
      </c>
      <c r="AF4199" s="6">
        <f t="shared" si="648"/>
        <v>0</v>
      </c>
      <c r="AG4199" s="14">
        <v>0</v>
      </c>
      <c r="AH4199" s="65">
        <f t="shared" si="643"/>
        <v>0</v>
      </c>
      <c r="AI4199" s="47"/>
      <c r="AJ4199" s="126" t="e">
        <v>#N/A</v>
      </c>
      <c r="AK4199" s="80">
        <f t="shared" si="646"/>
        <v>0</v>
      </c>
      <c r="AM4199" s="85"/>
    </row>
    <row r="4200" spans="1:39" hidden="1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40"/>
        <v>50000</v>
      </c>
      <c r="X4200" s="6">
        <f t="shared" si="641"/>
        <v>0</v>
      </c>
      <c r="Y4200" s="13">
        <f t="shared" si="644"/>
        <v>0</v>
      </c>
      <c r="Z4200" s="14">
        <v>0</v>
      </c>
      <c r="AA4200" s="6">
        <v>0</v>
      </c>
      <c r="AB4200" s="4">
        <f t="shared" si="645"/>
        <v>0</v>
      </c>
      <c r="AC4200" s="4">
        <f t="shared" si="647"/>
        <v>0</v>
      </c>
      <c r="AD4200" s="6">
        <f t="shared" si="642"/>
        <v>0</v>
      </c>
      <c r="AE4200" s="2">
        <f>VLOOKUP(I4200,[1]媒体政策预估表!A:N,MATCH(O4200,[1]媒体政策预估表!$A$2:$M$2,0),0)</f>
        <v>0.12</v>
      </c>
      <c r="AF4200" s="6">
        <f t="shared" si="648"/>
        <v>0</v>
      </c>
      <c r="AG4200" s="14">
        <v>0</v>
      </c>
      <c r="AH4200" s="65">
        <f t="shared" si="643"/>
        <v>0</v>
      </c>
      <c r="AI4200" s="47"/>
      <c r="AJ4200" s="126" t="e">
        <v>#N/A</v>
      </c>
      <c r="AK4200" s="80">
        <f t="shared" si="646"/>
        <v>0</v>
      </c>
      <c r="AM4200" s="85"/>
    </row>
    <row r="4201" spans="1:39" hidden="1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40"/>
        <v>16152.000000000002</v>
      </c>
      <c r="X4201" s="6">
        <f t="shared" si="641"/>
        <v>10420</v>
      </c>
      <c r="Y4201" s="13">
        <f t="shared" si="644"/>
        <v>0</v>
      </c>
      <c r="Z4201" s="14">
        <v>0</v>
      </c>
      <c r="AA4201" s="6">
        <v>0</v>
      </c>
      <c r="AB4201" s="4">
        <f t="shared" si="645"/>
        <v>10420</v>
      </c>
      <c r="AC4201" s="4">
        <f t="shared" si="647"/>
        <v>208.39999999999964</v>
      </c>
      <c r="AD4201" s="6">
        <f t="shared" si="642"/>
        <v>10628.4</v>
      </c>
      <c r="AE4201" s="2">
        <f>VLOOKUP(I4201,[1]媒体政策预估表!A:N,MATCH(O4201,[1]媒体政策预估表!$A$2:$M$2,0),0)</f>
        <v>7.0000000000000007E-2</v>
      </c>
      <c r="AF4201" s="6">
        <f t="shared" si="648"/>
        <v>743.98800000000006</v>
      </c>
      <c r="AG4201" s="14">
        <v>0</v>
      </c>
      <c r="AH4201" s="65">
        <f t="shared" si="643"/>
        <v>10628.4</v>
      </c>
      <c r="AI4201" s="47"/>
      <c r="AJ4201" s="126" t="e">
        <v>#N/A</v>
      </c>
      <c r="AK4201" s="80">
        <f t="shared" si="646"/>
        <v>0</v>
      </c>
      <c r="AM4201" s="85"/>
    </row>
    <row r="4202" spans="1:39" hidden="1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40"/>
        <v>-3.8000000000104706</v>
      </c>
      <c r="X4202" s="6">
        <f t="shared" si="641"/>
        <v>0</v>
      </c>
      <c r="Y4202" s="13">
        <f t="shared" si="644"/>
        <v>0</v>
      </c>
      <c r="Z4202" s="14">
        <v>0</v>
      </c>
      <c r="AA4202" s="6">
        <v>0</v>
      </c>
      <c r="AB4202" s="4">
        <f t="shared" si="645"/>
        <v>0</v>
      </c>
      <c r="AC4202" s="4">
        <f t="shared" si="647"/>
        <v>0</v>
      </c>
      <c r="AD4202" s="6">
        <f t="shared" si="642"/>
        <v>0</v>
      </c>
      <c r="AE4202" s="2">
        <f>VLOOKUP(I4202,[1]媒体政策预估表!A:N,MATCH(O4202,[1]媒体政策预估表!$A$2:$M$2,0),0)</f>
        <v>7.0000000000000007E-2</v>
      </c>
      <c r="AF4202" s="6">
        <f t="shared" si="648"/>
        <v>0</v>
      </c>
      <c r="AG4202" s="14">
        <v>0</v>
      </c>
      <c r="AH4202" s="65">
        <f t="shared" si="643"/>
        <v>0</v>
      </c>
      <c r="AI4202" s="47"/>
      <c r="AJ4202" s="126" t="e">
        <v>#N/A</v>
      </c>
      <c r="AK4202" s="80">
        <f t="shared" si="646"/>
        <v>0</v>
      </c>
      <c r="AM4202" s="85"/>
    </row>
    <row r="4203" spans="1:39" hidden="1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40"/>
        <v>0.7000000000007276</v>
      </c>
      <c r="X4203" s="6">
        <f t="shared" si="641"/>
        <v>0</v>
      </c>
      <c r="Y4203" s="13">
        <f t="shared" si="644"/>
        <v>0</v>
      </c>
      <c r="Z4203" s="14">
        <v>0</v>
      </c>
      <c r="AA4203" s="6">
        <v>0</v>
      </c>
      <c r="AB4203" s="4">
        <f t="shared" si="645"/>
        <v>0</v>
      </c>
      <c r="AC4203" s="4">
        <f t="shared" si="647"/>
        <v>0</v>
      </c>
      <c r="AD4203" s="6">
        <f t="shared" si="642"/>
        <v>0</v>
      </c>
      <c r="AE4203" s="2">
        <f>VLOOKUP(I4203,[1]媒体政策预估表!A:N,MATCH(O4203,[1]媒体政策预估表!$A$2:$M$2,0),0)</f>
        <v>7.0000000000000007E-2</v>
      </c>
      <c r="AF4203" s="6">
        <f t="shared" si="648"/>
        <v>0</v>
      </c>
      <c r="AG4203" s="14">
        <v>0</v>
      </c>
      <c r="AH4203" s="65">
        <f t="shared" si="643"/>
        <v>0</v>
      </c>
      <c r="AI4203" s="47"/>
      <c r="AJ4203" s="126" t="e">
        <v>#N/A</v>
      </c>
      <c r="AK4203" s="80">
        <f t="shared" si="646"/>
        <v>0</v>
      </c>
      <c r="AM4203" s="85"/>
    </row>
    <row r="4204" spans="1:39" hidden="1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40"/>
        <v>21574.400000000009</v>
      </c>
      <c r="X4204" s="6">
        <f t="shared" si="641"/>
        <v>127237.8</v>
      </c>
      <c r="Y4204" s="13">
        <f t="shared" si="644"/>
        <v>0</v>
      </c>
      <c r="Z4204" s="14">
        <v>0</v>
      </c>
      <c r="AA4204" s="6">
        <v>0</v>
      </c>
      <c r="AB4204" s="4">
        <f t="shared" si="645"/>
        <v>127237.8</v>
      </c>
      <c r="AC4204" s="4">
        <f t="shared" si="647"/>
        <v>0</v>
      </c>
      <c r="AD4204" s="6">
        <f t="shared" si="642"/>
        <v>127237.8</v>
      </c>
      <c r="AE4204" s="2">
        <f>VLOOKUP(I4204,[1]媒体政策预估表!A:N,MATCH(O4204,[1]媒体政策预估表!$A$2:$M$2,0),0)</f>
        <v>7.0000000000000007E-2</v>
      </c>
      <c r="AF4204" s="6">
        <f t="shared" si="648"/>
        <v>8906.6460000000006</v>
      </c>
      <c r="AG4204" s="14">
        <v>0</v>
      </c>
      <c r="AH4204" s="65">
        <f t="shared" si="643"/>
        <v>127237.8</v>
      </c>
      <c r="AI4204" s="47"/>
      <c r="AJ4204" s="126" t="e">
        <v>#N/A</v>
      </c>
      <c r="AK4204" s="80">
        <f t="shared" si="646"/>
        <v>0</v>
      </c>
      <c r="AM4204" s="85"/>
    </row>
    <row r="4205" spans="1:39" hidden="1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40"/>
        <v>21986</v>
      </c>
      <c r="X4205" s="6">
        <f t="shared" si="641"/>
        <v>0</v>
      </c>
      <c r="Y4205" s="13">
        <f t="shared" si="644"/>
        <v>0</v>
      </c>
      <c r="Z4205" s="14">
        <v>0</v>
      </c>
      <c r="AA4205" s="6">
        <v>0</v>
      </c>
      <c r="AB4205" s="4">
        <f t="shared" si="645"/>
        <v>0</v>
      </c>
      <c r="AC4205" s="4">
        <f t="shared" si="647"/>
        <v>0</v>
      </c>
      <c r="AD4205" s="6">
        <f t="shared" si="642"/>
        <v>0</v>
      </c>
      <c r="AE4205" s="2">
        <f>VLOOKUP(I4205,[1]媒体政策预估表!A:N,MATCH(O4205,[1]媒体政策预估表!$A$2:$M$2,0),0)</f>
        <v>7.0000000000000007E-2</v>
      </c>
      <c r="AF4205" s="6">
        <f t="shared" si="648"/>
        <v>0</v>
      </c>
      <c r="AG4205" s="14">
        <v>0</v>
      </c>
      <c r="AH4205" s="65">
        <f t="shared" si="643"/>
        <v>0</v>
      </c>
      <c r="AI4205" s="47"/>
      <c r="AJ4205" s="126" t="e">
        <v>#N/A</v>
      </c>
      <c r="AK4205" s="80">
        <f t="shared" si="646"/>
        <v>0</v>
      </c>
      <c r="AM4205" s="85"/>
    </row>
    <row r="4206" spans="1:39" hidden="1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40"/>
        <v>0</v>
      </c>
      <c r="X4206" s="6">
        <f t="shared" si="641"/>
        <v>430.45007000000624</v>
      </c>
      <c r="Y4206" s="13">
        <f t="shared" si="644"/>
        <v>0</v>
      </c>
      <c r="Z4206" s="14">
        <v>0</v>
      </c>
      <c r="AA4206" s="6">
        <v>0</v>
      </c>
      <c r="AB4206" s="4">
        <f t="shared" si="645"/>
        <v>430.45007000000624</v>
      </c>
      <c r="AC4206" s="4">
        <f t="shared" si="647"/>
        <v>0</v>
      </c>
      <c r="AD4206" s="6">
        <f t="shared" si="642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48"/>
        <v>30.13150490000044</v>
      </c>
      <c r="AG4206" s="14">
        <v>0</v>
      </c>
      <c r="AH4206" s="65">
        <f t="shared" si="643"/>
        <v>430.45007000000624</v>
      </c>
      <c r="AI4206" s="47"/>
      <c r="AJ4206" s="126" t="e">
        <v>#N/A</v>
      </c>
      <c r="AK4206" s="80">
        <f t="shared" si="646"/>
        <v>0</v>
      </c>
      <c r="AM4206" s="85"/>
    </row>
    <row r="4207" spans="1:39" hidden="1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40"/>
        <v>36961.9</v>
      </c>
      <c r="X4207" s="6">
        <f t="shared" si="641"/>
        <v>0</v>
      </c>
      <c r="Y4207" s="13">
        <f t="shared" si="644"/>
        <v>0</v>
      </c>
      <c r="Z4207" s="14">
        <v>0</v>
      </c>
      <c r="AA4207" s="6">
        <v>0</v>
      </c>
      <c r="AB4207" s="4">
        <f t="shared" si="645"/>
        <v>0</v>
      </c>
      <c r="AC4207" s="4">
        <f t="shared" si="647"/>
        <v>0</v>
      </c>
      <c r="AD4207" s="6">
        <f t="shared" si="642"/>
        <v>0</v>
      </c>
      <c r="AE4207" s="2">
        <f>VLOOKUP(I4207,[1]媒体政策预估表!A:N,MATCH(O4207,[1]媒体政策预估表!$A$2:$M$2,0),0)</f>
        <v>7.0000000000000007E-2</v>
      </c>
      <c r="AF4207" s="6">
        <f t="shared" si="648"/>
        <v>0</v>
      </c>
      <c r="AG4207" s="14">
        <v>0</v>
      </c>
      <c r="AH4207" s="65">
        <f t="shared" si="643"/>
        <v>0</v>
      </c>
      <c r="AI4207" s="47"/>
      <c r="AJ4207" s="126" t="e">
        <v>#N/A</v>
      </c>
      <c r="AK4207" s="80">
        <f t="shared" si="646"/>
        <v>0</v>
      </c>
      <c r="AM4207" s="85"/>
    </row>
    <row r="4208" spans="1:39" hidden="1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40"/>
        <v>447453.29000000004</v>
      </c>
      <c r="X4208" s="6">
        <f t="shared" si="641"/>
        <v>483406.88</v>
      </c>
      <c r="Y4208" s="13">
        <f t="shared" si="644"/>
        <v>0</v>
      </c>
      <c r="Z4208" s="14">
        <v>0</v>
      </c>
      <c r="AA4208" s="6">
        <v>0</v>
      </c>
      <c r="AB4208" s="4">
        <f t="shared" si="645"/>
        <v>483406.88</v>
      </c>
      <c r="AC4208" s="4">
        <f t="shared" si="647"/>
        <v>0</v>
      </c>
      <c r="AD4208" s="6">
        <f t="shared" si="642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48"/>
        <v>33838.481600000006</v>
      </c>
      <c r="AG4208" s="14">
        <v>0</v>
      </c>
      <c r="AH4208" s="65">
        <f t="shared" si="643"/>
        <v>483406.88</v>
      </c>
      <c r="AI4208" s="47"/>
      <c r="AJ4208" s="126" t="e">
        <v>#N/A</v>
      </c>
      <c r="AK4208" s="80">
        <f t="shared" si="646"/>
        <v>0</v>
      </c>
      <c r="AM4208" s="85"/>
    </row>
    <row r="4209" spans="1:39" hidden="1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40"/>
        <v>600000</v>
      </c>
      <c r="X4209" s="6">
        <f t="shared" si="641"/>
        <v>0</v>
      </c>
      <c r="Y4209" s="13">
        <f t="shared" si="644"/>
        <v>0</v>
      </c>
      <c r="Z4209" s="14">
        <v>0</v>
      </c>
      <c r="AA4209" s="6">
        <v>0</v>
      </c>
      <c r="AB4209" s="4">
        <f t="shared" si="645"/>
        <v>0</v>
      </c>
      <c r="AC4209" s="4">
        <f t="shared" si="647"/>
        <v>0</v>
      </c>
      <c r="AD4209" s="6">
        <f t="shared" si="642"/>
        <v>0</v>
      </c>
      <c r="AE4209" s="2">
        <f>VLOOKUP(I4209,[1]媒体政策预估表!A:N,MATCH(O4209,[1]媒体政策预估表!$A$2:$M$2,0),0)</f>
        <v>7.0000000000000007E-2</v>
      </c>
      <c r="AF4209" s="6">
        <f t="shared" si="648"/>
        <v>0</v>
      </c>
      <c r="AG4209" s="14">
        <v>0</v>
      </c>
      <c r="AH4209" s="65">
        <f t="shared" si="643"/>
        <v>0</v>
      </c>
      <c r="AI4209" s="47"/>
      <c r="AJ4209" s="126" t="e">
        <v>#N/A</v>
      </c>
      <c r="AK4209" s="80">
        <f t="shared" si="646"/>
        <v>0</v>
      </c>
      <c r="AM4209" s="85"/>
    </row>
    <row r="4210" spans="1:39" hidden="1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40"/>
        <v>37145.1</v>
      </c>
      <c r="X4210" s="6">
        <f t="shared" si="641"/>
        <v>0</v>
      </c>
      <c r="Y4210" s="13">
        <f t="shared" si="644"/>
        <v>0</v>
      </c>
      <c r="Z4210" s="14">
        <v>0</v>
      </c>
      <c r="AA4210" s="6">
        <v>0</v>
      </c>
      <c r="AB4210" s="4">
        <f t="shared" si="645"/>
        <v>0</v>
      </c>
      <c r="AC4210" s="4">
        <f t="shared" si="647"/>
        <v>0</v>
      </c>
      <c r="AD4210" s="6">
        <f t="shared" si="642"/>
        <v>0</v>
      </c>
      <c r="AE4210" s="2">
        <f>VLOOKUP(I4210,[1]媒体政策预估表!A:N,MATCH(O4210,[1]媒体政策预估表!$A$2:$M$2,0),0)</f>
        <v>7.0000000000000007E-2</v>
      </c>
      <c r="AF4210" s="6">
        <f t="shared" si="648"/>
        <v>0</v>
      </c>
      <c r="AG4210" s="14">
        <v>0</v>
      </c>
      <c r="AH4210" s="65">
        <f t="shared" si="643"/>
        <v>0</v>
      </c>
      <c r="AI4210" s="47"/>
      <c r="AJ4210" s="126" t="e">
        <v>#N/A</v>
      </c>
      <c r="AK4210" s="80">
        <f t="shared" si="646"/>
        <v>0</v>
      </c>
      <c r="AM4210" s="85"/>
    </row>
    <row r="4211" spans="1:39" hidden="1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40"/>
        <v>4250</v>
      </c>
      <c r="X4211" s="6">
        <f t="shared" si="641"/>
        <v>0</v>
      </c>
      <c r="Y4211" s="13">
        <f t="shared" si="644"/>
        <v>0</v>
      </c>
      <c r="Z4211" s="14">
        <v>0</v>
      </c>
      <c r="AA4211" s="6">
        <v>0</v>
      </c>
      <c r="AB4211" s="4">
        <f t="shared" si="645"/>
        <v>0</v>
      </c>
      <c r="AC4211" s="4">
        <f t="shared" si="647"/>
        <v>0</v>
      </c>
      <c r="AD4211" s="6">
        <f t="shared" si="642"/>
        <v>0</v>
      </c>
      <c r="AE4211" s="2">
        <f>VLOOKUP(I4211,[1]媒体政策预估表!A:N,MATCH(O4211,[1]媒体政策预估表!$A$2:$M$2,0),0)</f>
        <v>7.0000000000000007E-2</v>
      </c>
      <c r="AF4211" s="6">
        <f t="shared" si="648"/>
        <v>0</v>
      </c>
      <c r="AG4211" s="14">
        <v>0</v>
      </c>
      <c r="AH4211" s="65">
        <f t="shared" si="643"/>
        <v>0</v>
      </c>
      <c r="AI4211" s="47"/>
      <c r="AJ4211" s="126" t="e">
        <v>#N/A</v>
      </c>
      <c r="AK4211" s="80">
        <f t="shared" si="646"/>
        <v>0</v>
      </c>
      <c r="AM4211" s="85"/>
    </row>
    <row r="4212" spans="1:39" hidden="1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40"/>
        <v>45402.7</v>
      </c>
      <c r="X4212" s="6">
        <f t="shared" si="641"/>
        <v>0</v>
      </c>
      <c r="Y4212" s="13">
        <f t="shared" si="644"/>
        <v>0</v>
      </c>
      <c r="Z4212" s="14">
        <v>0</v>
      </c>
      <c r="AA4212" s="6">
        <v>0</v>
      </c>
      <c r="AB4212" s="4">
        <f t="shared" si="645"/>
        <v>0</v>
      </c>
      <c r="AC4212" s="4">
        <f t="shared" si="647"/>
        <v>0</v>
      </c>
      <c r="AD4212" s="6">
        <f t="shared" si="642"/>
        <v>0</v>
      </c>
      <c r="AE4212" s="2">
        <f>VLOOKUP(I4212,[1]媒体政策预估表!A:N,MATCH(O4212,[1]媒体政策预估表!$A$2:$M$2,0),0)</f>
        <v>7.0000000000000007E-2</v>
      </c>
      <c r="AF4212" s="6">
        <f t="shared" si="648"/>
        <v>0</v>
      </c>
      <c r="AG4212" s="14">
        <v>0</v>
      </c>
      <c r="AH4212" s="65">
        <f t="shared" si="643"/>
        <v>0</v>
      </c>
      <c r="AI4212" s="47"/>
      <c r="AJ4212" s="126" t="e">
        <v>#N/A</v>
      </c>
      <c r="AK4212" s="80">
        <f t="shared" si="646"/>
        <v>0</v>
      </c>
      <c r="AM4212" s="85"/>
    </row>
    <row r="4213" spans="1:39" hidden="1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40"/>
        <v>38794.9</v>
      </c>
      <c r="X4213" s="6">
        <f t="shared" si="641"/>
        <v>0</v>
      </c>
      <c r="Y4213" s="13">
        <f t="shared" si="644"/>
        <v>0</v>
      </c>
      <c r="Z4213" s="14">
        <v>0</v>
      </c>
      <c r="AA4213" s="6">
        <v>0</v>
      </c>
      <c r="AB4213" s="4">
        <f t="shared" si="645"/>
        <v>0</v>
      </c>
      <c r="AC4213" s="4">
        <f t="shared" si="647"/>
        <v>0</v>
      </c>
      <c r="AD4213" s="6">
        <f t="shared" si="642"/>
        <v>0</v>
      </c>
      <c r="AE4213" s="2">
        <f>VLOOKUP(I4213,[1]媒体政策预估表!A:N,MATCH(O4213,[1]媒体政策预估表!$A$2:$M$2,0),0)</f>
        <v>7.0000000000000007E-2</v>
      </c>
      <c r="AF4213" s="6">
        <f t="shared" si="648"/>
        <v>0</v>
      </c>
      <c r="AG4213" s="14">
        <v>0</v>
      </c>
      <c r="AH4213" s="65">
        <f t="shared" si="643"/>
        <v>0</v>
      </c>
      <c r="AI4213" s="47"/>
      <c r="AJ4213" s="126" t="e">
        <v>#N/A</v>
      </c>
      <c r="AK4213" s="80">
        <f t="shared" si="646"/>
        <v>0</v>
      </c>
      <c r="AM4213" s="85"/>
    </row>
    <row r="4214" spans="1:39" hidden="1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40"/>
        <v>5635</v>
      </c>
      <c r="X4214" s="6">
        <f t="shared" si="641"/>
        <v>3713.2352941176468</v>
      </c>
      <c r="Y4214" s="13">
        <f t="shared" si="644"/>
        <v>0</v>
      </c>
      <c r="Z4214" s="14">
        <v>0</v>
      </c>
      <c r="AA4214" s="6">
        <v>0</v>
      </c>
      <c r="AB4214" s="4">
        <f t="shared" si="645"/>
        <v>3713.2352941176468</v>
      </c>
      <c r="AC4214" s="4">
        <f t="shared" si="647"/>
        <v>74.264705882353155</v>
      </c>
      <c r="AD4214" s="6">
        <f t="shared" si="642"/>
        <v>3787.5</v>
      </c>
      <c r="AE4214" s="2">
        <f>VLOOKUP(I4214,[1]媒体政策预估表!A:N,MATCH(O4214,[1]媒体政策预估表!$A$2:$M$2,0),0)</f>
        <v>7.0000000000000007E-2</v>
      </c>
      <c r="AF4214" s="6">
        <f t="shared" si="648"/>
        <v>265.125</v>
      </c>
      <c r="AG4214" s="14">
        <v>0</v>
      </c>
      <c r="AH4214" s="65">
        <f t="shared" si="643"/>
        <v>3787.5</v>
      </c>
      <c r="AI4214" s="47"/>
      <c r="AJ4214" s="126" t="e">
        <v>#N/A</v>
      </c>
      <c r="AK4214" s="80">
        <f t="shared" si="646"/>
        <v>0</v>
      </c>
      <c r="AM4214" s="85"/>
    </row>
    <row r="4215" spans="1:39" hidden="1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40"/>
        <v>0.90000000000145519</v>
      </c>
      <c r="X4215" s="6">
        <f t="shared" si="641"/>
        <v>0</v>
      </c>
      <c r="Y4215" s="13">
        <f t="shared" si="644"/>
        <v>0</v>
      </c>
      <c r="Z4215" s="14">
        <v>0</v>
      </c>
      <c r="AA4215" s="6">
        <v>0</v>
      </c>
      <c r="AB4215" s="4">
        <f t="shared" si="645"/>
        <v>0</v>
      </c>
      <c r="AC4215" s="4">
        <f t="shared" si="647"/>
        <v>0</v>
      </c>
      <c r="AD4215" s="6">
        <f t="shared" si="642"/>
        <v>0</v>
      </c>
      <c r="AE4215" s="2">
        <f>VLOOKUP(I4215,[1]媒体政策预估表!A:N,MATCH(O4215,[1]媒体政策预估表!$A$2:$M$2,0),0)</f>
        <v>7.0000000000000007E-2</v>
      </c>
      <c r="AF4215" s="6">
        <f t="shared" si="648"/>
        <v>0</v>
      </c>
      <c r="AG4215" s="14">
        <v>0</v>
      </c>
      <c r="AH4215" s="65">
        <f t="shared" si="643"/>
        <v>0</v>
      </c>
      <c r="AI4215" s="47"/>
      <c r="AJ4215" s="126" t="e">
        <v>#N/A</v>
      </c>
      <c r="AK4215" s="80">
        <f t="shared" si="646"/>
        <v>0</v>
      </c>
      <c r="AM4215" s="85"/>
    </row>
    <row r="4216" spans="1:39" hidden="1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40"/>
        <v>23206.300000000017</v>
      </c>
      <c r="X4216" s="6">
        <f t="shared" si="641"/>
        <v>97768.1</v>
      </c>
      <c r="Y4216" s="13">
        <f t="shared" si="644"/>
        <v>0</v>
      </c>
      <c r="Z4216" s="14">
        <v>0</v>
      </c>
      <c r="AA4216" s="6">
        <v>0</v>
      </c>
      <c r="AB4216" s="4">
        <f t="shared" si="645"/>
        <v>97768.1</v>
      </c>
      <c r="AC4216" s="4">
        <f t="shared" si="647"/>
        <v>0</v>
      </c>
      <c r="AD4216" s="6">
        <f t="shared" si="642"/>
        <v>97768.1</v>
      </c>
      <c r="AE4216" s="2">
        <f>VLOOKUP(I4216,[1]媒体政策预估表!A:N,MATCH(O4216,[1]媒体政策预估表!$A$2:$M$2,0),0)</f>
        <v>7.0000000000000007E-2</v>
      </c>
      <c r="AF4216" s="6">
        <f t="shared" si="648"/>
        <v>6843.7670000000007</v>
      </c>
      <c r="AG4216" s="14">
        <v>0</v>
      </c>
      <c r="AH4216" s="65">
        <f t="shared" si="643"/>
        <v>97768.1</v>
      </c>
      <c r="AI4216" s="47"/>
      <c r="AJ4216" s="126" t="e">
        <v>#N/A</v>
      </c>
      <c r="AK4216" s="80">
        <f t="shared" si="646"/>
        <v>0</v>
      </c>
      <c r="AM4216" s="85"/>
    </row>
    <row r="4217" spans="1:39" hidden="1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40"/>
        <v>94875.700000000041</v>
      </c>
      <c r="X4217" s="6">
        <f t="shared" si="641"/>
        <v>78754.600000000006</v>
      </c>
      <c r="Y4217" s="13">
        <f t="shared" si="644"/>
        <v>0</v>
      </c>
      <c r="Z4217" s="14">
        <v>0</v>
      </c>
      <c r="AA4217" s="6">
        <v>0</v>
      </c>
      <c r="AB4217" s="4">
        <f t="shared" si="645"/>
        <v>78754.600000000006</v>
      </c>
      <c r="AC4217" s="4">
        <f t="shared" si="647"/>
        <v>0</v>
      </c>
      <c r="AD4217" s="6">
        <f t="shared" si="642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48"/>
        <v>5512.822000000001</v>
      </c>
      <c r="AG4217" s="14">
        <v>0</v>
      </c>
      <c r="AH4217" s="65">
        <f t="shared" si="643"/>
        <v>78754.600000000006</v>
      </c>
      <c r="AI4217" s="47"/>
      <c r="AJ4217" s="126" t="e">
        <v>#N/A</v>
      </c>
      <c r="AK4217" s="80">
        <f t="shared" si="646"/>
        <v>0</v>
      </c>
      <c r="AM4217" s="85"/>
    </row>
    <row r="4218" spans="1:39" hidden="1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40"/>
        <v>10195.59</v>
      </c>
      <c r="X4218" s="6">
        <f t="shared" si="641"/>
        <v>1800</v>
      </c>
      <c r="Y4218" s="13">
        <f t="shared" si="644"/>
        <v>0</v>
      </c>
      <c r="Z4218" s="14">
        <v>0</v>
      </c>
      <c r="AA4218" s="6">
        <v>0</v>
      </c>
      <c r="AB4218" s="4">
        <f t="shared" si="645"/>
        <v>1800</v>
      </c>
      <c r="AC4218" s="4">
        <f t="shared" si="647"/>
        <v>0</v>
      </c>
      <c r="AD4218" s="6">
        <f t="shared" si="642"/>
        <v>1800</v>
      </c>
      <c r="AE4218" s="2">
        <f>VLOOKUP(I4218,[1]媒体政策预估表!A:N,MATCH(O4218,[1]媒体政策预估表!$A$2:$M$2,0),0)</f>
        <v>7.0000000000000007E-2</v>
      </c>
      <c r="AF4218" s="6">
        <f t="shared" si="648"/>
        <v>126.00000000000001</v>
      </c>
      <c r="AG4218" s="14">
        <v>0</v>
      </c>
      <c r="AH4218" s="65">
        <f t="shared" si="643"/>
        <v>1800</v>
      </c>
      <c r="AI4218" s="47"/>
      <c r="AJ4218" s="126" t="e">
        <v>#N/A</v>
      </c>
      <c r="AK4218" s="80">
        <f t="shared" si="646"/>
        <v>0</v>
      </c>
      <c r="AM4218" s="85"/>
    </row>
    <row r="4219" spans="1:39" hidden="1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49">T4219+U4219-V4219</f>
        <v>10516.5</v>
      </c>
      <c r="X4219" s="6">
        <f t="shared" ref="X4219:X4282" si="650">IF(P4219="折扣",V4219*Q4219,IF(P4219="返现",V4219,V4219/(1+Q4219)))</f>
        <v>3150</v>
      </c>
      <c r="Y4219" s="13">
        <f t="shared" si="644"/>
        <v>0</v>
      </c>
      <c r="Z4219" s="14">
        <v>0</v>
      </c>
      <c r="AA4219" s="6">
        <v>0</v>
      </c>
      <c r="AB4219" s="4">
        <f t="shared" si="645"/>
        <v>3150</v>
      </c>
      <c r="AC4219" s="4">
        <f t="shared" si="647"/>
        <v>0</v>
      </c>
      <c r="AD4219" s="6">
        <f t="shared" ref="AD4219:AD4282" si="651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48"/>
        <v>220.50000000000003</v>
      </c>
      <c r="AG4219" s="14">
        <v>0</v>
      </c>
      <c r="AH4219" s="65">
        <f t="shared" ref="AH4219:AH4282" si="652">V4219</f>
        <v>3150</v>
      </c>
      <c r="AI4219" s="47"/>
      <c r="AJ4219" s="126" t="e">
        <v>#N/A</v>
      </c>
      <c r="AK4219" s="80">
        <f t="shared" si="646"/>
        <v>0</v>
      </c>
      <c r="AM4219" s="85"/>
    </row>
    <row r="4220" spans="1:39" hidden="1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49"/>
        <v>7034.0999999999985</v>
      </c>
      <c r="X4220" s="6">
        <f t="shared" si="650"/>
        <v>11188.5</v>
      </c>
      <c r="Y4220" s="13">
        <f t="shared" si="644"/>
        <v>0</v>
      </c>
      <c r="Z4220" s="14">
        <v>0</v>
      </c>
      <c r="AA4220" s="6">
        <v>0</v>
      </c>
      <c r="AB4220" s="4">
        <f t="shared" si="645"/>
        <v>11188.5</v>
      </c>
      <c r="AC4220" s="4">
        <f t="shared" si="647"/>
        <v>0</v>
      </c>
      <c r="AD4220" s="6">
        <f t="shared" si="651"/>
        <v>11188.5</v>
      </c>
      <c r="AE4220" s="2">
        <f>VLOOKUP(I4220,[1]媒体政策预估表!A:N,MATCH(O4220,[1]媒体政策预估表!$A$2:$M$2,0),0)</f>
        <v>7.0000000000000007E-2</v>
      </c>
      <c r="AF4220" s="6">
        <f t="shared" si="648"/>
        <v>783.19500000000005</v>
      </c>
      <c r="AG4220" s="14">
        <v>0</v>
      </c>
      <c r="AH4220" s="65">
        <f t="shared" si="652"/>
        <v>11188.5</v>
      </c>
      <c r="AI4220" s="47"/>
      <c r="AJ4220" s="126" t="e">
        <v>#N/A</v>
      </c>
      <c r="AK4220" s="80">
        <f t="shared" si="646"/>
        <v>0</v>
      </c>
      <c r="AM4220" s="85"/>
    </row>
    <row r="4221" spans="1:39" hidden="1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49"/>
        <v>20000</v>
      </c>
      <c r="X4221" s="6">
        <f t="shared" si="650"/>
        <v>0</v>
      </c>
      <c r="Y4221" s="13">
        <f t="shared" si="644"/>
        <v>0</v>
      </c>
      <c r="Z4221" s="14">
        <v>0</v>
      </c>
      <c r="AA4221" s="6">
        <v>0</v>
      </c>
      <c r="AB4221" s="4">
        <f t="shared" si="645"/>
        <v>0</v>
      </c>
      <c r="AC4221" s="4">
        <f t="shared" si="647"/>
        <v>0</v>
      </c>
      <c r="AD4221" s="6">
        <f t="shared" si="651"/>
        <v>0</v>
      </c>
      <c r="AE4221" s="2">
        <f>VLOOKUP(I4221,[1]媒体政策预估表!A:N,MATCH(O4221,[1]媒体政策预估表!$A$2:$M$2,0),0)</f>
        <v>7.0000000000000007E-2</v>
      </c>
      <c r="AF4221" s="6">
        <f t="shared" si="648"/>
        <v>0</v>
      </c>
      <c r="AG4221" s="14">
        <v>0</v>
      </c>
      <c r="AH4221" s="65">
        <f t="shared" si="652"/>
        <v>0</v>
      </c>
      <c r="AI4221" s="47"/>
      <c r="AJ4221" s="126" t="e">
        <v>#N/A</v>
      </c>
      <c r="AK4221" s="80">
        <f t="shared" si="646"/>
        <v>0</v>
      </c>
      <c r="AM4221" s="85"/>
    </row>
    <row r="4222" spans="1:39" hidden="1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49"/>
        <v>450.50000000000034</v>
      </c>
      <c r="X4222" s="6">
        <f t="shared" si="650"/>
        <v>199.6</v>
      </c>
      <c r="Y4222" s="13">
        <f t="shared" si="644"/>
        <v>0</v>
      </c>
      <c r="Z4222" s="14">
        <v>0</v>
      </c>
      <c r="AA4222" s="6">
        <v>0</v>
      </c>
      <c r="AB4222" s="4">
        <f t="shared" si="645"/>
        <v>199.6</v>
      </c>
      <c r="AC4222" s="4">
        <f t="shared" si="647"/>
        <v>0</v>
      </c>
      <c r="AD4222" s="6">
        <f t="shared" si="651"/>
        <v>199.6</v>
      </c>
      <c r="AE4222" s="2">
        <f>VLOOKUP(I4222,[1]媒体政策预估表!A:N,MATCH(O4222,[1]媒体政策预估表!$A$2:$M$2,0),0)</f>
        <v>7.0000000000000007E-2</v>
      </c>
      <c r="AF4222" s="6">
        <f t="shared" si="648"/>
        <v>13.972000000000001</v>
      </c>
      <c r="AG4222" s="14">
        <v>0</v>
      </c>
      <c r="AH4222" s="65">
        <f t="shared" si="652"/>
        <v>199.6</v>
      </c>
      <c r="AI4222" s="47"/>
      <c r="AJ4222" s="126" t="e">
        <v>#N/A</v>
      </c>
      <c r="AK4222" s="80">
        <f t="shared" si="646"/>
        <v>0</v>
      </c>
      <c r="AM4222" s="85"/>
    </row>
    <row r="4223" spans="1:39" hidden="1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49"/>
        <v>15490.5</v>
      </c>
      <c r="X4223" s="6">
        <f t="shared" si="650"/>
        <v>0</v>
      </c>
      <c r="Y4223" s="13">
        <f t="shared" si="644"/>
        <v>0</v>
      </c>
      <c r="Z4223" s="14">
        <v>0</v>
      </c>
      <c r="AA4223" s="6">
        <v>0</v>
      </c>
      <c r="AB4223" s="4">
        <f t="shared" si="645"/>
        <v>0</v>
      </c>
      <c r="AC4223" s="4">
        <f t="shared" si="647"/>
        <v>0</v>
      </c>
      <c r="AD4223" s="6">
        <f t="shared" si="651"/>
        <v>0</v>
      </c>
      <c r="AE4223" s="2">
        <f>VLOOKUP(I4223,[1]媒体政策预估表!A:N,MATCH(O4223,[1]媒体政策预估表!$A$2:$M$2,0),0)</f>
        <v>7.0000000000000007E-2</v>
      </c>
      <c r="AF4223" s="6">
        <f t="shared" si="648"/>
        <v>0</v>
      </c>
      <c r="AG4223" s="14">
        <v>0</v>
      </c>
      <c r="AH4223" s="65">
        <f t="shared" si="652"/>
        <v>0</v>
      </c>
      <c r="AI4223" s="47"/>
      <c r="AJ4223" s="126" t="e">
        <v>#N/A</v>
      </c>
      <c r="AK4223" s="80">
        <f t="shared" si="646"/>
        <v>0</v>
      </c>
      <c r="AM4223" s="85"/>
    </row>
    <row r="4224" spans="1:39" hidden="1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49"/>
        <v>50392.36</v>
      </c>
      <c r="X4224" s="6">
        <f t="shared" si="650"/>
        <v>0</v>
      </c>
      <c r="Y4224" s="13">
        <f t="shared" si="644"/>
        <v>0</v>
      </c>
      <c r="Z4224" s="14">
        <v>0</v>
      </c>
      <c r="AA4224" s="6">
        <v>0</v>
      </c>
      <c r="AB4224" s="4">
        <f t="shared" si="645"/>
        <v>0</v>
      </c>
      <c r="AC4224" s="4">
        <f t="shared" si="647"/>
        <v>0</v>
      </c>
      <c r="AD4224" s="6">
        <f t="shared" si="651"/>
        <v>0</v>
      </c>
      <c r="AE4224" s="2">
        <f>VLOOKUP(I4224,[1]媒体政策预估表!A:N,MATCH(O4224,[1]媒体政策预估表!$A$2:$M$2,0),0)</f>
        <v>7.0000000000000007E-2</v>
      </c>
      <c r="AF4224" s="6">
        <f t="shared" si="648"/>
        <v>0</v>
      </c>
      <c r="AG4224" s="14">
        <v>0</v>
      </c>
      <c r="AH4224" s="65">
        <f t="shared" si="652"/>
        <v>0</v>
      </c>
      <c r="AI4224" s="47"/>
      <c r="AJ4224" s="126" t="e">
        <v>#N/A</v>
      </c>
      <c r="AK4224" s="80">
        <f t="shared" si="646"/>
        <v>0</v>
      </c>
      <c r="AM4224" s="85"/>
    </row>
    <row r="4225" spans="1:39" hidden="1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49"/>
        <v>23099.7</v>
      </c>
      <c r="X4225" s="6">
        <f t="shared" si="650"/>
        <v>0</v>
      </c>
      <c r="Y4225" s="13">
        <f t="shared" si="644"/>
        <v>0</v>
      </c>
      <c r="Z4225" s="14">
        <v>0</v>
      </c>
      <c r="AA4225" s="6">
        <v>0</v>
      </c>
      <c r="AB4225" s="4">
        <f t="shared" si="645"/>
        <v>0</v>
      </c>
      <c r="AC4225" s="4">
        <f t="shared" si="647"/>
        <v>0</v>
      </c>
      <c r="AD4225" s="6">
        <f t="shared" si="651"/>
        <v>0</v>
      </c>
      <c r="AE4225" s="2">
        <f>VLOOKUP(I4225,[1]媒体政策预估表!A:N,MATCH(O4225,[1]媒体政策预估表!$A$2:$M$2,0),0)</f>
        <v>0.12</v>
      </c>
      <c r="AF4225" s="6">
        <f t="shared" si="648"/>
        <v>0</v>
      </c>
      <c r="AG4225" s="14">
        <v>0</v>
      </c>
      <c r="AH4225" s="65">
        <f t="shared" si="652"/>
        <v>0</v>
      </c>
      <c r="AI4225" s="47"/>
      <c r="AJ4225" s="126" t="e">
        <v>#N/A</v>
      </c>
      <c r="AK4225" s="80">
        <f t="shared" si="646"/>
        <v>0</v>
      </c>
      <c r="AM4225" s="85"/>
    </row>
    <row r="4226" spans="1:39" hidden="1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49"/>
        <v>100000</v>
      </c>
      <c r="X4226" s="6">
        <f t="shared" si="650"/>
        <v>0</v>
      </c>
      <c r="Y4226" s="13">
        <f t="shared" si="644"/>
        <v>0</v>
      </c>
      <c r="Z4226" s="14">
        <v>0</v>
      </c>
      <c r="AA4226" s="6">
        <v>0</v>
      </c>
      <c r="AB4226" s="4">
        <f t="shared" si="645"/>
        <v>0</v>
      </c>
      <c r="AC4226" s="4">
        <f t="shared" si="647"/>
        <v>0</v>
      </c>
      <c r="AD4226" s="6">
        <f t="shared" si="651"/>
        <v>0</v>
      </c>
      <c r="AE4226" s="2">
        <f>VLOOKUP(I4226,[1]媒体政策预估表!A:N,MATCH(O4226,[1]媒体政策预估表!$A$2:$M$2,0),0)</f>
        <v>0.12</v>
      </c>
      <c r="AF4226" s="6">
        <f t="shared" si="648"/>
        <v>0</v>
      </c>
      <c r="AG4226" s="14">
        <v>0</v>
      </c>
      <c r="AH4226" s="65">
        <f t="shared" si="652"/>
        <v>0</v>
      </c>
      <c r="AI4226" s="47"/>
      <c r="AJ4226" s="126" t="e">
        <v>#N/A</v>
      </c>
      <c r="AK4226" s="80">
        <f t="shared" si="646"/>
        <v>0</v>
      </c>
      <c r="AM4226" s="85"/>
    </row>
    <row r="4227" spans="1:39" hidden="1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49"/>
        <v>37213.663619999999</v>
      </c>
      <c r="X4227" s="6">
        <f t="shared" si="650"/>
        <v>7803.8010490196075</v>
      </c>
      <c r="Y4227" s="13">
        <f t="shared" ref="Y4227:Y4290" si="653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54">X4227+AA4227</f>
        <v>7803.8010490196075</v>
      </c>
      <c r="AC4227" s="4">
        <f t="shared" si="647"/>
        <v>156.07602098039206</v>
      </c>
      <c r="AD4227" s="6">
        <f t="shared" si="651"/>
        <v>7959.8770699999995</v>
      </c>
      <c r="AE4227" s="2">
        <f>VLOOKUP(I4227,[1]媒体政策预估表!A:N,MATCH(O4227,[1]媒体政策预估表!$A$2:$M$2,0),0)</f>
        <v>0.12</v>
      </c>
      <c r="AF4227" s="6">
        <f t="shared" si="648"/>
        <v>955.18524839999986</v>
      </c>
      <c r="AG4227" s="14">
        <v>0</v>
      </c>
      <c r="AH4227" s="65">
        <f t="shared" si="652"/>
        <v>7959.8770699999995</v>
      </c>
      <c r="AI4227" s="47"/>
      <c r="AJ4227" s="126" t="e">
        <v>#N/A</v>
      </c>
      <c r="AK4227" s="80">
        <f t="shared" ref="AK4227:AK4290" si="655">X4227+AA4227-AB4227</f>
        <v>0</v>
      </c>
      <c r="AM4227" s="85"/>
    </row>
    <row r="4228" spans="1:39" hidden="1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49"/>
        <v>1.1000000000003638</v>
      </c>
      <c r="X4228" s="6">
        <f t="shared" si="650"/>
        <v>0</v>
      </c>
      <c r="Y4228" s="13">
        <f t="shared" si="653"/>
        <v>0</v>
      </c>
      <c r="Z4228" s="14">
        <v>0</v>
      </c>
      <c r="AA4228" s="6">
        <v>0</v>
      </c>
      <c r="AB4228" s="4">
        <f t="shared" si="654"/>
        <v>0</v>
      </c>
      <c r="AC4228" s="4">
        <f t="shared" si="647"/>
        <v>0</v>
      </c>
      <c r="AD4228" s="6">
        <f t="shared" si="651"/>
        <v>0</v>
      </c>
      <c r="AE4228" s="2">
        <f>VLOOKUP(I4228,[1]媒体政策预估表!A:N,MATCH(O4228,[1]媒体政策预估表!$A$2:$M$2,0),0)</f>
        <v>7.0000000000000007E-2</v>
      </c>
      <c r="AF4228" s="6">
        <f t="shared" si="648"/>
        <v>0</v>
      </c>
      <c r="AG4228" s="14">
        <v>0</v>
      </c>
      <c r="AH4228" s="65">
        <f t="shared" si="652"/>
        <v>0</v>
      </c>
      <c r="AI4228" s="47"/>
      <c r="AJ4228" s="126" t="e">
        <v>#N/A</v>
      </c>
      <c r="AK4228" s="80">
        <f t="shared" si="655"/>
        <v>0</v>
      </c>
      <c r="AM4228" s="85"/>
    </row>
    <row r="4229" spans="1:39" hidden="1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49"/>
        <v>482.10000000000036</v>
      </c>
      <c r="X4229" s="6">
        <f t="shared" si="650"/>
        <v>0</v>
      </c>
      <c r="Y4229" s="13">
        <f t="shared" si="653"/>
        <v>0</v>
      </c>
      <c r="Z4229" s="14">
        <v>0</v>
      </c>
      <c r="AA4229" s="6">
        <v>0</v>
      </c>
      <c r="AB4229" s="4">
        <f t="shared" si="654"/>
        <v>0</v>
      </c>
      <c r="AC4229" s="4">
        <f t="shared" si="647"/>
        <v>0</v>
      </c>
      <c r="AD4229" s="6">
        <f t="shared" si="651"/>
        <v>0</v>
      </c>
      <c r="AE4229" s="2">
        <f>VLOOKUP(I4229,[1]媒体政策预估表!A:N,MATCH(O4229,[1]媒体政策预估表!$A$2:$M$2,0),0)</f>
        <v>7.0000000000000007E-2</v>
      </c>
      <c r="AF4229" s="6">
        <f t="shared" si="648"/>
        <v>0</v>
      </c>
      <c r="AG4229" s="14">
        <v>0</v>
      </c>
      <c r="AH4229" s="65">
        <f t="shared" si="652"/>
        <v>0</v>
      </c>
      <c r="AI4229" s="47"/>
      <c r="AJ4229" s="126" t="e">
        <v>#N/A</v>
      </c>
      <c r="AK4229" s="80">
        <f t="shared" si="655"/>
        <v>0</v>
      </c>
      <c r="AM4229" s="85"/>
    </row>
    <row r="4230" spans="1:39" hidden="1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49"/>
        <v>100000</v>
      </c>
      <c r="X4230" s="6">
        <f t="shared" si="650"/>
        <v>0</v>
      </c>
      <c r="Y4230" s="13">
        <f t="shared" si="653"/>
        <v>0</v>
      </c>
      <c r="Z4230" s="14">
        <v>0</v>
      </c>
      <c r="AA4230" s="6">
        <v>0</v>
      </c>
      <c r="AB4230" s="4">
        <f t="shared" si="654"/>
        <v>0</v>
      </c>
      <c r="AC4230" s="4">
        <f t="shared" si="647"/>
        <v>0</v>
      </c>
      <c r="AD4230" s="6">
        <f t="shared" si="651"/>
        <v>0</v>
      </c>
      <c r="AE4230" s="2">
        <f>VLOOKUP(I4230,[1]媒体政策预估表!A:N,MATCH(O4230,[1]媒体政策预估表!$A$2:$M$2,0),0)</f>
        <v>7.0000000000000007E-2</v>
      </c>
      <c r="AF4230" s="6">
        <f t="shared" si="648"/>
        <v>0</v>
      </c>
      <c r="AG4230" s="14">
        <v>0</v>
      </c>
      <c r="AH4230" s="65">
        <f t="shared" si="652"/>
        <v>0</v>
      </c>
      <c r="AI4230" s="47"/>
      <c r="AJ4230" s="126" t="e">
        <v>#N/A</v>
      </c>
      <c r="AK4230" s="80">
        <f t="shared" si="655"/>
        <v>0</v>
      </c>
      <c r="AM4230" s="85"/>
    </row>
    <row r="4231" spans="1:39" hidden="1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3759</v>
      </c>
      <c r="F4231" s="15" t="s">
        <v>3759</v>
      </c>
      <c r="G4231" s="86" t="s">
        <v>3759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49"/>
        <v>6953.7</v>
      </c>
      <c r="X4231" s="6">
        <f t="shared" si="650"/>
        <v>0</v>
      </c>
      <c r="Y4231" s="13">
        <f t="shared" si="653"/>
        <v>0</v>
      </c>
      <c r="Z4231" s="14">
        <v>0</v>
      </c>
      <c r="AA4231" s="6">
        <v>0</v>
      </c>
      <c r="AB4231" s="4">
        <f t="shared" si="654"/>
        <v>0</v>
      </c>
      <c r="AC4231" s="4">
        <f t="shared" si="647"/>
        <v>0</v>
      </c>
      <c r="AD4231" s="6">
        <f t="shared" si="651"/>
        <v>0</v>
      </c>
      <c r="AE4231" s="2">
        <f>VLOOKUP(I4231,[1]媒体政策预估表!A:N,MATCH(O4231,[1]媒体政策预估表!$A$2:$M$2,0),0)</f>
        <v>7.0000000000000007E-2</v>
      </c>
      <c r="AF4231" s="6">
        <f t="shared" si="648"/>
        <v>0</v>
      </c>
      <c r="AG4231" s="14">
        <v>0</v>
      </c>
      <c r="AH4231" s="65">
        <f t="shared" si="652"/>
        <v>0</v>
      </c>
      <c r="AI4231" s="47"/>
      <c r="AJ4231" s="126" t="e">
        <v>#N/A</v>
      </c>
      <c r="AK4231" s="80">
        <f t="shared" si="655"/>
        <v>0</v>
      </c>
      <c r="AM4231" s="85"/>
    </row>
    <row r="4232" spans="1:39" hidden="1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49"/>
        <v>2338.2554</v>
      </c>
      <c r="X4232" s="6">
        <f t="shared" si="650"/>
        <v>0</v>
      </c>
      <c r="Y4232" s="13">
        <f t="shared" si="653"/>
        <v>0</v>
      </c>
      <c r="Z4232" s="14">
        <v>0</v>
      </c>
      <c r="AA4232" s="6">
        <v>0</v>
      </c>
      <c r="AB4232" s="4">
        <f t="shared" si="654"/>
        <v>0</v>
      </c>
      <c r="AC4232" s="4">
        <f t="shared" si="647"/>
        <v>0</v>
      </c>
      <c r="AD4232" s="6">
        <f t="shared" si="651"/>
        <v>0</v>
      </c>
      <c r="AE4232" s="2">
        <f>VLOOKUP(I4232,[1]媒体政策预估表!A:N,MATCH(O4232,[1]媒体政策预估表!$A$2:$M$2,0),0)</f>
        <v>0.12</v>
      </c>
      <c r="AF4232" s="6">
        <f t="shared" si="648"/>
        <v>0</v>
      </c>
      <c r="AG4232" s="14">
        <v>0</v>
      </c>
      <c r="AH4232" s="65">
        <f t="shared" si="652"/>
        <v>0</v>
      </c>
      <c r="AI4232" s="47"/>
      <c r="AJ4232" s="126" t="e">
        <v>#N/A</v>
      </c>
      <c r="AK4232" s="80">
        <f t="shared" si="655"/>
        <v>0</v>
      </c>
      <c r="AM4232" s="85"/>
    </row>
    <row r="4233" spans="1:39" hidden="1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49"/>
        <v>24827.5</v>
      </c>
      <c r="X4233" s="6">
        <f t="shared" si="650"/>
        <v>0</v>
      </c>
      <c r="Y4233" s="13">
        <f t="shared" si="653"/>
        <v>0</v>
      </c>
      <c r="Z4233" s="14">
        <v>0</v>
      </c>
      <c r="AA4233" s="6">
        <v>0</v>
      </c>
      <c r="AB4233" s="4">
        <f t="shared" si="654"/>
        <v>0</v>
      </c>
      <c r="AC4233" s="4">
        <f t="shared" si="647"/>
        <v>0</v>
      </c>
      <c r="AD4233" s="6">
        <f t="shared" si="651"/>
        <v>0</v>
      </c>
      <c r="AE4233" s="2">
        <f>VLOOKUP(I4233,[1]媒体政策预估表!A:N,MATCH(O4233,[1]媒体政策预估表!$A$2:$M$2,0),0)</f>
        <v>7.0000000000000007E-2</v>
      </c>
      <c r="AF4233" s="6">
        <f t="shared" si="648"/>
        <v>0</v>
      </c>
      <c r="AG4233" s="14">
        <v>0</v>
      </c>
      <c r="AH4233" s="65">
        <f t="shared" si="652"/>
        <v>0</v>
      </c>
      <c r="AI4233" s="47"/>
      <c r="AJ4233" s="126" t="e">
        <v>#N/A</v>
      </c>
      <c r="AK4233" s="80">
        <f t="shared" si="655"/>
        <v>0</v>
      </c>
      <c r="AM4233" s="85"/>
    </row>
    <row r="4234" spans="1:39" hidden="1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49"/>
        <v>-14999.999960000094</v>
      </c>
      <c r="X4234" s="6">
        <f t="shared" si="650"/>
        <v>0</v>
      </c>
      <c r="Y4234" s="13">
        <f t="shared" si="653"/>
        <v>0</v>
      </c>
      <c r="Z4234" s="14">
        <v>0</v>
      </c>
      <c r="AA4234" s="6">
        <v>0</v>
      </c>
      <c r="AB4234" s="4">
        <f t="shared" si="654"/>
        <v>0</v>
      </c>
      <c r="AC4234" s="4">
        <f t="shared" si="647"/>
        <v>0</v>
      </c>
      <c r="AD4234" s="6">
        <f t="shared" si="651"/>
        <v>0</v>
      </c>
      <c r="AE4234" s="2">
        <f>VLOOKUP(I4234,[1]媒体政策预估表!A:N,MATCH(O4234,[1]媒体政策预估表!$A$2:$M$2,0),0)</f>
        <v>7.0000000000000007E-2</v>
      </c>
      <c r="AF4234" s="6">
        <f t="shared" si="648"/>
        <v>0</v>
      </c>
      <c r="AG4234" s="14">
        <v>0</v>
      </c>
      <c r="AH4234" s="65">
        <f t="shared" si="652"/>
        <v>0</v>
      </c>
      <c r="AI4234" s="47"/>
      <c r="AJ4234" s="126" t="e">
        <v>#N/A</v>
      </c>
      <c r="AK4234" s="80">
        <f t="shared" si="655"/>
        <v>0</v>
      </c>
      <c r="AM4234" s="85"/>
    </row>
    <row r="4235" spans="1:39" hidden="1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49"/>
        <v>13445.4</v>
      </c>
      <c r="X4235" s="6">
        <f t="shared" si="650"/>
        <v>803.33333333333326</v>
      </c>
      <c r="Y4235" s="13">
        <f t="shared" si="653"/>
        <v>0</v>
      </c>
      <c r="Z4235" s="14">
        <v>0</v>
      </c>
      <c r="AA4235" s="6">
        <v>0</v>
      </c>
      <c r="AB4235" s="4">
        <f t="shared" si="654"/>
        <v>803.33333333333326</v>
      </c>
      <c r="AC4235" s="4">
        <f t="shared" si="647"/>
        <v>16.06666666666672</v>
      </c>
      <c r="AD4235" s="6">
        <f t="shared" si="651"/>
        <v>819.4</v>
      </c>
      <c r="AE4235" s="2">
        <f>VLOOKUP(I4235,[1]媒体政策预估表!A:N,MATCH(O4235,[1]媒体政策预估表!$A$2:$M$2,0),0)</f>
        <v>7.0000000000000007E-2</v>
      </c>
      <c r="AF4235" s="6">
        <f t="shared" si="648"/>
        <v>57.358000000000004</v>
      </c>
      <c r="AG4235" s="14">
        <v>0</v>
      </c>
      <c r="AH4235" s="65">
        <f t="shared" si="652"/>
        <v>819.4</v>
      </c>
      <c r="AI4235" s="47"/>
      <c r="AJ4235" s="126" t="e">
        <v>#N/A</v>
      </c>
      <c r="AK4235" s="80">
        <f t="shared" si="655"/>
        <v>0</v>
      </c>
      <c r="AM4235" s="85"/>
    </row>
    <row r="4236" spans="1:39" hidden="1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49"/>
        <v>7604.6500000000087</v>
      </c>
      <c r="X4236" s="6">
        <f t="shared" si="650"/>
        <v>0</v>
      </c>
      <c r="Y4236" s="13">
        <f t="shared" si="653"/>
        <v>0</v>
      </c>
      <c r="Z4236" s="14">
        <v>0</v>
      </c>
      <c r="AA4236" s="6">
        <v>0</v>
      </c>
      <c r="AB4236" s="4">
        <f t="shared" si="654"/>
        <v>0</v>
      </c>
      <c r="AC4236" s="4">
        <f t="shared" ref="AC4236:AC4299" si="656">IF(P4236="返现",X4236*Q4236,V4236-X4236)</f>
        <v>0</v>
      </c>
      <c r="AD4236" s="6">
        <f t="shared" si="651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57">AD4236*AE4236</f>
        <v>0</v>
      </c>
      <c r="AG4236" s="14">
        <v>0</v>
      </c>
      <c r="AH4236" s="65">
        <f t="shared" si="652"/>
        <v>0</v>
      </c>
      <c r="AI4236" s="47"/>
      <c r="AJ4236" s="126" t="e">
        <v>#N/A</v>
      </c>
      <c r="AK4236" s="80">
        <f t="shared" si="655"/>
        <v>0</v>
      </c>
      <c r="AM4236" s="85"/>
    </row>
    <row r="4237" spans="1:39" hidden="1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49"/>
        <v>109713.1969</v>
      </c>
      <c r="X4237" s="6">
        <f t="shared" si="650"/>
        <v>25979.282309999999</v>
      </c>
      <c r="Y4237" s="13">
        <f t="shared" si="653"/>
        <v>0</v>
      </c>
      <c r="Z4237" s="14">
        <v>0</v>
      </c>
      <c r="AA4237" s="6">
        <v>0</v>
      </c>
      <c r="AB4237" s="4">
        <f t="shared" si="654"/>
        <v>25979.282309999999</v>
      </c>
      <c r="AC4237" s="4">
        <f t="shared" si="656"/>
        <v>0</v>
      </c>
      <c r="AD4237" s="6">
        <f t="shared" si="651"/>
        <v>25979.282309999999</v>
      </c>
      <c r="AE4237" s="2">
        <f>VLOOKUP(I4237,[1]媒体政策预估表!A:N,MATCH(O4237,[1]媒体政策预估表!$A$2:$M$2,0),0)</f>
        <v>0.12</v>
      </c>
      <c r="AF4237" s="6">
        <f t="shared" si="657"/>
        <v>3117.5138771999996</v>
      </c>
      <c r="AG4237" s="14">
        <v>0</v>
      </c>
      <c r="AH4237" s="65">
        <f t="shared" si="652"/>
        <v>25979.282309999999</v>
      </c>
      <c r="AI4237" s="47"/>
      <c r="AJ4237" s="126" t="e">
        <v>#N/A</v>
      </c>
      <c r="AK4237" s="80">
        <f t="shared" si="655"/>
        <v>0</v>
      </c>
      <c r="AM4237" s="85"/>
    </row>
    <row r="4238" spans="1:39" hidden="1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49"/>
        <v>18510.2</v>
      </c>
      <c r="X4238" s="6">
        <f t="shared" si="650"/>
        <v>0</v>
      </c>
      <c r="Y4238" s="13">
        <f t="shared" si="653"/>
        <v>0</v>
      </c>
      <c r="Z4238" s="14">
        <v>0</v>
      </c>
      <c r="AA4238" s="6">
        <v>0</v>
      </c>
      <c r="AB4238" s="4">
        <f t="shared" si="654"/>
        <v>0</v>
      </c>
      <c r="AC4238" s="4">
        <f t="shared" si="656"/>
        <v>0</v>
      </c>
      <c r="AD4238" s="6">
        <f t="shared" si="651"/>
        <v>0</v>
      </c>
      <c r="AE4238" s="2">
        <f>VLOOKUP(I4238,[1]媒体政策预估表!A:N,MATCH(O4238,[1]媒体政策预估表!$A$2:$M$2,0),0)</f>
        <v>0.12</v>
      </c>
      <c r="AF4238" s="6">
        <f t="shared" si="657"/>
        <v>0</v>
      </c>
      <c r="AG4238" s="14">
        <v>0</v>
      </c>
      <c r="AH4238" s="65">
        <f t="shared" si="652"/>
        <v>0</v>
      </c>
      <c r="AI4238" s="47"/>
      <c r="AJ4238" s="126" t="e">
        <v>#N/A</v>
      </c>
      <c r="AK4238" s="80">
        <f t="shared" si="655"/>
        <v>0</v>
      </c>
      <c r="AM4238" s="85"/>
    </row>
    <row r="4239" spans="1:39" hidden="1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49"/>
        <v>20426.399999999994</v>
      </c>
      <c r="X4239" s="6">
        <f t="shared" si="650"/>
        <v>0</v>
      </c>
      <c r="Y4239" s="13">
        <f t="shared" si="653"/>
        <v>0</v>
      </c>
      <c r="Z4239" s="14">
        <v>0</v>
      </c>
      <c r="AA4239" s="6">
        <v>0</v>
      </c>
      <c r="AB4239" s="4">
        <f t="shared" si="654"/>
        <v>0</v>
      </c>
      <c r="AC4239" s="4">
        <f t="shared" si="656"/>
        <v>0</v>
      </c>
      <c r="AD4239" s="6">
        <f t="shared" si="651"/>
        <v>0</v>
      </c>
      <c r="AE4239" s="2">
        <f>VLOOKUP(I4239,[1]媒体政策预估表!A:N,MATCH(O4239,[1]媒体政策预估表!$A$2:$M$2,0),0)</f>
        <v>7.0000000000000007E-2</v>
      </c>
      <c r="AF4239" s="6">
        <f t="shared" si="657"/>
        <v>0</v>
      </c>
      <c r="AG4239" s="14">
        <v>0</v>
      </c>
      <c r="AH4239" s="65">
        <f t="shared" si="652"/>
        <v>0</v>
      </c>
      <c r="AI4239" s="47"/>
      <c r="AJ4239" s="126" t="e">
        <v>#N/A</v>
      </c>
      <c r="AK4239" s="80">
        <f t="shared" si="655"/>
        <v>0</v>
      </c>
      <c r="AM4239" s="85"/>
    </row>
    <row r="4240" spans="1:39" hidden="1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49"/>
        <v>23684.943940000001</v>
      </c>
      <c r="X4240" s="6">
        <f t="shared" si="650"/>
        <v>31317.232287128714</v>
      </c>
      <c r="Y4240" s="13">
        <f t="shared" si="653"/>
        <v>0</v>
      </c>
      <c r="Z4240" s="14">
        <v>0</v>
      </c>
      <c r="AA4240" s="6">
        <v>0</v>
      </c>
      <c r="AB4240" s="4">
        <f t="shared" si="654"/>
        <v>31317.232287128714</v>
      </c>
      <c r="AC4240" s="4">
        <f t="shared" si="656"/>
        <v>313.17232287128718</v>
      </c>
      <c r="AD4240" s="6">
        <f t="shared" si="651"/>
        <v>31630.404610000001</v>
      </c>
      <c r="AE4240" s="2">
        <f>VLOOKUP(I4240,[1]媒体政策预估表!A:N,MATCH(O4240,[1]媒体政策预估表!$A$2:$M$2,0),0)</f>
        <v>0.12</v>
      </c>
      <c r="AF4240" s="6">
        <f t="shared" si="657"/>
        <v>3795.6485532000002</v>
      </c>
      <c r="AG4240" s="14">
        <v>0</v>
      </c>
      <c r="AH4240" s="65">
        <f t="shared" si="652"/>
        <v>31630.404610000001</v>
      </c>
      <c r="AI4240" s="47"/>
      <c r="AJ4240" s="126" t="e">
        <v>#N/A</v>
      </c>
      <c r="AK4240" s="80">
        <f t="shared" si="655"/>
        <v>0</v>
      </c>
      <c r="AM4240" s="85"/>
    </row>
    <row r="4241" spans="1:39" hidden="1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49"/>
        <v>40017.4</v>
      </c>
      <c r="X4241" s="6">
        <f t="shared" si="650"/>
        <v>5889.6</v>
      </c>
      <c r="Y4241" s="13">
        <f t="shared" si="653"/>
        <v>0</v>
      </c>
      <c r="Z4241" s="14">
        <v>0</v>
      </c>
      <c r="AA4241" s="6">
        <v>0</v>
      </c>
      <c r="AB4241" s="4">
        <f t="shared" si="654"/>
        <v>5889.6</v>
      </c>
      <c r="AC4241" s="4">
        <f t="shared" si="656"/>
        <v>0</v>
      </c>
      <c r="AD4241" s="6">
        <f t="shared" si="651"/>
        <v>5889.6</v>
      </c>
      <c r="AE4241" s="2">
        <f>VLOOKUP(I4241,[1]媒体政策预估表!A:N,MATCH(O4241,[1]媒体政策预估表!$A$2:$M$2,0),0)</f>
        <v>7.0000000000000007E-2</v>
      </c>
      <c r="AF4241" s="6">
        <f t="shared" si="657"/>
        <v>412.27200000000005</v>
      </c>
      <c r="AG4241" s="14">
        <v>0</v>
      </c>
      <c r="AH4241" s="65">
        <f t="shared" si="652"/>
        <v>5889.6</v>
      </c>
      <c r="AI4241" s="47"/>
      <c r="AJ4241" s="126" t="e">
        <v>#N/A</v>
      </c>
      <c r="AK4241" s="80">
        <f t="shared" si="655"/>
        <v>0</v>
      </c>
      <c r="AM4241" s="85"/>
    </row>
    <row r="4242" spans="1:39" hidden="1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49"/>
        <v>579382.51341000001</v>
      </c>
      <c r="X4242" s="6">
        <f t="shared" si="650"/>
        <v>0</v>
      </c>
      <c r="Y4242" s="13">
        <f t="shared" si="653"/>
        <v>0</v>
      </c>
      <c r="Z4242" s="14">
        <v>0</v>
      </c>
      <c r="AA4242" s="6">
        <v>0</v>
      </c>
      <c r="AB4242" s="4">
        <f t="shared" si="654"/>
        <v>0</v>
      </c>
      <c r="AC4242" s="4">
        <f t="shared" si="656"/>
        <v>0</v>
      </c>
      <c r="AD4242" s="6">
        <f t="shared" si="651"/>
        <v>0</v>
      </c>
      <c r="AE4242" s="2">
        <f>VLOOKUP(I4242,[1]媒体政策预估表!A:N,MATCH(O4242,[1]媒体政策预估表!$A$2:$M$2,0),0)</f>
        <v>0.12</v>
      </c>
      <c r="AF4242" s="6">
        <f t="shared" si="657"/>
        <v>0</v>
      </c>
      <c r="AG4242" s="14">
        <v>0</v>
      </c>
      <c r="AH4242" s="65">
        <f t="shared" si="652"/>
        <v>0</v>
      </c>
      <c r="AI4242" s="47"/>
      <c r="AJ4242" s="126" t="e">
        <v>#N/A</v>
      </c>
      <c r="AK4242" s="80">
        <f t="shared" si="655"/>
        <v>0</v>
      </c>
      <c r="AM4242" s="85"/>
    </row>
    <row r="4243" spans="1:39" hidden="1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49"/>
        <v>57616.800000000003</v>
      </c>
      <c r="X4243" s="6">
        <f t="shared" si="650"/>
        <v>0</v>
      </c>
      <c r="Y4243" s="13">
        <f t="shared" si="653"/>
        <v>0</v>
      </c>
      <c r="Z4243" s="14">
        <v>0</v>
      </c>
      <c r="AA4243" s="6">
        <v>0</v>
      </c>
      <c r="AB4243" s="4">
        <f t="shared" si="654"/>
        <v>0</v>
      </c>
      <c r="AC4243" s="4">
        <f t="shared" si="656"/>
        <v>0</v>
      </c>
      <c r="AD4243" s="6">
        <f t="shared" si="651"/>
        <v>0</v>
      </c>
      <c r="AE4243" s="2">
        <f>VLOOKUP(I4243,[1]媒体政策预估表!A:N,MATCH(O4243,[1]媒体政策预估表!$A$2:$M$2,0),0)</f>
        <v>7.0000000000000007E-2</v>
      </c>
      <c r="AF4243" s="6">
        <f t="shared" si="657"/>
        <v>0</v>
      </c>
      <c r="AG4243" s="14">
        <v>0</v>
      </c>
      <c r="AH4243" s="65">
        <f t="shared" si="652"/>
        <v>0</v>
      </c>
      <c r="AI4243" s="47"/>
      <c r="AJ4243" s="126" t="e">
        <v>#N/A</v>
      </c>
      <c r="AK4243" s="80">
        <f t="shared" si="655"/>
        <v>0</v>
      </c>
      <c r="AM4243" s="85"/>
    </row>
    <row r="4244" spans="1:39" hidden="1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49"/>
        <v>-4.3100000000849832</v>
      </c>
      <c r="X4244" s="6">
        <f t="shared" si="650"/>
        <v>0</v>
      </c>
      <c r="Y4244" s="13">
        <f t="shared" si="653"/>
        <v>0</v>
      </c>
      <c r="Z4244" s="14">
        <v>0</v>
      </c>
      <c r="AA4244" s="6">
        <v>0</v>
      </c>
      <c r="AB4244" s="4">
        <f t="shared" si="654"/>
        <v>0</v>
      </c>
      <c r="AC4244" s="4">
        <f t="shared" si="656"/>
        <v>0</v>
      </c>
      <c r="AD4244" s="6">
        <f t="shared" si="651"/>
        <v>0</v>
      </c>
      <c r="AE4244" s="2">
        <f>VLOOKUP(I4244,[1]媒体政策预估表!A:N,MATCH(O4244,[1]媒体政策预估表!$A$2:$M$2,0),0)</f>
        <v>7.0000000000000007E-2</v>
      </c>
      <c r="AF4244" s="6">
        <f t="shared" si="657"/>
        <v>0</v>
      </c>
      <c r="AG4244" s="14">
        <v>0</v>
      </c>
      <c r="AH4244" s="65">
        <f t="shared" si="652"/>
        <v>0</v>
      </c>
      <c r="AI4244" s="47"/>
      <c r="AJ4244" s="126" t="e">
        <v>#N/A</v>
      </c>
      <c r="AK4244" s="80">
        <f t="shared" si="655"/>
        <v>0</v>
      </c>
      <c r="AM4244" s="85"/>
    </row>
    <row r="4245" spans="1:39" hidden="1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49"/>
        <v>1023.3999999999996</v>
      </c>
      <c r="X4245" s="6">
        <f t="shared" si="650"/>
        <v>6349.1</v>
      </c>
      <c r="Y4245" s="13">
        <f t="shared" si="653"/>
        <v>0</v>
      </c>
      <c r="Z4245" s="14">
        <v>0</v>
      </c>
      <c r="AA4245" s="6">
        <v>0</v>
      </c>
      <c r="AB4245" s="4">
        <f t="shared" si="654"/>
        <v>6349.1</v>
      </c>
      <c r="AC4245" s="4">
        <f t="shared" si="656"/>
        <v>0</v>
      </c>
      <c r="AD4245" s="6">
        <f t="shared" si="651"/>
        <v>6349.1</v>
      </c>
      <c r="AE4245" s="2">
        <f>VLOOKUP(I4245,[1]媒体政策预估表!A:N,MATCH(O4245,[1]媒体政策预估表!$A$2:$M$2,0),0)</f>
        <v>7.0000000000000007E-2</v>
      </c>
      <c r="AF4245" s="6">
        <f t="shared" si="657"/>
        <v>444.43700000000007</v>
      </c>
      <c r="AG4245" s="14">
        <v>0</v>
      </c>
      <c r="AH4245" s="65">
        <f t="shared" si="652"/>
        <v>6349.1</v>
      </c>
      <c r="AI4245" s="47"/>
      <c r="AJ4245" s="126" t="e">
        <v>#N/A</v>
      </c>
      <c r="AK4245" s="80">
        <f t="shared" si="655"/>
        <v>0</v>
      </c>
      <c r="AM4245" s="85"/>
    </row>
    <row r="4246" spans="1:39" hidden="1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49"/>
        <v>20117.130000000005</v>
      </c>
      <c r="X4246" s="6">
        <f t="shared" si="650"/>
        <v>19</v>
      </c>
      <c r="Y4246" s="13">
        <f t="shared" si="653"/>
        <v>0</v>
      </c>
      <c r="Z4246" s="14">
        <v>0</v>
      </c>
      <c r="AA4246" s="6">
        <v>0</v>
      </c>
      <c r="AB4246" s="4">
        <f t="shared" si="654"/>
        <v>19</v>
      </c>
      <c r="AC4246" s="4">
        <f t="shared" si="656"/>
        <v>0</v>
      </c>
      <c r="AD4246" s="6">
        <f t="shared" si="651"/>
        <v>19</v>
      </c>
      <c r="AE4246" s="2">
        <f>VLOOKUP(I4246,[1]媒体政策预估表!A:N,MATCH(O4246,[1]媒体政策预估表!$A$2:$M$2,0),0)</f>
        <v>7.0000000000000007E-2</v>
      </c>
      <c r="AF4246" s="6">
        <f t="shared" si="657"/>
        <v>1.33</v>
      </c>
      <c r="AG4246" s="14">
        <v>0</v>
      </c>
      <c r="AH4246" s="65">
        <f t="shared" si="652"/>
        <v>19</v>
      </c>
      <c r="AI4246" s="47"/>
      <c r="AJ4246" s="126" t="e">
        <v>#N/A</v>
      </c>
      <c r="AK4246" s="80">
        <f t="shared" si="655"/>
        <v>0</v>
      </c>
      <c r="AM4246" s="85"/>
    </row>
    <row r="4247" spans="1:39" hidden="1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49"/>
        <v>-1.2800000001006993</v>
      </c>
      <c r="X4247" s="6">
        <f t="shared" si="650"/>
        <v>0</v>
      </c>
      <c r="Y4247" s="13">
        <f t="shared" si="653"/>
        <v>0</v>
      </c>
      <c r="Z4247" s="14">
        <v>0</v>
      </c>
      <c r="AA4247" s="6">
        <v>0</v>
      </c>
      <c r="AB4247" s="4">
        <f t="shared" si="654"/>
        <v>0</v>
      </c>
      <c r="AC4247" s="4">
        <f t="shared" si="656"/>
        <v>0</v>
      </c>
      <c r="AD4247" s="6">
        <f t="shared" si="651"/>
        <v>0</v>
      </c>
      <c r="AE4247" s="2">
        <f>VLOOKUP(I4247,[1]媒体政策预估表!A:N,MATCH(O4247,[1]媒体政策预估表!$A$2:$M$2,0),0)</f>
        <v>7.0000000000000007E-2</v>
      </c>
      <c r="AF4247" s="6">
        <f t="shared" si="657"/>
        <v>0</v>
      </c>
      <c r="AG4247" s="14">
        <v>0</v>
      </c>
      <c r="AH4247" s="65">
        <f t="shared" si="652"/>
        <v>0</v>
      </c>
      <c r="AI4247" s="47"/>
      <c r="AJ4247" s="126" t="e">
        <v>#N/A</v>
      </c>
      <c r="AK4247" s="80">
        <f t="shared" si="655"/>
        <v>0</v>
      </c>
      <c r="AM4247" s="85"/>
    </row>
    <row r="4248" spans="1:39" hidden="1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49"/>
        <v>7.0950400000074296</v>
      </c>
      <c r="X4248" s="6">
        <f t="shared" si="650"/>
        <v>0</v>
      </c>
      <c r="Y4248" s="13">
        <f t="shared" si="653"/>
        <v>0</v>
      </c>
      <c r="Z4248" s="14">
        <v>0</v>
      </c>
      <c r="AA4248" s="6">
        <v>0</v>
      </c>
      <c r="AB4248" s="4">
        <f t="shared" si="654"/>
        <v>0</v>
      </c>
      <c r="AC4248" s="4">
        <f t="shared" si="656"/>
        <v>0</v>
      </c>
      <c r="AD4248" s="6">
        <f t="shared" si="651"/>
        <v>0</v>
      </c>
      <c r="AE4248" s="2">
        <f>VLOOKUP(I4248,[1]媒体政策预估表!A:N,MATCH(O4248,[1]媒体政策预估表!$A$2:$M$2,0),0)</f>
        <v>7.0000000000000007E-2</v>
      </c>
      <c r="AF4248" s="6">
        <f t="shared" si="657"/>
        <v>0</v>
      </c>
      <c r="AG4248" s="14">
        <v>0</v>
      </c>
      <c r="AH4248" s="65">
        <f t="shared" si="652"/>
        <v>0</v>
      </c>
      <c r="AI4248" s="47"/>
      <c r="AJ4248" s="126" t="e">
        <v>#N/A</v>
      </c>
      <c r="AK4248" s="80">
        <f t="shared" si="655"/>
        <v>0</v>
      </c>
      <c r="AM4248" s="85"/>
    </row>
    <row r="4249" spans="1:39" hidden="1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49"/>
        <v>-4.9999999964711606E-2</v>
      </c>
      <c r="X4249" s="6">
        <f t="shared" si="650"/>
        <v>0</v>
      </c>
      <c r="Y4249" s="13">
        <f t="shared" si="653"/>
        <v>0</v>
      </c>
      <c r="Z4249" s="14">
        <v>0</v>
      </c>
      <c r="AA4249" s="6">
        <v>0</v>
      </c>
      <c r="AB4249" s="4">
        <f t="shared" si="654"/>
        <v>0</v>
      </c>
      <c r="AC4249" s="4">
        <f t="shared" si="656"/>
        <v>0</v>
      </c>
      <c r="AD4249" s="6">
        <f t="shared" si="651"/>
        <v>0</v>
      </c>
      <c r="AE4249" s="2">
        <f>VLOOKUP(I4249,[1]媒体政策预估表!A:N,MATCH(O4249,[1]媒体政策预估表!$A$2:$M$2,0),0)</f>
        <v>7.0000000000000007E-2</v>
      </c>
      <c r="AF4249" s="6">
        <f t="shared" si="657"/>
        <v>0</v>
      </c>
      <c r="AG4249" s="14">
        <v>0</v>
      </c>
      <c r="AH4249" s="65">
        <f t="shared" si="652"/>
        <v>0</v>
      </c>
      <c r="AI4249" s="47"/>
      <c r="AJ4249" s="126" t="e">
        <v>#N/A</v>
      </c>
      <c r="AK4249" s="80">
        <f t="shared" si="655"/>
        <v>0</v>
      </c>
      <c r="AM4249" s="85"/>
    </row>
    <row r="4250" spans="1:39" hidden="1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49"/>
        <v>-1.9999999995889084E-2</v>
      </c>
      <c r="X4250" s="6">
        <f t="shared" si="650"/>
        <v>0</v>
      </c>
      <c r="Y4250" s="13">
        <f t="shared" si="653"/>
        <v>0</v>
      </c>
      <c r="Z4250" s="14">
        <v>0</v>
      </c>
      <c r="AA4250" s="6">
        <v>0</v>
      </c>
      <c r="AB4250" s="4">
        <f t="shared" si="654"/>
        <v>0</v>
      </c>
      <c r="AC4250" s="4">
        <f t="shared" si="656"/>
        <v>0</v>
      </c>
      <c r="AD4250" s="6">
        <f t="shared" si="651"/>
        <v>0</v>
      </c>
      <c r="AE4250" s="2">
        <f>VLOOKUP(I4250,[1]媒体政策预估表!A:N,MATCH(O4250,[1]媒体政策预估表!$A$2:$M$2,0),0)</f>
        <v>7.0000000000000007E-2</v>
      </c>
      <c r="AF4250" s="6">
        <f t="shared" si="657"/>
        <v>0</v>
      </c>
      <c r="AG4250" s="14">
        <v>0</v>
      </c>
      <c r="AH4250" s="65">
        <f t="shared" si="652"/>
        <v>0</v>
      </c>
      <c r="AI4250" s="47"/>
      <c r="AJ4250" s="126" t="e">
        <v>#N/A</v>
      </c>
      <c r="AK4250" s="80">
        <f t="shared" si="655"/>
        <v>0</v>
      </c>
      <c r="AM4250" s="85"/>
    </row>
    <row r="4251" spans="1:39" hidden="1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49"/>
        <v>5794.2000000000153</v>
      </c>
      <c r="X4251" s="6">
        <f t="shared" si="650"/>
        <v>5869.1</v>
      </c>
      <c r="Y4251" s="13">
        <f t="shared" si="653"/>
        <v>0</v>
      </c>
      <c r="Z4251" s="14">
        <v>0</v>
      </c>
      <c r="AA4251" s="6">
        <v>0</v>
      </c>
      <c r="AB4251" s="4">
        <f t="shared" si="654"/>
        <v>5869.1</v>
      </c>
      <c r="AC4251" s="4">
        <f t="shared" si="656"/>
        <v>0</v>
      </c>
      <c r="AD4251" s="6">
        <f t="shared" si="651"/>
        <v>5869.1</v>
      </c>
      <c r="AE4251" s="2">
        <f>VLOOKUP(I4251,[1]媒体政策预估表!A:N,MATCH(O4251,[1]媒体政策预估表!$A$2:$M$2,0),0)</f>
        <v>7.0000000000000007E-2</v>
      </c>
      <c r="AF4251" s="6">
        <f t="shared" si="657"/>
        <v>410.83700000000005</v>
      </c>
      <c r="AG4251" s="14">
        <v>0</v>
      </c>
      <c r="AH4251" s="65">
        <f t="shared" si="652"/>
        <v>5869.1</v>
      </c>
      <c r="AI4251" s="47"/>
      <c r="AJ4251" s="126" t="e">
        <v>#N/A</v>
      </c>
      <c r="AK4251" s="80">
        <f t="shared" si="655"/>
        <v>0</v>
      </c>
      <c r="AM4251" s="85"/>
    </row>
    <row r="4252" spans="1:39" hidden="1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49"/>
        <v>352.89999999999964</v>
      </c>
      <c r="X4252" s="6">
        <f t="shared" si="650"/>
        <v>0</v>
      </c>
      <c r="Y4252" s="13">
        <f t="shared" si="653"/>
        <v>0</v>
      </c>
      <c r="Z4252" s="14">
        <v>0</v>
      </c>
      <c r="AA4252" s="6">
        <v>0</v>
      </c>
      <c r="AB4252" s="4">
        <f t="shared" si="654"/>
        <v>0</v>
      </c>
      <c r="AC4252" s="4">
        <f t="shared" si="656"/>
        <v>0</v>
      </c>
      <c r="AD4252" s="6">
        <f t="shared" si="651"/>
        <v>0</v>
      </c>
      <c r="AE4252" s="2">
        <f>VLOOKUP(I4252,[1]媒体政策预估表!A:N,MATCH(O4252,[1]媒体政策预估表!$A$2:$M$2,0),0)</f>
        <v>7.0000000000000007E-2</v>
      </c>
      <c r="AF4252" s="6">
        <f t="shared" si="657"/>
        <v>0</v>
      </c>
      <c r="AG4252" s="14">
        <v>0</v>
      </c>
      <c r="AH4252" s="65">
        <f t="shared" si="652"/>
        <v>0</v>
      </c>
      <c r="AI4252" s="47"/>
      <c r="AJ4252" s="126" t="e">
        <v>#N/A</v>
      </c>
      <c r="AK4252" s="80">
        <f t="shared" si="655"/>
        <v>0</v>
      </c>
      <c r="AM4252" s="85"/>
    </row>
    <row r="4253" spans="1:39" hidden="1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49"/>
        <v>15374.4</v>
      </c>
      <c r="X4253" s="6">
        <f t="shared" si="650"/>
        <v>0</v>
      </c>
      <c r="Y4253" s="13">
        <f t="shared" si="653"/>
        <v>0</v>
      </c>
      <c r="Z4253" s="14">
        <v>0</v>
      </c>
      <c r="AA4253" s="6">
        <v>0</v>
      </c>
      <c r="AB4253" s="4">
        <f t="shared" si="654"/>
        <v>0</v>
      </c>
      <c r="AC4253" s="4">
        <f t="shared" si="656"/>
        <v>0</v>
      </c>
      <c r="AD4253" s="6">
        <f t="shared" si="651"/>
        <v>0</v>
      </c>
      <c r="AE4253" s="2">
        <f>VLOOKUP(I4253,[1]媒体政策预估表!A:N,MATCH(O4253,[1]媒体政策预估表!$A$2:$M$2,0),0)</f>
        <v>7.0000000000000007E-2</v>
      </c>
      <c r="AF4253" s="6">
        <f t="shared" si="657"/>
        <v>0</v>
      </c>
      <c r="AG4253" s="14">
        <v>0</v>
      </c>
      <c r="AH4253" s="65">
        <f t="shared" si="652"/>
        <v>0</v>
      </c>
      <c r="AI4253" s="47"/>
      <c r="AJ4253" s="126" t="e">
        <v>#N/A</v>
      </c>
      <c r="AK4253" s="80">
        <f t="shared" si="655"/>
        <v>0</v>
      </c>
      <c r="AM4253" s="85"/>
    </row>
    <row r="4254" spans="1:39" hidden="1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49"/>
        <v>456</v>
      </c>
      <c r="X4254" s="6">
        <f t="shared" si="650"/>
        <v>4979.5</v>
      </c>
      <c r="Y4254" s="13">
        <f t="shared" si="653"/>
        <v>0</v>
      </c>
      <c r="Z4254" s="14">
        <v>0</v>
      </c>
      <c r="AA4254" s="6">
        <v>0</v>
      </c>
      <c r="AB4254" s="4">
        <f t="shared" si="654"/>
        <v>4979.5</v>
      </c>
      <c r="AC4254" s="4">
        <f t="shared" si="656"/>
        <v>0</v>
      </c>
      <c r="AD4254" s="6">
        <f t="shared" si="651"/>
        <v>4979.5</v>
      </c>
      <c r="AE4254" s="2">
        <f>VLOOKUP(I4254,[1]媒体政策预估表!A:N,MATCH(O4254,[1]媒体政策预估表!$A$2:$M$2,0),0)</f>
        <v>7.0000000000000007E-2</v>
      </c>
      <c r="AF4254" s="6">
        <f t="shared" si="657"/>
        <v>348.56500000000005</v>
      </c>
      <c r="AG4254" s="14">
        <v>0</v>
      </c>
      <c r="AH4254" s="65">
        <f t="shared" si="652"/>
        <v>4979.5</v>
      </c>
      <c r="AI4254" s="47"/>
      <c r="AJ4254" s="126" t="e">
        <v>#N/A</v>
      </c>
      <c r="AK4254" s="80">
        <f t="shared" si="655"/>
        <v>0</v>
      </c>
      <c r="AM4254" s="85"/>
    </row>
    <row r="4255" spans="1:39" hidden="1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49"/>
        <v>2371.5999999999985</v>
      </c>
      <c r="X4255" s="6">
        <f t="shared" si="650"/>
        <v>0</v>
      </c>
      <c r="Y4255" s="13">
        <f t="shared" si="653"/>
        <v>0</v>
      </c>
      <c r="Z4255" s="14">
        <v>0</v>
      </c>
      <c r="AA4255" s="6">
        <v>0</v>
      </c>
      <c r="AB4255" s="4">
        <f t="shared" si="654"/>
        <v>0</v>
      </c>
      <c r="AC4255" s="4">
        <f t="shared" si="656"/>
        <v>0</v>
      </c>
      <c r="AD4255" s="6">
        <f t="shared" si="651"/>
        <v>0</v>
      </c>
      <c r="AE4255" s="2">
        <f>VLOOKUP(I4255,[1]媒体政策预估表!A:N,MATCH(O4255,[1]媒体政策预估表!$A$2:$M$2,0),0)</f>
        <v>7.0000000000000007E-2</v>
      </c>
      <c r="AF4255" s="6">
        <f t="shared" si="657"/>
        <v>0</v>
      </c>
      <c r="AG4255" s="14">
        <v>0</v>
      </c>
      <c r="AH4255" s="65">
        <f t="shared" si="652"/>
        <v>0</v>
      </c>
      <c r="AI4255" s="47"/>
      <c r="AJ4255" s="126" t="e">
        <v>#N/A</v>
      </c>
      <c r="AK4255" s="80">
        <f t="shared" si="655"/>
        <v>0</v>
      </c>
      <c r="AM4255" s="85"/>
    </row>
    <row r="4256" spans="1:39" hidden="1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49"/>
        <v>492.72000000000071</v>
      </c>
      <c r="X4256" s="6">
        <f t="shared" si="650"/>
        <v>2801.98</v>
      </c>
      <c r="Y4256" s="13">
        <f t="shared" si="653"/>
        <v>0</v>
      </c>
      <c r="Z4256" s="14">
        <v>0</v>
      </c>
      <c r="AA4256" s="6">
        <v>0</v>
      </c>
      <c r="AB4256" s="4"/>
      <c r="AC4256" s="4">
        <f t="shared" si="656"/>
        <v>0</v>
      </c>
      <c r="AD4256" s="6">
        <f t="shared" si="651"/>
        <v>2801.98</v>
      </c>
      <c r="AE4256" s="2">
        <f>VLOOKUP(I4256,[1]媒体政策预估表!A:N,MATCH(O4256,[1]媒体政策预估表!$A$2:$M$2,0),0)</f>
        <v>7.0000000000000007E-2</v>
      </c>
      <c r="AF4256" s="6">
        <f t="shared" si="657"/>
        <v>196.13860000000003</v>
      </c>
      <c r="AG4256" s="14">
        <v>0</v>
      </c>
      <c r="AH4256" s="65">
        <f t="shared" si="652"/>
        <v>2801.98</v>
      </c>
      <c r="AI4256" s="47"/>
      <c r="AJ4256" s="126">
        <v>113</v>
      </c>
      <c r="AK4256" s="80">
        <f t="shared" si="655"/>
        <v>2801.98</v>
      </c>
      <c r="AM4256" s="85"/>
    </row>
    <row r="4257" spans="1:39" hidden="1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49"/>
        <v>1404.8000000000002</v>
      </c>
      <c r="X4257" s="6">
        <f t="shared" si="650"/>
        <v>2692.2</v>
      </c>
      <c r="Y4257" s="13">
        <f t="shared" si="653"/>
        <v>0</v>
      </c>
      <c r="Z4257" s="14">
        <v>0</v>
      </c>
      <c r="AA4257" s="6">
        <v>0</v>
      </c>
      <c r="AB4257" s="4">
        <f t="shared" si="654"/>
        <v>2692.2</v>
      </c>
      <c r="AC4257" s="4">
        <f t="shared" si="656"/>
        <v>0</v>
      </c>
      <c r="AD4257" s="6">
        <f t="shared" si="651"/>
        <v>2692.2</v>
      </c>
      <c r="AE4257" s="2">
        <f>VLOOKUP(I4257,[1]媒体政策预估表!A:N,MATCH(O4257,[1]媒体政策预估表!$A$2:$M$2,0),0)</f>
        <v>7.0000000000000007E-2</v>
      </c>
      <c r="AF4257" s="6">
        <f t="shared" si="657"/>
        <v>188.45400000000001</v>
      </c>
      <c r="AG4257" s="14">
        <v>0</v>
      </c>
      <c r="AH4257" s="65">
        <f t="shared" si="652"/>
        <v>2692.2</v>
      </c>
      <c r="AI4257" s="47"/>
      <c r="AJ4257" s="126" t="e">
        <v>#N/A</v>
      </c>
      <c r="AK4257" s="80">
        <f t="shared" si="655"/>
        <v>0</v>
      </c>
      <c r="AM4257" s="85"/>
    </row>
    <row r="4258" spans="1:39" hidden="1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49"/>
        <v>2741</v>
      </c>
      <c r="X4258" s="6">
        <f t="shared" si="650"/>
        <v>0</v>
      </c>
      <c r="Y4258" s="13">
        <f t="shared" si="653"/>
        <v>0</v>
      </c>
      <c r="Z4258" s="14">
        <v>0</v>
      </c>
      <c r="AA4258" s="6">
        <v>0</v>
      </c>
      <c r="AB4258" s="4">
        <f t="shared" si="654"/>
        <v>0</v>
      </c>
      <c r="AC4258" s="4">
        <f t="shared" si="656"/>
        <v>0</v>
      </c>
      <c r="AD4258" s="6">
        <f t="shared" si="651"/>
        <v>0</v>
      </c>
      <c r="AE4258" s="2">
        <f>VLOOKUP(I4258,[1]媒体政策预估表!A:N,MATCH(O4258,[1]媒体政策预估表!$A$2:$M$2,0),0)</f>
        <v>7.0000000000000007E-2</v>
      </c>
      <c r="AF4258" s="6">
        <f t="shared" si="657"/>
        <v>0</v>
      </c>
      <c r="AG4258" s="14">
        <v>0</v>
      </c>
      <c r="AH4258" s="65">
        <f t="shared" si="652"/>
        <v>0</v>
      </c>
      <c r="AI4258" s="47"/>
      <c r="AJ4258" s="126" t="e">
        <v>#N/A</v>
      </c>
      <c r="AK4258" s="80">
        <f t="shared" si="655"/>
        <v>0</v>
      </c>
      <c r="AM4258" s="85"/>
    </row>
    <row r="4259" spans="1:39" hidden="1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49"/>
        <v>4047.0999999999995</v>
      </c>
      <c r="X4259" s="6">
        <f t="shared" si="650"/>
        <v>1580.8</v>
      </c>
      <c r="Y4259" s="13">
        <f t="shared" si="653"/>
        <v>0</v>
      </c>
      <c r="Z4259" s="14">
        <v>0</v>
      </c>
      <c r="AA4259" s="6">
        <v>0</v>
      </c>
      <c r="AB4259" s="4">
        <f t="shared" si="654"/>
        <v>1580.8</v>
      </c>
      <c r="AC4259" s="4">
        <f t="shared" si="656"/>
        <v>0</v>
      </c>
      <c r="AD4259" s="6">
        <f t="shared" si="651"/>
        <v>1580.8</v>
      </c>
      <c r="AE4259" s="2">
        <f>VLOOKUP(I4259,[1]媒体政策预估表!A:N,MATCH(O4259,[1]媒体政策预估表!$A$2:$M$2,0),0)</f>
        <v>7.0000000000000007E-2</v>
      </c>
      <c r="AF4259" s="6">
        <f t="shared" si="657"/>
        <v>110.65600000000001</v>
      </c>
      <c r="AG4259" s="14">
        <v>0</v>
      </c>
      <c r="AH4259" s="65">
        <f t="shared" si="652"/>
        <v>1580.8</v>
      </c>
      <c r="AI4259" s="47"/>
      <c r="AJ4259" s="126" t="e">
        <v>#N/A</v>
      </c>
      <c r="AK4259" s="80">
        <f t="shared" si="655"/>
        <v>0</v>
      </c>
      <c r="AM4259" s="85"/>
    </row>
    <row r="4260" spans="1:39" hidden="1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49"/>
        <v>-3.3000000000029104</v>
      </c>
      <c r="X4260" s="6">
        <f t="shared" si="650"/>
        <v>0</v>
      </c>
      <c r="Y4260" s="13">
        <f t="shared" si="653"/>
        <v>0</v>
      </c>
      <c r="Z4260" s="14">
        <v>0</v>
      </c>
      <c r="AA4260" s="6">
        <v>0</v>
      </c>
      <c r="AB4260" s="4">
        <f t="shared" si="654"/>
        <v>0</v>
      </c>
      <c r="AC4260" s="4">
        <f t="shared" si="656"/>
        <v>0</v>
      </c>
      <c r="AD4260" s="6">
        <f t="shared" si="651"/>
        <v>0</v>
      </c>
      <c r="AE4260" s="2">
        <f>VLOOKUP(I4260,[1]媒体政策预估表!A:N,MATCH(O4260,[1]媒体政策预估表!$A$2:$M$2,0),0)</f>
        <v>7.0000000000000007E-2</v>
      </c>
      <c r="AF4260" s="6">
        <f t="shared" si="657"/>
        <v>0</v>
      </c>
      <c r="AG4260" s="14">
        <v>0</v>
      </c>
      <c r="AH4260" s="65">
        <f t="shared" si="652"/>
        <v>0</v>
      </c>
      <c r="AI4260" s="47"/>
      <c r="AJ4260" s="126" t="e">
        <v>#N/A</v>
      </c>
      <c r="AK4260" s="80">
        <f t="shared" si="655"/>
        <v>0</v>
      </c>
      <c r="AM4260" s="85"/>
    </row>
    <row r="4261" spans="1:39" hidden="1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49"/>
        <v>1197.5</v>
      </c>
      <c r="X4261" s="6">
        <f t="shared" si="650"/>
        <v>11376.6</v>
      </c>
      <c r="Y4261" s="13">
        <f t="shared" si="653"/>
        <v>0</v>
      </c>
      <c r="Z4261" s="14">
        <v>0</v>
      </c>
      <c r="AA4261" s="6">
        <v>0</v>
      </c>
      <c r="AB4261" s="4">
        <f t="shared" si="654"/>
        <v>11376.6</v>
      </c>
      <c r="AC4261" s="4">
        <f t="shared" si="656"/>
        <v>0</v>
      </c>
      <c r="AD4261" s="6">
        <f t="shared" si="651"/>
        <v>11376.6</v>
      </c>
      <c r="AE4261" s="2">
        <f>VLOOKUP(I4261,[1]媒体政策预估表!A:N,MATCH(O4261,[1]媒体政策预估表!$A$2:$M$2,0),0)</f>
        <v>7.0000000000000007E-2</v>
      </c>
      <c r="AF4261" s="6">
        <f t="shared" si="657"/>
        <v>796.36200000000008</v>
      </c>
      <c r="AG4261" s="14">
        <v>0</v>
      </c>
      <c r="AH4261" s="65">
        <f t="shared" si="652"/>
        <v>11376.6</v>
      </c>
      <c r="AI4261" s="47"/>
      <c r="AJ4261" s="126" t="e">
        <v>#N/A</v>
      </c>
      <c r="AK4261" s="80">
        <f t="shared" si="655"/>
        <v>0</v>
      </c>
      <c r="AM4261" s="85"/>
    </row>
    <row r="4262" spans="1:39" hidden="1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49"/>
        <v>1.1299999999682768</v>
      </c>
      <c r="X4262" s="6">
        <f t="shared" si="650"/>
        <v>37817.9</v>
      </c>
      <c r="Y4262" s="13">
        <f t="shared" si="653"/>
        <v>306.4916022144389</v>
      </c>
      <c r="Z4262" s="14">
        <v>0.02</v>
      </c>
      <c r="AA4262" s="6">
        <f t="shared" ref="AA4262:AA4267" si="658">X4262/(1-Z4262)*Z4262</f>
        <v>771.79387755102039</v>
      </c>
      <c r="AB4262" s="4">
        <f t="shared" si="654"/>
        <v>38589.693877551021</v>
      </c>
      <c r="AC4262" s="4">
        <f t="shared" si="656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57"/>
        <v>750.22816795571123</v>
      </c>
      <c r="AG4262" s="14">
        <v>0</v>
      </c>
      <c r="AH4262" s="65">
        <f t="shared" si="652"/>
        <v>37817.9</v>
      </c>
      <c r="AI4262" s="47"/>
      <c r="AJ4262" s="126" t="e">
        <v>#N/A</v>
      </c>
      <c r="AK4262" s="80">
        <f t="shared" si="655"/>
        <v>0</v>
      </c>
      <c r="AM4262" s="85"/>
    </row>
    <row r="4263" spans="1:39" hidden="1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49"/>
        <v>5476.8500000000495</v>
      </c>
      <c r="X4263" s="6">
        <f t="shared" si="650"/>
        <v>77327.199999999997</v>
      </c>
      <c r="Y4263" s="13">
        <f t="shared" si="653"/>
        <v>0</v>
      </c>
      <c r="Z4263" s="14">
        <v>0.02</v>
      </c>
      <c r="AA4263" s="6">
        <f t="shared" si="658"/>
        <v>1578.1061224489797</v>
      </c>
      <c r="AB4263" s="4">
        <f t="shared" si="654"/>
        <v>78905.306122448979</v>
      </c>
      <c r="AC4263" s="4">
        <f t="shared" si="656"/>
        <v>0</v>
      </c>
      <c r="AD4263" s="6">
        <f t="shared" si="651"/>
        <v>77327.199999999997</v>
      </c>
      <c r="AE4263" s="2">
        <f>VLOOKUP(I4263,[1]媒体政策预估表!A:N,MATCH(O4263,[1]媒体政策预估表!$A$2:$M$2,0),0)</f>
        <v>0.02</v>
      </c>
      <c r="AF4263" s="6">
        <f t="shared" si="657"/>
        <v>1546.5439999999999</v>
      </c>
      <c r="AG4263" s="14">
        <v>0</v>
      </c>
      <c r="AH4263" s="65">
        <f t="shared" si="652"/>
        <v>77327.199999999997</v>
      </c>
      <c r="AI4263" s="47"/>
      <c r="AJ4263" s="126" t="e">
        <v>#N/A</v>
      </c>
      <c r="AK4263" s="80">
        <f t="shared" si="655"/>
        <v>0</v>
      </c>
      <c r="AM4263" s="85"/>
    </row>
    <row r="4264" spans="1:39" hidden="1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49"/>
        <v>-28.299999999871943</v>
      </c>
      <c r="X4264" s="6">
        <f t="shared" si="650"/>
        <v>0</v>
      </c>
      <c r="Y4264" s="13">
        <f t="shared" si="653"/>
        <v>0</v>
      </c>
      <c r="Z4264" s="14">
        <v>0.02</v>
      </c>
      <c r="AA4264" s="6">
        <f t="shared" si="658"/>
        <v>0</v>
      </c>
      <c r="AB4264" s="4">
        <f t="shared" si="654"/>
        <v>0</v>
      </c>
      <c r="AC4264" s="4">
        <f t="shared" si="656"/>
        <v>0</v>
      </c>
      <c r="AD4264" s="6">
        <f t="shared" si="651"/>
        <v>0</v>
      </c>
      <c r="AE4264" s="2">
        <f>VLOOKUP(I4264,[1]媒体政策预估表!A:N,MATCH(O4264,[1]媒体政策预估表!$A$2:$M$2,0),0)</f>
        <v>7.0000000000000007E-2</v>
      </c>
      <c r="AF4264" s="6">
        <f t="shared" si="657"/>
        <v>0</v>
      </c>
      <c r="AG4264" s="14">
        <v>0</v>
      </c>
      <c r="AH4264" s="65">
        <f t="shared" si="652"/>
        <v>0</v>
      </c>
      <c r="AI4264" s="47"/>
      <c r="AJ4264" s="126" t="e">
        <v>#N/A</v>
      </c>
      <c r="AK4264" s="80">
        <f t="shared" si="655"/>
        <v>0</v>
      </c>
      <c r="AM4264" s="85"/>
    </row>
    <row r="4265" spans="1:39" hidden="1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49"/>
        <v>749953.59717999992</v>
      </c>
      <c r="X4265" s="6">
        <f t="shared" si="650"/>
        <v>0</v>
      </c>
      <c r="Y4265" s="13">
        <f t="shared" si="653"/>
        <v>0</v>
      </c>
      <c r="Z4265" s="14">
        <v>0.02</v>
      </c>
      <c r="AA4265" s="6">
        <f t="shared" si="658"/>
        <v>0</v>
      </c>
      <c r="AB4265" s="4">
        <f t="shared" si="654"/>
        <v>0</v>
      </c>
      <c r="AC4265" s="4">
        <f t="shared" si="656"/>
        <v>0</v>
      </c>
      <c r="AD4265" s="6">
        <f t="shared" si="651"/>
        <v>0</v>
      </c>
      <c r="AE4265" s="2">
        <f>VLOOKUP(I4265,[1]媒体政策预估表!A:N,MATCH(O4265,[1]媒体政策预估表!$A$2:$M$2,0),0)</f>
        <v>7.0000000000000007E-2</v>
      </c>
      <c r="AF4265" s="6">
        <f t="shared" si="657"/>
        <v>0</v>
      </c>
      <c r="AG4265" s="14">
        <v>0</v>
      </c>
      <c r="AH4265" s="65">
        <f t="shared" si="652"/>
        <v>0</v>
      </c>
      <c r="AI4265" s="47"/>
      <c r="AJ4265" s="126" t="e">
        <v>#N/A</v>
      </c>
      <c r="AK4265" s="80">
        <f t="shared" si="655"/>
        <v>0</v>
      </c>
      <c r="AM4265" s="85"/>
    </row>
    <row r="4266" spans="1:39" hidden="1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50"/>
        <v>0</v>
      </c>
      <c r="Y4266" s="13">
        <f t="shared" si="653"/>
        <v>0</v>
      </c>
      <c r="Z4266" s="14">
        <v>0.02</v>
      </c>
      <c r="AA4266" s="6">
        <f t="shared" si="658"/>
        <v>0</v>
      </c>
      <c r="AB4266" s="4">
        <f t="shared" si="654"/>
        <v>0</v>
      </c>
      <c r="AC4266" s="4">
        <f t="shared" si="656"/>
        <v>0</v>
      </c>
      <c r="AD4266" s="6">
        <f t="shared" si="651"/>
        <v>0</v>
      </c>
      <c r="AE4266" s="2">
        <f>VLOOKUP(I4266,[1]媒体政策预估表!A:N,MATCH(O4266,[1]媒体政策预估表!$A$2:$M$2,0),0)</f>
        <v>7.0000000000000007E-2</v>
      </c>
      <c r="AF4266" s="6">
        <f t="shared" si="657"/>
        <v>0</v>
      </c>
      <c r="AG4266" s="14">
        <v>0</v>
      </c>
      <c r="AH4266" s="65">
        <f t="shared" si="652"/>
        <v>0</v>
      </c>
      <c r="AI4266" s="47"/>
      <c r="AJ4266" s="126" t="e">
        <v>#N/A</v>
      </c>
      <c r="AK4266" s="80">
        <f t="shared" si="655"/>
        <v>0</v>
      </c>
      <c r="AM4266" s="85"/>
    </row>
    <row r="4267" spans="1:39" hidden="1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49"/>
        <v>23987.050000000338</v>
      </c>
      <c r="X4267" s="6">
        <f t="shared" si="650"/>
        <v>0</v>
      </c>
      <c r="Y4267" s="13">
        <f t="shared" si="653"/>
        <v>0</v>
      </c>
      <c r="Z4267" s="14">
        <v>0.02</v>
      </c>
      <c r="AA4267" s="6">
        <f t="shared" si="658"/>
        <v>0</v>
      </c>
      <c r="AB4267" s="4">
        <f t="shared" si="654"/>
        <v>0</v>
      </c>
      <c r="AC4267" s="4">
        <f t="shared" si="656"/>
        <v>0</v>
      </c>
      <c r="AD4267" s="6">
        <f t="shared" si="651"/>
        <v>0</v>
      </c>
      <c r="AE4267" s="2">
        <f>VLOOKUP(I4267,[1]媒体政策预估表!A:N,MATCH(O4267,[1]媒体政策预估表!$A$2:$M$2,0),0)</f>
        <v>7.0000000000000007E-2</v>
      </c>
      <c r="AF4267" s="6">
        <f t="shared" si="657"/>
        <v>0</v>
      </c>
      <c r="AG4267" s="14">
        <v>0</v>
      </c>
      <c r="AH4267" s="65">
        <f t="shared" si="652"/>
        <v>0</v>
      </c>
      <c r="AI4267" s="47"/>
      <c r="AJ4267" s="126" t="e">
        <v>#N/A</v>
      </c>
      <c r="AK4267" s="80">
        <f t="shared" si="655"/>
        <v>0</v>
      </c>
      <c r="AM4267" s="85"/>
    </row>
    <row r="4268" spans="1:39" hidden="1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49"/>
        <v>12.100000000010368</v>
      </c>
      <c r="X4268" s="6">
        <f t="shared" si="650"/>
        <v>0</v>
      </c>
      <c r="Y4268" s="13">
        <f t="shared" si="653"/>
        <v>0</v>
      </c>
      <c r="Z4268" s="14">
        <v>0</v>
      </c>
      <c r="AA4268" s="6">
        <v>0</v>
      </c>
      <c r="AB4268" s="4">
        <f t="shared" si="654"/>
        <v>0</v>
      </c>
      <c r="AC4268" s="4">
        <f t="shared" si="656"/>
        <v>0</v>
      </c>
      <c r="AD4268" s="6">
        <f t="shared" si="651"/>
        <v>0</v>
      </c>
      <c r="AE4268" s="2">
        <f>VLOOKUP(I4268,[1]媒体政策预估表!A:N,MATCH(O4268,[1]媒体政策预估表!$A$2:$M$2,0),0)</f>
        <v>7.0000000000000007E-2</v>
      </c>
      <c r="AF4268" s="6">
        <f t="shared" si="657"/>
        <v>0</v>
      </c>
      <c r="AG4268" s="14">
        <v>0</v>
      </c>
      <c r="AH4268" s="65">
        <f t="shared" si="652"/>
        <v>0</v>
      </c>
      <c r="AI4268" s="47"/>
      <c r="AJ4268" s="126" t="e">
        <v>#N/A</v>
      </c>
      <c r="AK4268" s="80">
        <f t="shared" si="655"/>
        <v>0</v>
      </c>
      <c r="AM4268" s="85"/>
    </row>
    <row r="4269" spans="1:39" hidden="1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49"/>
        <v>160</v>
      </c>
      <c r="X4269" s="6">
        <f t="shared" si="650"/>
        <v>0</v>
      </c>
      <c r="Y4269" s="13">
        <f t="shared" si="653"/>
        <v>0</v>
      </c>
      <c r="Z4269" s="14">
        <v>0</v>
      </c>
      <c r="AA4269" s="6">
        <v>0</v>
      </c>
      <c r="AB4269" s="4">
        <f t="shared" si="654"/>
        <v>0</v>
      </c>
      <c r="AC4269" s="4">
        <f t="shared" si="656"/>
        <v>0</v>
      </c>
      <c r="AD4269" s="6">
        <f t="shared" si="651"/>
        <v>0</v>
      </c>
      <c r="AE4269" s="2">
        <f>VLOOKUP(I4269,[1]媒体政策预估表!A:N,MATCH(O4269,[1]媒体政策预估表!$A$2:$M$2,0),0)</f>
        <v>0.12</v>
      </c>
      <c r="AF4269" s="6">
        <f t="shared" si="657"/>
        <v>0</v>
      </c>
      <c r="AG4269" s="14">
        <v>0</v>
      </c>
      <c r="AH4269" s="65">
        <f t="shared" si="652"/>
        <v>0</v>
      </c>
      <c r="AI4269" s="47"/>
      <c r="AJ4269" s="126" t="e">
        <v>#N/A</v>
      </c>
      <c r="AK4269" s="80">
        <f t="shared" si="655"/>
        <v>0</v>
      </c>
      <c r="AM4269" s="85"/>
    </row>
    <row r="4270" spans="1:39" hidden="1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49"/>
        <v>1166028.6700099998</v>
      </c>
      <c r="X4270" s="6">
        <f t="shared" si="650"/>
        <v>0</v>
      </c>
      <c r="Y4270" s="13">
        <f t="shared" si="653"/>
        <v>0</v>
      </c>
      <c r="Z4270" s="14">
        <v>0</v>
      </c>
      <c r="AA4270" s="6">
        <v>0</v>
      </c>
      <c r="AB4270" s="4">
        <f t="shared" si="654"/>
        <v>0</v>
      </c>
      <c r="AC4270" s="4">
        <f t="shared" si="656"/>
        <v>0</v>
      </c>
      <c r="AD4270" s="6">
        <f t="shared" si="651"/>
        <v>0</v>
      </c>
      <c r="AE4270" s="2">
        <f>VLOOKUP(I4270,[1]媒体政策预估表!A:N,MATCH(O4270,[1]媒体政策预估表!$A$2:$M$2,0),0)</f>
        <v>7.0000000000000007E-2</v>
      </c>
      <c r="AF4270" s="6">
        <f t="shared" si="657"/>
        <v>0</v>
      </c>
      <c r="AG4270" s="14">
        <v>0</v>
      </c>
      <c r="AH4270" s="65">
        <f t="shared" si="652"/>
        <v>0</v>
      </c>
      <c r="AI4270" s="47"/>
      <c r="AJ4270" s="126" t="e">
        <v>#N/A</v>
      </c>
      <c r="AK4270" s="80">
        <f t="shared" si="655"/>
        <v>0</v>
      </c>
      <c r="AM4270" s="85"/>
    </row>
    <row r="4271" spans="1:39" hidden="1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49"/>
        <v>0</v>
      </c>
      <c r="X4271" s="6">
        <f t="shared" si="650"/>
        <v>23573.97</v>
      </c>
      <c r="Y4271" s="13">
        <f t="shared" si="653"/>
        <v>0</v>
      </c>
      <c r="Z4271" s="14">
        <v>0</v>
      </c>
      <c r="AA4271" s="6">
        <v>0</v>
      </c>
      <c r="AB4271" s="4">
        <f t="shared" si="654"/>
        <v>23573.97</v>
      </c>
      <c r="AC4271" s="4">
        <f t="shared" si="656"/>
        <v>942.95880000000011</v>
      </c>
      <c r="AD4271" s="6">
        <f t="shared" si="651"/>
        <v>23573.97</v>
      </c>
      <c r="AE4271" s="2">
        <f>VLOOKUP(I4271,[1]媒体政策预估表!A:N,MATCH(O4271,[1]媒体政策预估表!$A$2:$M$2,0),0)</f>
        <v>7.0000000000000007E-2</v>
      </c>
      <c r="AF4271" s="6">
        <f t="shared" si="657"/>
        <v>1650.1779000000001</v>
      </c>
      <c r="AG4271" s="14">
        <v>0</v>
      </c>
      <c r="AH4271" s="65">
        <f t="shared" si="652"/>
        <v>23573.97</v>
      </c>
      <c r="AI4271" s="47"/>
      <c r="AJ4271" s="126" t="e">
        <v>#N/A</v>
      </c>
      <c r="AK4271" s="80">
        <f t="shared" si="655"/>
        <v>0</v>
      </c>
      <c r="AM4271" s="85"/>
    </row>
    <row r="4272" spans="1:39" hidden="1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49"/>
        <v>-24.899999999994179</v>
      </c>
      <c r="X4272" s="6">
        <v>272.82</v>
      </c>
      <c r="Y4272" s="13">
        <f t="shared" si="653"/>
        <v>272.82</v>
      </c>
      <c r="Z4272" s="14">
        <v>0</v>
      </c>
      <c r="AA4272" s="6">
        <v>0</v>
      </c>
      <c r="AB4272" s="4">
        <f t="shared" si="654"/>
        <v>272.82</v>
      </c>
      <c r="AC4272" s="4">
        <f t="shared" si="656"/>
        <v>-272.82</v>
      </c>
      <c r="AD4272" s="6">
        <f t="shared" si="651"/>
        <v>0</v>
      </c>
      <c r="AE4272" s="2">
        <f>VLOOKUP(I4272,[1]媒体政策预估表!A:N,MATCH(O4272,[1]媒体政策预估表!$A$2:$M$2,0),0)</f>
        <v>7.0000000000000007E-2</v>
      </c>
      <c r="AF4272" s="6">
        <f t="shared" si="657"/>
        <v>0</v>
      </c>
      <c r="AG4272" s="14">
        <v>0</v>
      </c>
      <c r="AH4272" s="65">
        <f t="shared" si="652"/>
        <v>0</v>
      </c>
      <c r="AI4272" s="47"/>
      <c r="AJ4272" s="126" t="e">
        <v>#N/A</v>
      </c>
      <c r="AK4272" s="80">
        <f t="shared" si="655"/>
        <v>0</v>
      </c>
      <c r="AM4272" s="85"/>
    </row>
    <row r="4273" spans="1:39" hidden="1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49"/>
        <v>7.999999999992724E-2</v>
      </c>
      <c r="X4273" s="6">
        <f t="shared" si="650"/>
        <v>0</v>
      </c>
      <c r="Y4273" s="13">
        <f t="shared" si="653"/>
        <v>0</v>
      </c>
      <c r="Z4273" s="14">
        <v>0</v>
      </c>
      <c r="AA4273" s="6">
        <v>0</v>
      </c>
      <c r="AB4273" s="4">
        <f t="shared" si="654"/>
        <v>0</v>
      </c>
      <c r="AC4273" s="4">
        <f t="shared" si="656"/>
        <v>0</v>
      </c>
      <c r="AD4273" s="6">
        <f t="shared" si="651"/>
        <v>0</v>
      </c>
      <c r="AE4273" s="2">
        <f>VLOOKUP(I4273,[1]媒体政策预估表!A:N,MATCH(O4273,[1]媒体政策预估表!$A$2:$M$2,0),0)</f>
        <v>7.0000000000000007E-2</v>
      </c>
      <c r="AF4273" s="6">
        <f t="shared" si="657"/>
        <v>0</v>
      </c>
      <c r="AG4273" s="14">
        <v>0</v>
      </c>
      <c r="AH4273" s="65">
        <f t="shared" si="652"/>
        <v>0</v>
      </c>
      <c r="AI4273" s="47"/>
      <c r="AJ4273" s="126" t="e">
        <v>#N/A</v>
      </c>
      <c r="AK4273" s="80">
        <f t="shared" si="655"/>
        <v>0</v>
      </c>
      <c r="AM4273" s="85"/>
    </row>
    <row r="4274" spans="1:39" hidden="1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49"/>
        <v>5.0000000082945917E-2</v>
      </c>
      <c r="X4274" s="6">
        <f t="shared" si="650"/>
        <v>0</v>
      </c>
      <c r="Y4274" s="13">
        <f t="shared" si="653"/>
        <v>0</v>
      </c>
      <c r="Z4274" s="14">
        <v>0</v>
      </c>
      <c r="AA4274" s="6">
        <v>0</v>
      </c>
      <c r="AB4274" s="4">
        <f t="shared" si="654"/>
        <v>0</v>
      </c>
      <c r="AC4274" s="4">
        <f t="shared" si="656"/>
        <v>0</v>
      </c>
      <c r="AD4274" s="6">
        <f t="shared" si="651"/>
        <v>0</v>
      </c>
      <c r="AE4274" s="2">
        <f>VLOOKUP(I4274,[1]媒体政策预估表!A:N,MATCH(O4274,[1]媒体政策预估表!$A$2:$M$2,0),0)</f>
        <v>7.0000000000000007E-2</v>
      </c>
      <c r="AF4274" s="6">
        <f t="shared" si="657"/>
        <v>0</v>
      </c>
      <c r="AG4274" s="14">
        <v>0</v>
      </c>
      <c r="AH4274" s="65">
        <f t="shared" si="652"/>
        <v>0</v>
      </c>
      <c r="AI4274" s="47"/>
      <c r="AJ4274" s="126" t="e">
        <v>#N/A</v>
      </c>
      <c r="AK4274" s="80">
        <f t="shared" si="655"/>
        <v>0</v>
      </c>
      <c r="AM4274" s="85"/>
    </row>
    <row r="4275" spans="1:39" hidden="1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49"/>
        <v>8.9999999981955625E-2</v>
      </c>
      <c r="X4275" s="6">
        <f t="shared" si="650"/>
        <v>0</v>
      </c>
      <c r="Y4275" s="13">
        <f t="shared" si="653"/>
        <v>0</v>
      </c>
      <c r="Z4275" s="14">
        <v>0</v>
      </c>
      <c r="AA4275" s="6">
        <v>0</v>
      </c>
      <c r="AB4275" s="4">
        <f t="shared" si="654"/>
        <v>0</v>
      </c>
      <c r="AC4275" s="4">
        <f t="shared" si="656"/>
        <v>0</v>
      </c>
      <c r="AD4275" s="6">
        <f t="shared" si="651"/>
        <v>0</v>
      </c>
      <c r="AE4275" s="2">
        <f>VLOOKUP(I4275,[1]媒体政策预估表!A:N,MATCH(O4275,[1]媒体政策预估表!$A$2:$M$2,0),0)</f>
        <v>7.0000000000000007E-2</v>
      </c>
      <c r="AF4275" s="6">
        <f t="shared" si="657"/>
        <v>0</v>
      </c>
      <c r="AG4275" s="14">
        <v>0</v>
      </c>
      <c r="AH4275" s="65">
        <f t="shared" si="652"/>
        <v>0</v>
      </c>
      <c r="AI4275" s="47"/>
      <c r="AJ4275" s="126" t="e">
        <v>#N/A</v>
      </c>
      <c r="AK4275" s="80">
        <f t="shared" si="655"/>
        <v>0</v>
      </c>
      <c r="AM4275" s="85"/>
    </row>
    <row r="4276" spans="1:39" hidden="1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49"/>
        <v>23338.525000000023</v>
      </c>
      <c r="X4276" s="6">
        <f t="shared" si="650"/>
        <v>0</v>
      </c>
      <c r="Y4276" s="13">
        <f t="shared" si="653"/>
        <v>0</v>
      </c>
      <c r="Z4276" s="14">
        <v>0</v>
      </c>
      <c r="AA4276" s="6">
        <v>0</v>
      </c>
      <c r="AB4276" s="4">
        <f t="shared" si="654"/>
        <v>0</v>
      </c>
      <c r="AC4276" s="4">
        <f t="shared" si="656"/>
        <v>0</v>
      </c>
      <c r="AD4276" s="6">
        <f t="shared" si="651"/>
        <v>0</v>
      </c>
      <c r="AE4276" s="2">
        <f>VLOOKUP(I4276,[1]媒体政策预估表!A:N,MATCH(O4276,[1]媒体政策预估表!$A$2:$M$2,0),0)</f>
        <v>7.0000000000000007E-2</v>
      </c>
      <c r="AF4276" s="6">
        <f t="shared" si="657"/>
        <v>0</v>
      </c>
      <c r="AG4276" s="14">
        <v>0</v>
      </c>
      <c r="AH4276" s="65">
        <f t="shared" si="652"/>
        <v>0</v>
      </c>
      <c r="AI4276" s="47"/>
      <c r="AJ4276" s="126" t="e">
        <v>#N/A</v>
      </c>
      <c r="AK4276" s="80">
        <f t="shared" si="655"/>
        <v>0</v>
      </c>
      <c r="AM4276" s="85"/>
    </row>
    <row r="4277" spans="1:39" hidden="1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49"/>
        <v>-1.1999999999534339</v>
      </c>
      <c r="X4277" s="6">
        <f t="shared" si="650"/>
        <v>0</v>
      </c>
      <c r="Y4277" s="13">
        <f t="shared" si="653"/>
        <v>0</v>
      </c>
      <c r="Z4277" s="14">
        <v>0</v>
      </c>
      <c r="AA4277" s="6">
        <v>0</v>
      </c>
      <c r="AB4277" s="4">
        <f t="shared" si="654"/>
        <v>0</v>
      </c>
      <c r="AC4277" s="4">
        <f t="shared" si="656"/>
        <v>0</v>
      </c>
      <c r="AD4277" s="6">
        <f t="shared" si="651"/>
        <v>0</v>
      </c>
      <c r="AE4277" s="2">
        <f>VLOOKUP(I4277,[1]媒体政策预估表!A:N,MATCH(O4277,[1]媒体政策预估表!$A$2:$M$2,0),0)</f>
        <v>7.0000000000000007E-2</v>
      </c>
      <c r="AF4277" s="6">
        <f t="shared" si="657"/>
        <v>0</v>
      </c>
      <c r="AG4277" s="14">
        <v>0</v>
      </c>
      <c r="AH4277" s="65">
        <f t="shared" si="652"/>
        <v>0</v>
      </c>
      <c r="AI4277" s="47"/>
      <c r="AJ4277" s="126" t="e">
        <v>#N/A</v>
      </c>
      <c r="AK4277" s="80">
        <f t="shared" si="655"/>
        <v>0</v>
      </c>
      <c r="AM4277" s="85"/>
    </row>
    <row r="4278" spans="1:39" hidden="1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49"/>
        <v>-52.80000000002326</v>
      </c>
      <c r="X4278" s="6">
        <f t="shared" si="650"/>
        <v>0</v>
      </c>
      <c r="Y4278" s="13">
        <f t="shared" si="653"/>
        <v>0</v>
      </c>
      <c r="Z4278" s="14">
        <v>0</v>
      </c>
      <c r="AA4278" s="6">
        <v>0</v>
      </c>
      <c r="AB4278" s="4">
        <f t="shared" si="654"/>
        <v>0</v>
      </c>
      <c r="AC4278" s="4">
        <f t="shared" si="656"/>
        <v>0</v>
      </c>
      <c r="AD4278" s="6">
        <f t="shared" si="651"/>
        <v>0</v>
      </c>
      <c r="AE4278" s="2">
        <f>VLOOKUP(I4278,[1]媒体政策预估表!A:N,MATCH(O4278,[1]媒体政策预估表!$A$2:$M$2,0),0)</f>
        <v>7.0000000000000007E-2</v>
      </c>
      <c r="AF4278" s="6">
        <f t="shared" si="657"/>
        <v>0</v>
      </c>
      <c r="AG4278" s="14">
        <v>0</v>
      </c>
      <c r="AH4278" s="65">
        <f t="shared" si="652"/>
        <v>0</v>
      </c>
      <c r="AI4278" s="47"/>
      <c r="AJ4278" s="126" t="e">
        <v>#N/A</v>
      </c>
      <c r="AK4278" s="80">
        <f t="shared" si="655"/>
        <v>0</v>
      </c>
      <c r="AM4278" s="85"/>
    </row>
    <row r="4279" spans="1:39" hidden="1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49"/>
        <v>0.18000000003667083</v>
      </c>
      <c r="X4279" s="6">
        <f t="shared" si="650"/>
        <v>0</v>
      </c>
      <c r="Y4279" s="13">
        <f t="shared" si="653"/>
        <v>0</v>
      </c>
      <c r="Z4279" s="14">
        <v>0</v>
      </c>
      <c r="AA4279" s="6">
        <v>0</v>
      </c>
      <c r="AB4279" s="4">
        <f t="shared" si="654"/>
        <v>0</v>
      </c>
      <c r="AC4279" s="4">
        <f t="shared" si="656"/>
        <v>0</v>
      </c>
      <c r="AD4279" s="6">
        <f t="shared" si="651"/>
        <v>0</v>
      </c>
      <c r="AE4279" s="2">
        <f>VLOOKUP(I4279,[1]媒体政策预估表!A:N,MATCH(O4279,[1]媒体政策预估表!$A$2:$M$2,0),0)</f>
        <v>7.0000000000000007E-2</v>
      </c>
      <c r="AF4279" s="6">
        <f t="shared" si="657"/>
        <v>0</v>
      </c>
      <c r="AG4279" s="14">
        <v>0</v>
      </c>
      <c r="AH4279" s="65">
        <f t="shared" si="652"/>
        <v>0</v>
      </c>
      <c r="AI4279" s="47"/>
      <c r="AJ4279" s="126" t="e">
        <v>#N/A</v>
      </c>
      <c r="AK4279" s="80">
        <f t="shared" si="655"/>
        <v>0</v>
      </c>
      <c r="AM4279" s="85"/>
    </row>
    <row r="4280" spans="1:39" hidden="1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49"/>
        <v>477114.46809999994</v>
      </c>
      <c r="X4280" s="6">
        <f t="shared" si="650"/>
        <v>0</v>
      </c>
      <c r="Y4280" s="13">
        <f t="shared" si="653"/>
        <v>0</v>
      </c>
      <c r="Z4280" s="14">
        <v>0</v>
      </c>
      <c r="AA4280" s="6">
        <v>0</v>
      </c>
      <c r="AB4280" s="4">
        <f t="shared" si="654"/>
        <v>0</v>
      </c>
      <c r="AC4280" s="4">
        <f t="shared" si="656"/>
        <v>0</v>
      </c>
      <c r="AD4280" s="6">
        <f t="shared" si="651"/>
        <v>0</v>
      </c>
      <c r="AE4280" s="2">
        <f>VLOOKUP(I4280,[1]媒体政策预估表!A:N,MATCH(O4280,[1]媒体政策预估表!$A$2:$M$2,0),0)</f>
        <v>7.0000000000000007E-2</v>
      </c>
      <c r="AF4280" s="6">
        <f t="shared" si="657"/>
        <v>0</v>
      </c>
      <c r="AG4280" s="14">
        <v>0</v>
      </c>
      <c r="AH4280" s="65">
        <f t="shared" si="652"/>
        <v>0</v>
      </c>
      <c r="AI4280" s="47"/>
      <c r="AJ4280" s="126" t="e">
        <v>#N/A</v>
      </c>
      <c r="AK4280" s="80">
        <f t="shared" si="655"/>
        <v>0</v>
      </c>
      <c r="AM4280" s="85"/>
    </row>
    <row r="4281" spans="1:39" hidden="1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49"/>
        <v>3848357.4428999987</v>
      </c>
      <c r="X4281" s="6">
        <f t="shared" si="650"/>
        <v>0</v>
      </c>
      <c r="Y4281" s="13">
        <f t="shared" si="653"/>
        <v>0</v>
      </c>
      <c r="Z4281" s="14">
        <v>0</v>
      </c>
      <c r="AA4281" s="6">
        <v>0</v>
      </c>
      <c r="AB4281" s="4">
        <f t="shared" si="654"/>
        <v>0</v>
      </c>
      <c r="AC4281" s="4">
        <f t="shared" si="656"/>
        <v>0</v>
      </c>
      <c r="AD4281" s="6">
        <f t="shared" si="651"/>
        <v>0</v>
      </c>
      <c r="AE4281" s="2">
        <f>VLOOKUP(I4281,[1]媒体政策预估表!A:N,MATCH(O4281,[1]媒体政策预估表!$A$2:$M$2,0),0)</f>
        <v>7.0000000000000007E-2</v>
      </c>
      <c r="AF4281" s="6">
        <f t="shared" si="657"/>
        <v>0</v>
      </c>
      <c r="AG4281" s="14">
        <v>0</v>
      </c>
      <c r="AH4281" s="65">
        <f t="shared" si="652"/>
        <v>0</v>
      </c>
      <c r="AI4281" s="47"/>
      <c r="AJ4281" s="126" t="e">
        <v>#N/A</v>
      </c>
      <c r="AK4281" s="80">
        <f t="shared" si="655"/>
        <v>0</v>
      </c>
      <c r="AM4281" s="85"/>
    </row>
    <row r="4282" spans="1:39" hidden="1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49"/>
        <v>42528.9</v>
      </c>
      <c r="X4282" s="6">
        <f t="shared" si="650"/>
        <v>0</v>
      </c>
      <c r="Y4282" s="13">
        <f t="shared" si="653"/>
        <v>0</v>
      </c>
      <c r="Z4282" s="14">
        <v>0</v>
      </c>
      <c r="AA4282" s="6">
        <v>0</v>
      </c>
      <c r="AB4282" s="4">
        <f t="shared" si="654"/>
        <v>0</v>
      </c>
      <c r="AC4282" s="4">
        <f t="shared" si="656"/>
        <v>0</v>
      </c>
      <c r="AD4282" s="6">
        <f t="shared" si="651"/>
        <v>0</v>
      </c>
      <c r="AE4282" s="2">
        <f>VLOOKUP(I4282,[1]媒体政策预估表!A:N,MATCH(O4282,[1]媒体政策预估表!$A$2:$M$2,0),0)</f>
        <v>7.0000000000000007E-2</v>
      </c>
      <c r="AF4282" s="6">
        <f t="shared" si="657"/>
        <v>0</v>
      </c>
      <c r="AG4282" s="14">
        <v>0</v>
      </c>
      <c r="AH4282" s="65">
        <f t="shared" si="652"/>
        <v>0</v>
      </c>
      <c r="AI4282" s="47"/>
      <c r="AJ4282" s="126" t="e">
        <v>#N/A</v>
      </c>
      <c r="AK4282" s="80">
        <f t="shared" si="655"/>
        <v>0</v>
      </c>
      <c r="AM4282" s="85"/>
    </row>
    <row r="4283" spans="1:39" hidden="1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659">T4283+U4283-V4283</f>
        <v>21736.292979998965</v>
      </c>
      <c r="X4283" s="6">
        <f t="shared" ref="X4283:X4346" si="660">IF(P4283="折扣",V4283*Q4283,IF(P4283="返现",V4283,V4283/(1+Q4283)))</f>
        <v>0</v>
      </c>
      <c r="Y4283" s="13">
        <f t="shared" si="653"/>
        <v>0</v>
      </c>
      <c r="Z4283" s="14">
        <v>0</v>
      </c>
      <c r="AA4283" s="6">
        <v>0</v>
      </c>
      <c r="AB4283" s="4">
        <f t="shared" si="654"/>
        <v>0</v>
      </c>
      <c r="AC4283" s="4">
        <f t="shared" si="656"/>
        <v>0</v>
      </c>
      <c r="AD4283" s="6">
        <f t="shared" ref="AD4283:AD4346" si="661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57"/>
        <v>0</v>
      </c>
      <c r="AG4283" s="14">
        <v>0</v>
      </c>
      <c r="AH4283" s="65">
        <f t="shared" ref="AH4283:AH4346" si="662">V4283</f>
        <v>0</v>
      </c>
      <c r="AI4283" s="47"/>
      <c r="AJ4283" s="126" t="e">
        <v>#N/A</v>
      </c>
      <c r="AK4283" s="80">
        <f t="shared" si="655"/>
        <v>0</v>
      </c>
      <c r="AM4283" s="85"/>
    </row>
    <row r="4284" spans="1:39" hidden="1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659"/>
        <v>7908627.8600000003</v>
      </c>
      <c r="X4284" s="6">
        <f t="shared" si="660"/>
        <v>0</v>
      </c>
      <c r="Y4284" s="13">
        <f t="shared" si="653"/>
        <v>0</v>
      </c>
      <c r="Z4284" s="14">
        <v>0</v>
      </c>
      <c r="AA4284" s="6">
        <v>0</v>
      </c>
      <c r="AB4284" s="4">
        <f t="shared" si="654"/>
        <v>0</v>
      </c>
      <c r="AC4284" s="4">
        <f t="shared" si="656"/>
        <v>0</v>
      </c>
      <c r="AD4284" s="6">
        <f t="shared" si="661"/>
        <v>0</v>
      </c>
      <c r="AE4284" s="2">
        <f>VLOOKUP(I4284,[1]媒体政策预估表!A:N,MATCH(O4284,[1]媒体政策预估表!$A$2:$M$2,0),0)</f>
        <v>7.0000000000000007E-2</v>
      </c>
      <c r="AF4284" s="6">
        <f t="shared" si="657"/>
        <v>0</v>
      </c>
      <c r="AG4284" s="14">
        <v>0</v>
      </c>
      <c r="AH4284" s="65">
        <f t="shared" si="662"/>
        <v>0</v>
      </c>
      <c r="AI4284" s="47"/>
      <c r="AJ4284" s="126" t="e">
        <v>#N/A</v>
      </c>
      <c r="AK4284" s="80">
        <f t="shared" si="655"/>
        <v>0</v>
      </c>
      <c r="AM4284" s="85"/>
    </row>
    <row r="4285" spans="1:39" hidden="1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659"/>
        <v>-12.799999999988358</v>
      </c>
      <c r="X4285" s="6">
        <f t="shared" si="660"/>
        <v>0</v>
      </c>
      <c r="Y4285" s="13">
        <f t="shared" si="653"/>
        <v>0</v>
      </c>
      <c r="Z4285" s="14">
        <v>0</v>
      </c>
      <c r="AA4285" s="6">
        <v>0</v>
      </c>
      <c r="AB4285" s="4">
        <f t="shared" si="654"/>
        <v>0</v>
      </c>
      <c r="AC4285" s="4">
        <f t="shared" si="656"/>
        <v>0</v>
      </c>
      <c r="AD4285" s="6">
        <f t="shared" si="661"/>
        <v>0</v>
      </c>
      <c r="AE4285" s="2">
        <f>VLOOKUP(I4285,[1]媒体政策预估表!A:N,MATCH(O4285,[1]媒体政策预估表!$A$2:$M$2,0),0)</f>
        <v>7.0000000000000007E-2</v>
      </c>
      <c r="AF4285" s="6">
        <f t="shared" si="657"/>
        <v>0</v>
      </c>
      <c r="AG4285" s="14">
        <v>0</v>
      </c>
      <c r="AH4285" s="65">
        <f t="shared" si="662"/>
        <v>0</v>
      </c>
      <c r="AI4285" s="47"/>
      <c r="AJ4285" s="126" t="e">
        <v>#N/A</v>
      </c>
      <c r="AK4285" s="80">
        <f t="shared" si="655"/>
        <v>0</v>
      </c>
      <c r="AM4285" s="85"/>
    </row>
    <row r="4286" spans="1:39" hidden="1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659"/>
        <v>-5.2999999999919964</v>
      </c>
      <c r="X4286" s="6">
        <f t="shared" si="660"/>
        <v>0</v>
      </c>
      <c r="Y4286" s="13">
        <f t="shared" si="653"/>
        <v>0</v>
      </c>
      <c r="Z4286" s="14">
        <v>0</v>
      </c>
      <c r="AA4286" s="6">
        <v>0</v>
      </c>
      <c r="AB4286" s="4">
        <f t="shared" si="654"/>
        <v>0</v>
      </c>
      <c r="AC4286" s="4">
        <f t="shared" si="656"/>
        <v>0</v>
      </c>
      <c r="AD4286" s="6">
        <f t="shared" si="661"/>
        <v>0</v>
      </c>
      <c r="AE4286" s="2">
        <f>VLOOKUP(I4286,[1]媒体政策预估表!A:N,MATCH(O4286,[1]媒体政策预估表!$A$2:$M$2,0),0)</f>
        <v>7.0000000000000007E-2</v>
      </c>
      <c r="AF4286" s="6">
        <f t="shared" si="657"/>
        <v>0</v>
      </c>
      <c r="AG4286" s="14">
        <v>0</v>
      </c>
      <c r="AH4286" s="65">
        <f t="shared" si="662"/>
        <v>0</v>
      </c>
      <c r="AI4286" s="47"/>
      <c r="AJ4286" s="126" t="e">
        <v>#N/A</v>
      </c>
      <c r="AK4286" s="80">
        <f t="shared" si="655"/>
        <v>0</v>
      </c>
      <c r="AM4286" s="85"/>
    </row>
    <row r="4287" spans="1:39" hidden="1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659"/>
        <v>10000</v>
      </c>
      <c r="X4287" s="6">
        <f t="shared" si="660"/>
        <v>0</v>
      </c>
      <c r="Y4287" s="13">
        <f t="shared" si="653"/>
        <v>0</v>
      </c>
      <c r="Z4287" s="14">
        <v>0</v>
      </c>
      <c r="AA4287" s="6">
        <v>0</v>
      </c>
      <c r="AB4287" s="4">
        <f t="shared" si="654"/>
        <v>0</v>
      </c>
      <c r="AC4287" s="4">
        <f t="shared" si="656"/>
        <v>0</v>
      </c>
      <c r="AD4287" s="6">
        <f t="shared" si="661"/>
        <v>0</v>
      </c>
      <c r="AE4287" s="2">
        <f>VLOOKUP(I4287,[1]媒体政策预估表!A:N,MATCH(O4287,[1]媒体政策预估表!$A$2:$M$2,0),0)</f>
        <v>7.0000000000000007E-2</v>
      </c>
      <c r="AF4287" s="6">
        <f t="shared" si="657"/>
        <v>0</v>
      </c>
      <c r="AG4287" s="14">
        <v>0</v>
      </c>
      <c r="AH4287" s="65">
        <f t="shared" si="662"/>
        <v>0</v>
      </c>
      <c r="AI4287" s="47"/>
      <c r="AJ4287" s="126" t="e">
        <v>#N/A</v>
      </c>
      <c r="AK4287" s="80">
        <f t="shared" si="655"/>
        <v>0</v>
      </c>
      <c r="AM4287" s="85"/>
    </row>
    <row r="4288" spans="1:39" hidden="1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659"/>
        <v>-28.555000000167638</v>
      </c>
      <c r="X4288" s="6">
        <f t="shared" si="660"/>
        <v>0</v>
      </c>
      <c r="Y4288" s="13">
        <f t="shared" si="653"/>
        <v>0</v>
      </c>
      <c r="Z4288" s="14">
        <v>0</v>
      </c>
      <c r="AA4288" s="6">
        <v>0</v>
      </c>
      <c r="AB4288" s="4">
        <f t="shared" si="654"/>
        <v>0</v>
      </c>
      <c r="AC4288" s="4">
        <f t="shared" si="656"/>
        <v>0</v>
      </c>
      <c r="AD4288" s="6">
        <f t="shared" si="661"/>
        <v>0</v>
      </c>
      <c r="AE4288" s="2">
        <f>VLOOKUP(I4288,[1]媒体政策预估表!A:N,MATCH(O4288,[1]媒体政策预估表!$A$2:$M$2,0),0)</f>
        <v>7.0000000000000007E-2</v>
      </c>
      <c r="AF4288" s="6">
        <f t="shared" si="657"/>
        <v>0</v>
      </c>
      <c r="AG4288" s="14">
        <v>0</v>
      </c>
      <c r="AH4288" s="65">
        <f t="shared" si="662"/>
        <v>0</v>
      </c>
      <c r="AI4288" s="47"/>
      <c r="AJ4288" s="126" t="e">
        <v>#N/A</v>
      </c>
      <c r="AK4288" s="80">
        <f t="shared" si="655"/>
        <v>0</v>
      </c>
      <c r="AM4288" s="85"/>
    </row>
    <row r="4289" spans="1:39" hidden="1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659"/>
        <v>283.4900000000016</v>
      </c>
      <c r="X4289" s="6">
        <f t="shared" si="660"/>
        <v>0</v>
      </c>
      <c r="Y4289" s="13">
        <f t="shared" si="653"/>
        <v>0</v>
      </c>
      <c r="Z4289" s="14">
        <v>0</v>
      </c>
      <c r="AA4289" s="6">
        <v>0</v>
      </c>
      <c r="AB4289" s="4">
        <f t="shared" si="654"/>
        <v>0</v>
      </c>
      <c r="AC4289" s="4">
        <f t="shared" si="656"/>
        <v>0</v>
      </c>
      <c r="AD4289" s="6">
        <f t="shared" si="661"/>
        <v>0</v>
      </c>
      <c r="AE4289" s="2">
        <f>VLOOKUP(I4289,[1]媒体政策预估表!A:N,MATCH(O4289,[1]媒体政策预估表!$A$2:$M$2,0),0)</f>
        <v>0.12</v>
      </c>
      <c r="AF4289" s="6">
        <f t="shared" si="657"/>
        <v>0</v>
      </c>
      <c r="AG4289" s="14">
        <v>0</v>
      </c>
      <c r="AH4289" s="65">
        <f t="shared" si="662"/>
        <v>0</v>
      </c>
      <c r="AI4289" s="47"/>
      <c r="AJ4289" s="126" t="e">
        <v>#N/A</v>
      </c>
      <c r="AK4289" s="80">
        <f t="shared" si="655"/>
        <v>0</v>
      </c>
      <c r="AM4289" s="85"/>
    </row>
    <row r="4290" spans="1:39" hidden="1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659"/>
        <v>108831.65385999993</v>
      </c>
      <c r="X4290" s="6">
        <f t="shared" si="660"/>
        <v>0</v>
      </c>
      <c r="Y4290" s="13">
        <f t="shared" si="653"/>
        <v>0</v>
      </c>
      <c r="Z4290" s="14">
        <v>0</v>
      </c>
      <c r="AA4290" s="6">
        <v>0</v>
      </c>
      <c r="AB4290" s="4">
        <f t="shared" si="654"/>
        <v>0</v>
      </c>
      <c r="AC4290" s="4">
        <f t="shared" si="656"/>
        <v>0</v>
      </c>
      <c r="AD4290" s="6">
        <f t="shared" si="661"/>
        <v>0</v>
      </c>
      <c r="AE4290" s="2">
        <f>VLOOKUP(I4290,[1]媒体政策预估表!A:N,MATCH(O4290,[1]媒体政策预估表!$A$2:$M$2,0),0)</f>
        <v>0.12</v>
      </c>
      <c r="AF4290" s="6">
        <f t="shared" si="657"/>
        <v>0</v>
      </c>
      <c r="AG4290" s="14">
        <v>0</v>
      </c>
      <c r="AH4290" s="65">
        <f t="shared" si="662"/>
        <v>0</v>
      </c>
      <c r="AI4290" s="47"/>
      <c r="AJ4290" s="126" t="e">
        <v>#N/A</v>
      </c>
      <c r="AK4290" s="80">
        <f t="shared" si="655"/>
        <v>0</v>
      </c>
      <c r="AM4290" s="85"/>
    </row>
    <row r="4291" spans="1:39" hidden="1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659"/>
        <v>13.353929999982938</v>
      </c>
      <c r="X4291" s="6">
        <f t="shared" si="660"/>
        <v>0</v>
      </c>
      <c r="Y4291" s="13">
        <f t="shared" ref="Y4291:Y4354" si="663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664">X4291+AA4291</f>
        <v>0</v>
      </c>
      <c r="AC4291" s="4">
        <f t="shared" si="656"/>
        <v>0</v>
      </c>
      <c r="AD4291" s="6">
        <f t="shared" si="661"/>
        <v>0</v>
      </c>
      <c r="AE4291" s="2">
        <f>VLOOKUP(I4291,[1]媒体政策预估表!A:N,MATCH(O4291,[1]媒体政策预估表!$A$2:$M$2,0),0)</f>
        <v>7.0000000000000007E-2</v>
      </c>
      <c r="AF4291" s="6">
        <f t="shared" si="657"/>
        <v>0</v>
      </c>
      <c r="AG4291" s="14">
        <v>0</v>
      </c>
      <c r="AH4291" s="65">
        <f t="shared" si="662"/>
        <v>0</v>
      </c>
      <c r="AI4291" s="47"/>
      <c r="AJ4291" s="126" t="e">
        <v>#N/A</v>
      </c>
      <c r="AK4291" s="80">
        <f t="shared" ref="AK4291:AK4354" si="665">X4291+AA4291-AB4291</f>
        <v>0</v>
      </c>
      <c r="AM4291" s="85"/>
    </row>
    <row r="4292" spans="1:39" hidden="1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659"/>
        <v>656.99999999994179</v>
      </c>
      <c r="X4292" s="6">
        <f t="shared" si="660"/>
        <v>0</v>
      </c>
      <c r="Y4292" s="13">
        <f t="shared" si="663"/>
        <v>0</v>
      </c>
      <c r="Z4292" s="14">
        <v>0</v>
      </c>
      <c r="AA4292" s="6">
        <v>0</v>
      </c>
      <c r="AB4292" s="4">
        <f t="shared" si="664"/>
        <v>0</v>
      </c>
      <c r="AC4292" s="4">
        <f t="shared" si="656"/>
        <v>0</v>
      </c>
      <c r="AD4292" s="6">
        <f t="shared" si="661"/>
        <v>0</v>
      </c>
      <c r="AE4292" s="2">
        <f>VLOOKUP(I4292,[1]媒体政策预估表!A:N,MATCH(O4292,[1]媒体政策预估表!$A$2:$M$2,0),0)</f>
        <v>7.0000000000000007E-2</v>
      </c>
      <c r="AF4292" s="6">
        <f t="shared" si="657"/>
        <v>0</v>
      </c>
      <c r="AG4292" s="14">
        <v>0</v>
      </c>
      <c r="AH4292" s="65">
        <f t="shared" si="662"/>
        <v>0</v>
      </c>
      <c r="AI4292" s="47"/>
      <c r="AJ4292" s="126" t="e">
        <v>#N/A</v>
      </c>
      <c r="AK4292" s="80">
        <f t="shared" si="665"/>
        <v>0</v>
      </c>
      <c r="AM4292" s="85"/>
    </row>
    <row r="4293" spans="1:39" hidden="1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659"/>
        <v>-47.45000000030268</v>
      </c>
      <c r="X4293" s="6">
        <f t="shared" si="660"/>
        <v>0</v>
      </c>
      <c r="Y4293" s="13">
        <f t="shared" si="663"/>
        <v>0</v>
      </c>
      <c r="Z4293" s="14">
        <v>0</v>
      </c>
      <c r="AA4293" s="6">
        <v>0</v>
      </c>
      <c r="AB4293" s="4">
        <f t="shared" si="664"/>
        <v>0</v>
      </c>
      <c r="AC4293" s="4">
        <f t="shared" si="656"/>
        <v>0</v>
      </c>
      <c r="AD4293" s="6">
        <f t="shared" si="661"/>
        <v>0</v>
      </c>
      <c r="AE4293" s="2">
        <f>VLOOKUP(I4293,[1]媒体政策预估表!A:N,MATCH(O4293,[1]媒体政策预估表!$A$2:$M$2,0),0)</f>
        <v>7.0000000000000007E-2</v>
      </c>
      <c r="AF4293" s="6">
        <f t="shared" si="657"/>
        <v>0</v>
      </c>
      <c r="AG4293" s="14">
        <v>0</v>
      </c>
      <c r="AH4293" s="65">
        <f t="shared" si="662"/>
        <v>0</v>
      </c>
      <c r="AI4293" s="47"/>
      <c r="AJ4293" s="126" t="e">
        <v>#N/A</v>
      </c>
      <c r="AK4293" s="80">
        <f t="shared" si="665"/>
        <v>0</v>
      </c>
      <c r="AM4293" s="85"/>
    </row>
    <row r="4294" spans="1:39" hidden="1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659"/>
        <v>-2.4999999999892566</v>
      </c>
      <c r="X4294" s="6">
        <f t="shared" si="660"/>
        <v>0</v>
      </c>
      <c r="Y4294" s="13">
        <f t="shared" si="663"/>
        <v>0</v>
      </c>
      <c r="Z4294" s="14">
        <v>0</v>
      </c>
      <c r="AA4294" s="6">
        <v>0</v>
      </c>
      <c r="AB4294" s="4">
        <f t="shared" si="664"/>
        <v>0</v>
      </c>
      <c r="AC4294" s="4">
        <f t="shared" si="656"/>
        <v>0</v>
      </c>
      <c r="AD4294" s="6">
        <f t="shared" si="661"/>
        <v>0</v>
      </c>
      <c r="AE4294" s="2">
        <f>VLOOKUP(I4294,[1]媒体政策预估表!A:N,MATCH(O4294,[1]媒体政策预估表!$A$2:$M$2,0),0)</f>
        <v>7.0000000000000007E-2</v>
      </c>
      <c r="AF4294" s="6">
        <f t="shared" si="657"/>
        <v>0</v>
      </c>
      <c r="AG4294" s="14">
        <v>0</v>
      </c>
      <c r="AH4294" s="65">
        <f t="shared" si="662"/>
        <v>0</v>
      </c>
      <c r="AI4294" s="47"/>
      <c r="AJ4294" s="126" t="e">
        <v>#N/A</v>
      </c>
      <c r="AK4294" s="80">
        <f t="shared" si="665"/>
        <v>0</v>
      </c>
      <c r="AM4294" s="85"/>
    </row>
    <row r="4295" spans="1:39" hidden="1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659"/>
        <v>-4.4999999998719433</v>
      </c>
      <c r="X4295" s="6">
        <f t="shared" si="660"/>
        <v>0</v>
      </c>
      <c r="Y4295" s="13">
        <f t="shared" si="663"/>
        <v>0</v>
      </c>
      <c r="Z4295" s="14">
        <v>0</v>
      </c>
      <c r="AA4295" s="6">
        <v>0</v>
      </c>
      <c r="AB4295" s="4">
        <f t="shared" si="664"/>
        <v>0</v>
      </c>
      <c r="AC4295" s="4">
        <f t="shared" si="656"/>
        <v>0</v>
      </c>
      <c r="AD4295" s="6">
        <f t="shared" si="661"/>
        <v>0</v>
      </c>
      <c r="AE4295" s="2">
        <f>VLOOKUP(I4295,[1]媒体政策预估表!A:N,MATCH(O4295,[1]媒体政策预估表!$A$2:$M$2,0),0)</f>
        <v>7.0000000000000007E-2</v>
      </c>
      <c r="AF4295" s="6">
        <f t="shared" si="657"/>
        <v>0</v>
      </c>
      <c r="AG4295" s="14">
        <v>0</v>
      </c>
      <c r="AH4295" s="65">
        <f t="shared" si="662"/>
        <v>0</v>
      </c>
      <c r="AI4295" s="47"/>
      <c r="AJ4295" s="126" t="e">
        <v>#N/A</v>
      </c>
      <c r="AK4295" s="80">
        <f t="shared" si="665"/>
        <v>0</v>
      </c>
      <c r="AM4295" s="85"/>
    </row>
    <row r="4296" spans="1:39" hidden="1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659"/>
        <v>-4.1000000000065029</v>
      </c>
      <c r="X4296" s="6">
        <f t="shared" si="660"/>
        <v>0</v>
      </c>
      <c r="Y4296" s="13">
        <f t="shared" si="663"/>
        <v>0</v>
      </c>
      <c r="Z4296" s="14">
        <v>0</v>
      </c>
      <c r="AA4296" s="6">
        <v>0</v>
      </c>
      <c r="AB4296" s="4">
        <f t="shared" si="664"/>
        <v>0</v>
      </c>
      <c r="AC4296" s="4">
        <f t="shared" si="656"/>
        <v>0</v>
      </c>
      <c r="AD4296" s="6">
        <f t="shared" si="661"/>
        <v>0</v>
      </c>
      <c r="AE4296" s="2">
        <f>VLOOKUP(I4296,[1]媒体政策预估表!A:N,MATCH(O4296,[1]媒体政策预估表!$A$2:$M$2,0),0)</f>
        <v>7.0000000000000007E-2</v>
      </c>
      <c r="AF4296" s="6">
        <f t="shared" si="657"/>
        <v>0</v>
      </c>
      <c r="AG4296" s="14">
        <v>0</v>
      </c>
      <c r="AH4296" s="65">
        <f t="shared" si="662"/>
        <v>0</v>
      </c>
      <c r="AI4296" s="47"/>
      <c r="AJ4296" s="126" t="e">
        <v>#N/A</v>
      </c>
      <c r="AK4296" s="80">
        <f t="shared" si="665"/>
        <v>0</v>
      </c>
      <c r="AM4296" s="85"/>
    </row>
    <row r="4297" spans="1:39" hidden="1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659"/>
        <v>-88.000000000025466</v>
      </c>
      <c r="X4297" s="6">
        <f t="shared" si="660"/>
        <v>0</v>
      </c>
      <c r="Y4297" s="13">
        <f t="shared" si="663"/>
        <v>0</v>
      </c>
      <c r="Z4297" s="14">
        <v>0</v>
      </c>
      <c r="AA4297" s="6">
        <v>0</v>
      </c>
      <c r="AB4297" s="4">
        <f t="shared" si="664"/>
        <v>0</v>
      </c>
      <c r="AC4297" s="4">
        <f t="shared" si="656"/>
        <v>0</v>
      </c>
      <c r="AD4297" s="6">
        <f t="shared" si="661"/>
        <v>0</v>
      </c>
      <c r="AE4297" s="2">
        <f>VLOOKUP(I4297,[1]媒体政策预估表!A:N,MATCH(O4297,[1]媒体政策预估表!$A$2:$M$2,0),0)</f>
        <v>7.0000000000000007E-2</v>
      </c>
      <c r="AF4297" s="6">
        <f t="shared" si="657"/>
        <v>0</v>
      </c>
      <c r="AG4297" s="14">
        <v>0</v>
      </c>
      <c r="AH4297" s="65">
        <f t="shared" si="662"/>
        <v>0</v>
      </c>
      <c r="AI4297" s="47"/>
      <c r="AJ4297" s="126" t="e">
        <v>#N/A</v>
      </c>
      <c r="AK4297" s="80">
        <f t="shared" si="665"/>
        <v>0</v>
      </c>
      <c r="AM4297" s="85"/>
    </row>
    <row r="4298" spans="1:39" hidden="1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659"/>
        <v>-1.45</v>
      </c>
      <c r="X4298" s="6">
        <f t="shared" si="660"/>
        <v>0</v>
      </c>
      <c r="Y4298" s="13">
        <f t="shared" si="663"/>
        <v>0</v>
      </c>
      <c r="Z4298" s="14">
        <v>0</v>
      </c>
      <c r="AA4298" s="6">
        <v>0</v>
      </c>
      <c r="AB4298" s="4">
        <f t="shared" si="664"/>
        <v>0</v>
      </c>
      <c r="AC4298" s="4">
        <f t="shared" si="656"/>
        <v>0</v>
      </c>
      <c r="AD4298" s="6">
        <f t="shared" si="661"/>
        <v>0</v>
      </c>
      <c r="AE4298" s="2">
        <f>VLOOKUP(I4298,[1]媒体政策预估表!A:N,MATCH(O4298,[1]媒体政策预估表!$A$2:$M$2,0),0)</f>
        <v>7.0000000000000007E-2</v>
      </c>
      <c r="AF4298" s="6">
        <f t="shared" si="657"/>
        <v>0</v>
      </c>
      <c r="AG4298" s="14">
        <v>0</v>
      </c>
      <c r="AH4298" s="65">
        <f t="shared" si="662"/>
        <v>0</v>
      </c>
      <c r="AI4298" s="47"/>
      <c r="AJ4298" s="126" t="e">
        <v>#N/A</v>
      </c>
      <c r="AK4298" s="80">
        <f t="shared" si="665"/>
        <v>0</v>
      </c>
      <c r="AM4298" s="85"/>
    </row>
    <row r="4299" spans="1:39" hidden="1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659"/>
        <v>0.29000000000145504</v>
      </c>
      <c r="X4299" s="6">
        <f t="shared" si="660"/>
        <v>0</v>
      </c>
      <c r="Y4299" s="13">
        <f t="shared" si="663"/>
        <v>0</v>
      </c>
      <c r="Z4299" s="14">
        <v>0</v>
      </c>
      <c r="AA4299" s="6">
        <v>0</v>
      </c>
      <c r="AB4299" s="4">
        <f t="shared" si="664"/>
        <v>0</v>
      </c>
      <c r="AC4299" s="4">
        <f t="shared" si="656"/>
        <v>0</v>
      </c>
      <c r="AD4299" s="6">
        <f t="shared" si="661"/>
        <v>0</v>
      </c>
      <c r="AE4299" s="2">
        <f>VLOOKUP(I4299,[1]媒体政策预估表!A:N,MATCH(O4299,[1]媒体政策预估表!$A$2:$M$2,0),0)</f>
        <v>0.12</v>
      </c>
      <c r="AF4299" s="6">
        <f t="shared" si="657"/>
        <v>0</v>
      </c>
      <c r="AG4299" s="14">
        <v>0</v>
      </c>
      <c r="AH4299" s="65">
        <f t="shared" si="662"/>
        <v>0</v>
      </c>
      <c r="AI4299" s="47"/>
      <c r="AJ4299" s="126" t="e">
        <v>#N/A</v>
      </c>
      <c r="AK4299" s="80">
        <f t="shared" si="665"/>
        <v>0</v>
      </c>
      <c r="AM4299" s="85"/>
    </row>
    <row r="4300" spans="1:39" hidden="1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659"/>
        <v>2768595.0750100003</v>
      </c>
      <c r="X4300" s="6">
        <f t="shared" si="660"/>
        <v>0</v>
      </c>
      <c r="Y4300" s="13">
        <f t="shared" si="663"/>
        <v>0</v>
      </c>
      <c r="Z4300" s="14">
        <v>0</v>
      </c>
      <c r="AA4300" s="6">
        <v>0</v>
      </c>
      <c r="AB4300" s="4">
        <f t="shared" si="664"/>
        <v>0</v>
      </c>
      <c r="AC4300" s="4">
        <f t="shared" ref="AC4300:AC4363" si="666">IF(P4300="返现",X4300*Q4300,V4300-X4300)</f>
        <v>0</v>
      </c>
      <c r="AD4300" s="6">
        <f t="shared" si="661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667">AD4300*AE4300</f>
        <v>0</v>
      </c>
      <c r="AG4300" s="14">
        <v>0</v>
      </c>
      <c r="AH4300" s="65">
        <f t="shared" si="662"/>
        <v>0</v>
      </c>
      <c r="AI4300" s="47"/>
      <c r="AJ4300" s="126" t="e">
        <v>#N/A</v>
      </c>
      <c r="AK4300" s="80">
        <f t="shared" si="665"/>
        <v>0</v>
      </c>
      <c r="AM4300" s="85"/>
    </row>
    <row r="4301" spans="1:39" hidden="1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659"/>
        <v>-6.5200000000186265</v>
      </c>
      <c r="X4301" s="6">
        <f t="shared" si="660"/>
        <v>0</v>
      </c>
      <c r="Y4301" s="13">
        <f t="shared" si="663"/>
        <v>0</v>
      </c>
      <c r="Z4301" s="14">
        <v>0</v>
      </c>
      <c r="AA4301" s="6">
        <v>0</v>
      </c>
      <c r="AB4301" s="4">
        <f t="shared" si="664"/>
        <v>0</v>
      </c>
      <c r="AC4301" s="4">
        <f t="shared" si="666"/>
        <v>0</v>
      </c>
      <c r="AD4301" s="6">
        <f t="shared" si="661"/>
        <v>0</v>
      </c>
      <c r="AE4301" s="2">
        <f>VLOOKUP(I4301,[1]媒体政策预估表!A:N,MATCH(O4301,[1]媒体政策预估表!$A$2:$M$2,0),0)</f>
        <v>7.0000000000000007E-2</v>
      </c>
      <c r="AF4301" s="6">
        <f t="shared" si="667"/>
        <v>0</v>
      </c>
      <c r="AG4301" s="14">
        <v>0</v>
      </c>
      <c r="AH4301" s="65">
        <f t="shared" si="662"/>
        <v>0</v>
      </c>
      <c r="AI4301" s="47"/>
      <c r="AJ4301" s="126" t="e">
        <v>#N/A</v>
      </c>
      <c r="AK4301" s="80">
        <f t="shared" si="665"/>
        <v>0</v>
      </c>
      <c r="AM4301" s="85"/>
    </row>
    <row r="4302" spans="1:39" hidden="1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659"/>
        <v>0.34000000000014552</v>
      </c>
      <c r="X4302" s="6">
        <f t="shared" si="660"/>
        <v>0</v>
      </c>
      <c r="Y4302" s="13">
        <f t="shared" si="663"/>
        <v>0</v>
      </c>
      <c r="Z4302" s="14">
        <v>0</v>
      </c>
      <c r="AA4302" s="6">
        <v>0</v>
      </c>
      <c r="AB4302" s="4">
        <f t="shared" si="664"/>
        <v>0</v>
      </c>
      <c r="AC4302" s="4">
        <f t="shared" si="666"/>
        <v>0</v>
      </c>
      <c r="AD4302" s="6">
        <f t="shared" si="661"/>
        <v>0</v>
      </c>
      <c r="AE4302" s="2">
        <f>VLOOKUP(I4302,[1]媒体政策预估表!A:N,MATCH(O4302,[1]媒体政策预估表!$A$2:$M$2,0),0)</f>
        <v>0.12</v>
      </c>
      <c r="AF4302" s="6">
        <f t="shared" si="667"/>
        <v>0</v>
      </c>
      <c r="AG4302" s="14">
        <v>0</v>
      </c>
      <c r="AH4302" s="65">
        <f t="shared" si="662"/>
        <v>0</v>
      </c>
      <c r="AI4302" s="47"/>
      <c r="AJ4302" s="126" t="e">
        <v>#N/A</v>
      </c>
      <c r="AK4302" s="80">
        <f t="shared" si="665"/>
        <v>0</v>
      </c>
      <c r="AM4302" s="85"/>
    </row>
    <row r="4303" spans="1:39" hidden="1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659"/>
        <v>-4.0000000007012204E-2</v>
      </c>
      <c r="X4303" s="6">
        <f t="shared" si="660"/>
        <v>0</v>
      </c>
      <c r="Y4303" s="13">
        <f t="shared" si="663"/>
        <v>0</v>
      </c>
      <c r="Z4303" s="14">
        <v>0</v>
      </c>
      <c r="AA4303" s="6">
        <v>0</v>
      </c>
      <c r="AB4303" s="4">
        <f t="shared" si="664"/>
        <v>0</v>
      </c>
      <c r="AC4303" s="4">
        <f t="shared" si="666"/>
        <v>0</v>
      </c>
      <c r="AD4303" s="6">
        <f t="shared" si="661"/>
        <v>0</v>
      </c>
      <c r="AE4303" s="2">
        <f>VLOOKUP(I4303,[1]媒体政策预估表!A:N,MATCH(O4303,[1]媒体政策预估表!$A$2:$M$2,0),0)</f>
        <v>7.0000000000000007E-2</v>
      </c>
      <c r="AF4303" s="6">
        <f t="shared" si="667"/>
        <v>0</v>
      </c>
      <c r="AG4303" s="14">
        <v>0</v>
      </c>
      <c r="AH4303" s="65">
        <f t="shared" si="662"/>
        <v>0</v>
      </c>
      <c r="AI4303" s="47"/>
      <c r="AJ4303" s="126" t="e">
        <v>#N/A</v>
      </c>
      <c r="AK4303" s="80">
        <f t="shared" si="665"/>
        <v>0</v>
      </c>
      <c r="AM4303" s="85"/>
    </row>
    <row r="4304" spans="1:39" hidden="1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659"/>
        <v>-245.00000000000364</v>
      </c>
      <c r="X4304" s="6">
        <f t="shared" si="660"/>
        <v>0</v>
      </c>
      <c r="Y4304" s="13">
        <f t="shared" si="663"/>
        <v>0</v>
      </c>
      <c r="Z4304" s="14">
        <v>0</v>
      </c>
      <c r="AA4304" s="6">
        <v>0</v>
      </c>
      <c r="AB4304" s="4">
        <f t="shared" si="664"/>
        <v>0</v>
      </c>
      <c r="AC4304" s="4">
        <f t="shared" si="666"/>
        <v>0</v>
      </c>
      <c r="AD4304" s="6">
        <f t="shared" si="661"/>
        <v>0</v>
      </c>
      <c r="AE4304" s="2">
        <f>VLOOKUP(I4304,[1]媒体政策预估表!A:N,MATCH(O4304,[1]媒体政策预估表!$A$2:$M$2,0),0)</f>
        <v>7.0000000000000007E-2</v>
      </c>
      <c r="AF4304" s="6">
        <f t="shared" si="667"/>
        <v>0</v>
      </c>
      <c r="AG4304" s="14">
        <v>0</v>
      </c>
      <c r="AH4304" s="65">
        <f t="shared" si="662"/>
        <v>0</v>
      </c>
      <c r="AI4304" s="47"/>
      <c r="AJ4304" s="126" t="e">
        <v>#N/A</v>
      </c>
      <c r="AK4304" s="80">
        <f t="shared" si="665"/>
        <v>0</v>
      </c>
      <c r="AM4304" s="85"/>
    </row>
    <row r="4305" spans="1:39" hidden="1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659"/>
        <v>5.8789900001138449</v>
      </c>
      <c r="X4305" s="6">
        <f t="shared" si="660"/>
        <v>0</v>
      </c>
      <c r="Y4305" s="13">
        <f t="shared" si="663"/>
        <v>0</v>
      </c>
      <c r="Z4305" s="14">
        <v>0</v>
      </c>
      <c r="AA4305" s="6">
        <v>0</v>
      </c>
      <c r="AB4305" s="4">
        <f t="shared" si="664"/>
        <v>0</v>
      </c>
      <c r="AC4305" s="4">
        <f t="shared" si="666"/>
        <v>0</v>
      </c>
      <c r="AD4305" s="6">
        <f t="shared" si="661"/>
        <v>0</v>
      </c>
      <c r="AE4305" s="2">
        <f>VLOOKUP(I4305,[1]媒体政策预估表!A:N,MATCH(O4305,[1]媒体政策预估表!$A$2:$M$2,0),0)</f>
        <v>7.0000000000000007E-2</v>
      </c>
      <c r="AF4305" s="6">
        <f t="shared" si="667"/>
        <v>0</v>
      </c>
      <c r="AG4305" s="14">
        <v>0</v>
      </c>
      <c r="AH4305" s="65">
        <f t="shared" si="662"/>
        <v>0</v>
      </c>
      <c r="AI4305" s="47"/>
      <c r="AJ4305" s="126" t="e">
        <v>#N/A</v>
      </c>
      <c r="AK4305" s="80">
        <f t="shared" si="665"/>
        <v>0</v>
      </c>
      <c r="AM4305" s="85"/>
    </row>
    <row r="4306" spans="1:39" hidden="1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659"/>
        <v>35.500050000031479</v>
      </c>
      <c r="X4306" s="6">
        <f t="shared" si="660"/>
        <v>0</v>
      </c>
      <c r="Y4306" s="13">
        <f t="shared" si="663"/>
        <v>0</v>
      </c>
      <c r="Z4306" s="14">
        <v>0</v>
      </c>
      <c r="AA4306" s="6">
        <v>0</v>
      </c>
      <c r="AB4306" s="4">
        <f t="shared" si="664"/>
        <v>0</v>
      </c>
      <c r="AC4306" s="4">
        <f t="shared" si="666"/>
        <v>0</v>
      </c>
      <c r="AD4306" s="6">
        <f t="shared" si="661"/>
        <v>0</v>
      </c>
      <c r="AE4306" s="2">
        <f>VLOOKUP(I4306,[1]媒体政策预估表!A:N,MATCH(O4306,[1]媒体政策预估表!$A$2:$M$2,0),0)</f>
        <v>7.0000000000000007E-2</v>
      </c>
      <c r="AF4306" s="6">
        <f t="shared" si="667"/>
        <v>0</v>
      </c>
      <c r="AG4306" s="14">
        <v>0</v>
      </c>
      <c r="AH4306" s="65">
        <f t="shared" si="662"/>
        <v>0</v>
      </c>
      <c r="AI4306" s="47"/>
      <c r="AJ4306" s="126" t="e">
        <v>#N/A</v>
      </c>
      <c r="AK4306" s="80">
        <f t="shared" si="665"/>
        <v>0</v>
      </c>
      <c r="AM4306" s="85"/>
    </row>
    <row r="4307" spans="1:39" hidden="1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659"/>
        <v>190585.96999999997</v>
      </c>
      <c r="X4307" s="6">
        <f t="shared" si="660"/>
        <v>0</v>
      </c>
      <c r="Y4307" s="13">
        <f t="shared" si="663"/>
        <v>0</v>
      </c>
      <c r="Z4307" s="14">
        <v>0</v>
      </c>
      <c r="AA4307" s="6">
        <v>0</v>
      </c>
      <c r="AB4307" s="4">
        <f t="shared" si="664"/>
        <v>0</v>
      </c>
      <c r="AC4307" s="4">
        <f t="shared" si="666"/>
        <v>0</v>
      </c>
      <c r="AD4307" s="6">
        <f t="shared" si="661"/>
        <v>0</v>
      </c>
      <c r="AE4307" s="2">
        <f>VLOOKUP(I4307,[1]媒体政策预估表!A:N,MATCH(O4307,[1]媒体政策预估表!$A$2:$M$2,0),0)</f>
        <v>7.0000000000000007E-2</v>
      </c>
      <c r="AF4307" s="6">
        <f t="shared" si="667"/>
        <v>0</v>
      </c>
      <c r="AG4307" s="14">
        <v>0</v>
      </c>
      <c r="AH4307" s="65">
        <f t="shared" si="662"/>
        <v>0</v>
      </c>
      <c r="AI4307" s="47"/>
      <c r="AJ4307" s="126" t="e">
        <v>#N/A</v>
      </c>
      <c r="AK4307" s="80">
        <f t="shared" si="665"/>
        <v>0</v>
      </c>
      <c r="AM4307" s="85"/>
    </row>
    <row r="4308" spans="1:39" hidden="1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659"/>
        <v>478.91000000000031</v>
      </c>
      <c r="X4308" s="6">
        <f t="shared" si="660"/>
        <v>0</v>
      </c>
      <c r="Y4308" s="13">
        <f t="shared" si="663"/>
        <v>0</v>
      </c>
      <c r="Z4308" s="14">
        <v>0</v>
      </c>
      <c r="AA4308" s="6">
        <v>0</v>
      </c>
      <c r="AB4308" s="4">
        <f t="shared" si="664"/>
        <v>0</v>
      </c>
      <c r="AC4308" s="4">
        <f t="shared" si="666"/>
        <v>0</v>
      </c>
      <c r="AD4308" s="6">
        <f t="shared" si="661"/>
        <v>0</v>
      </c>
      <c r="AE4308" s="2">
        <f>VLOOKUP(I4308,[1]媒体政策预估表!A:N,MATCH(O4308,[1]媒体政策预估表!$A$2:$M$2,0),0)</f>
        <v>7.0000000000000007E-2</v>
      </c>
      <c r="AF4308" s="6">
        <f t="shared" si="667"/>
        <v>0</v>
      </c>
      <c r="AG4308" s="14">
        <v>0</v>
      </c>
      <c r="AH4308" s="65">
        <f t="shared" si="662"/>
        <v>0</v>
      </c>
      <c r="AI4308" s="47"/>
      <c r="AJ4308" s="126" t="e">
        <v>#N/A</v>
      </c>
      <c r="AK4308" s="80">
        <f t="shared" si="665"/>
        <v>0</v>
      </c>
      <c r="AM4308" s="85"/>
    </row>
    <row r="4309" spans="1:39" hidden="1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659"/>
        <v>14529.130000000099</v>
      </c>
      <c r="X4309" s="6">
        <f t="shared" si="660"/>
        <v>15812.115384615383</v>
      </c>
      <c r="Y4309" s="13">
        <f t="shared" si="663"/>
        <v>0</v>
      </c>
      <c r="Z4309" s="14">
        <v>0</v>
      </c>
      <c r="AA4309" s="6">
        <v>0</v>
      </c>
      <c r="AB4309" s="4">
        <f t="shared" si="664"/>
        <v>15812.115384615383</v>
      </c>
      <c r="AC4309" s="4">
        <f t="shared" si="666"/>
        <v>632.48461538461561</v>
      </c>
      <c r="AD4309" s="6">
        <f t="shared" si="661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667"/>
        <v>1151.1220000000001</v>
      </c>
      <c r="AG4309" s="14">
        <v>0</v>
      </c>
      <c r="AH4309" s="65">
        <f t="shared" si="662"/>
        <v>16444.599999999999</v>
      </c>
      <c r="AI4309" s="47"/>
      <c r="AJ4309" s="126" t="e">
        <v>#N/A</v>
      </c>
      <c r="AK4309" s="80">
        <f t="shared" si="665"/>
        <v>0</v>
      </c>
      <c r="AM4309" s="85"/>
    </row>
    <row r="4310" spans="1:39" hidden="1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659"/>
        <v>21905.768390000001</v>
      </c>
      <c r="X4310" s="6">
        <f t="shared" si="660"/>
        <v>0</v>
      </c>
      <c r="Y4310" s="13">
        <f t="shared" si="663"/>
        <v>0</v>
      </c>
      <c r="Z4310" s="14">
        <v>0</v>
      </c>
      <c r="AA4310" s="6">
        <v>0</v>
      </c>
      <c r="AB4310" s="4">
        <f t="shared" si="664"/>
        <v>0</v>
      </c>
      <c r="AC4310" s="4">
        <f t="shared" si="666"/>
        <v>0</v>
      </c>
      <c r="AD4310" s="6">
        <f t="shared" si="661"/>
        <v>0</v>
      </c>
      <c r="AE4310" s="2">
        <f>VLOOKUP(I4310,[1]媒体政策预估表!A:N,MATCH(O4310,[1]媒体政策预估表!$A$2:$M$2,0),0)</f>
        <v>0.12</v>
      </c>
      <c r="AF4310" s="6">
        <f t="shared" si="667"/>
        <v>0</v>
      </c>
      <c r="AG4310" s="14">
        <v>0</v>
      </c>
      <c r="AH4310" s="65">
        <f t="shared" si="662"/>
        <v>0</v>
      </c>
      <c r="AI4310" s="47"/>
      <c r="AJ4310" s="126" t="e">
        <v>#N/A</v>
      </c>
      <c r="AK4310" s="80">
        <f t="shared" si="665"/>
        <v>0</v>
      </c>
      <c r="AM4310" s="85"/>
    </row>
    <row r="4311" spans="1:39" hidden="1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659"/>
        <v>-5.5000000007566996E-2</v>
      </c>
      <c r="X4311" s="6">
        <f t="shared" si="660"/>
        <v>0</v>
      </c>
      <c r="Y4311" s="13">
        <f t="shared" si="663"/>
        <v>0</v>
      </c>
      <c r="Z4311" s="14">
        <v>0</v>
      </c>
      <c r="AA4311" s="6">
        <v>0</v>
      </c>
      <c r="AB4311" s="4">
        <f t="shared" si="664"/>
        <v>0</v>
      </c>
      <c r="AC4311" s="4">
        <f t="shared" si="666"/>
        <v>0</v>
      </c>
      <c r="AD4311" s="6">
        <f t="shared" si="661"/>
        <v>0</v>
      </c>
      <c r="AE4311" s="2">
        <f>VLOOKUP(I4311,[1]媒体政策预估表!A:N,MATCH(O4311,[1]媒体政策预估表!$A$2:$M$2,0),0)</f>
        <v>7.0000000000000007E-2</v>
      </c>
      <c r="AF4311" s="6">
        <f t="shared" si="667"/>
        <v>0</v>
      </c>
      <c r="AG4311" s="14">
        <v>0</v>
      </c>
      <c r="AH4311" s="65">
        <f t="shared" si="662"/>
        <v>0</v>
      </c>
      <c r="AI4311" s="47"/>
      <c r="AJ4311" s="126" t="e">
        <v>#N/A</v>
      </c>
      <c r="AK4311" s="80">
        <f t="shared" si="665"/>
        <v>0</v>
      </c>
      <c r="AM4311" s="85"/>
    </row>
    <row r="4312" spans="1:39" hidden="1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659"/>
        <v>-36.899999999906868</v>
      </c>
      <c r="X4312" s="6">
        <f t="shared" si="660"/>
        <v>0</v>
      </c>
      <c r="Y4312" s="13">
        <f t="shared" si="663"/>
        <v>0</v>
      </c>
      <c r="Z4312" s="14">
        <v>0</v>
      </c>
      <c r="AA4312" s="6">
        <v>0</v>
      </c>
      <c r="AB4312" s="4">
        <f t="shared" si="664"/>
        <v>0</v>
      </c>
      <c r="AC4312" s="4">
        <f t="shared" si="666"/>
        <v>0</v>
      </c>
      <c r="AD4312" s="6">
        <f t="shared" si="661"/>
        <v>0</v>
      </c>
      <c r="AE4312" s="2">
        <f>VLOOKUP(I4312,[1]媒体政策预估表!A:N,MATCH(O4312,[1]媒体政策预估表!$A$2:$M$2,0),0)</f>
        <v>7.0000000000000007E-2</v>
      </c>
      <c r="AF4312" s="6">
        <f t="shared" si="667"/>
        <v>0</v>
      </c>
      <c r="AG4312" s="14">
        <v>0</v>
      </c>
      <c r="AH4312" s="65">
        <f t="shared" si="662"/>
        <v>0</v>
      </c>
      <c r="AI4312" s="47"/>
      <c r="AJ4312" s="126" t="e">
        <v>#N/A</v>
      </c>
      <c r="AK4312" s="80">
        <f t="shared" si="665"/>
        <v>0</v>
      </c>
      <c r="AM4312" s="85"/>
    </row>
    <row r="4313" spans="1:39" hidden="1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659"/>
        <v>-472.23486000046614</v>
      </c>
      <c r="X4313" s="6">
        <f t="shared" si="660"/>
        <v>0</v>
      </c>
      <c r="Y4313" s="13">
        <f t="shared" si="663"/>
        <v>0</v>
      </c>
      <c r="Z4313" s="14">
        <v>0</v>
      </c>
      <c r="AA4313" s="6">
        <v>0</v>
      </c>
      <c r="AB4313" s="4">
        <f t="shared" si="664"/>
        <v>0</v>
      </c>
      <c r="AC4313" s="4">
        <f t="shared" si="666"/>
        <v>0</v>
      </c>
      <c r="AD4313" s="6">
        <f t="shared" si="661"/>
        <v>0</v>
      </c>
      <c r="AE4313" s="2">
        <f>VLOOKUP(I4313,[1]媒体政策预估表!A:N,MATCH(O4313,[1]媒体政策预估表!$A$2:$M$2,0),0)</f>
        <v>7.0000000000000007E-2</v>
      </c>
      <c r="AF4313" s="6">
        <f t="shared" si="667"/>
        <v>0</v>
      </c>
      <c r="AG4313" s="14">
        <v>0</v>
      </c>
      <c r="AH4313" s="65">
        <f t="shared" si="662"/>
        <v>0</v>
      </c>
      <c r="AI4313" s="47"/>
      <c r="AJ4313" s="126" t="e">
        <v>#N/A</v>
      </c>
      <c r="AK4313" s="80">
        <f t="shared" si="665"/>
        <v>0</v>
      </c>
      <c r="AM4313" s="85"/>
    </row>
    <row r="4314" spans="1:39" hidden="1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659"/>
        <v>-2.1000000000009891</v>
      </c>
      <c r="X4314" s="6">
        <f t="shared" si="660"/>
        <v>0</v>
      </c>
      <c r="Y4314" s="13">
        <f t="shared" si="663"/>
        <v>0</v>
      </c>
      <c r="Z4314" s="14">
        <v>0</v>
      </c>
      <c r="AA4314" s="6">
        <v>0</v>
      </c>
      <c r="AB4314" s="4">
        <f t="shared" si="664"/>
        <v>0</v>
      </c>
      <c r="AC4314" s="4">
        <f t="shared" si="666"/>
        <v>0</v>
      </c>
      <c r="AD4314" s="6">
        <f t="shared" si="661"/>
        <v>0</v>
      </c>
      <c r="AE4314" s="2">
        <f>VLOOKUP(I4314,[1]媒体政策预估表!A:N,MATCH(O4314,[1]媒体政策预估表!$A$2:$M$2,0),0)</f>
        <v>7.0000000000000007E-2</v>
      </c>
      <c r="AF4314" s="6">
        <f t="shared" si="667"/>
        <v>0</v>
      </c>
      <c r="AG4314" s="14">
        <v>0</v>
      </c>
      <c r="AH4314" s="65">
        <f t="shared" si="662"/>
        <v>0</v>
      </c>
      <c r="AI4314" s="47"/>
      <c r="AJ4314" s="126" t="e">
        <v>#N/A</v>
      </c>
      <c r="AK4314" s="80">
        <f t="shared" si="665"/>
        <v>0</v>
      </c>
      <c r="AM4314" s="85"/>
    </row>
    <row r="4315" spans="1:39" hidden="1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659"/>
        <v>0</v>
      </c>
      <c r="X4315" s="6">
        <f t="shared" si="660"/>
        <v>32530.899999999994</v>
      </c>
      <c r="Y4315" s="13">
        <f t="shared" si="663"/>
        <v>0</v>
      </c>
      <c r="Z4315" s="14">
        <v>0</v>
      </c>
      <c r="AA4315" s="6">
        <v>0</v>
      </c>
      <c r="AB4315" s="4">
        <f t="shared" si="664"/>
        <v>32530.899999999994</v>
      </c>
      <c r="AC4315" s="4">
        <f t="shared" si="666"/>
        <v>0</v>
      </c>
      <c r="AD4315" s="6">
        <f t="shared" si="661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667"/>
        <v>2277.163</v>
      </c>
      <c r="AG4315" s="14">
        <v>0</v>
      </c>
      <c r="AH4315" s="65">
        <f t="shared" si="662"/>
        <v>32530.899999999994</v>
      </c>
      <c r="AI4315" s="47"/>
      <c r="AJ4315" s="126" t="e">
        <v>#N/A</v>
      </c>
      <c r="AK4315" s="80">
        <f t="shared" si="665"/>
        <v>0</v>
      </c>
      <c r="AM4315" s="85"/>
    </row>
    <row r="4316" spans="1:39" hidden="1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659"/>
        <v>-2.5985699997283405</v>
      </c>
      <c r="X4316" s="6">
        <f t="shared" si="660"/>
        <v>0</v>
      </c>
      <c r="Y4316" s="13">
        <f t="shared" si="663"/>
        <v>0</v>
      </c>
      <c r="Z4316" s="14">
        <v>0</v>
      </c>
      <c r="AA4316" s="6">
        <v>0</v>
      </c>
      <c r="AB4316" s="4">
        <f t="shared" si="664"/>
        <v>0</v>
      </c>
      <c r="AC4316" s="4">
        <f t="shared" si="666"/>
        <v>0</v>
      </c>
      <c r="AD4316" s="6">
        <f t="shared" si="661"/>
        <v>0</v>
      </c>
      <c r="AE4316" s="2">
        <f>VLOOKUP(I4316,[1]媒体政策预估表!A:N,MATCH(O4316,[1]媒体政策预估表!$A$2:$M$2,0),0)</f>
        <v>7.0000000000000007E-2</v>
      </c>
      <c r="AF4316" s="6">
        <f t="shared" si="667"/>
        <v>0</v>
      </c>
      <c r="AG4316" s="14">
        <v>0</v>
      </c>
      <c r="AH4316" s="65">
        <f t="shared" si="662"/>
        <v>0</v>
      </c>
      <c r="AI4316" s="47"/>
      <c r="AJ4316" s="126" t="e">
        <v>#N/A</v>
      </c>
      <c r="AK4316" s="80">
        <f t="shared" si="665"/>
        <v>0</v>
      </c>
      <c r="AM4316" s="85"/>
    </row>
    <row r="4317" spans="1:39" hidden="1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659"/>
        <v>-1.2099999999991269</v>
      </c>
      <c r="X4317" s="6">
        <f t="shared" si="660"/>
        <v>0</v>
      </c>
      <c r="Y4317" s="13">
        <f t="shared" si="663"/>
        <v>0</v>
      </c>
      <c r="Z4317" s="14">
        <v>0</v>
      </c>
      <c r="AA4317" s="6">
        <v>0</v>
      </c>
      <c r="AB4317" s="4">
        <f t="shared" si="664"/>
        <v>0</v>
      </c>
      <c r="AC4317" s="4">
        <f t="shared" si="666"/>
        <v>0</v>
      </c>
      <c r="AD4317" s="6">
        <f t="shared" si="661"/>
        <v>0</v>
      </c>
      <c r="AE4317" s="2">
        <f>VLOOKUP(I4317,[1]媒体政策预估表!A:N,MATCH(O4317,[1]媒体政策预估表!$A$2:$M$2,0),0)</f>
        <v>7.0000000000000007E-2</v>
      </c>
      <c r="AF4317" s="6">
        <f t="shared" si="667"/>
        <v>0</v>
      </c>
      <c r="AG4317" s="14">
        <v>0</v>
      </c>
      <c r="AH4317" s="65">
        <f t="shared" si="662"/>
        <v>0</v>
      </c>
      <c r="AI4317" s="47"/>
      <c r="AJ4317" s="126" t="e">
        <v>#N/A</v>
      </c>
      <c r="AK4317" s="80">
        <f t="shared" si="665"/>
        <v>0</v>
      </c>
      <c r="AM4317" s="85"/>
    </row>
    <row r="4318" spans="1:39" hidden="1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659"/>
        <v>-0.8000000000174623</v>
      </c>
      <c r="X4318" s="6">
        <f t="shared" si="660"/>
        <v>0</v>
      </c>
      <c r="Y4318" s="13">
        <f t="shared" si="663"/>
        <v>0</v>
      </c>
      <c r="Z4318" s="14">
        <v>0</v>
      </c>
      <c r="AA4318" s="6">
        <v>0</v>
      </c>
      <c r="AB4318" s="4">
        <f t="shared" si="664"/>
        <v>0</v>
      </c>
      <c r="AC4318" s="4">
        <f t="shared" si="666"/>
        <v>0</v>
      </c>
      <c r="AD4318" s="6">
        <f t="shared" si="661"/>
        <v>0</v>
      </c>
      <c r="AE4318" s="2">
        <f>VLOOKUP(I4318,[1]媒体政策预估表!A:N,MATCH(O4318,[1]媒体政策预估表!$A$2:$M$2,0),0)</f>
        <v>7.0000000000000007E-2</v>
      </c>
      <c r="AF4318" s="6">
        <f t="shared" si="667"/>
        <v>0</v>
      </c>
      <c r="AG4318" s="14">
        <v>0</v>
      </c>
      <c r="AH4318" s="65">
        <f t="shared" si="662"/>
        <v>0</v>
      </c>
      <c r="AI4318" s="47"/>
      <c r="AJ4318" s="126" t="e">
        <v>#N/A</v>
      </c>
      <c r="AK4318" s="80">
        <f t="shared" si="665"/>
        <v>0</v>
      </c>
      <c r="AM4318" s="85"/>
    </row>
    <row r="4319" spans="1:39" hidden="1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659"/>
        <v>7.2300000000104774</v>
      </c>
      <c r="X4319" s="6">
        <f t="shared" si="660"/>
        <v>0</v>
      </c>
      <c r="Y4319" s="13">
        <f t="shared" si="663"/>
        <v>0</v>
      </c>
      <c r="Z4319" s="14">
        <v>0</v>
      </c>
      <c r="AA4319" s="6">
        <v>0</v>
      </c>
      <c r="AB4319" s="4">
        <f t="shared" si="664"/>
        <v>0</v>
      </c>
      <c r="AC4319" s="4">
        <f t="shared" si="666"/>
        <v>0</v>
      </c>
      <c r="AD4319" s="6">
        <f t="shared" si="661"/>
        <v>0</v>
      </c>
      <c r="AE4319" s="2">
        <f>VLOOKUP(I4319,[1]媒体政策预估表!A:N,MATCH(O4319,[1]媒体政策预估表!$A$2:$M$2,0),0)</f>
        <v>7.0000000000000007E-2</v>
      </c>
      <c r="AF4319" s="6">
        <f t="shared" si="667"/>
        <v>0</v>
      </c>
      <c r="AG4319" s="14">
        <v>0</v>
      </c>
      <c r="AH4319" s="65">
        <f t="shared" si="662"/>
        <v>0</v>
      </c>
      <c r="AI4319" s="47"/>
      <c r="AJ4319" s="126" t="e">
        <v>#N/A</v>
      </c>
      <c r="AK4319" s="80">
        <f t="shared" si="665"/>
        <v>0</v>
      </c>
      <c r="AM4319" s="85"/>
    </row>
    <row r="4320" spans="1:39" hidden="1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659"/>
        <v>-70.300000000337604</v>
      </c>
      <c r="X4320" s="6">
        <f t="shared" si="660"/>
        <v>0</v>
      </c>
      <c r="Y4320" s="13">
        <f t="shared" si="663"/>
        <v>0</v>
      </c>
      <c r="Z4320" s="14">
        <v>0</v>
      </c>
      <c r="AA4320" s="6">
        <v>0</v>
      </c>
      <c r="AB4320" s="4">
        <f t="shared" si="664"/>
        <v>0</v>
      </c>
      <c r="AC4320" s="4">
        <f t="shared" si="666"/>
        <v>0</v>
      </c>
      <c r="AD4320" s="6">
        <f t="shared" si="661"/>
        <v>0</v>
      </c>
      <c r="AE4320" s="2">
        <f>VLOOKUP(I4320,[1]媒体政策预估表!A:N,MATCH(O4320,[1]媒体政策预估表!$A$2:$M$2,0),0)</f>
        <v>7.0000000000000007E-2</v>
      </c>
      <c r="AF4320" s="6">
        <f t="shared" si="667"/>
        <v>0</v>
      </c>
      <c r="AG4320" s="14">
        <v>0</v>
      </c>
      <c r="AH4320" s="65">
        <f t="shared" si="662"/>
        <v>0</v>
      </c>
      <c r="AI4320" s="47"/>
      <c r="AJ4320" s="126" t="e">
        <v>#N/A</v>
      </c>
      <c r="AK4320" s="80">
        <f t="shared" si="665"/>
        <v>0</v>
      </c>
      <c r="AM4320" s="85"/>
    </row>
    <row r="4321" spans="1:39" hidden="1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659"/>
        <v>-0.9</v>
      </c>
      <c r="X4321" s="6">
        <f t="shared" si="660"/>
        <v>0</v>
      </c>
      <c r="Y4321" s="13">
        <f t="shared" si="663"/>
        <v>0</v>
      </c>
      <c r="Z4321" s="14">
        <v>0</v>
      </c>
      <c r="AA4321" s="6">
        <v>0</v>
      </c>
      <c r="AB4321" s="4">
        <f t="shared" si="664"/>
        <v>0</v>
      </c>
      <c r="AC4321" s="4">
        <f t="shared" si="666"/>
        <v>0</v>
      </c>
      <c r="AD4321" s="6">
        <f t="shared" si="661"/>
        <v>0</v>
      </c>
      <c r="AE4321" s="2">
        <f>VLOOKUP(I4321,[1]媒体政策预估表!A:N,MATCH(O4321,[1]媒体政策预估表!$A$2:$M$2,0),0)</f>
        <v>7.0000000000000007E-2</v>
      </c>
      <c r="AF4321" s="6">
        <f t="shared" si="667"/>
        <v>0</v>
      </c>
      <c r="AG4321" s="14">
        <v>0</v>
      </c>
      <c r="AH4321" s="65">
        <f t="shared" si="662"/>
        <v>0</v>
      </c>
      <c r="AI4321" s="47"/>
      <c r="AJ4321" s="126" t="e">
        <v>#N/A</v>
      </c>
      <c r="AK4321" s="80">
        <f t="shared" si="665"/>
        <v>0</v>
      </c>
      <c r="AM4321" s="85"/>
    </row>
    <row r="4322" spans="1:39" hidden="1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659"/>
        <v>15000</v>
      </c>
      <c r="X4322" s="6">
        <f t="shared" si="660"/>
        <v>0</v>
      </c>
      <c r="Y4322" s="13">
        <f t="shared" si="663"/>
        <v>0</v>
      </c>
      <c r="Z4322" s="14">
        <v>0</v>
      </c>
      <c r="AA4322" s="6">
        <v>0</v>
      </c>
      <c r="AB4322" s="4">
        <f t="shared" si="664"/>
        <v>0</v>
      </c>
      <c r="AC4322" s="4">
        <f t="shared" si="666"/>
        <v>0</v>
      </c>
      <c r="AD4322" s="6">
        <f t="shared" si="661"/>
        <v>0</v>
      </c>
      <c r="AE4322" s="2">
        <f>VLOOKUP(I4322,[1]媒体政策预估表!A:N,MATCH(O4322,[1]媒体政策预估表!$A$2:$M$2,0),0)</f>
        <v>0.12</v>
      </c>
      <c r="AF4322" s="6">
        <f t="shared" si="667"/>
        <v>0</v>
      </c>
      <c r="AG4322" s="14">
        <v>0</v>
      </c>
      <c r="AH4322" s="65">
        <f t="shared" si="662"/>
        <v>0</v>
      </c>
      <c r="AI4322" s="47"/>
      <c r="AJ4322" s="126" t="e">
        <v>#N/A</v>
      </c>
      <c r="AK4322" s="80">
        <f t="shared" si="665"/>
        <v>0</v>
      </c>
      <c r="AM4322" s="85"/>
    </row>
    <row r="4323" spans="1:39" hidden="1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659"/>
        <v>412.40000000000146</v>
      </c>
      <c r="X4323" s="6">
        <f t="shared" si="660"/>
        <v>0</v>
      </c>
      <c r="Y4323" s="13">
        <f t="shared" si="663"/>
        <v>0</v>
      </c>
      <c r="Z4323" s="14">
        <v>0</v>
      </c>
      <c r="AA4323" s="6">
        <v>0</v>
      </c>
      <c r="AB4323" s="4">
        <f t="shared" si="664"/>
        <v>0</v>
      </c>
      <c r="AC4323" s="4">
        <f t="shared" si="666"/>
        <v>0</v>
      </c>
      <c r="AD4323" s="6">
        <f t="shared" si="661"/>
        <v>0</v>
      </c>
      <c r="AE4323" s="2">
        <f>VLOOKUP(I4323,[1]媒体政策预估表!A:N,MATCH(O4323,[1]媒体政策预估表!$A$2:$M$2,0),0)</f>
        <v>7.0000000000000007E-2</v>
      </c>
      <c r="AF4323" s="6">
        <f t="shared" si="667"/>
        <v>0</v>
      </c>
      <c r="AG4323" s="14">
        <v>0</v>
      </c>
      <c r="AH4323" s="65">
        <f t="shared" si="662"/>
        <v>0</v>
      </c>
      <c r="AI4323" s="47"/>
      <c r="AJ4323" s="126" t="e">
        <v>#N/A</v>
      </c>
      <c r="AK4323" s="80">
        <f t="shared" si="665"/>
        <v>0</v>
      </c>
      <c r="AM4323" s="85"/>
    </row>
    <row r="4324" spans="1:39" hidden="1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659"/>
        <v>442.49999999999636</v>
      </c>
      <c r="X4324" s="6">
        <f t="shared" si="660"/>
        <v>0</v>
      </c>
      <c r="Y4324" s="13">
        <f t="shared" si="663"/>
        <v>0</v>
      </c>
      <c r="Z4324" s="14">
        <v>0</v>
      </c>
      <c r="AA4324" s="6">
        <v>0</v>
      </c>
      <c r="AB4324" s="4">
        <f t="shared" si="664"/>
        <v>0</v>
      </c>
      <c r="AC4324" s="4">
        <f t="shared" si="666"/>
        <v>0</v>
      </c>
      <c r="AD4324" s="6">
        <f t="shared" si="661"/>
        <v>0</v>
      </c>
      <c r="AE4324" s="2">
        <f>VLOOKUP(I4324,[1]媒体政策预估表!A:N,MATCH(O4324,[1]媒体政策预估表!$A$2:$M$2,0),0)</f>
        <v>7.0000000000000007E-2</v>
      </c>
      <c r="AF4324" s="6">
        <f t="shared" si="667"/>
        <v>0</v>
      </c>
      <c r="AG4324" s="14">
        <v>0</v>
      </c>
      <c r="AH4324" s="65">
        <f t="shared" si="662"/>
        <v>0</v>
      </c>
      <c r="AI4324" s="47"/>
      <c r="AJ4324" s="126" t="e">
        <v>#N/A</v>
      </c>
      <c r="AK4324" s="80">
        <f t="shared" si="665"/>
        <v>0</v>
      </c>
      <c r="AM4324" s="85"/>
    </row>
    <row r="4325" spans="1:39" hidden="1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659"/>
        <v>-0.1</v>
      </c>
      <c r="X4325" s="6">
        <f t="shared" si="660"/>
        <v>0</v>
      </c>
      <c r="Y4325" s="13">
        <f t="shared" si="663"/>
        <v>0</v>
      </c>
      <c r="Z4325" s="14">
        <v>0</v>
      </c>
      <c r="AA4325" s="6">
        <v>0</v>
      </c>
      <c r="AB4325" s="4">
        <f t="shared" si="664"/>
        <v>0</v>
      </c>
      <c r="AC4325" s="4">
        <f t="shared" si="666"/>
        <v>0</v>
      </c>
      <c r="AD4325" s="6">
        <f t="shared" si="661"/>
        <v>0</v>
      </c>
      <c r="AE4325" s="2">
        <f>VLOOKUP(I4325,[1]媒体政策预估表!A:N,MATCH(O4325,[1]媒体政策预估表!$A$2:$M$2,0),0)</f>
        <v>7.0000000000000007E-2</v>
      </c>
      <c r="AF4325" s="6">
        <f t="shared" si="667"/>
        <v>0</v>
      </c>
      <c r="AG4325" s="14">
        <v>0</v>
      </c>
      <c r="AH4325" s="65">
        <f t="shared" si="662"/>
        <v>0</v>
      </c>
      <c r="AI4325" s="47"/>
      <c r="AJ4325" s="126" t="e">
        <v>#N/A</v>
      </c>
      <c r="AK4325" s="80">
        <f t="shared" si="665"/>
        <v>0</v>
      </c>
      <c r="AM4325" s="85"/>
    </row>
    <row r="4326" spans="1:39" hidden="1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659"/>
        <v>569024.13454000012</v>
      </c>
      <c r="X4326" s="6">
        <f t="shared" si="660"/>
        <v>0</v>
      </c>
      <c r="Y4326" s="13">
        <f t="shared" si="663"/>
        <v>0</v>
      </c>
      <c r="Z4326" s="14">
        <v>0</v>
      </c>
      <c r="AA4326" s="6">
        <v>0</v>
      </c>
      <c r="AB4326" s="4">
        <f t="shared" si="664"/>
        <v>0</v>
      </c>
      <c r="AC4326" s="4">
        <f t="shared" si="666"/>
        <v>0</v>
      </c>
      <c r="AD4326" s="6">
        <f t="shared" si="661"/>
        <v>0</v>
      </c>
      <c r="AE4326" s="2">
        <f>VLOOKUP(I4326,[1]媒体政策预估表!A:N,MATCH(O4326,[1]媒体政策预估表!$A$2:$M$2,0),0)</f>
        <v>0.12</v>
      </c>
      <c r="AF4326" s="6">
        <f t="shared" si="667"/>
        <v>0</v>
      </c>
      <c r="AG4326" s="14">
        <v>0</v>
      </c>
      <c r="AH4326" s="65">
        <f t="shared" si="662"/>
        <v>0</v>
      </c>
      <c r="AI4326" s="47"/>
      <c r="AJ4326" s="126" t="e">
        <v>#N/A</v>
      </c>
      <c r="AK4326" s="80">
        <f t="shared" si="665"/>
        <v>0</v>
      </c>
      <c r="AM4326" s="85"/>
    </row>
    <row r="4327" spans="1:39" hidden="1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659"/>
        <v>-95730.62</v>
      </c>
      <c r="X4327" s="6">
        <f t="shared" si="660"/>
        <v>0</v>
      </c>
      <c r="Y4327" s="13">
        <f t="shared" si="663"/>
        <v>0</v>
      </c>
      <c r="Z4327" s="14">
        <v>0</v>
      </c>
      <c r="AA4327" s="6">
        <v>0</v>
      </c>
      <c r="AB4327" s="4">
        <f t="shared" si="664"/>
        <v>0</v>
      </c>
      <c r="AC4327" s="4">
        <f t="shared" si="666"/>
        <v>0</v>
      </c>
      <c r="AD4327" s="6">
        <f t="shared" si="661"/>
        <v>0</v>
      </c>
      <c r="AE4327" s="2">
        <f>VLOOKUP(I4327,[1]媒体政策预估表!A:N,MATCH(O4327,[1]媒体政策预估表!$A$2:$M$2,0),0)</f>
        <v>7.0000000000000007E-2</v>
      </c>
      <c r="AF4327" s="6">
        <f t="shared" si="667"/>
        <v>0</v>
      </c>
      <c r="AG4327" s="14">
        <v>0</v>
      </c>
      <c r="AH4327" s="65">
        <f t="shared" si="662"/>
        <v>0</v>
      </c>
      <c r="AI4327" s="47"/>
      <c r="AJ4327" s="126" t="e">
        <v>#N/A</v>
      </c>
      <c r="AK4327" s="80">
        <f t="shared" si="665"/>
        <v>0</v>
      </c>
      <c r="AM4327" s="85"/>
    </row>
    <row r="4328" spans="1:39" hidden="1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659"/>
        <v>-69520.026129999998</v>
      </c>
      <c r="X4328" s="6">
        <f t="shared" si="660"/>
        <v>0</v>
      </c>
      <c r="Y4328" s="13">
        <f t="shared" si="663"/>
        <v>0</v>
      </c>
      <c r="Z4328" s="14">
        <v>0</v>
      </c>
      <c r="AA4328" s="6">
        <v>0</v>
      </c>
      <c r="AB4328" s="4">
        <f t="shared" si="664"/>
        <v>0</v>
      </c>
      <c r="AC4328" s="4">
        <f t="shared" si="666"/>
        <v>0</v>
      </c>
      <c r="AD4328" s="6">
        <f t="shared" si="661"/>
        <v>0</v>
      </c>
      <c r="AE4328" s="2">
        <f>VLOOKUP(I4328,[1]媒体政策预估表!A:N,MATCH(O4328,[1]媒体政策预估表!$A$2:$M$2,0),0)</f>
        <v>0.12</v>
      </c>
      <c r="AF4328" s="6">
        <f t="shared" si="667"/>
        <v>0</v>
      </c>
      <c r="AG4328" s="14">
        <v>0</v>
      </c>
      <c r="AH4328" s="65">
        <f t="shared" si="662"/>
        <v>0</v>
      </c>
      <c r="AI4328" s="47"/>
      <c r="AJ4328" s="126" t="e">
        <v>#N/A</v>
      </c>
      <c r="AK4328" s="80">
        <f t="shared" si="665"/>
        <v>0</v>
      </c>
      <c r="AM4328" s="85"/>
    </row>
    <row r="4329" spans="1:39" hidden="1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659"/>
        <v>95503.372560000047</v>
      </c>
      <c r="X4329" s="6">
        <f t="shared" si="660"/>
        <v>0</v>
      </c>
      <c r="Y4329" s="13">
        <f t="shared" si="663"/>
        <v>0</v>
      </c>
      <c r="Z4329" s="14">
        <v>0</v>
      </c>
      <c r="AA4329" s="6">
        <v>0</v>
      </c>
      <c r="AB4329" s="4">
        <f t="shared" si="664"/>
        <v>0</v>
      </c>
      <c r="AC4329" s="4">
        <f t="shared" si="666"/>
        <v>0</v>
      </c>
      <c r="AD4329" s="6">
        <f t="shared" si="661"/>
        <v>0</v>
      </c>
      <c r="AE4329" s="2">
        <f>VLOOKUP(I4329,[1]媒体政策预估表!A:N,MATCH(O4329,[1]媒体政策预估表!$A$2:$M$2,0),0)</f>
        <v>7.0000000000000007E-2</v>
      </c>
      <c r="AF4329" s="6">
        <f t="shared" si="667"/>
        <v>0</v>
      </c>
      <c r="AG4329" s="14">
        <v>0</v>
      </c>
      <c r="AH4329" s="65">
        <f t="shared" si="662"/>
        <v>0</v>
      </c>
      <c r="AI4329" s="47"/>
      <c r="AJ4329" s="126" t="e">
        <v>#N/A</v>
      </c>
      <c r="AK4329" s="80">
        <f t="shared" si="665"/>
        <v>0</v>
      </c>
      <c r="AM4329" s="85"/>
    </row>
    <row r="4330" spans="1:39" hidden="1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659"/>
        <v>-1.3</v>
      </c>
      <c r="X4330" s="6">
        <f t="shared" si="660"/>
        <v>0</v>
      </c>
      <c r="Y4330" s="13">
        <f t="shared" si="663"/>
        <v>0</v>
      </c>
      <c r="Z4330" s="14">
        <v>0</v>
      </c>
      <c r="AA4330" s="6">
        <v>0</v>
      </c>
      <c r="AB4330" s="4">
        <f t="shared" si="664"/>
        <v>0</v>
      </c>
      <c r="AC4330" s="4">
        <f t="shared" si="666"/>
        <v>0</v>
      </c>
      <c r="AD4330" s="6">
        <f t="shared" si="661"/>
        <v>0</v>
      </c>
      <c r="AE4330" s="2">
        <f>VLOOKUP(I4330,[1]媒体政策预估表!A:N,MATCH(O4330,[1]媒体政策预估表!$A$2:$M$2,0),0)</f>
        <v>7.0000000000000007E-2</v>
      </c>
      <c r="AF4330" s="6">
        <f t="shared" si="667"/>
        <v>0</v>
      </c>
      <c r="AG4330" s="14">
        <v>0</v>
      </c>
      <c r="AH4330" s="65">
        <f t="shared" si="662"/>
        <v>0</v>
      </c>
      <c r="AI4330" s="47"/>
      <c r="AJ4330" s="126" t="e">
        <v>#N/A</v>
      </c>
      <c r="AK4330" s="80">
        <f t="shared" si="665"/>
        <v>0</v>
      </c>
      <c r="AM4330" s="85"/>
    </row>
    <row r="4331" spans="1:39" hidden="1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660"/>
        <v>0</v>
      </c>
      <c r="Y4331" s="13">
        <f t="shared" si="663"/>
        <v>0</v>
      </c>
      <c r="Z4331" s="14">
        <v>0</v>
      </c>
      <c r="AA4331" s="6">
        <v>0</v>
      </c>
      <c r="AB4331" s="4">
        <f t="shared" si="664"/>
        <v>0</v>
      </c>
      <c r="AC4331" s="4">
        <f t="shared" si="666"/>
        <v>0</v>
      </c>
      <c r="AD4331" s="6">
        <f t="shared" si="661"/>
        <v>0</v>
      </c>
      <c r="AE4331" s="2">
        <f>VLOOKUP(I4331,[1]媒体政策预估表!A:N,MATCH(O4331,[1]媒体政策预估表!$A$2:$M$2,0),0)</f>
        <v>0.12</v>
      </c>
      <c r="AF4331" s="6">
        <f t="shared" si="667"/>
        <v>0</v>
      </c>
      <c r="AG4331" s="14">
        <v>0</v>
      </c>
      <c r="AH4331" s="65">
        <f t="shared" si="662"/>
        <v>0</v>
      </c>
      <c r="AI4331" s="47"/>
      <c r="AJ4331" s="126" t="e">
        <v>#N/A</v>
      </c>
      <c r="AK4331" s="80">
        <f t="shared" si="665"/>
        <v>0</v>
      </c>
      <c r="AM4331" s="85"/>
    </row>
    <row r="4332" spans="1:39" hidden="1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659"/>
        <v>-42.80000000003929</v>
      </c>
      <c r="X4332" s="6">
        <f t="shared" si="660"/>
        <v>0</v>
      </c>
      <c r="Y4332" s="13">
        <f t="shared" si="663"/>
        <v>0</v>
      </c>
      <c r="Z4332" s="14">
        <v>0</v>
      </c>
      <c r="AA4332" s="6">
        <v>0</v>
      </c>
      <c r="AB4332" s="4">
        <f t="shared" si="664"/>
        <v>0</v>
      </c>
      <c r="AC4332" s="4">
        <f t="shared" si="666"/>
        <v>0</v>
      </c>
      <c r="AD4332" s="6">
        <f t="shared" si="661"/>
        <v>0</v>
      </c>
      <c r="AE4332" s="2">
        <f>VLOOKUP(I4332,[1]媒体政策预估表!A:N,MATCH(O4332,[1]媒体政策预估表!$A$2:$M$2,0),0)</f>
        <v>7.0000000000000007E-2</v>
      </c>
      <c r="AF4332" s="6">
        <f t="shared" si="667"/>
        <v>0</v>
      </c>
      <c r="AG4332" s="14">
        <v>0</v>
      </c>
      <c r="AH4332" s="65">
        <f t="shared" si="662"/>
        <v>0</v>
      </c>
      <c r="AI4332" s="47"/>
      <c r="AJ4332" s="126" t="e">
        <v>#N/A</v>
      </c>
      <c r="AK4332" s="80">
        <f t="shared" si="665"/>
        <v>0</v>
      </c>
      <c r="AM4332" s="85"/>
    </row>
    <row r="4333" spans="1:39" hidden="1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659"/>
        <v>-117.30000000010477</v>
      </c>
      <c r="X4333" s="6">
        <f t="shared" si="660"/>
        <v>0</v>
      </c>
      <c r="Y4333" s="13">
        <f t="shared" si="663"/>
        <v>0</v>
      </c>
      <c r="Z4333" s="14">
        <v>0</v>
      </c>
      <c r="AA4333" s="6">
        <v>0</v>
      </c>
      <c r="AB4333" s="4">
        <f t="shared" si="664"/>
        <v>0</v>
      </c>
      <c r="AC4333" s="4">
        <f t="shared" si="666"/>
        <v>0</v>
      </c>
      <c r="AD4333" s="6">
        <f t="shared" si="661"/>
        <v>0</v>
      </c>
      <c r="AE4333" s="2">
        <f>VLOOKUP(I4333,[1]媒体政策预估表!A:N,MATCH(O4333,[1]媒体政策预估表!$A$2:$M$2,0),0)</f>
        <v>7.0000000000000007E-2</v>
      </c>
      <c r="AF4333" s="6">
        <f t="shared" si="667"/>
        <v>0</v>
      </c>
      <c r="AG4333" s="14">
        <v>0</v>
      </c>
      <c r="AH4333" s="65">
        <f t="shared" si="662"/>
        <v>0</v>
      </c>
      <c r="AI4333" s="47"/>
      <c r="AJ4333" s="126" t="e">
        <v>#N/A</v>
      </c>
      <c r="AK4333" s="80">
        <f t="shared" si="665"/>
        <v>0</v>
      </c>
      <c r="AM4333" s="85"/>
    </row>
    <row r="4334" spans="1:39" hidden="1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659"/>
        <v>518666.41804000008</v>
      </c>
      <c r="X4334" s="6">
        <f t="shared" si="660"/>
        <v>0</v>
      </c>
      <c r="Y4334" s="13">
        <f t="shared" si="663"/>
        <v>0</v>
      </c>
      <c r="Z4334" s="14">
        <v>0</v>
      </c>
      <c r="AA4334" s="6">
        <v>0</v>
      </c>
      <c r="AB4334" s="4">
        <f t="shared" si="664"/>
        <v>0</v>
      </c>
      <c r="AC4334" s="4">
        <f t="shared" si="666"/>
        <v>0</v>
      </c>
      <c r="AD4334" s="6">
        <f t="shared" si="661"/>
        <v>0</v>
      </c>
      <c r="AE4334" s="2">
        <f>VLOOKUP(I4334,[1]媒体政策预估表!A:N,MATCH(O4334,[1]媒体政策预估表!$A$2:$M$2,0),0)</f>
        <v>0.12</v>
      </c>
      <c r="AF4334" s="6">
        <f t="shared" si="667"/>
        <v>0</v>
      </c>
      <c r="AG4334" s="14">
        <v>0</v>
      </c>
      <c r="AH4334" s="65">
        <f t="shared" si="662"/>
        <v>0</v>
      </c>
      <c r="AI4334" s="47"/>
      <c r="AJ4334" s="126" t="e">
        <v>#N/A</v>
      </c>
      <c r="AK4334" s="80">
        <f t="shared" si="665"/>
        <v>0</v>
      </c>
      <c r="AM4334" s="85"/>
    </row>
    <row r="4335" spans="1:39" hidden="1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659"/>
        <v>805462.72551999986</v>
      </c>
      <c r="X4335" s="6">
        <f t="shared" si="660"/>
        <v>0</v>
      </c>
      <c r="Y4335" s="13">
        <f t="shared" si="663"/>
        <v>0</v>
      </c>
      <c r="Z4335" s="14">
        <v>0</v>
      </c>
      <c r="AA4335" s="6">
        <v>0</v>
      </c>
      <c r="AB4335" s="4">
        <f t="shared" si="664"/>
        <v>0</v>
      </c>
      <c r="AC4335" s="4">
        <f t="shared" si="666"/>
        <v>0</v>
      </c>
      <c r="AD4335" s="6">
        <f t="shared" si="661"/>
        <v>0</v>
      </c>
      <c r="AE4335" s="2">
        <f>VLOOKUP(I4335,[1]媒体政策预估表!A:N,MATCH(O4335,[1]媒体政策预估表!$A$2:$M$2,0),0)</f>
        <v>0.12</v>
      </c>
      <c r="AF4335" s="6">
        <f t="shared" si="667"/>
        <v>0</v>
      </c>
      <c r="AG4335" s="14">
        <v>0</v>
      </c>
      <c r="AH4335" s="65">
        <f t="shared" si="662"/>
        <v>0</v>
      </c>
      <c r="AI4335" s="47"/>
      <c r="AJ4335" s="126" t="e">
        <v>#N/A</v>
      </c>
      <c r="AK4335" s="80">
        <f t="shared" si="665"/>
        <v>0</v>
      </c>
      <c r="AM4335" s="85"/>
    </row>
    <row r="4336" spans="1:39" hidden="1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659"/>
        <v>579763.91428000014</v>
      </c>
      <c r="X4336" s="6">
        <f t="shared" si="660"/>
        <v>0</v>
      </c>
      <c r="Y4336" s="13">
        <f t="shared" si="663"/>
        <v>0</v>
      </c>
      <c r="Z4336" s="14">
        <v>0</v>
      </c>
      <c r="AA4336" s="6">
        <v>0</v>
      </c>
      <c r="AB4336" s="4">
        <f t="shared" si="664"/>
        <v>0</v>
      </c>
      <c r="AC4336" s="4">
        <f t="shared" si="666"/>
        <v>0</v>
      </c>
      <c r="AD4336" s="6">
        <f t="shared" si="661"/>
        <v>0</v>
      </c>
      <c r="AE4336" s="2">
        <f>VLOOKUP(I4336,[1]媒体政策预估表!A:N,MATCH(O4336,[1]媒体政策预估表!$A$2:$M$2,0),0)</f>
        <v>0.12</v>
      </c>
      <c r="AF4336" s="6">
        <f t="shared" si="667"/>
        <v>0</v>
      </c>
      <c r="AG4336" s="14">
        <v>0</v>
      </c>
      <c r="AH4336" s="65">
        <f t="shared" si="662"/>
        <v>0</v>
      </c>
      <c r="AI4336" s="47"/>
      <c r="AJ4336" s="126" t="e">
        <v>#N/A</v>
      </c>
      <c r="AK4336" s="80">
        <f t="shared" si="665"/>
        <v>0</v>
      </c>
      <c r="AM4336" s="85"/>
    </row>
    <row r="4337" spans="1:39" hidden="1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659"/>
        <v>-0.7</v>
      </c>
      <c r="X4337" s="6">
        <f t="shared" si="660"/>
        <v>0</v>
      </c>
      <c r="Y4337" s="13">
        <f t="shared" si="663"/>
        <v>0</v>
      </c>
      <c r="Z4337" s="14">
        <v>0</v>
      </c>
      <c r="AA4337" s="6">
        <v>0</v>
      </c>
      <c r="AB4337" s="4">
        <f t="shared" si="664"/>
        <v>0</v>
      </c>
      <c r="AC4337" s="4">
        <f t="shared" si="666"/>
        <v>0</v>
      </c>
      <c r="AD4337" s="6">
        <f t="shared" si="661"/>
        <v>0</v>
      </c>
      <c r="AE4337" s="2">
        <f>VLOOKUP(I4337,[1]媒体政策预估表!A:N,MATCH(O4337,[1]媒体政策预估表!$A$2:$M$2,0),0)</f>
        <v>7.0000000000000007E-2</v>
      </c>
      <c r="AF4337" s="6">
        <f t="shared" si="667"/>
        <v>0</v>
      </c>
      <c r="AG4337" s="14">
        <v>0</v>
      </c>
      <c r="AH4337" s="65">
        <f t="shared" si="662"/>
        <v>0</v>
      </c>
      <c r="AI4337" s="47"/>
      <c r="AJ4337" s="126" t="e">
        <v>#N/A</v>
      </c>
      <c r="AK4337" s="80">
        <f t="shared" si="665"/>
        <v>0</v>
      </c>
      <c r="AM4337" s="85"/>
    </row>
    <row r="4338" spans="1:39" hidden="1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659"/>
        <v>493.73499999999967</v>
      </c>
      <c r="X4338" s="6">
        <f t="shared" si="660"/>
        <v>5071</v>
      </c>
      <c r="Y4338" s="13">
        <f t="shared" si="663"/>
        <v>0</v>
      </c>
      <c r="Z4338" s="14">
        <v>0</v>
      </c>
      <c r="AA4338" s="6">
        <v>0</v>
      </c>
      <c r="AB4338" s="4">
        <f t="shared" si="664"/>
        <v>5071</v>
      </c>
      <c r="AC4338" s="4">
        <f t="shared" si="666"/>
        <v>0</v>
      </c>
      <c r="AD4338" s="6">
        <f t="shared" si="661"/>
        <v>5071</v>
      </c>
      <c r="AE4338" s="2">
        <f>VLOOKUP(I4338,[1]媒体政策预估表!A:N,MATCH(O4338,[1]媒体政策预估表!$A$2:$M$2,0),0)</f>
        <v>7.0000000000000007E-2</v>
      </c>
      <c r="AF4338" s="6">
        <f t="shared" si="667"/>
        <v>354.97</v>
      </c>
      <c r="AG4338" s="14">
        <v>0</v>
      </c>
      <c r="AH4338" s="65">
        <f t="shared" si="662"/>
        <v>5071</v>
      </c>
      <c r="AI4338" s="47"/>
      <c r="AJ4338" s="126" t="e">
        <v>#N/A</v>
      </c>
      <c r="AK4338" s="80">
        <f t="shared" si="665"/>
        <v>0</v>
      </c>
      <c r="AM4338" s="85"/>
    </row>
    <row r="4339" spans="1:39" hidden="1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659"/>
        <v>-0.4</v>
      </c>
      <c r="X4339" s="6">
        <f t="shared" si="660"/>
        <v>0</v>
      </c>
      <c r="Y4339" s="13">
        <f t="shared" si="663"/>
        <v>0</v>
      </c>
      <c r="Z4339" s="14">
        <v>0</v>
      </c>
      <c r="AA4339" s="6">
        <v>0</v>
      </c>
      <c r="AB4339" s="4">
        <f t="shared" si="664"/>
        <v>0</v>
      </c>
      <c r="AC4339" s="4">
        <f t="shared" si="666"/>
        <v>0</v>
      </c>
      <c r="AD4339" s="6">
        <f t="shared" si="661"/>
        <v>0</v>
      </c>
      <c r="AE4339" s="2">
        <f>VLOOKUP(I4339,[1]媒体政策预估表!A:N,MATCH(O4339,[1]媒体政策预估表!$A$2:$M$2,0),0)</f>
        <v>7.0000000000000007E-2</v>
      </c>
      <c r="AF4339" s="6">
        <f t="shared" si="667"/>
        <v>0</v>
      </c>
      <c r="AG4339" s="14">
        <v>0</v>
      </c>
      <c r="AH4339" s="65">
        <f t="shared" si="662"/>
        <v>0</v>
      </c>
      <c r="AI4339" s="47"/>
      <c r="AJ4339" s="126" t="e">
        <v>#N/A</v>
      </c>
      <c r="AK4339" s="80">
        <f t="shared" si="665"/>
        <v>0</v>
      </c>
      <c r="AM4339" s="85"/>
    </row>
    <row r="4340" spans="1:39" hidden="1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659"/>
        <v>-0.3</v>
      </c>
      <c r="X4340" s="6">
        <f t="shared" si="660"/>
        <v>0</v>
      </c>
      <c r="Y4340" s="13">
        <f t="shared" si="663"/>
        <v>0</v>
      </c>
      <c r="Z4340" s="14">
        <v>0</v>
      </c>
      <c r="AA4340" s="6">
        <v>0</v>
      </c>
      <c r="AB4340" s="4">
        <f t="shared" si="664"/>
        <v>0</v>
      </c>
      <c r="AC4340" s="4">
        <f t="shared" si="666"/>
        <v>0</v>
      </c>
      <c r="AD4340" s="6">
        <f t="shared" si="661"/>
        <v>0</v>
      </c>
      <c r="AE4340" s="2">
        <f>VLOOKUP(I4340,[1]媒体政策预估表!A:N,MATCH(O4340,[1]媒体政策预估表!$A$2:$M$2,0),0)</f>
        <v>7.0000000000000007E-2</v>
      </c>
      <c r="AF4340" s="6">
        <f t="shared" si="667"/>
        <v>0</v>
      </c>
      <c r="AG4340" s="14">
        <v>0</v>
      </c>
      <c r="AH4340" s="65">
        <f t="shared" si="662"/>
        <v>0</v>
      </c>
      <c r="AI4340" s="47"/>
      <c r="AJ4340" s="126" t="e">
        <v>#N/A</v>
      </c>
      <c r="AK4340" s="80">
        <f t="shared" si="665"/>
        <v>0</v>
      </c>
      <c r="AM4340" s="85"/>
    </row>
    <row r="4341" spans="1:39" hidden="1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659"/>
        <v>517.75000000003342</v>
      </c>
      <c r="X4341" s="6">
        <f t="shared" si="660"/>
        <v>0</v>
      </c>
      <c r="Y4341" s="13">
        <f t="shared" si="663"/>
        <v>0</v>
      </c>
      <c r="Z4341" s="14">
        <v>0</v>
      </c>
      <c r="AA4341" s="6">
        <v>0</v>
      </c>
      <c r="AB4341" s="4">
        <f t="shared" si="664"/>
        <v>0</v>
      </c>
      <c r="AC4341" s="4">
        <f t="shared" si="666"/>
        <v>0</v>
      </c>
      <c r="AD4341" s="6">
        <f t="shared" si="661"/>
        <v>0</v>
      </c>
      <c r="AE4341" s="2">
        <f>VLOOKUP(I4341,[1]媒体政策预估表!A:N,MATCH(O4341,[1]媒体政策预估表!$A$2:$M$2,0),0)</f>
        <v>7.0000000000000007E-2</v>
      </c>
      <c r="AF4341" s="6">
        <f t="shared" si="667"/>
        <v>0</v>
      </c>
      <c r="AG4341" s="14">
        <v>0</v>
      </c>
      <c r="AH4341" s="65">
        <f t="shared" si="662"/>
        <v>0</v>
      </c>
      <c r="AI4341" s="47"/>
      <c r="AJ4341" s="126" t="e">
        <v>#N/A</v>
      </c>
      <c r="AK4341" s="80">
        <f t="shared" si="665"/>
        <v>0</v>
      </c>
      <c r="AM4341" s="85"/>
    </row>
    <row r="4342" spans="1:39" hidden="1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659"/>
        <v>0.89999999999781721</v>
      </c>
      <c r="X4342" s="6">
        <f t="shared" si="660"/>
        <v>338.5</v>
      </c>
      <c r="Y4342" s="13">
        <f t="shared" si="663"/>
        <v>0</v>
      </c>
      <c r="Z4342" s="14">
        <v>0</v>
      </c>
      <c r="AA4342" s="6">
        <v>0</v>
      </c>
      <c r="AB4342" s="4">
        <f t="shared" si="664"/>
        <v>338.5</v>
      </c>
      <c r="AC4342" s="4">
        <f t="shared" si="666"/>
        <v>0</v>
      </c>
      <c r="AD4342" s="6">
        <f t="shared" si="661"/>
        <v>338.5</v>
      </c>
      <c r="AE4342" s="2">
        <f>VLOOKUP(I4342,[1]媒体政策预估表!A:N,MATCH(O4342,[1]媒体政策预估表!$A$2:$M$2,0),0)</f>
        <v>7.0000000000000007E-2</v>
      </c>
      <c r="AF4342" s="6">
        <f t="shared" si="667"/>
        <v>23.695000000000004</v>
      </c>
      <c r="AG4342" s="14">
        <v>0</v>
      </c>
      <c r="AH4342" s="65">
        <f t="shared" si="662"/>
        <v>338.5</v>
      </c>
      <c r="AI4342" s="47"/>
      <c r="AJ4342" s="126" t="e">
        <v>#N/A</v>
      </c>
      <c r="AK4342" s="80">
        <f t="shared" si="665"/>
        <v>0</v>
      </c>
      <c r="AM4342" s="85"/>
    </row>
    <row r="4343" spans="1:39" hidden="1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660"/>
        <v>1296.1360096153892</v>
      </c>
      <c r="Y4343" s="13">
        <f t="shared" si="663"/>
        <v>0</v>
      </c>
      <c r="Z4343" s="14">
        <v>0</v>
      </c>
      <c r="AA4343" s="6">
        <v>0</v>
      </c>
      <c r="AB4343" s="4">
        <f t="shared" si="664"/>
        <v>1296.1360096153892</v>
      </c>
      <c r="AC4343" s="4">
        <f t="shared" si="666"/>
        <v>51.845440384615586</v>
      </c>
      <c r="AD4343" s="6">
        <f t="shared" si="661"/>
        <v>1347.9814500000048</v>
      </c>
      <c r="AE4343" s="2">
        <f>VLOOKUP(I4343,[1]媒体政策预估表!A:N,MATCH(O4343,[1]媒体政策预估表!$A$2:$M$2,0),0)</f>
        <v>0.12</v>
      </c>
      <c r="AF4343" s="6">
        <f t="shared" si="667"/>
        <v>161.75777400000058</v>
      </c>
      <c r="AG4343" s="14">
        <v>0</v>
      </c>
      <c r="AH4343" s="65">
        <f t="shared" si="662"/>
        <v>1347.9814500000048</v>
      </c>
      <c r="AI4343" s="47"/>
      <c r="AJ4343" s="126" t="e">
        <v>#N/A</v>
      </c>
      <c r="AK4343" s="80">
        <f t="shared" si="665"/>
        <v>0</v>
      </c>
      <c r="AM4343" s="85"/>
    </row>
    <row r="4344" spans="1:39" hidden="1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659"/>
        <v>-0.8999999999888928</v>
      </c>
      <c r="X4344" s="6">
        <f t="shared" si="660"/>
        <v>0</v>
      </c>
      <c r="Y4344" s="13">
        <f t="shared" si="663"/>
        <v>0</v>
      </c>
      <c r="Z4344" s="14">
        <v>0</v>
      </c>
      <c r="AA4344" s="6">
        <v>0</v>
      </c>
      <c r="AB4344" s="4">
        <f t="shared" si="664"/>
        <v>0</v>
      </c>
      <c r="AC4344" s="4">
        <f t="shared" si="666"/>
        <v>0</v>
      </c>
      <c r="AD4344" s="6">
        <f t="shared" si="661"/>
        <v>0</v>
      </c>
      <c r="AE4344" s="2">
        <f>VLOOKUP(I4344,[1]媒体政策预估表!A:N,MATCH(O4344,[1]媒体政策预估表!$A$2:$M$2,0),0)</f>
        <v>7.0000000000000007E-2</v>
      </c>
      <c r="AF4344" s="6">
        <f t="shared" si="667"/>
        <v>0</v>
      </c>
      <c r="AG4344" s="14">
        <v>0</v>
      </c>
      <c r="AH4344" s="65">
        <f t="shared" si="662"/>
        <v>0</v>
      </c>
      <c r="AI4344" s="47"/>
      <c r="AJ4344" s="126" t="e">
        <v>#N/A</v>
      </c>
      <c r="AK4344" s="80">
        <f t="shared" si="665"/>
        <v>0</v>
      </c>
      <c r="AM4344" s="85"/>
    </row>
    <row r="4345" spans="1:39" hidden="1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659"/>
        <v>-1</v>
      </c>
      <c r="X4345" s="6">
        <f t="shared" si="660"/>
        <v>0</v>
      </c>
      <c r="Y4345" s="13">
        <f t="shared" si="663"/>
        <v>0</v>
      </c>
      <c r="Z4345" s="14">
        <v>0</v>
      </c>
      <c r="AA4345" s="6">
        <v>0</v>
      </c>
      <c r="AB4345" s="4"/>
      <c r="AC4345" s="4">
        <f t="shared" si="666"/>
        <v>0</v>
      </c>
      <c r="AD4345" s="6">
        <f t="shared" si="661"/>
        <v>0</v>
      </c>
      <c r="AE4345" s="2">
        <f>VLOOKUP(I4345,[1]媒体政策预估表!A:N,MATCH(O4345,[1]媒体政策预估表!$A$2:$M$2,0),0)</f>
        <v>7.0000000000000007E-2</v>
      </c>
      <c r="AF4345" s="6">
        <f t="shared" si="667"/>
        <v>0</v>
      </c>
      <c r="AG4345" s="14">
        <v>0</v>
      </c>
      <c r="AH4345" s="65">
        <f t="shared" si="662"/>
        <v>0</v>
      </c>
      <c r="AI4345" s="47"/>
      <c r="AJ4345" s="126">
        <v>81</v>
      </c>
      <c r="AK4345" s="80">
        <f t="shared" si="665"/>
        <v>0</v>
      </c>
      <c r="AM4345" s="85"/>
    </row>
    <row r="4346" spans="1:39" hidden="1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659"/>
        <v>-1.26</v>
      </c>
      <c r="X4346" s="6">
        <f t="shared" si="660"/>
        <v>0</v>
      </c>
      <c r="Y4346" s="13">
        <f t="shared" si="663"/>
        <v>0</v>
      </c>
      <c r="Z4346" s="14">
        <v>0</v>
      </c>
      <c r="AA4346" s="6">
        <v>0</v>
      </c>
      <c r="AB4346" s="4">
        <f t="shared" si="664"/>
        <v>0</v>
      </c>
      <c r="AC4346" s="4">
        <f t="shared" si="666"/>
        <v>0</v>
      </c>
      <c r="AD4346" s="6">
        <f t="shared" si="661"/>
        <v>0</v>
      </c>
      <c r="AE4346" s="2">
        <f>VLOOKUP(I4346,[1]媒体政策预估表!A:N,MATCH(O4346,[1]媒体政策预估表!$A$2:$M$2,0),0)</f>
        <v>7.0000000000000007E-2</v>
      </c>
      <c r="AF4346" s="6">
        <f t="shared" si="667"/>
        <v>0</v>
      </c>
      <c r="AG4346" s="14">
        <v>0</v>
      </c>
      <c r="AH4346" s="65">
        <f t="shared" si="662"/>
        <v>0</v>
      </c>
      <c r="AI4346" s="47"/>
      <c r="AJ4346" s="126" t="e">
        <v>#N/A</v>
      </c>
      <c r="AK4346" s="80">
        <f t="shared" si="665"/>
        <v>0</v>
      </c>
      <c r="AM4346" s="85"/>
    </row>
    <row r="4347" spans="1:39" hidden="1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668">T4347+U4347-V4347</f>
        <v>16064.199999999997</v>
      </c>
      <c r="X4347" s="6">
        <f t="shared" ref="X4347:X4410" si="669">IF(P4347="折扣",V4347*Q4347,IF(P4347="返现",V4347,V4347/(1+Q4347)))</f>
        <v>0</v>
      </c>
      <c r="Y4347" s="13">
        <f t="shared" si="663"/>
        <v>0</v>
      </c>
      <c r="Z4347" s="14">
        <v>0</v>
      </c>
      <c r="AA4347" s="6">
        <v>0</v>
      </c>
      <c r="AB4347" s="4">
        <f t="shared" si="664"/>
        <v>0</v>
      </c>
      <c r="AC4347" s="4">
        <f t="shared" si="666"/>
        <v>0</v>
      </c>
      <c r="AD4347" s="6">
        <f t="shared" ref="AD4347:AD4410" si="670">V4347</f>
        <v>0</v>
      </c>
      <c r="AE4347" s="2">
        <f>VLOOKUP(I4347,[1]媒体政策预估表!A:N,MATCH(O4347,[1]媒体政策预估表!$A$2:$M$2,0),0)</f>
        <v>7.0000000000000007E-2</v>
      </c>
      <c r="AF4347" s="6">
        <f t="shared" si="667"/>
        <v>0</v>
      </c>
      <c r="AG4347" s="14">
        <v>0</v>
      </c>
      <c r="AH4347" s="65">
        <f t="shared" ref="AH4347:AH4410" si="671">V4347</f>
        <v>0</v>
      </c>
      <c r="AI4347" s="47"/>
      <c r="AJ4347" s="126" t="e">
        <v>#N/A</v>
      </c>
      <c r="AK4347" s="80">
        <f t="shared" si="665"/>
        <v>0</v>
      </c>
      <c r="AM4347" s="85"/>
    </row>
    <row r="4348" spans="1:39" hidden="1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668"/>
        <v>0</v>
      </c>
      <c r="X4348" s="6">
        <f t="shared" si="669"/>
        <v>449.30392156862831</v>
      </c>
      <c r="Y4348" s="13">
        <f t="shared" si="663"/>
        <v>0</v>
      </c>
      <c r="Z4348" s="14">
        <v>0</v>
      </c>
      <c r="AA4348" s="6">
        <v>0</v>
      </c>
      <c r="AB4348" s="4">
        <f t="shared" si="664"/>
        <v>449.30392156862831</v>
      </c>
      <c r="AC4348" s="4">
        <f t="shared" si="666"/>
        <v>8.9860784313725617</v>
      </c>
      <c r="AD4348" s="6">
        <f t="shared" si="670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667"/>
        <v>32.080300000000065</v>
      </c>
      <c r="AG4348" s="14">
        <v>0</v>
      </c>
      <c r="AH4348" s="65">
        <f t="shared" si="671"/>
        <v>458.29000000000087</v>
      </c>
      <c r="AI4348" s="47"/>
      <c r="AJ4348" s="126" t="e">
        <v>#N/A</v>
      </c>
      <c r="AK4348" s="80">
        <f t="shared" si="665"/>
        <v>0</v>
      </c>
      <c r="AM4348" s="85"/>
    </row>
    <row r="4349" spans="1:39" hidden="1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668"/>
        <v>386</v>
      </c>
      <c r="X4349" s="6">
        <f t="shared" si="669"/>
        <v>0</v>
      </c>
      <c r="Y4349" s="13">
        <f t="shared" si="663"/>
        <v>0</v>
      </c>
      <c r="Z4349" s="14">
        <v>0</v>
      </c>
      <c r="AA4349" s="6">
        <v>0</v>
      </c>
      <c r="AB4349" s="4">
        <f t="shared" si="664"/>
        <v>0</v>
      </c>
      <c r="AC4349" s="4">
        <f t="shared" si="666"/>
        <v>0</v>
      </c>
      <c r="AD4349" s="6">
        <f t="shared" si="670"/>
        <v>0</v>
      </c>
      <c r="AE4349" s="2">
        <f>VLOOKUP(I4349,[1]媒体政策预估表!A:N,MATCH(O4349,[1]媒体政策预估表!$A$2:$M$2,0),0)</f>
        <v>7.0000000000000007E-2</v>
      </c>
      <c r="AF4349" s="6">
        <f t="shared" si="667"/>
        <v>0</v>
      </c>
      <c r="AG4349" s="14">
        <v>0</v>
      </c>
      <c r="AH4349" s="65">
        <f t="shared" si="671"/>
        <v>0</v>
      </c>
      <c r="AI4349" s="47"/>
      <c r="AJ4349" s="126" t="e">
        <v>#N/A</v>
      </c>
      <c r="AK4349" s="80">
        <f t="shared" si="665"/>
        <v>0</v>
      </c>
      <c r="AM4349" s="85"/>
    </row>
    <row r="4350" spans="1:39" hidden="1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668"/>
        <v>0.99999999998544808</v>
      </c>
      <c r="X4350" s="6">
        <f t="shared" si="669"/>
        <v>0</v>
      </c>
      <c r="Y4350" s="13">
        <f t="shared" si="663"/>
        <v>0</v>
      </c>
      <c r="Z4350" s="14">
        <v>0</v>
      </c>
      <c r="AA4350" s="6">
        <v>0</v>
      </c>
      <c r="AB4350" s="4">
        <f t="shared" si="664"/>
        <v>0</v>
      </c>
      <c r="AC4350" s="4">
        <f t="shared" si="666"/>
        <v>0</v>
      </c>
      <c r="AD4350" s="6">
        <f t="shared" si="670"/>
        <v>0</v>
      </c>
      <c r="AE4350" s="2">
        <f>VLOOKUP(I4350,[1]媒体政策预估表!A:N,MATCH(O4350,[1]媒体政策预估表!$A$2:$M$2,0),0)</f>
        <v>7.0000000000000007E-2</v>
      </c>
      <c r="AF4350" s="6">
        <f t="shared" si="667"/>
        <v>0</v>
      </c>
      <c r="AG4350" s="14">
        <v>0</v>
      </c>
      <c r="AH4350" s="65">
        <f t="shared" si="671"/>
        <v>0</v>
      </c>
      <c r="AI4350" s="47"/>
      <c r="AJ4350" s="126" t="e">
        <v>#N/A</v>
      </c>
      <c r="AK4350" s="80">
        <f t="shared" si="665"/>
        <v>0</v>
      </c>
      <c r="AM4350" s="85"/>
    </row>
    <row r="4351" spans="1:39" hidden="1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668"/>
        <v>-1.3</v>
      </c>
      <c r="X4351" s="6">
        <f t="shared" si="669"/>
        <v>0</v>
      </c>
      <c r="Y4351" s="13">
        <f t="shared" si="663"/>
        <v>0</v>
      </c>
      <c r="Z4351" s="14">
        <v>0</v>
      </c>
      <c r="AA4351" s="6">
        <v>0</v>
      </c>
      <c r="AB4351" s="4">
        <f t="shared" si="664"/>
        <v>0</v>
      </c>
      <c r="AC4351" s="4">
        <f t="shared" si="666"/>
        <v>0</v>
      </c>
      <c r="AD4351" s="6">
        <f t="shared" si="670"/>
        <v>0</v>
      </c>
      <c r="AE4351" s="2">
        <f>VLOOKUP(I4351,[1]媒体政策预估表!A:N,MATCH(O4351,[1]媒体政策预估表!$A$2:$M$2,0),0)</f>
        <v>7.0000000000000007E-2</v>
      </c>
      <c r="AF4351" s="6">
        <f t="shared" si="667"/>
        <v>0</v>
      </c>
      <c r="AG4351" s="14">
        <v>0</v>
      </c>
      <c r="AH4351" s="65">
        <f t="shared" si="671"/>
        <v>0</v>
      </c>
      <c r="AI4351" s="47"/>
      <c r="AJ4351" s="126" t="e">
        <v>#N/A</v>
      </c>
      <c r="AK4351" s="80">
        <f t="shared" si="665"/>
        <v>0</v>
      </c>
      <c r="AM4351" s="85"/>
    </row>
    <row r="4352" spans="1:39" hidden="1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668"/>
        <v>234.00000000000182</v>
      </c>
      <c r="X4352" s="6">
        <f t="shared" si="669"/>
        <v>0</v>
      </c>
      <c r="Y4352" s="13">
        <f t="shared" si="663"/>
        <v>0</v>
      </c>
      <c r="Z4352" s="14">
        <v>0</v>
      </c>
      <c r="AA4352" s="6">
        <v>0</v>
      </c>
      <c r="AB4352" s="4"/>
      <c r="AC4352" s="4">
        <f t="shared" si="666"/>
        <v>0</v>
      </c>
      <c r="AD4352" s="6">
        <f t="shared" si="670"/>
        <v>0</v>
      </c>
      <c r="AE4352" s="2">
        <f>VLOOKUP(I4352,[1]媒体政策预估表!A:N,MATCH(O4352,[1]媒体政策预估表!$A$2:$M$2,0),0)</f>
        <v>7.0000000000000007E-2</v>
      </c>
      <c r="AF4352" s="6">
        <f t="shared" si="667"/>
        <v>0</v>
      </c>
      <c r="AG4352" s="14">
        <v>0</v>
      </c>
      <c r="AH4352" s="65">
        <f t="shared" si="671"/>
        <v>0</v>
      </c>
      <c r="AI4352" s="47"/>
      <c r="AJ4352" s="126">
        <v>110</v>
      </c>
      <c r="AK4352" s="80">
        <f t="shared" si="665"/>
        <v>0</v>
      </c>
      <c r="AM4352" s="85"/>
    </row>
    <row r="4353" spans="1:39" hidden="1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668"/>
        <v>64863.840000000026</v>
      </c>
      <c r="X4353" s="6">
        <f t="shared" si="669"/>
        <v>0</v>
      </c>
      <c r="Y4353" s="13">
        <f t="shared" si="663"/>
        <v>0</v>
      </c>
      <c r="Z4353" s="14">
        <v>0</v>
      </c>
      <c r="AA4353" s="6">
        <v>0</v>
      </c>
      <c r="AB4353" s="4">
        <f t="shared" si="664"/>
        <v>0</v>
      </c>
      <c r="AC4353" s="4">
        <f t="shared" si="666"/>
        <v>0</v>
      </c>
      <c r="AD4353" s="6">
        <f t="shared" si="670"/>
        <v>0</v>
      </c>
      <c r="AE4353" s="2">
        <f>VLOOKUP(I4353,[1]媒体政策预估表!A:N,MATCH(O4353,[1]媒体政策预估表!$A$2:$M$2,0),0)</f>
        <v>7.0000000000000007E-2</v>
      </c>
      <c r="AF4353" s="6">
        <f t="shared" si="667"/>
        <v>0</v>
      </c>
      <c r="AG4353" s="14">
        <v>0</v>
      </c>
      <c r="AH4353" s="65">
        <f t="shared" si="671"/>
        <v>0</v>
      </c>
      <c r="AI4353" s="47"/>
      <c r="AJ4353" s="126" t="e">
        <v>#N/A</v>
      </c>
      <c r="AK4353" s="80">
        <f t="shared" si="665"/>
        <v>0</v>
      </c>
      <c r="AM4353" s="85"/>
    </row>
    <row r="4354" spans="1:39" hidden="1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668"/>
        <v>-1.4</v>
      </c>
      <c r="X4354" s="6">
        <f t="shared" si="669"/>
        <v>0</v>
      </c>
      <c r="Y4354" s="13">
        <f t="shared" si="663"/>
        <v>0</v>
      </c>
      <c r="Z4354" s="14">
        <v>0</v>
      </c>
      <c r="AA4354" s="6">
        <v>0</v>
      </c>
      <c r="AB4354" s="4"/>
      <c r="AC4354" s="4">
        <f t="shared" si="666"/>
        <v>0</v>
      </c>
      <c r="AD4354" s="6">
        <f t="shared" si="670"/>
        <v>0</v>
      </c>
      <c r="AE4354" s="2">
        <f>VLOOKUP(I4354,[1]媒体政策预估表!A:N,MATCH(O4354,[1]媒体政策预估表!$A$2:$M$2,0),0)</f>
        <v>7.0000000000000007E-2</v>
      </c>
      <c r="AF4354" s="6">
        <f t="shared" si="667"/>
        <v>0</v>
      </c>
      <c r="AG4354" s="14">
        <v>0</v>
      </c>
      <c r="AH4354" s="65">
        <f t="shared" si="671"/>
        <v>0</v>
      </c>
      <c r="AI4354" s="47"/>
      <c r="AJ4354" s="126">
        <v>17</v>
      </c>
      <c r="AK4354" s="80">
        <f t="shared" si="665"/>
        <v>0</v>
      </c>
      <c r="AM4354" s="85"/>
    </row>
    <row r="4355" spans="1:39" hidden="1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668"/>
        <v>-619057.95222000009</v>
      </c>
      <c r="X4355" s="6">
        <f t="shared" si="669"/>
        <v>0</v>
      </c>
      <c r="Y4355" s="13">
        <f t="shared" ref="Y4355:Y4418" si="672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673">X4355+AA4355</f>
        <v>0</v>
      </c>
      <c r="AC4355" s="4">
        <f t="shared" si="666"/>
        <v>0</v>
      </c>
      <c r="AD4355" s="6">
        <f t="shared" si="670"/>
        <v>0</v>
      </c>
      <c r="AE4355" s="2">
        <f>VLOOKUP(I4355,[1]媒体政策预估表!A:N,MATCH(O4355,[1]媒体政策预估表!$A$2:$M$2,0),0)</f>
        <v>0.12</v>
      </c>
      <c r="AF4355" s="6">
        <f t="shared" si="667"/>
        <v>0</v>
      </c>
      <c r="AG4355" s="14">
        <v>0</v>
      </c>
      <c r="AH4355" s="65">
        <f t="shared" si="671"/>
        <v>0</v>
      </c>
      <c r="AI4355" s="47"/>
      <c r="AJ4355" s="126" t="e">
        <v>#N/A</v>
      </c>
      <c r="AK4355" s="80">
        <f t="shared" ref="AK4355:AK4418" si="674">X4355+AA4355-AB4355</f>
        <v>0</v>
      </c>
      <c r="AM4355" s="85"/>
    </row>
    <row r="4356" spans="1:39" hidden="1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668"/>
        <v>718898.98</v>
      </c>
      <c r="X4356" s="6">
        <f t="shared" si="669"/>
        <v>0</v>
      </c>
      <c r="Y4356" s="13">
        <f t="shared" si="672"/>
        <v>0</v>
      </c>
      <c r="Z4356" s="14">
        <v>0.02</v>
      </c>
      <c r="AA4356" s="6">
        <f>X4356/(1-Z4356)*Z4356</f>
        <v>0</v>
      </c>
      <c r="AB4356" s="4">
        <f t="shared" si="673"/>
        <v>0</v>
      </c>
      <c r="AC4356" s="4">
        <f t="shared" si="666"/>
        <v>0</v>
      </c>
      <c r="AD4356" s="6">
        <f t="shared" si="670"/>
        <v>0</v>
      </c>
      <c r="AE4356" s="2">
        <f>VLOOKUP(I4356,[1]媒体政策预估表!A:N,MATCH(O4356,[1]媒体政策预估表!$A$2:$M$2,0),0)</f>
        <v>7.0000000000000007E-2</v>
      </c>
      <c r="AF4356" s="6">
        <f t="shared" si="667"/>
        <v>0</v>
      </c>
      <c r="AG4356" s="14">
        <v>0</v>
      </c>
      <c r="AH4356" s="65">
        <f t="shared" si="671"/>
        <v>0</v>
      </c>
      <c r="AI4356" s="47"/>
      <c r="AJ4356" s="126" t="e">
        <v>#N/A</v>
      </c>
      <c r="AK4356" s="80">
        <f t="shared" si="674"/>
        <v>0</v>
      </c>
      <c r="AM4356" s="85"/>
    </row>
    <row r="4357" spans="1:39" hidden="1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668"/>
        <v>0.99999999999965894</v>
      </c>
      <c r="X4357" s="6">
        <f t="shared" si="669"/>
        <v>0</v>
      </c>
      <c r="Y4357" s="13">
        <f t="shared" si="672"/>
        <v>0</v>
      </c>
      <c r="Z4357" s="14">
        <v>0</v>
      </c>
      <c r="AA4357" s="6">
        <v>0</v>
      </c>
      <c r="AB4357" s="4">
        <f t="shared" si="673"/>
        <v>0</v>
      </c>
      <c r="AC4357" s="4">
        <f t="shared" si="666"/>
        <v>0</v>
      </c>
      <c r="AD4357" s="6">
        <f t="shared" si="670"/>
        <v>0</v>
      </c>
      <c r="AE4357" s="2">
        <f>VLOOKUP(I4357,[1]媒体政策预估表!A:N,MATCH(O4357,[1]媒体政策预估表!$A$2:$M$2,0),0)</f>
        <v>7.0000000000000007E-2</v>
      </c>
      <c r="AF4357" s="6">
        <f t="shared" si="667"/>
        <v>0</v>
      </c>
      <c r="AG4357" s="14">
        <v>0</v>
      </c>
      <c r="AH4357" s="65">
        <f t="shared" si="671"/>
        <v>0</v>
      </c>
      <c r="AI4357" s="47"/>
      <c r="AJ4357" s="126" t="e">
        <v>#N/A</v>
      </c>
      <c r="AK4357" s="80">
        <f t="shared" si="674"/>
        <v>0</v>
      </c>
      <c r="AM4357" s="85"/>
    </row>
    <row r="4358" spans="1:39" hidden="1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668"/>
        <v>485.58999999999651</v>
      </c>
      <c r="X4358" s="6">
        <f t="shared" si="669"/>
        <v>0</v>
      </c>
      <c r="Y4358" s="13">
        <f t="shared" si="672"/>
        <v>0</v>
      </c>
      <c r="Z4358" s="14">
        <v>0</v>
      </c>
      <c r="AA4358" s="6">
        <v>0</v>
      </c>
      <c r="AB4358" s="4">
        <f t="shared" si="673"/>
        <v>0</v>
      </c>
      <c r="AC4358" s="4">
        <f t="shared" si="666"/>
        <v>0</v>
      </c>
      <c r="AD4358" s="6">
        <f t="shared" si="670"/>
        <v>0</v>
      </c>
      <c r="AE4358" s="2">
        <f>VLOOKUP(I4358,[1]媒体政策预估表!A:N,MATCH(O4358,[1]媒体政策预估表!$A$2:$M$2,0),0)</f>
        <v>7.0000000000000007E-2</v>
      </c>
      <c r="AF4358" s="6">
        <f t="shared" si="667"/>
        <v>0</v>
      </c>
      <c r="AG4358" s="14">
        <v>0</v>
      </c>
      <c r="AH4358" s="65">
        <f t="shared" si="671"/>
        <v>0</v>
      </c>
      <c r="AI4358" s="47"/>
      <c r="AJ4358" s="126" t="e">
        <v>#N/A</v>
      </c>
      <c r="AK4358" s="80">
        <f t="shared" si="674"/>
        <v>0</v>
      </c>
      <c r="AM4358" s="85"/>
    </row>
    <row r="4359" spans="1:39" hidden="1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668"/>
        <v>-3.6999999999970896</v>
      </c>
      <c r="X4359" s="6">
        <f t="shared" si="669"/>
        <v>0</v>
      </c>
      <c r="Y4359" s="13">
        <f t="shared" si="672"/>
        <v>0</v>
      </c>
      <c r="Z4359" s="14">
        <v>0</v>
      </c>
      <c r="AA4359" s="6">
        <v>0</v>
      </c>
      <c r="AB4359" s="4">
        <f t="shared" si="673"/>
        <v>0</v>
      </c>
      <c r="AC4359" s="4">
        <f t="shared" si="666"/>
        <v>0</v>
      </c>
      <c r="AD4359" s="6">
        <f t="shared" si="670"/>
        <v>0</v>
      </c>
      <c r="AE4359" s="2">
        <f>VLOOKUP(I4359,[1]媒体政策预估表!A:N,MATCH(O4359,[1]媒体政策预估表!$A$2:$M$2,0),0)</f>
        <v>7.0000000000000007E-2</v>
      </c>
      <c r="AF4359" s="6">
        <f t="shared" si="667"/>
        <v>0</v>
      </c>
      <c r="AG4359" s="14">
        <v>0</v>
      </c>
      <c r="AH4359" s="65">
        <f t="shared" si="671"/>
        <v>0</v>
      </c>
      <c r="AI4359" s="47"/>
      <c r="AJ4359" s="126" t="e">
        <v>#N/A</v>
      </c>
      <c r="AK4359" s="80">
        <f t="shared" si="674"/>
        <v>0</v>
      </c>
      <c r="AM4359" s="85"/>
    </row>
    <row r="4360" spans="1:39" hidden="1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668"/>
        <v>4080.4000000000051</v>
      </c>
      <c r="X4360" s="6">
        <f t="shared" si="669"/>
        <v>14682.843137254902</v>
      </c>
      <c r="Y4360" s="13">
        <f t="shared" si="672"/>
        <v>0</v>
      </c>
      <c r="Z4360" s="14">
        <v>0</v>
      </c>
      <c r="AA4360" s="6">
        <v>0</v>
      </c>
      <c r="AB4360" s="4">
        <f t="shared" si="673"/>
        <v>14682.843137254902</v>
      </c>
      <c r="AC4360" s="4">
        <f t="shared" si="666"/>
        <v>293.6568627450979</v>
      </c>
      <c r="AD4360" s="6">
        <f t="shared" si="670"/>
        <v>14976.5</v>
      </c>
      <c r="AE4360" s="2">
        <f>VLOOKUP(I4360,[1]媒体政策预估表!A:N,MATCH(O4360,[1]媒体政策预估表!$A$2:$M$2,0),0)</f>
        <v>7.0000000000000007E-2</v>
      </c>
      <c r="AF4360" s="6">
        <f t="shared" si="667"/>
        <v>1048.355</v>
      </c>
      <c r="AG4360" s="14">
        <v>0</v>
      </c>
      <c r="AH4360" s="65">
        <f t="shared" si="671"/>
        <v>14976.5</v>
      </c>
      <c r="AI4360" s="47"/>
      <c r="AJ4360" s="126" t="e">
        <v>#N/A</v>
      </c>
      <c r="AK4360" s="80">
        <f t="shared" si="674"/>
        <v>0</v>
      </c>
      <c r="AM4360" s="85"/>
    </row>
    <row r="4361" spans="1:39" hidden="1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668"/>
        <v>10222.209999999999</v>
      </c>
      <c r="X4361" s="6">
        <f t="shared" si="669"/>
        <v>0</v>
      </c>
      <c r="Y4361" s="13">
        <f t="shared" si="672"/>
        <v>0</v>
      </c>
      <c r="Z4361" s="14">
        <v>0</v>
      </c>
      <c r="AA4361" s="6">
        <v>0</v>
      </c>
      <c r="AB4361" s="4">
        <f t="shared" si="673"/>
        <v>0</v>
      </c>
      <c r="AC4361" s="4">
        <f t="shared" si="666"/>
        <v>0</v>
      </c>
      <c r="AD4361" s="6">
        <f t="shared" si="670"/>
        <v>0</v>
      </c>
      <c r="AE4361" s="2">
        <f>VLOOKUP(I4361,[1]媒体政策预估表!A:N,MATCH(O4361,[1]媒体政策预估表!$A$2:$M$2,0),0)</f>
        <v>7.0000000000000007E-2</v>
      </c>
      <c r="AF4361" s="6">
        <f t="shared" si="667"/>
        <v>0</v>
      </c>
      <c r="AG4361" s="14">
        <v>0</v>
      </c>
      <c r="AH4361" s="65">
        <f t="shared" si="671"/>
        <v>0</v>
      </c>
      <c r="AI4361" s="47"/>
      <c r="AJ4361" s="126" t="e">
        <v>#N/A</v>
      </c>
      <c r="AK4361" s="80">
        <f t="shared" si="674"/>
        <v>0</v>
      </c>
      <c r="AM4361" s="85"/>
    </row>
    <row r="4362" spans="1:39" hidden="1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668"/>
        <v>30</v>
      </c>
      <c r="X4362" s="6">
        <f t="shared" si="669"/>
        <v>0</v>
      </c>
      <c r="Y4362" s="13">
        <f t="shared" si="672"/>
        <v>0</v>
      </c>
      <c r="Z4362" s="14">
        <v>0</v>
      </c>
      <c r="AA4362" s="6">
        <v>0</v>
      </c>
      <c r="AB4362" s="4">
        <f t="shared" si="673"/>
        <v>0</v>
      </c>
      <c r="AC4362" s="4">
        <f t="shared" si="666"/>
        <v>0</v>
      </c>
      <c r="AD4362" s="6">
        <f t="shared" si="670"/>
        <v>0</v>
      </c>
      <c r="AE4362" s="2">
        <f>VLOOKUP(I4362,[1]媒体政策预估表!A:N,MATCH(O4362,[1]媒体政策预估表!$A$2:$M$2,0),0)</f>
        <v>7.0000000000000007E-2</v>
      </c>
      <c r="AF4362" s="6">
        <f t="shared" si="667"/>
        <v>0</v>
      </c>
      <c r="AG4362" s="14">
        <v>0</v>
      </c>
      <c r="AH4362" s="65">
        <f t="shared" si="671"/>
        <v>0</v>
      </c>
      <c r="AI4362" s="47"/>
      <c r="AJ4362" s="126" t="e">
        <v>#N/A</v>
      </c>
      <c r="AK4362" s="80">
        <f t="shared" si="674"/>
        <v>0</v>
      </c>
      <c r="AM4362" s="85"/>
    </row>
    <row r="4363" spans="1:39" hidden="1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668"/>
        <v>459.70000000000073</v>
      </c>
      <c r="X4363" s="6">
        <f t="shared" si="669"/>
        <v>0</v>
      </c>
      <c r="Y4363" s="13">
        <f t="shared" si="672"/>
        <v>0</v>
      </c>
      <c r="Z4363" s="14">
        <v>0</v>
      </c>
      <c r="AA4363" s="6">
        <v>0</v>
      </c>
      <c r="AB4363" s="4">
        <f t="shared" si="673"/>
        <v>0</v>
      </c>
      <c r="AC4363" s="4">
        <f t="shared" si="666"/>
        <v>0</v>
      </c>
      <c r="AD4363" s="6">
        <f t="shared" si="670"/>
        <v>0</v>
      </c>
      <c r="AE4363" s="2">
        <f>VLOOKUP(I4363,[1]媒体政策预估表!A:N,MATCH(O4363,[1]媒体政策预估表!$A$2:$M$2,0),0)</f>
        <v>7.0000000000000007E-2</v>
      </c>
      <c r="AF4363" s="6">
        <f t="shared" si="667"/>
        <v>0</v>
      </c>
      <c r="AG4363" s="14">
        <v>0</v>
      </c>
      <c r="AH4363" s="65">
        <f t="shared" si="671"/>
        <v>0</v>
      </c>
      <c r="AI4363" s="47"/>
      <c r="AJ4363" s="126" t="e">
        <v>#N/A</v>
      </c>
      <c r="AK4363" s="80">
        <f t="shared" si="674"/>
        <v>0</v>
      </c>
      <c r="AM4363" s="85"/>
    </row>
    <row r="4364" spans="1:39" hidden="1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668"/>
        <v>7180.6399999999994</v>
      </c>
      <c r="X4364" s="6">
        <f t="shared" si="669"/>
        <v>0</v>
      </c>
      <c r="Y4364" s="13">
        <f t="shared" si="672"/>
        <v>0</v>
      </c>
      <c r="Z4364" s="14">
        <v>0</v>
      </c>
      <c r="AA4364" s="6">
        <v>0</v>
      </c>
      <c r="AB4364" s="4">
        <f t="shared" si="673"/>
        <v>0</v>
      </c>
      <c r="AC4364" s="4">
        <f t="shared" ref="AC4364:AC4427" si="675">IF(P4364="返现",X4364*Q4364,V4364-X4364)</f>
        <v>0</v>
      </c>
      <c r="AD4364" s="6">
        <f t="shared" si="670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676">AD4364*AE4364</f>
        <v>0</v>
      </c>
      <c r="AG4364" s="14">
        <v>0</v>
      </c>
      <c r="AH4364" s="65">
        <f t="shared" si="671"/>
        <v>0</v>
      </c>
      <c r="AI4364" s="47"/>
      <c r="AJ4364" s="126" t="e">
        <v>#N/A</v>
      </c>
      <c r="AK4364" s="80">
        <f t="shared" si="674"/>
        <v>0</v>
      </c>
      <c r="AM4364" s="85"/>
    </row>
    <row r="4365" spans="1:39" hidden="1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668"/>
        <v>473.05999999999767</v>
      </c>
      <c r="X4365" s="6">
        <f t="shared" si="669"/>
        <v>0</v>
      </c>
      <c r="Y4365" s="13">
        <f t="shared" si="672"/>
        <v>0</v>
      </c>
      <c r="Z4365" s="14">
        <v>0</v>
      </c>
      <c r="AA4365" s="6">
        <v>0</v>
      </c>
      <c r="AB4365" s="4">
        <f t="shared" si="673"/>
        <v>0</v>
      </c>
      <c r="AC4365" s="4">
        <f t="shared" si="675"/>
        <v>0</v>
      </c>
      <c r="AD4365" s="6">
        <f t="shared" si="670"/>
        <v>0</v>
      </c>
      <c r="AE4365" s="2">
        <f>VLOOKUP(I4365,[1]媒体政策预估表!A:N,MATCH(O4365,[1]媒体政策预估表!$A$2:$M$2,0),0)</f>
        <v>7.0000000000000007E-2</v>
      </c>
      <c r="AF4365" s="6">
        <f t="shared" si="676"/>
        <v>0</v>
      </c>
      <c r="AG4365" s="14">
        <v>0</v>
      </c>
      <c r="AH4365" s="65">
        <f t="shared" si="671"/>
        <v>0</v>
      </c>
      <c r="AI4365" s="47"/>
      <c r="AJ4365" s="126" t="e">
        <v>#N/A</v>
      </c>
      <c r="AK4365" s="80">
        <f t="shared" si="674"/>
        <v>0</v>
      </c>
      <c r="AM4365" s="85"/>
    </row>
    <row r="4366" spans="1:39" hidden="1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668"/>
        <v>1161555.46</v>
      </c>
      <c r="X4366" s="6">
        <f t="shared" si="669"/>
        <v>0</v>
      </c>
      <c r="Y4366" s="13">
        <f t="shared" si="672"/>
        <v>0</v>
      </c>
      <c r="Z4366" s="14">
        <v>0</v>
      </c>
      <c r="AA4366" s="6">
        <v>0</v>
      </c>
      <c r="AB4366" s="4">
        <f t="shared" si="673"/>
        <v>0</v>
      </c>
      <c r="AC4366" s="4">
        <f t="shared" si="675"/>
        <v>0</v>
      </c>
      <c r="AD4366" s="6">
        <f t="shared" si="670"/>
        <v>0</v>
      </c>
      <c r="AE4366" s="2">
        <f>VLOOKUP(I4366,[1]媒体政策预估表!A:N,MATCH(O4366,[1]媒体政策预估表!$A$2:$M$2,0),0)</f>
        <v>0.12</v>
      </c>
      <c r="AF4366" s="6">
        <f t="shared" si="676"/>
        <v>0</v>
      </c>
      <c r="AG4366" s="14">
        <v>0</v>
      </c>
      <c r="AH4366" s="65">
        <f t="shared" si="671"/>
        <v>0</v>
      </c>
      <c r="AI4366" s="47"/>
      <c r="AJ4366" s="126" t="e">
        <v>#N/A</v>
      </c>
      <c r="AK4366" s="80">
        <f t="shared" si="674"/>
        <v>0</v>
      </c>
      <c r="AM4366" s="85"/>
    </row>
    <row r="4367" spans="1:39" hidden="1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668"/>
        <v>466.36999999999972</v>
      </c>
      <c r="X4367" s="6">
        <f t="shared" si="669"/>
        <v>0</v>
      </c>
      <c r="Y4367" s="13">
        <f t="shared" si="672"/>
        <v>0</v>
      </c>
      <c r="Z4367" s="14">
        <v>0</v>
      </c>
      <c r="AA4367" s="6">
        <v>0</v>
      </c>
      <c r="AB4367" s="4">
        <f t="shared" si="673"/>
        <v>0</v>
      </c>
      <c r="AC4367" s="4">
        <f t="shared" si="675"/>
        <v>0</v>
      </c>
      <c r="AD4367" s="6">
        <f t="shared" si="670"/>
        <v>0</v>
      </c>
      <c r="AE4367" s="2">
        <f>VLOOKUP(I4367,[1]媒体政策预估表!A:N,MATCH(O4367,[1]媒体政策预估表!$A$2:$M$2,0),0)</f>
        <v>7.0000000000000007E-2</v>
      </c>
      <c r="AF4367" s="6">
        <f t="shared" si="676"/>
        <v>0</v>
      </c>
      <c r="AG4367" s="14">
        <v>0</v>
      </c>
      <c r="AH4367" s="65">
        <f t="shared" si="671"/>
        <v>0</v>
      </c>
      <c r="AI4367" s="47"/>
      <c r="AJ4367" s="126" t="e">
        <v>#N/A</v>
      </c>
      <c r="AK4367" s="80">
        <f t="shared" si="674"/>
        <v>0</v>
      </c>
      <c r="AM4367" s="85"/>
    </row>
    <row r="4368" spans="1:39" hidden="1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668"/>
        <v>485.10000000000036</v>
      </c>
      <c r="X4368" s="6">
        <f t="shared" si="669"/>
        <v>0</v>
      </c>
      <c r="Y4368" s="13">
        <f t="shared" si="672"/>
        <v>0</v>
      </c>
      <c r="Z4368" s="14">
        <v>0</v>
      </c>
      <c r="AA4368" s="6">
        <v>0</v>
      </c>
      <c r="AB4368" s="4">
        <f t="shared" si="673"/>
        <v>0</v>
      </c>
      <c r="AC4368" s="4">
        <f t="shared" si="675"/>
        <v>0</v>
      </c>
      <c r="AD4368" s="6">
        <f t="shared" si="670"/>
        <v>0</v>
      </c>
      <c r="AE4368" s="2">
        <f>VLOOKUP(I4368,[1]媒体政策预估表!A:N,MATCH(O4368,[1]媒体政策预估表!$A$2:$M$2,0),0)</f>
        <v>7.0000000000000007E-2</v>
      </c>
      <c r="AF4368" s="6">
        <f t="shared" si="676"/>
        <v>0</v>
      </c>
      <c r="AG4368" s="14">
        <v>0</v>
      </c>
      <c r="AH4368" s="65">
        <f t="shared" si="671"/>
        <v>0</v>
      </c>
      <c r="AI4368" s="47"/>
      <c r="AJ4368" s="126" t="e">
        <v>#N/A</v>
      </c>
      <c r="AK4368" s="80">
        <f t="shared" si="674"/>
        <v>0</v>
      </c>
      <c r="AM4368" s="85"/>
    </row>
    <row r="4369" spans="1:39" hidden="1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668"/>
        <v>489.29999999999927</v>
      </c>
      <c r="X4369" s="6">
        <f t="shared" si="669"/>
        <v>0</v>
      </c>
      <c r="Y4369" s="13">
        <f t="shared" si="672"/>
        <v>0</v>
      </c>
      <c r="Z4369" s="14">
        <v>0</v>
      </c>
      <c r="AA4369" s="6">
        <v>0</v>
      </c>
      <c r="AB4369" s="4">
        <f t="shared" si="673"/>
        <v>0</v>
      </c>
      <c r="AC4369" s="4">
        <f t="shared" si="675"/>
        <v>0</v>
      </c>
      <c r="AD4369" s="6">
        <f t="shared" si="670"/>
        <v>0</v>
      </c>
      <c r="AE4369" s="2">
        <f>VLOOKUP(I4369,[1]媒体政策预估表!A:N,MATCH(O4369,[1]媒体政策预估表!$A$2:$M$2,0),0)</f>
        <v>7.0000000000000007E-2</v>
      </c>
      <c r="AF4369" s="6">
        <f t="shared" si="676"/>
        <v>0</v>
      </c>
      <c r="AG4369" s="14">
        <v>0</v>
      </c>
      <c r="AH4369" s="65">
        <f t="shared" si="671"/>
        <v>0</v>
      </c>
      <c r="AI4369" s="47"/>
      <c r="AJ4369" s="126" t="e">
        <v>#N/A</v>
      </c>
      <c r="AK4369" s="80">
        <f t="shared" si="674"/>
        <v>0</v>
      </c>
      <c r="AM4369" s="85"/>
    </row>
    <row r="4370" spans="1:39" hidden="1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668"/>
        <v>4407.9000000000005</v>
      </c>
      <c r="X4370" s="6">
        <f t="shared" si="669"/>
        <v>0</v>
      </c>
      <c r="Y4370" s="13">
        <f t="shared" si="672"/>
        <v>0</v>
      </c>
      <c r="Z4370" s="14">
        <v>0</v>
      </c>
      <c r="AA4370" s="6">
        <v>0</v>
      </c>
      <c r="AB4370" s="4">
        <f t="shared" si="673"/>
        <v>0</v>
      </c>
      <c r="AC4370" s="4">
        <f t="shared" si="675"/>
        <v>0</v>
      </c>
      <c r="AD4370" s="6">
        <f t="shared" si="670"/>
        <v>0</v>
      </c>
      <c r="AE4370" s="2">
        <f>VLOOKUP(I4370,[1]媒体政策预估表!A:N,MATCH(O4370,[1]媒体政策预估表!$A$2:$M$2,0),0)</f>
        <v>7.0000000000000007E-2</v>
      </c>
      <c r="AF4370" s="6">
        <f t="shared" si="676"/>
        <v>0</v>
      </c>
      <c r="AG4370" s="14">
        <v>0</v>
      </c>
      <c r="AH4370" s="65">
        <f t="shared" si="671"/>
        <v>0</v>
      </c>
      <c r="AI4370" s="47"/>
      <c r="AJ4370" s="126" t="e">
        <v>#N/A</v>
      </c>
      <c r="AK4370" s="80">
        <f t="shared" si="674"/>
        <v>0</v>
      </c>
      <c r="AM4370" s="85"/>
    </row>
    <row r="4371" spans="1:39" hidden="1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668"/>
        <v>496.09999999999746</v>
      </c>
      <c r="X4371" s="6">
        <f t="shared" si="669"/>
        <v>0</v>
      </c>
      <c r="Y4371" s="13">
        <f t="shared" si="672"/>
        <v>0</v>
      </c>
      <c r="Z4371" s="14">
        <v>0</v>
      </c>
      <c r="AA4371" s="6">
        <v>0</v>
      </c>
      <c r="AB4371" s="4">
        <f t="shared" si="673"/>
        <v>0</v>
      </c>
      <c r="AC4371" s="4">
        <f t="shared" si="675"/>
        <v>0</v>
      </c>
      <c r="AD4371" s="6">
        <f t="shared" si="670"/>
        <v>0</v>
      </c>
      <c r="AE4371" s="2">
        <f>VLOOKUP(I4371,[1]媒体政策预估表!A:N,MATCH(O4371,[1]媒体政策预估表!$A$2:$M$2,0),0)</f>
        <v>7.0000000000000007E-2</v>
      </c>
      <c r="AF4371" s="6">
        <f t="shared" si="676"/>
        <v>0</v>
      </c>
      <c r="AG4371" s="14">
        <v>0</v>
      </c>
      <c r="AH4371" s="65">
        <f t="shared" si="671"/>
        <v>0</v>
      </c>
      <c r="AI4371" s="47"/>
      <c r="AJ4371" s="126" t="e">
        <v>#N/A</v>
      </c>
      <c r="AK4371" s="80">
        <f t="shared" si="674"/>
        <v>0</v>
      </c>
      <c r="AM4371" s="85"/>
    </row>
    <row r="4372" spans="1:39" hidden="1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668"/>
        <v>0</v>
      </c>
      <c r="X4372" s="6">
        <f t="shared" si="669"/>
        <v>12136.027399999972</v>
      </c>
      <c r="Y4372" s="13">
        <f t="shared" si="672"/>
        <v>0</v>
      </c>
      <c r="Z4372" s="14">
        <v>0</v>
      </c>
      <c r="AA4372" s="6">
        <v>0</v>
      </c>
      <c r="AB4372" s="4">
        <f t="shared" si="673"/>
        <v>12136.027399999972</v>
      </c>
      <c r="AC4372" s="4">
        <f t="shared" si="675"/>
        <v>184.81259999999929</v>
      </c>
      <c r="AD4372" s="6">
        <f t="shared" si="670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676"/>
        <v>862.45879999999806</v>
      </c>
      <c r="AG4372" s="14">
        <v>0</v>
      </c>
      <c r="AH4372" s="65">
        <f t="shared" si="671"/>
        <v>12320.839999999971</v>
      </c>
      <c r="AI4372" s="47"/>
      <c r="AJ4372" s="126" t="e">
        <v>#N/A</v>
      </c>
      <c r="AK4372" s="80">
        <f t="shared" si="674"/>
        <v>0</v>
      </c>
      <c r="AM4372" s="85"/>
    </row>
    <row r="4373" spans="1:39" hidden="1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668"/>
        <v>60018.100000000006</v>
      </c>
      <c r="X4373" s="6">
        <f t="shared" si="669"/>
        <v>0</v>
      </c>
      <c r="Y4373" s="13">
        <f t="shared" si="672"/>
        <v>0</v>
      </c>
      <c r="Z4373" s="14">
        <v>0</v>
      </c>
      <c r="AA4373" s="6">
        <v>0</v>
      </c>
      <c r="AB4373" s="4">
        <f t="shared" si="673"/>
        <v>0</v>
      </c>
      <c r="AC4373" s="4">
        <f t="shared" si="675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676"/>
        <v>0</v>
      </c>
      <c r="AG4373" s="14">
        <v>0</v>
      </c>
      <c r="AH4373" s="65">
        <f t="shared" si="671"/>
        <v>0</v>
      </c>
      <c r="AI4373" s="47"/>
      <c r="AJ4373" s="126" t="e">
        <v>#N/A</v>
      </c>
      <c r="AK4373" s="80">
        <f t="shared" si="674"/>
        <v>0</v>
      </c>
      <c r="AM4373" s="85"/>
    </row>
    <row r="4374" spans="1:39" hidden="1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668"/>
        <v>286.97000000000116</v>
      </c>
      <c r="X4374" s="6">
        <f t="shared" si="669"/>
        <v>0</v>
      </c>
      <c r="Y4374" s="13">
        <f t="shared" si="672"/>
        <v>0</v>
      </c>
      <c r="Z4374" s="14">
        <v>0</v>
      </c>
      <c r="AA4374" s="6">
        <v>0</v>
      </c>
      <c r="AB4374" s="4">
        <f t="shared" si="673"/>
        <v>0</v>
      </c>
      <c r="AC4374" s="4">
        <f t="shared" si="675"/>
        <v>0</v>
      </c>
      <c r="AD4374" s="6">
        <f t="shared" si="670"/>
        <v>0</v>
      </c>
      <c r="AE4374" s="2">
        <f>VLOOKUP(I4374,[1]媒体政策预估表!A:N,MATCH(O4374,[1]媒体政策预估表!$A$2:$M$2,0),0)</f>
        <v>7.0000000000000007E-2</v>
      </c>
      <c r="AF4374" s="6">
        <f t="shared" si="676"/>
        <v>0</v>
      </c>
      <c r="AG4374" s="14">
        <v>0</v>
      </c>
      <c r="AH4374" s="65">
        <f t="shared" si="671"/>
        <v>0</v>
      </c>
      <c r="AI4374" s="47"/>
      <c r="AJ4374" s="126" t="e">
        <v>#N/A</v>
      </c>
      <c r="AK4374" s="80">
        <f t="shared" si="674"/>
        <v>0</v>
      </c>
      <c r="AM4374" s="85"/>
    </row>
    <row r="4375" spans="1:39" hidden="1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668"/>
        <v>-76668.102480000001</v>
      </c>
      <c r="X4375" s="6">
        <f t="shared" si="669"/>
        <v>0</v>
      </c>
      <c r="Y4375" s="13">
        <f t="shared" si="672"/>
        <v>0</v>
      </c>
      <c r="Z4375" s="14">
        <v>0</v>
      </c>
      <c r="AA4375" s="6">
        <v>0</v>
      </c>
      <c r="AB4375" s="4">
        <f t="shared" si="673"/>
        <v>0</v>
      </c>
      <c r="AC4375" s="4">
        <f t="shared" si="675"/>
        <v>0</v>
      </c>
      <c r="AD4375" s="6">
        <f t="shared" si="670"/>
        <v>0</v>
      </c>
      <c r="AE4375" s="2">
        <f>VLOOKUP(I4375,[1]媒体政策预估表!A:N,MATCH(O4375,[1]媒体政策预估表!$A$2:$M$2,0),0)</f>
        <v>0.12</v>
      </c>
      <c r="AF4375" s="6">
        <f t="shared" si="676"/>
        <v>0</v>
      </c>
      <c r="AG4375" s="14">
        <v>0</v>
      </c>
      <c r="AH4375" s="65">
        <f t="shared" si="671"/>
        <v>0</v>
      </c>
      <c r="AI4375" s="47"/>
      <c r="AJ4375" s="126" t="e">
        <v>#N/A</v>
      </c>
      <c r="AK4375" s="80">
        <f t="shared" si="674"/>
        <v>0</v>
      </c>
      <c r="AM4375" s="85"/>
    </row>
    <row r="4376" spans="1:39" hidden="1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668"/>
        <v>18883.900000000001</v>
      </c>
      <c r="X4376" s="6">
        <f t="shared" si="669"/>
        <v>0</v>
      </c>
      <c r="Y4376" s="13">
        <f t="shared" si="672"/>
        <v>0</v>
      </c>
      <c r="Z4376" s="14">
        <v>0</v>
      </c>
      <c r="AA4376" s="6">
        <v>0</v>
      </c>
      <c r="AB4376" s="4">
        <f t="shared" si="673"/>
        <v>0</v>
      </c>
      <c r="AC4376" s="4">
        <f t="shared" si="675"/>
        <v>0</v>
      </c>
      <c r="AD4376" s="6">
        <f t="shared" si="670"/>
        <v>0</v>
      </c>
      <c r="AE4376" s="2">
        <f>VLOOKUP(I4376,[1]媒体政策预估表!A:N,MATCH(O4376,[1]媒体政策预估表!$A$2:$M$2,0),0)</f>
        <v>7.0000000000000007E-2</v>
      </c>
      <c r="AF4376" s="6">
        <f t="shared" si="676"/>
        <v>0</v>
      </c>
      <c r="AG4376" s="14">
        <v>0</v>
      </c>
      <c r="AH4376" s="65">
        <f t="shared" si="671"/>
        <v>0</v>
      </c>
      <c r="AI4376" s="47"/>
      <c r="AJ4376" s="126" t="e">
        <v>#N/A</v>
      </c>
      <c r="AK4376" s="80">
        <f t="shared" si="674"/>
        <v>0</v>
      </c>
      <c r="AM4376" s="85"/>
    </row>
    <row r="4377" spans="1:39" hidden="1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668"/>
        <v>1676.5299999999988</v>
      </c>
      <c r="X4377" s="6">
        <f t="shared" si="669"/>
        <v>0</v>
      </c>
      <c r="Y4377" s="13">
        <f t="shared" si="672"/>
        <v>0</v>
      </c>
      <c r="Z4377" s="14">
        <v>0</v>
      </c>
      <c r="AA4377" s="6">
        <v>0</v>
      </c>
      <c r="AB4377" s="4"/>
      <c r="AC4377" s="4">
        <f t="shared" si="675"/>
        <v>0</v>
      </c>
      <c r="AD4377" s="6">
        <f t="shared" si="670"/>
        <v>0</v>
      </c>
      <c r="AE4377" s="2">
        <f>VLOOKUP(I4377,[1]媒体政策预估表!A:N,MATCH(O4377,[1]媒体政策预估表!$A$2:$M$2,0),0)</f>
        <v>0.12</v>
      </c>
      <c r="AF4377" s="6">
        <f t="shared" si="676"/>
        <v>0</v>
      </c>
      <c r="AG4377" s="14">
        <v>0</v>
      </c>
      <c r="AH4377" s="65">
        <f t="shared" si="671"/>
        <v>0</v>
      </c>
      <c r="AI4377" s="47"/>
      <c r="AJ4377" s="126">
        <v>20</v>
      </c>
      <c r="AK4377" s="80">
        <f t="shared" si="674"/>
        <v>0</v>
      </c>
      <c r="AM4377" s="85"/>
    </row>
    <row r="4378" spans="1:39" hidden="1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668"/>
        <v>1716.83</v>
      </c>
      <c r="X4378" s="6">
        <f t="shared" si="669"/>
        <v>0</v>
      </c>
      <c r="Y4378" s="13">
        <f t="shared" si="672"/>
        <v>0</v>
      </c>
      <c r="Z4378" s="14">
        <v>0</v>
      </c>
      <c r="AA4378" s="6">
        <v>0</v>
      </c>
      <c r="AB4378" s="4">
        <f t="shared" si="673"/>
        <v>0</v>
      </c>
      <c r="AC4378" s="4">
        <f t="shared" si="675"/>
        <v>0</v>
      </c>
      <c r="AD4378" s="6">
        <f t="shared" si="670"/>
        <v>0</v>
      </c>
      <c r="AE4378" s="2">
        <f>VLOOKUP(I4378,[1]媒体政策预估表!A:N,MATCH(O4378,[1]媒体政策预估表!$A$2:$M$2,0),0)</f>
        <v>7.0000000000000007E-2</v>
      </c>
      <c r="AF4378" s="6">
        <f t="shared" si="676"/>
        <v>0</v>
      </c>
      <c r="AG4378" s="14">
        <v>0</v>
      </c>
      <c r="AH4378" s="65">
        <f t="shared" si="671"/>
        <v>0</v>
      </c>
      <c r="AI4378" s="47"/>
      <c r="AJ4378" s="126" t="e">
        <v>#N/A</v>
      </c>
      <c r="AK4378" s="80">
        <f t="shared" si="674"/>
        <v>0</v>
      </c>
      <c r="AM4378" s="85"/>
    </row>
    <row r="4379" spans="1:39" hidden="1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668"/>
        <v>2.0199999999895226</v>
      </c>
      <c r="X4379" s="6">
        <f t="shared" si="669"/>
        <v>0</v>
      </c>
      <c r="Y4379" s="13">
        <f t="shared" si="672"/>
        <v>0</v>
      </c>
      <c r="Z4379" s="14">
        <v>0</v>
      </c>
      <c r="AA4379" s="6">
        <v>0</v>
      </c>
      <c r="AB4379" s="4">
        <f t="shared" si="673"/>
        <v>0</v>
      </c>
      <c r="AC4379" s="4">
        <f t="shared" si="675"/>
        <v>0</v>
      </c>
      <c r="AD4379" s="6">
        <f t="shared" si="670"/>
        <v>0</v>
      </c>
      <c r="AE4379" s="2">
        <f>VLOOKUP(I4379,[1]媒体政策预估表!A:N,MATCH(O4379,[1]媒体政策预估表!$A$2:$M$2,0),0)</f>
        <v>7.0000000000000007E-2</v>
      </c>
      <c r="AF4379" s="6">
        <f t="shared" si="676"/>
        <v>0</v>
      </c>
      <c r="AG4379" s="14">
        <v>0</v>
      </c>
      <c r="AH4379" s="65">
        <f t="shared" si="671"/>
        <v>0</v>
      </c>
      <c r="AI4379" s="47"/>
      <c r="AJ4379" s="126" t="e">
        <v>#N/A</v>
      </c>
      <c r="AK4379" s="80">
        <f t="shared" si="674"/>
        <v>0</v>
      </c>
      <c r="AM4379" s="85"/>
    </row>
    <row r="4380" spans="1:39" hidden="1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668"/>
        <v>2027.2165199999936</v>
      </c>
      <c r="X4380" s="6">
        <f t="shared" si="669"/>
        <v>0</v>
      </c>
      <c r="Y4380" s="13">
        <f t="shared" si="672"/>
        <v>0</v>
      </c>
      <c r="Z4380" s="14">
        <v>0</v>
      </c>
      <c r="AA4380" s="6">
        <v>0</v>
      </c>
      <c r="AB4380" s="4">
        <f t="shared" si="673"/>
        <v>0</v>
      </c>
      <c r="AC4380" s="4">
        <f t="shared" si="675"/>
        <v>0</v>
      </c>
      <c r="AD4380" s="6">
        <f t="shared" si="670"/>
        <v>0</v>
      </c>
      <c r="AE4380" s="2">
        <f>VLOOKUP(I4380,[1]媒体政策预估表!A:N,MATCH(O4380,[1]媒体政策预估表!$A$2:$M$2,0),0)</f>
        <v>0.12</v>
      </c>
      <c r="AF4380" s="6">
        <f t="shared" si="676"/>
        <v>0</v>
      </c>
      <c r="AG4380" s="14">
        <v>0</v>
      </c>
      <c r="AH4380" s="65">
        <f t="shared" si="671"/>
        <v>0</v>
      </c>
      <c r="AI4380" s="47"/>
      <c r="AJ4380" s="126" t="e">
        <v>#N/A</v>
      </c>
      <c r="AK4380" s="80">
        <f t="shared" si="674"/>
        <v>0</v>
      </c>
      <c r="AM4380" s="85"/>
    </row>
    <row r="4381" spans="1:39" hidden="1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668"/>
        <v>397.55999999999403</v>
      </c>
      <c r="X4381" s="6">
        <f t="shared" si="669"/>
        <v>0</v>
      </c>
      <c r="Y4381" s="13">
        <f t="shared" si="672"/>
        <v>0</v>
      </c>
      <c r="Z4381" s="14">
        <v>0</v>
      </c>
      <c r="AA4381" s="6">
        <v>0</v>
      </c>
      <c r="AB4381" s="4">
        <f t="shared" si="673"/>
        <v>0</v>
      </c>
      <c r="AC4381" s="4">
        <f t="shared" si="675"/>
        <v>0</v>
      </c>
      <c r="AD4381" s="6">
        <f t="shared" si="670"/>
        <v>0</v>
      </c>
      <c r="AE4381" s="2">
        <f>VLOOKUP(I4381,[1]媒体政策预估表!A:N,MATCH(O4381,[1]媒体政策预估表!$A$2:$M$2,0),0)</f>
        <v>7.0000000000000007E-2</v>
      </c>
      <c r="AF4381" s="6">
        <f t="shared" si="676"/>
        <v>0</v>
      </c>
      <c r="AG4381" s="14">
        <v>0</v>
      </c>
      <c r="AH4381" s="65">
        <f t="shared" si="671"/>
        <v>0</v>
      </c>
      <c r="AI4381" s="47"/>
      <c r="AJ4381" s="126" t="s">
        <v>4222</v>
      </c>
      <c r="AK4381" s="80">
        <f t="shared" si="674"/>
        <v>0</v>
      </c>
      <c r="AL4381" s="150"/>
      <c r="AM4381" s="85"/>
    </row>
    <row r="4382" spans="1:39" hidden="1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668"/>
        <v>8138.9999999999927</v>
      </c>
      <c r="X4382" s="6">
        <f t="shared" si="669"/>
        <v>0</v>
      </c>
      <c r="Y4382" s="13">
        <f t="shared" si="672"/>
        <v>0</v>
      </c>
      <c r="Z4382" s="14">
        <v>0</v>
      </c>
      <c r="AA4382" s="6">
        <v>0</v>
      </c>
      <c r="AB4382" s="4">
        <f t="shared" si="673"/>
        <v>0</v>
      </c>
      <c r="AC4382" s="4">
        <f t="shared" si="675"/>
        <v>0</v>
      </c>
      <c r="AD4382" s="6">
        <f t="shared" si="670"/>
        <v>0</v>
      </c>
      <c r="AE4382" s="2">
        <f>VLOOKUP(I4382,[1]媒体政策预估表!A:N,MATCH(O4382,[1]媒体政策预估表!$A$2:$M$2,0),0)</f>
        <v>7.0000000000000007E-2</v>
      </c>
      <c r="AF4382" s="6">
        <f t="shared" si="676"/>
        <v>0</v>
      </c>
      <c r="AG4382" s="14">
        <v>0</v>
      </c>
      <c r="AH4382" s="65">
        <f t="shared" si="671"/>
        <v>0</v>
      </c>
      <c r="AI4382" s="47"/>
      <c r="AJ4382" s="126" t="e">
        <v>#N/A</v>
      </c>
      <c r="AK4382" s="80">
        <f t="shared" si="674"/>
        <v>0</v>
      </c>
      <c r="AM4382" s="85"/>
    </row>
    <row r="4383" spans="1:39" hidden="1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668"/>
        <v>2957.1000000000004</v>
      </c>
      <c r="X4383" s="6">
        <f t="shared" si="669"/>
        <v>0</v>
      </c>
      <c r="Y4383" s="13">
        <f t="shared" si="672"/>
        <v>0</v>
      </c>
      <c r="Z4383" s="14">
        <v>0</v>
      </c>
      <c r="AA4383" s="6">
        <v>0</v>
      </c>
      <c r="AB4383" s="4">
        <f t="shared" si="673"/>
        <v>0</v>
      </c>
      <c r="AC4383" s="4">
        <f t="shared" si="675"/>
        <v>0</v>
      </c>
      <c r="AD4383" s="6">
        <f t="shared" si="670"/>
        <v>0</v>
      </c>
      <c r="AE4383" s="2">
        <f>VLOOKUP(I4383,[1]媒体政策预估表!A:N,MATCH(O4383,[1]媒体政策预估表!$A$2:$M$2,0),0)</f>
        <v>7.0000000000000007E-2</v>
      </c>
      <c r="AF4383" s="6">
        <f t="shared" si="676"/>
        <v>0</v>
      </c>
      <c r="AG4383" s="14">
        <v>0</v>
      </c>
      <c r="AH4383" s="65">
        <f t="shared" si="671"/>
        <v>0</v>
      </c>
      <c r="AI4383" s="47"/>
      <c r="AJ4383" s="126" t="e">
        <v>#N/A</v>
      </c>
      <c r="AK4383" s="80">
        <f t="shared" si="674"/>
        <v>0</v>
      </c>
      <c r="AM4383" s="85"/>
    </row>
    <row r="4384" spans="1:39" hidden="1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668"/>
        <v>376.56999999999971</v>
      </c>
      <c r="X4384" s="6">
        <f t="shared" si="669"/>
        <v>0</v>
      </c>
      <c r="Y4384" s="13">
        <f t="shared" si="672"/>
        <v>0</v>
      </c>
      <c r="Z4384" s="14">
        <v>0</v>
      </c>
      <c r="AA4384" s="6">
        <v>0</v>
      </c>
      <c r="AB4384" s="4">
        <f t="shared" si="673"/>
        <v>0</v>
      </c>
      <c r="AC4384" s="4">
        <f t="shared" si="675"/>
        <v>0</v>
      </c>
      <c r="AD4384" s="6">
        <f t="shared" si="670"/>
        <v>0</v>
      </c>
      <c r="AE4384" s="2">
        <f>VLOOKUP(I4384,[1]媒体政策预估表!A:N,MATCH(O4384,[1]媒体政策预估表!$A$2:$M$2,0),0)</f>
        <v>7.0000000000000007E-2</v>
      </c>
      <c r="AF4384" s="6">
        <f t="shared" si="676"/>
        <v>0</v>
      </c>
      <c r="AG4384" s="14">
        <v>0</v>
      </c>
      <c r="AH4384" s="65">
        <f t="shared" si="671"/>
        <v>0</v>
      </c>
      <c r="AI4384" s="47"/>
      <c r="AJ4384" s="126" t="e">
        <v>#N/A</v>
      </c>
      <c r="AK4384" s="80">
        <f t="shared" si="674"/>
        <v>0</v>
      </c>
      <c r="AM4384" s="85"/>
    </row>
    <row r="4385" spans="1:39" hidden="1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668"/>
        <v>459.09999999999854</v>
      </c>
      <c r="X4385" s="6">
        <f t="shared" si="669"/>
        <v>0</v>
      </c>
      <c r="Y4385" s="13">
        <f t="shared" si="672"/>
        <v>0</v>
      </c>
      <c r="Z4385" s="14">
        <v>0</v>
      </c>
      <c r="AA4385" s="6">
        <v>0</v>
      </c>
      <c r="AB4385" s="4">
        <f t="shared" si="673"/>
        <v>0</v>
      </c>
      <c r="AC4385" s="4">
        <f t="shared" si="675"/>
        <v>0</v>
      </c>
      <c r="AD4385" s="6">
        <f t="shared" si="670"/>
        <v>0</v>
      </c>
      <c r="AE4385" s="2">
        <f>VLOOKUP(I4385,[1]媒体政策预估表!A:N,MATCH(O4385,[1]媒体政策预估表!$A$2:$M$2,0),0)</f>
        <v>7.0000000000000007E-2</v>
      </c>
      <c r="AF4385" s="6">
        <f t="shared" si="676"/>
        <v>0</v>
      </c>
      <c r="AG4385" s="14">
        <v>0</v>
      </c>
      <c r="AH4385" s="65">
        <f t="shared" si="671"/>
        <v>0</v>
      </c>
      <c r="AI4385" s="47"/>
      <c r="AJ4385" s="126" t="e">
        <v>#N/A</v>
      </c>
      <c r="AK4385" s="80">
        <f t="shared" si="674"/>
        <v>0</v>
      </c>
      <c r="AM4385" s="85"/>
    </row>
    <row r="4386" spans="1:39" hidden="1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668"/>
        <v>-36306.883640000022</v>
      </c>
      <c r="X4386" s="6">
        <f t="shared" si="669"/>
        <v>0</v>
      </c>
      <c r="Y4386" s="13">
        <f t="shared" si="672"/>
        <v>0</v>
      </c>
      <c r="Z4386" s="14">
        <v>0</v>
      </c>
      <c r="AA4386" s="6">
        <v>0</v>
      </c>
      <c r="AB4386" s="4">
        <f t="shared" si="673"/>
        <v>0</v>
      </c>
      <c r="AC4386" s="4">
        <f t="shared" si="675"/>
        <v>0</v>
      </c>
      <c r="AD4386" s="6">
        <f t="shared" si="670"/>
        <v>0</v>
      </c>
      <c r="AE4386" s="2">
        <f>VLOOKUP(I4386,[1]媒体政策预估表!A:N,MATCH(O4386,[1]媒体政策预估表!$A$2:$M$2,0),0)</f>
        <v>0.12</v>
      </c>
      <c r="AF4386" s="6">
        <f t="shared" si="676"/>
        <v>0</v>
      </c>
      <c r="AG4386" s="14">
        <v>0</v>
      </c>
      <c r="AH4386" s="65">
        <f t="shared" si="671"/>
        <v>0</v>
      </c>
      <c r="AI4386" s="47"/>
      <c r="AJ4386" s="126" t="e">
        <v>#N/A</v>
      </c>
      <c r="AK4386" s="80">
        <f t="shared" si="674"/>
        <v>0</v>
      </c>
      <c r="AM4386" s="85"/>
    </row>
    <row r="4387" spans="1:39" hidden="1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668"/>
        <v>-1590008.6081399997</v>
      </c>
      <c r="X4387" s="6">
        <f t="shared" si="669"/>
        <v>0</v>
      </c>
      <c r="Y4387" s="13">
        <f t="shared" si="672"/>
        <v>0</v>
      </c>
      <c r="Z4387" s="14">
        <v>0</v>
      </c>
      <c r="AA4387" s="6">
        <v>0</v>
      </c>
      <c r="AB4387" s="4">
        <f t="shared" si="673"/>
        <v>0</v>
      </c>
      <c r="AC4387" s="4">
        <f t="shared" si="675"/>
        <v>0</v>
      </c>
      <c r="AD4387" s="6">
        <f t="shared" si="670"/>
        <v>0</v>
      </c>
      <c r="AE4387" s="2">
        <f>VLOOKUP(I4387,[1]媒体政策预估表!A:N,MATCH(O4387,[1]媒体政策预估表!$A$2:$M$2,0),0)</f>
        <v>0.12</v>
      </c>
      <c r="AF4387" s="6">
        <f t="shared" si="676"/>
        <v>0</v>
      </c>
      <c r="AG4387" s="14">
        <v>0</v>
      </c>
      <c r="AH4387" s="65">
        <f t="shared" si="671"/>
        <v>0</v>
      </c>
      <c r="AI4387" s="47"/>
      <c r="AJ4387" s="126" t="e">
        <v>#N/A</v>
      </c>
      <c r="AK4387" s="80">
        <f t="shared" si="674"/>
        <v>0</v>
      </c>
      <c r="AM4387" s="85"/>
    </row>
    <row r="4388" spans="1:39" hidden="1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668"/>
        <v>492.5</v>
      </c>
      <c r="X4388" s="6">
        <f t="shared" si="669"/>
        <v>0</v>
      </c>
      <c r="Y4388" s="13">
        <f t="shared" si="672"/>
        <v>0</v>
      </c>
      <c r="Z4388" s="14">
        <v>0</v>
      </c>
      <c r="AA4388" s="6">
        <v>0</v>
      </c>
      <c r="AB4388" s="4">
        <f t="shared" si="673"/>
        <v>0</v>
      </c>
      <c r="AC4388" s="4">
        <f t="shared" si="675"/>
        <v>0</v>
      </c>
      <c r="AD4388" s="6">
        <f t="shared" si="670"/>
        <v>0</v>
      </c>
      <c r="AE4388" s="2">
        <f>VLOOKUP(I4388,[1]媒体政策预估表!A:N,MATCH(O4388,[1]媒体政策预估表!$A$2:$M$2,0),0)</f>
        <v>7.0000000000000007E-2</v>
      </c>
      <c r="AF4388" s="6">
        <f t="shared" si="676"/>
        <v>0</v>
      </c>
      <c r="AG4388" s="14">
        <v>0</v>
      </c>
      <c r="AH4388" s="65">
        <f t="shared" si="671"/>
        <v>0</v>
      </c>
      <c r="AI4388" s="47"/>
      <c r="AJ4388" s="126" t="e">
        <v>#N/A</v>
      </c>
      <c r="AK4388" s="80">
        <f t="shared" si="674"/>
        <v>0</v>
      </c>
      <c r="AM4388" s="85"/>
    </row>
    <row r="4389" spans="1:39" hidden="1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668"/>
        <v>1.8000000000029104</v>
      </c>
      <c r="X4389" s="6">
        <f t="shared" si="669"/>
        <v>0</v>
      </c>
      <c r="Y4389" s="13">
        <f t="shared" si="672"/>
        <v>0</v>
      </c>
      <c r="Z4389" s="14">
        <v>0</v>
      </c>
      <c r="AA4389" s="6">
        <v>0</v>
      </c>
      <c r="AB4389" s="4">
        <f t="shared" si="673"/>
        <v>0</v>
      </c>
      <c r="AC4389" s="4">
        <f t="shared" si="675"/>
        <v>0</v>
      </c>
      <c r="AD4389" s="6">
        <f t="shared" si="670"/>
        <v>0</v>
      </c>
      <c r="AE4389" s="2">
        <f>VLOOKUP(I4389,[1]媒体政策预估表!A:N,MATCH(O4389,[1]媒体政策预估表!$A$2:$M$2,0),0)</f>
        <v>7.0000000000000007E-2</v>
      </c>
      <c r="AF4389" s="6">
        <f t="shared" si="676"/>
        <v>0</v>
      </c>
      <c r="AG4389" s="14">
        <v>0</v>
      </c>
      <c r="AH4389" s="65">
        <f t="shared" si="671"/>
        <v>0</v>
      </c>
      <c r="AI4389" s="47"/>
      <c r="AJ4389" s="126" t="e">
        <v>#N/A</v>
      </c>
      <c r="AK4389" s="80">
        <f t="shared" si="674"/>
        <v>0</v>
      </c>
      <c r="AM4389" s="85"/>
    </row>
    <row r="4390" spans="1:39" hidden="1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668"/>
        <v>476.60000000000036</v>
      </c>
      <c r="X4390" s="6">
        <f t="shared" si="669"/>
        <v>0</v>
      </c>
      <c r="Y4390" s="13">
        <f t="shared" si="672"/>
        <v>0</v>
      </c>
      <c r="Z4390" s="14">
        <v>0</v>
      </c>
      <c r="AA4390" s="6">
        <v>0</v>
      </c>
      <c r="AB4390" s="4">
        <f t="shared" si="673"/>
        <v>0</v>
      </c>
      <c r="AC4390" s="4">
        <f t="shared" si="675"/>
        <v>0</v>
      </c>
      <c r="AD4390" s="6">
        <f t="shared" si="670"/>
        <v>0</v>
      </c>
      <c r="AE4390" s="2">
        <f>VLOOKUP(I4390,[1]媒体政策预估表!A:N,MATCH(O4390,[1]媒体政策预估表!$A$2:$M$2,0),0)</f>
        <v>7.0000000000000007E-2</v>
      </c>
      <c r="AF4390" s="6">
        <f t="shared" si="676"/>
        <v>0</v>
      </c>
      <c r="AG4390" s="14">
        <v>0</v>
      </c>
      <c r="AH4390" s="65">
        <f t="shared" si="671"/>
        <v>0</v>
      </c>
      <c r="AI4390" s="47"/>
      <c r="AJ4390" s="126" t="e">
        <v>#N/A</v>
      </c>
      <c r="AK4390" s="80">
        <f t="shared" si="674"/>
        <v>0</v>
      </c>
      <c r="AM4390" s="85"/>
    </row>
    <row r="4391" spans="1:39" hidden="1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669"/>
        <v>25658.452149999994</v>
      </c>
      <c r="Y4391" s="13">
        <f t="shared" si="672"/>
        <v>0</v>
      </c>
      <c r="Z4391" s="14">
        <v>0</v>
      </c>
      <c r="AA4391" s="6">
        <v>0</v>
      </c>
      <c r="AB4391" s="4">
        <f t="shared" si="673"/>
        <v>25658.452149999994</v>
      </c>
      <c r="AC4391" s="4">
        <f t="shared" si="675"/>
        <v>390.73785000000134</v>
      </c>
      <c r="AD4391" s="6">
        <f t="shared" si="670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676"/>
        <v>1823.4432999999999</v>
      </c>
      <c r="AG4391" s="14">
        <v>0</v>
      </c>
      <c r="AH4391" s="65">
        <f t="shared" si="671"/>
        <v>26049.189999999995</v>
      </c>
      <c r="AI4391" s="47"/>
      <c r="AJ4391" s="126" t="e">
        <v>#N/A</v>
      </c>
      <c r="AK4391" s="80">
        <f t="shared" si="674"/>
        <v>0</v>
      </c>
      <c r="AM4391" s="85"/>
    </row>
    <row r="4392" spans="1:39" hidden="1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668"/>
        <v>30000</v>
      </c>
      <c r="X4392" s="6">
        <f t="shared" si="669"/>
        <v>0</v>
      </c>
      <c r="Y4392" s="13">
        <f t="shared" si="672"/>
        <v>0</v>
      </c>
      <c r="Z4392" s="14">
        <v>0</v>
      </c>
      <c r="AA4392" s="6">
        <v>0</v>
      </c>
      <c r="AB4392" s="4">
        <f t="shared" si="673"/>
        <v>0</v>
      </c>
      <c r="AC4392" s="4">
        <f t="shared" si="675"/>
        <v>0</v>
      </c>
      <c r="AD4392" s="6">
        <f t="shared" si="670"/>
        <v>0</v>
      </c>
      <c r="AE4392" s="2">
        <f>VLOOKUP(I4392,[1]媒体政策预估表!A:N,MATCH(O4392,[1]媒体政策预估表!$A$2:$M$2,0),0)</f>
        <v>7.0000000000000007E-2</v>
      </c>
      <c r="AF4392" s="6">
        <f t="shared" si="676"/>
        <v>0</v>
      </c>
      <c r="AG4392" s="14">
        <v>0</v>
      </c>
      <c r="AH4392" s="65">
        <f t="shared" si="671"/>
        <v>0</v>
      </c>
      <c r="AI4392" s="47"/>
      <c r="AJ4392" s="126" t="e">
        <v>#N/A</v>
      </c>
      <c r="AK4392" s="80">
        <f t="shared" si="674"/>
        <v>0</v>
      </c>
      <c r="AM4392" s="85"/>
    </row>
    <row r="4393" spans="1:39" hidden="1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668"/>
        <v>7976.3767700000008</v>
      </c>
      <c r="X4393" s="6">
        <f t="shared" si="669"/>
        <v>0</v>
      </c>
      <c r="Y4393" s="13">
        <f t="shared" si="672"/>
        <v>0</v>
      </c>
      <c r="Z4393" s="14">
        <v>0</v>
      </c>
      <c r="AA4393" s="6">
        <v>0</v>
      </c>
      <c r="AB4393" s="4">
        <f t="shared" si="673"/>
        <v>0</v>
      </c>
      <c r="AC4393" s="4">
        <f t="shared" si="675"/>
        <v>0</v>
      </c>
      <c r="AD4393" s="6">
        <f t="shared" si="670"/>
        <v>0</v>
      </c>
      <c r="AE4393" s="2">
        <f>VLOOKUP(I4393,[1]媒体政策预估表!A:N,MATCH(O4393,[1]媒体政策预估表!$A$2:$M$2,0),0)</f>
        <v>0.12</v>
      </c>
      <c r="AF4393" s="6">
        <f t="shared" si="676"/>
        <v>0</v>
      </c>
      <c r="AG4393" s="14">
        <v>0</v>
      </c>
      <c r="AH4393" s="65">
        <f t="shared" si="671"/>
        <v>0</v>
      </c>
      <c r="AI4393" s="47"/>
      <c r="AJ4393" s="126" t="e">
        <v>#N/A</v>
      </c>
      <c r="AK4393" s="80">
        <f t="shared" si="674"/>
        <v>0</v>
      </c>
      <c r="AM4393" s="85"/>
    </row>
    <row r="4394" spans="1:39" hidden="1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668"/>
        <v>48179.8</v>
      </c>
      <c r="X4394" s="6">
        <f t="shared" si="669"/>
        <v>0</v>
      </c>
      <c r="Y4394" s="13">
        <f t="shared" si="672"/>
        <v>0</v>
      </c>
      <c r="Z4394" s="14">
        <v>0</v>
      </c>
      <c r="AA4394" s="6">
        <v>0</v>
      </c>
      <c r="AB4394" s="4">
        <f t="shared" si="673"/>
        <v>0</v>
      </c>
      <c r="AC4394" s="4">
        <f t="shared" si="675"/>
        <v>0</v>
      </c>
      <c r="AD4394" s="6">
        <f t="shared" si="670"/>
        <v>0</v>
      </c>
      <c r="AE4394" s="2">
        <v>0</v>
      </c>
      <c r="AF4394" s="6">
        <f t="shared" si="676"/>
        <v>0</v>
      </c>
      <c r="AG4394" s="14">
        <v>0</v>
      </c>
      <c r="AH4394" s="65">
        <f t="shared" si="671"/>
        <v>0</v>
      </c>
      <c r="AI4394" s="47"/>
      <c r="AJ4394" s="126" t="e">
        <v>#N/A</v>
      </c>
      <c r="AK4394" s="80">
        <f t="shared" si="674"/>
        <v>0</v>
      </c>
      <c r="AM4394" s="85"/>
    </row>
    <row r="4395" spans="1:39" hidden="1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668"/>
        <v>-14.2</v>
      </c>
      <c r="X4395" s="6">
        <f t="shared" si="669"/>
        <v>0</v>
      </c>
      <c r="Y4395" s="13">
        <f t="shared" si="672"/>
        <v>0</v>
      </c>
      <c r="Z4395" s="14">
        <v>0</v>
      </c>
      <c r="AA4395" s="6">
        <v>0</v>
      </c>
      <c r="AB4395" s="4">
        <f t="shared" si="673"/>
        <v>0</v>
      </c>
      <c r="AC4395" s="4">
        <f t="shared" si="675"/>
        <v>0</v>
      </c>
      <c r="AD4395" s="6">
        <f t="shared" si="670"/>
        <v>0</v>
      </c>
      <c r="AE4395" s="2">
        <v>0</v>
      </c>
      <c r="AF4395" s="6">
        <f t="shared" si="676"/>
        <v>0</v>
      </c>
      <c r="AG4395" s="14">
        <v>0</v>
      </c>
      <c r="AH4395" s="65">
        <f t="shared" si="671"/>
        <v>0</v>
      </c>
      <c r="AI4395" s="47"/>
      <c r="AJ4395" s="126" t="e">
        <v>#N/A</v>
      </c>
      <c r="AK4395" s="80">
        <f t="shared" si="674"/>
        <v>0</v>
      </c>
      <c r="AM4395" s="85"/>
    </row>
    <row r="4396" spans="1:39" hidden="1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668"/>
        <v>5697.7</v>
      </c>
      <c r="X4396" s="6">
        <f t="shared" si="669"/>
        <v>0</v>
      </c>
      <c r="Y4396" s="13">
        <f t="shared" si="672"/>
        <v>0</v>
      </c>
      <c r="Z4396" s="14">
        <v>0</v>
      </c>
      <c r="AA4396" s="6">
        <v>0</v>
      </c>
      <c r="AB4396" s="4">
        <f t="shared" si="673"/>
        <v>0</v>
      </c>
      <c r="AC4396" s="4">
        <f t="shared" si="675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676"/>
        <v>0</v>
      </c>
      <c r="AG4396" s="14">
        <v>0</v>
      </c>
      <c r="AH4396" s="65">
        <f t="shared" si="671"/>
        <v>0</v>
      </c>
      <c r="AI4396" s="47"/>
      <c r="AJ4396" s="126" t="e">
        <v>#N/A</v>
      </c>
      <c r="AK4396" s="80">
        <f t="shared" si="674"/>
        <v>0</v>
      </c>
      <c r="AM4396" s="85"/>
    </row>
    <row r="4397" spans="1:39" hidden="1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668"/>
        <v>-936905.81706000003</v>
      </c>
      <c r="X4397" s="6">
        <f t="shared" si="669"/>
        <v>0</v>
      </c>
      <c r="Y4397" s="13">
        <f t="shared" si="672"/>
        <v>0</v>
      </c>
      <c r="Z4397" s="14">
        <v>0</v>
      </c>
      <c r="AA4397" s="6">
        <v>0</v>
      </c>
      <c r="AB4397" s="4">
        <f t="shared" si="673"/>
        <v>0</v>
      </c>
      <c r="AC4397" s="4">
        <f t="shared" si="675"/>
        <v>0</v>
      </c>
      <c r="AD4397" s="6">
        <f t="shared" si="670"/>
        <v>0</v>
      </c>
      <c r="AE4397" s="2">
        <f>VLOOKUP(I4397,[1]媒体政策预估表!A:N,MATCH(O4397,[1]媒体政策预估表!$A$2:$M$2,0),0)</f>
        <v>0.12</v>
      </c>
      <c r="AF4397" s="6">
        <f t="shared" si="676"/>
        <v>0</v>
      </c>
      <c r="AG4397" s="14">
        <v>0</v>
      </c>
      <c r="AH4397" s="65">
        <f t="shared" si="671"/>
        <v>0</v>
      </c>
      <c r="AI4397" s="47"/>
      <c r="AJ4397" s="126" t="e">
        <v>#N/A</v>
      </c>
      <c r="AK4397" s="80">
        <f t="shared" si="674"/>
        <v>0</v>
      </c>
      <c r="AM4397" s="85"/>
    </row>
    <row r="4398" spans="1:39" hidden="1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668"/>
        <v>-185345.80999999997</v>
      </c>
      <c r="X4398" s="6">
        <f t="shared" si="669"/>
        <v>0</v>
      </c>
      <c r="Y4398" s="13">
        <f t="shared" si="672"/>
        <v>0</v>
      </c>
      <c r="Z4398" s="14">
        <v>0</v>
      </c>
      <c r="AA4398" s="6">
        <v>0</v>
      </c>
      <c r="AB4398" s="4">
        <f t="shared" si="673"/>
        <v>0</v>
      </c>
      <c r="AC4398" s="4">
        <f t="shared" si="675"/>
        <v>0</v>
      </c>
      <c r="AD4398" s="6">
        <f t="shared" si="670"/>
        <v>0</v>
      </c>
      <c r="AE4398" s="2">
        <f>VLOOKUP(I4398,[1]媒体政策预估表!A:N,MATCH(O4398,[1]媒体政策预估表!$A$2:$M$2,0),0)</f>
        <v>0.15</v>
      </c>
      <c r="AF4398" s="6">
        <f t="shared" si="676"/>
        <v>0</v>
      </c>
      <c r="AG4398" s="14">
        <v>0</v>
      </c>
      <c r="AH4398" s="65">
        <f t="shared" si="671"/>
        <v>0</v>
      </c>
      <c r="AI4398" s="47"/>
      <c r="AJ4398" s="126" t="e">
        <v>#N/A</v>
      </c>
      <c r="AK4398" s="80">
        <f t="shared" si="674"/>
        <v>0</v>
      </c>
      <c r="AM4398" s="85"/>
    </row>
    <row r="4399" spans="1:39" hidden="1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668"/>
        <v>-43803.945879999999</v>
      </c>
      <c r="X4399" s="6">
        <f t="shared" si="669"/>
        <v>0</v>
      </c>
      <c r="Y4399" s="13">
        <f t="shared" si="672"/>
        <v>0</v>
      </c>
      <c r="Z4399" s="14">
        <v>0</v>
      </c>
      <c r="AA4399" s="6">
        <v>0</v>
      </c>
      <c r="AB4399" s="4">
        <f t="shared" si="673"/>
        <v>0</v>
      </c>
      <c r="AC4399" s="4">
        <f t="shared" si="675"/>
        <v>0</v>
      </c>
      <c r="AD4399" s="6">
        <f t="shared" si="670"/>
        <v>0</v>
      </c>
      <c r="AE4399" s="2">
        <f>VLOOKUP(I4399,[1]媒体政策预估表!A:N,MATCH(O4399,[1]媒体政策预估表!$A$2:$M$2,0),0)</f>
        <v>0.12</v>
      </c>
      <c r="AF4399" s="6">
        <f t="shared" si="676"/>
        <v>0</v>
      </c>
      <c r="AG4399" s="14">
        <v>0</v>
      </c>
      <c r="AH4399" s="65">
        <f t="shared" si="671"/>
        <v>0</v>
      </c>
      <c r="AI4399" s="47"/>
      <c r="AJ4399" s="126" t="e">
        <v>#N/A</v>
      </c>
      <c r="AK4399" s="80">
        <f t="shared" si="674"/>
        <v>0</v>
      </c>
      <c r="AM4399" s="85"/>
    </row>
    <row r="4400" spans="1:39" hidden="1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668"/>
        <v>-4344858.0153799998</v>
      </c>
      <c r="X4400" s="6">
        <f t="shared" si="669"/>
        <v>2680924.2502499996</v>
      </c>
      <c r="Y4400" s="13">
        <f t="shared" si="672"/>
        <v>0</v>
      </c>
      <c r="Z4400" s="14">
        <v>0</v>
      </c>
      <c r="AA4400" s="6">
        <v>0</v>
      </c>
      <c r="AB4400" s="4">
        <f t="shared" si="673"/>
        <v>2680924.2502499996</v>
      </c>
      <c r="AC4400" s="4">
        <f t="shared" si="675"/>
        <v>107236.97001000028</v>
      </c>
      <c r="AD4400" s="6">
        <f t="shared" si="670"/>
        <v>2788161.2202599999</v>
      </c>
      <c r="AE4400" s="2">
        <f>VLOOKUP(I4400,[1]媒体政策预估表!A:N,MATCH(O4400,[1]媒体政策预估表!$A$2:$M$2,0),0)</f>
        <v>0.15</v>
      </c>
      <c r="AF4400" s="6">
        <f t="shared" si="676"/>
        <v>418224.18303899997</v>
      </c>
      <c r="AG4400" s="14">
        <v>0</v>
      </c>
      <c r="AH4400" s="65">
        <f t="shared" si="671"/>
        <v>2788161.2202599999</v>
      </c>
      <c r="AI4400" s="47"/>
      <c r="AJ4400" s="126" t="e">
        <v>#N/A</v>
      </c>
      <c r="AK4400" s="80">
        <f t="shared" si="674"/>
        <v>0</v>
      </c>
      <c r="AM4400" s="85"/>
    </row>
    <row r="4401" spans="1:39" hidden="1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668"/>
        <v>1111.7</v>
      </c>
      <c r="X4401" s="6">
        <f t="shared" si="669"/>
        <v>0</v>
      </c>
      <c r="Y4401" s="13">
        <f t="shared" si="672"/>
        <v>0</v>
      </c>
      <c r="Z4401" s="14">
        <v>0</v>
      </c>
      <c r="AA4401" s="6">
        <v>0</v>
      </c>
      <c r="AB4401" s="4">
        <f t="shared" si="673"/>
        <v>0</v>
      </c>
      <c r="AC4401" s="4">
        <f t="shared" si="675"/>
        <v>0</v>
      </c>
      <c r="AD4401" s="6">
        <f t="shared" si="670"/>
        <v>0</v>
      </c>
      <c r="AE4401" s="2">
        <f>VLOOKUP(I4401,[1]媒体政策预估表!A:N,MATCH(O4401,[1]媒体政策预估表!$A$2:$M$2,0),0)</f>
        <v>7.0000000000000007E-2</v>
      </c>
      <c r="AF4401" s="6">
        <f t="shared" si="676"/>
        <v>0</v>
      </c>
      <c r="AG4401" s="14">
        <v>0</v>
      </c>
      <c r="AH4401" s="65">
        <f t="shared" si="671"/>
        <v>0</v>
      </c>
      <c r="AI4401" s="47"/>
      <c r="AJ4401" s="126" t="e">
        <v>#N/A</v>
      </c>
      <c r="AK4401" s="80">
        <f t="shared" si="674"/>
        <v>0</v>
      </c>
      <c r="AM4401" s="85"/>
    </row>
    <row r="4402" spans="1:39" hidden="1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668"/>
        <v>-23338.6</v>
      </c>
      <c r="X4402" s="6">
        <f t="shared" si="669"/>
        <v>0</v>
      </c>
      <c r="Y4402" s="13">
        <f t="shared" si="672"/>
        <v>0</v>
      </c>
      <c r="Z4402" s="14">
        <v>0</v>
      </c>
      <c r="AA4402" s="6">
        <v>0</v>
      </c>
      <c r="AB4402" s="4">
        <f t="shared" si="673"/>
        <v>0</v>
      </c>
      <c r="AC4402" s="4">
        <f t="shared" si="675"/>
        <v>0</v>
      </c>
      <c r="AD4402" s="6">
        <f t="shared" si="670"/>
        <v>0</v>
      </c>
      <c r="AE4402" s="2">
        <f>VLOOKUP(I4402,[1]媒体政策预估表!A:N,MATCH(O4402,[1]媒体政策预估表!$A$2:$M$2,0),0)</f>
        <v>0.15</v>
      </c>
      <c r="AF4402" s="6">
        <f t="shared" si="676"/>
        <v>0</v>
      </c>
      <c r="AG4402" s="14">
        <v>0</v>
      </c>
      <c r="AH4402" s="65">
        <f t="shared" si="671"/>
        <v>0</v>
      </c>
      <c r="AI4402" s="47"/>
      <c r="AJ4402" s="126" t="e">
        <v>#N/A</v>
      </c>
      <c r="AK4402" s="80">
        <f t="shared" si="674"/>
        <v>0</v>
      </c>
      <c r="AM4402" s="85"/>
    </row>
    <row r="4403" spans="1:39" hidden="1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668"/>
        <v>12.47</v>
      </c>
      <c r="X4403" s="6">
        <f t="shared" si="669"/>
        <v>0</v>
      </c>
      <c r="Y4403" s="13">
        <f t="shared" si="672"/>
        <v>0</v>
      </c>
      <c r="Z4403" s="14">
        <v>0</v>
      </c>
      <c r="AA4403" s="6">
        <v>0</v>
      </c>
      <c r="AB4403" s="4">
        <f t="shared" si="673"/>
        <v>0</v>
      </c>
      <c r="AC4403" s="4">
        <f t="shared" si="675"/>
        <v>0</v>
      </c>
      <c r="AD4403" s="6">
        <f t="shared" si="670"/>
        <v>0</v>
      </c>
      <c r="AE4403" s="2">
        <f>VLOOKUP(I4403,[1]媒体政策预估表!A:N,MATCH(O4403,[1]媒体政策预估表!$A$2:$M$2,0),0)</f>
        <v>0.12</v>
      </c>
      <c r="AF4403" s="6">
        <f t="shared" si="676"/>
        <v>0</v>
      </c>
      <c r="AG4403" s="14">
        <v>0</v>
      </c>
      <c r="AH4403" s="65">
        <f t="shared" si="671"/>
        <v>0</v>
      </c>
      <c r="AI4403" s="47"/>
      <c r="AJ4403" s="126" t="e">
        <v>#N/A</v>
      </c>
      <c r="AK4403" s="80">
        <f t="shared" si="674"/>
        <v>0</v>
      </c>
      <c r="AM4403" s="85"/>
    </row>
    <row r="4404" spans="1:39" hidden="1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668"/>
        <v>450.89999999998997</v>
      </c>
      <c r="X4404" s="6">
        <f t="shared" si="669"/>
        <v>0</v>
      </c>
      <c r="Y4404" s="13">
        <f t="shared" si="672"/>
        <v>0</v>
      </c>
      <c r="Z4404" s="14">
        <v>0</v>
      </c>
      <c r="AA4404" s="6">
        <v>0</v>
      </c>
      <c r="AB4404" s="4">
        <f t="shared" si="673"/>
        <v>0</v>
      </c>
      <c r="AC4404" s="4">
        <f t="shared" si="675"/>
        <v>0</v>
      </c>
      <c r="AD4404" s="6">
        <f t="shared" si="670"/>
        <v>0</v>
      </c>
      <c r="AE4404" s="2">
        <f>VLOOKUP(I4404,[1]媒体政策预估表!A:N,MATCH(O4404,[1]媒体政策预估表!$A$2:$M$2,0),0)</f>
        <v>7.0000000000000007E-2</v>
      </c>
      <c r="AF4404" s="6">
        <f t="shared" si="676"/>
        <v>0</v>
      </c>
      <c r="AG4404" s="14">
        <v>0</v>
      </c>
      <c r="AH4404" s="65">
        <f t="shared" si="671"/>
        <v>0</v>
      </c>
      <c r="AI4404" s="47"/>
      <c r="AJ4404" s="126" t="e">
        <v>#N/A</v>
      </c>
      <c r="AK4404" s="80">
        <f t="shared" si="674"/>
        <v>0</v>
      </c>
      <c r="AM4404" s="85"/>
    </row>
    <row r="4405" spans="1:39" hidden="1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668"/>
        <v>4.9999999999954498E-2</v>
      </c>
      <c r="X4405" s="6">
        <f t="shared" si="669"/>
        <v>0</v>
      </c>
      <c r="Y4405" s="13">
        <f t="shared" si="672"/>
        <v>0</v>
      </c>
      <c r="Z4405" s="14">
        <v>0</v>
      </c>
      <c r="AA4405" s="6">
        <v>0</v>
      </c>
      <c r="AB4405" s="4">
        <f t="shared" si="673"/>
        <v>0</v>
      </c>
      <c r="AC4405" s="4">
        <f t="shared" si="675"/>
        <v>0</v>
      </c>
      <c r="AD4405" s="6">
        <f t="shared" si="670"/>
        <v>0</v>
      </c>
      <c r="AE4405" s="2">
        <f>VLOOKUP(I4405,[1]媒体政策预估表!A:N,MATCH(O4405,[1]媒体政策预估表!$A$2:$M$2,0),0)</f>
        <v>0.12</v>
      </c>
      <c r="AF4405" s="6">
        <f t="shared" si="676"/>
        <v>0</v>
      </c>
      <c r="AG4405" s="14">
        <v>0</v>
      </c>
      <c r="AH4405" s="65">
        <f t="shared" si="671"/>
        <v>0</v>
      </c>
      <c r="AI4405" s="47"/>
      <c r="AJ4405" s="126" t="e">
        <v>#N/A</v>
      </c>
      <c r="AK4405" s="80">
        <f t="shared" si="674"/>
        <v>0</v>
      </c>
      <c r="AM4405" s="85"/>
    </row>
    <row r="4406" spans="1:39" hidden="1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668"/>
        <v>1.1000000000000001</v>
      </c>
      <c r="X4406" s="6">
        <f t="shared" si="669"/>
        <v>0</v>
      </c>
      <c r="Y4406" s="13">
        <f t="shared" si="672"/>
        <v>0</v>
      </c>
      <c r="Z4406" s="14">
        <v>0</v>
      </c>
      <c r="AA4406" s="6">
        <v>0</v>
      </c>
      <c r="AB4406" s="4">
        <f t="shared" si="673"/>
        <v>0</v>
      </c>
      <c r="AC4406" s="4">
        <f t="shared" si="675"/>
        <v>0</v>
      </c>
      <c r="AD4406" s="6">
        <f t="shared" si="670"/>
        <v>0</v>
      </c>
      <c r="AE4406" s="2">
        <f>VLOOKUP(I4406,[1]媒体政策预估表!A:N,MATCH(O4406,[1]媒体政策预估表!$A$2:$M$2,0),0)</f>
        <v>7.0000000000000007E-2</v>
      </c>
      <c r="AF4406" s="6">
        <f t="shared" si="676"/>
        <v>0</v>
      </c>
      <c r="AG4406" s="14">
        <v>0</v>
      </c>
      <c r="AH4406" s="65">
        <f t="shared" si="671"/>
        <v>0</v>
      </c>
      <c r="AI4406" s="47"/>
      <c r="AJ4406" s="126" t="e">
        <v>#N/A</v>
      </c>
      <c r="AK4406" s="80">
        <f t="shared" si="674"/>
        <v>0</v>
      </c>
      <c r="AM4406" s="85"/>
    </row>
    <row r="4407" spans="1:39" hidden="1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668"/>
        <v>447.35000000001003</v>
      </c>
      <c r="X4407" s="6">
        <f t="shared" si="669"/>
        <v>0</v>
      </c>
      <c r="Y4407" s="13">
        <f t="shared" si="672"/>
        <v>0</v>
      </c>
      <c r="Z4407" s="14">
        <v>0</v>
      </c>
      <c r="AA4407" s="6">
        <v>0</v>
      </c>
      <c r="AB4407" s="4"/>
      <c r="AC4407" s="4">
        <f t="shared" si="675"/>
        <v>0</v>
      </c>
      <c r="AD4407" s="6">
        <f t="shared" si="670"/>
        <v>0</v>
      </c>
      <c r="AE4407" s="2">
        <f>VLOOKUP(I4407,[1]媒体政策预估表!A:N,MATCH(O4407,[1]媒体政策预估表!$A$2:$M$2,0),0)</f>
        <v>0.12</v>
      </c>
      <c r="AF4407" s="6">
        <f t="shared" si="676"/>
        <v>0</v>
      </c>
      <c r="AG4407" s="14">
        <v>0</v>
      </c>
      <c r="AH4407" s="65">
        <f t="shared" si="671"/>
        <v>0</v>
      </c>
      <c r="AI4407" s="47"/>
      <c r="AJ4407" s="126">
        <v>66</v>
      </c>
      <c r="AK4407" s="80">
        <f t="shared" si="674"/>
        <v>0</v>
      </c>
      <c r="AM4407" s="85"/>
    </row>
    <row r="4408" spans="1:39" hidden="1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668"/>
        <v>3627.9</v>
      </c>
      <c r="X4408" s="6">
        <f t="shared" si="669"/>
        <v>0</v>
      </c>
      <c r="Y4408" s="13">
        <f t="shared" si="672"/>
        <v>0</v>
      </c>
      <c r="Z4408" s="14">
        <v>0</v>
      </c>
      <c r="AA4408" s="6">
        <v>0</v>
      </c>
      <c r="AB4408" s="4">
        <f t="shared" si="673"/>
        <v>0</v>
      </c>
      <c r="AC4408" s="4">
        <f t="shared" si="675"/>
        <v>0</v>
      </c>
      <c r="AD4408" s="6">
        <f t="shared" si="670"/>
        <v>0</v>
      </c>
      <c r="AE4408" s="2">
        <f>VLOOKUP(I4408,[1]媒体政策预估表!A:N,MATCH(O4408,[1]媒体政策预估表!$A$2:$M$2,0),0)</f>
        <v>7.0000000000000007E-2</v>
      </c>
      <c r="AF4408" s="6">
        <f t="shared" si="676"/>
        <v>0</v>
      </c>
      <c r="AG4408" s="14">
        <v>0</v>
      </c>
      <c r="AH4408" s="65">
        <f t="shared" si="671"/>
        <v>0</v>
      </c>
      <c r="AI4408" s="47"/>
      <c r="AJ4408" s="126" t="e">
        <v>#N/A</v>
      </c>
      <c r="AK4408" s="80">
        <f t="shared" si="674"/>
        <v>0</v>
      </c>
      <c r="AM4408" s="85"/>
    </row>
    <row r="4409" spans="1:39" hidden="1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668"/>
        <v>-180715.45261000001</v>
      </c>
      <c r="X4409" s="6">
        <f t="shared" si="669"/>
        <v>0</v>
      </c>
      <c r="Y4409" s="13">
        <f t="shared" si="672"/>
        <v>0</v>
      </c>
      <c r="Z4409" s="14">
        <v>0</v>
      </c>
      <c r="AA4409" s="6">
        <v>0</v>
      </c>
      <c r="AB4409" s="4">
        <f t="shared" si="673"/>
        <v>0</v>
      </c>
      <c r="AC4409" s="4">
        <f t="shared" si="675"/>
        <v>0</v>
      </c>
      <c r="AD4409" s="6">
        <f t="shared" si="670"/>
        <v>0</v>
      </c>
      <c r="AE4409" s="2">
        <f>VLOOKUP(I4409,[1]媒体政策预估表!A:N,MATCH(O4409,[1]媒体政策预估表!$A$2:$M$2,0),0)</f>
        <v>0.12</v>
      </c>
      <c r="AF4409" s="6">
        <f t="shared" si="676"/>
        <v>0</v>
      </c>
      <c r="AG4409" s="14">
        <v>0</v>
      </c>
      <c r="AH4409" s="65">
        <f t="shared" si="671"/>
        <v>0</v>
      </c>
      <c r="AI4409" s="47"/>
      <c r="AJ4409" s="126" t="e">
        <v>#N/A</v>
      </c>
      <c r="AK4409" s="80">
        <f t="shared" si="674"/>
        <v>0</v>
      </c>
      <c r="AM4409" s="85"/>
    </row>
    <row r="4410" spans="1:39" hidden="1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668"/>
        <v>-4350.87</v>
      </c>
      <c r="X4410" s="6">
        <f t="shared" si="669"/>
        <v>0</v>
      </c>
      <c r="Y4410" s="13">
        <f t="shared" si="672"/>
        <v>0</v>
      </c>
      <c r="Z4410" s="14">
        <v>0</v>
      </c>
      <c r="AA4410" s="6">
        <v>0</v>
      </c>
      <c r="AB4410" s="4">
        <f t="shared" si="673"/>
        <v>0</v>
      </c>
      <c r="AC4410" s="4">
        <f t="shared" si="675"/>
        <v>0</v>
      </c>
      <c r="AD4410" s="6">
        <f t="shared" si="670"/>
        <v>0</v>
      </c>
      <c r="AE4410" s="2">
        <f>VLOOKUP(I4410,[1]媒体政策预估表!A:N,MATCH(O4410,[1]媒体政策预估表!$A$2:$M$2,0),0)</f>
        <v>0.15</v>
      </c>
      <c r="AF4410" s="6">
        <f t="shared" si="676"/>
        <v>0</v>
      </c>
      <c r="AG4410" s="14">
        <v>0</v>
      </c>
      <c r="AH4410" s="65">
        <f t="shared" si="671"/>
        <v>0</v>
      </c>
      <c r="AI4410" s="47"/>
      <c r="AJ4410" s="126" t="e">
        <v>#N/A</v>
      </c>
      <c r="AK4410" s="80">
        <f t="shared" si="674"/>
        <v>0</v>
      </c>
      <c r="AM4410" s="85"/>
    </row>
    <row r="4411" spans="1:39" hidden="1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677">T4411+U4411-V4411</f>
        <v>-5507.8273900000013</v>
      </c>
      <c r="X4411" s="6">
        <f t="shared" ref="X4411:X4474" si="678">IF(P4411="折扣",V4411*Q4411,IF(P4411="返现",V4411,V4411/(1+Q4411)))</f>
        <v>0</v>
      </c>
      <c r="Y4411" s="13">
        <f t="shared" si="672"/>
        <v>0</v>
      </c>
      <c r="Z4411" s="14">
        <v>0</v>
      </c>
      <c r="AA4411" s="6">
        <v>0</v>
      </c>
      <c r="AB4411" s="4">
        <f t="shared" si="673"/>
        <v>0</v>
      </c>
      <c r="AC4411" s="4">
        <f t="shared" si="675"/>
        <v>0</v>
      </c>
      <c r="AD4411" s="6">
        <f t="shared" ref="AD4411:AD4474" si="679">V4411</f>
        <v>0</v>
      </c>
      <c r="AE4411" s="2">
        <f>VLOOKUP(I4411,[1]媒体政策预估表!A:N,MATCH(O4411,[1]媒体政策预估表!$A$2:$M$2,0),0)</f>
        <v>0.12</v>
      </c>
      <c r="AF4411" s="6">
        <f t="shared" si="676"/>
        <v>0</v>
      </c>
      <c r="AG4411" s="14">
        <v>0</v>
      </c>
      <c r="AH4411" s="65">
        <f t="shared" ref="AH4411:AH4474" si="680">V4411</f>
        <v>0</v>
      </c>
      <c r="AI4411" s="47"/>
      <c r="AJ4411" s="126" t="e">
        <v>#N/A</v>
      </c>
      <c r="AK4411" s="80">
        <f t="shared" si="674"/>
        <v>0</v>
      </c>
      <c r="AM4411" s="85"/>
    </row>
    <row r="4412" spans="1:39" hidden="1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677"/>
        <v>2728.4</v>
      </c>
      <c r="X4412" s="6">
        <f t="shared" si="678"/>
        <v>0</v>
      </c>
      <c r="Y4412" s="13">
        <f t="shared" si="672"/>
        <v>0</v>
      </c>
      <c r="Z4412" s="14">
        <v>0</v>
      </c>
      <c r="AA4412" s="6">
        <v>0</v>
      </c>
      <c r="AB4412" s="4">
        <f t="shared" si="673"/>
        <v>0</v>
      </c>
      <c r="AC4412" s="4">
        <f t="shared" si="675"/>
        <v>0</v>
      </c>
      <c r="AD4412" s="6">
        <f t="shared" si="679"/>
        <v>0</v>
      </c>
      <c r="AE4412" s="2">
        <f>VLOOKUP(I4412,[1]媒体政策预估表!A:N,MATCH(O4412,[1]媒体政策预估表!$A$2:$M$2,0),0)</f>
        <v>7.0000000000000007E-2</v>
      </c>
      <c r="AF4412" s="6">
        <f t="shared" si="676"/>
        <v>0</v>
      </c>
      <c r="AG4412" s="14">
        <v>0</v>
      </c>
      <c r="AH4412" s="65">
        <f t="shared" si="680"/>
        <v>0</v>
      </c>
      <c r="AI4412" s="47"/>
      <c r="AJ4412" s="126" t="e">
        <v>#N/A</v>
      </c>
      <c r="AK4412" s="80">
        <f t="shared" si="674"/>
        <v>0</v>
      </c>
      <c r="AM4412" s="85"/>
    </row>
    <row r="4413" spans="1:39" hidden="1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677"/>
        <v>5706.5</v>
      </c>
      <c r="X4413" s="6">
        <f t="shared" si="678"/>
        <v>0</v>
      </c>
      <c r="Y4413" s="13">
        <f t="shared" si="672"/>
        <v>0</v>
      </c>
      <c r="Z4413" s="14">
        <v>0</v>
      </c>
      <c r="AA4413" s="6">
        <v>0</v>
      </c>
      <c r="AB4413" s="4">
        <f t="shared" si="673"/>
        <v>0</v>
      </c>
      <c r="AC4413" s="4">
        <f t="shared" si="675"/>
        <v>0</v>
      </c>
      <c r="AD4413" s="6">
        <f t="shared" si="679"/>
        <v>0</v>
      </c>
      <c r="AE4413" s="2">
        <f>VLOOKUP(I4413,[1]媒体政策预估表!A:N,MATCH(O4413,[1]媒体政策预估表!$A$2:$M$2,0),0)</f>
        <v>0.12</v>
      </c>
      <c r="AF4413" s="6">
        <f t="shared" si="676"/>
        <v>0</v>
      </c>
      <c r="AG4413" s="14">
        <v>0</v>
      </c>
      <c r="AH4413" s="65">
        <f t="shared" si="680"/>
        <v>0</v>
      </c>
      <c r="AI4413" s="47"/>
      <c r="AJ4413" s="126" t="e">
        <v>#N/A</v>
      </c>
      <c r="AK4413" s="80">
        <f t="shared" si="674"/>
        <v>0</v>
      </c>
      <c r="AM4413" s="85"/>
    </row>
    <row r="4414" spans="1:39" hidden="1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677"/>
        <v>352.30000000000098</v>
      </c>
      <c r="X4414" s="6">
        <f t="shared" si="678"/>
        <v>0</v>
      </c>
      <c r="Y4414" s="13">
        <f t="shared" si="672"/>
        <v>0</v>
      </c>
      <c r="Z4414" s="14">
        <v>0</v>
      </c>
      <c r="AA4414" s="6">
        <v>0</v>
      </c>
      <c r="AB4414" s="4">
        <f t="shared" si="673"/>
        <v>0</v>
      </c>
      <c r="AC4414" s="4">
        <f t="shared" si="675"/>
        <v>0</v>
      </c>
      <c r="AD4414" s="6">
        <f t="shared" si="679"/>
        <v>0</v>
      </c>
      <c r="AE4414" s="2">
        <f>VLOOKUP(I4414,[1]媒体政策预估表!A:N,MATCH(O4414,[1]媒体政策预估表!$A$2:$M$2,0),0)</f>
        <v>7.0000000000000007E-2</v>
      </c>
      <c r="AF4414" s="6">
        <f t="shared" si="676"/>
        <v>0</v>
      </c>
      <c r="AG4414" s="14">
        <v>0</v>
      </c>
      <c r="AH4414" s="65">
        <f t="shared" si="680"/>
        <v>0</v>
      </c>
      <c r="AI4414" s="47"/>
      <c r="AJ4414" s="126" t="e">
        <v>#N/A</v>
      </c>
      <c r="AK4414" s="80">
        <f t="shared" si="674"/>
        <v>0</v>
      </c>
      <c r="AM4414" s="85"/>
    </row>
    <row r="4415" spans="1:39" hidden="1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677"/>
        <v>720.7599999999984</v>
      </c>
      <c r="X4415" s="6">
        <f t="shared" si="678"/>
        <v>0</v>
      </c>
      <c r="Y4415" s="13">
        <f t="shared" si="672"/>
        <v>0</v>
      </c>
      <c r="Z4415" s="14">
        <v>0</v>
      </c>
      <c r="AA4415" s="6">
        <v>0</v>
      </c>
      <c r="AB4415" s="4">
        <f t="shared" si="673"/>
        <v>0</v>
      </c>
      <c r="AC4415" s="4">
        <f t="shared" si="675"/>
        <v>0</v>
      </c>
      <c r="AD4415" s="6">
        <f t="shared" si="679"/>
        <v>0</v>
      </c>
      <c r="AE4415" s="2">
        <f>VLOOKUP(I4415,[1]媒体政策预估表!A:N,MATCH(O4415,[1]媒体政策预估表!$A$2:$M$2,0),0)</f>
        <v>7.0000000000000007E-2</v>
      </c>
      <c r="AF4415" s="6">
        <f t="shared" si="676"/>
        <v>0</v>
      </c>
      <c r="AG4415" s="14">
        <v>0</v>
      </c>
      <c r="AH4415" s="65">
        <f t="shared" si="680"/>
        <v>0</v>
      </c>
      <c r="AI4415" s="47"/>
      <c r="AJ4415" s="126" t="e">
        <v>#N/A</v>
      </c>
      <c r="AK4415" s="80">
        <f t="shared" si="674"/>
        <v>0</v>
      </c>
      <c r="AM4415" s="85"/>
    </row>
    <row r="4416" spans="1:39" hidden="1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677"/>
        <v>120.71</v>
      </c>
      <c r="X4416" s="6">
        <f t="shared" si="678"/>
        <v>0</v>
      </c>
      <c r="Y4416" s="13">
        <f t="shared" si="672"/>
        <v>0</v>
      </c>
      <c r="Z4416" s="14">
        <v>0</v>
      </c>
      <c r="AA4416" s="6">
        <v>0</v>
      </c>
      <c r="AB4416" s="4">
        <f t="shared" si="673"/>
        <v>0</v>
      </c>
      <c r="AC4416" s="4">
        <f t="shared" si="675"/>
        <v>0</v>
      </c>
      <c r="AD4416" s="6">
        <f t="shared" si="679"/>
        <v>0</v>
      </c>
      <c r="AE4416" s="2">
        <f>VLOOKUP(I4416,[1]媒体政策预估表!A:N,MATCH(O4416,[1]媒体政策预估表!$A$2:$M$2,0),0)</f>
        <v>0.12</v>
      </c>
      <c r="AF4416" s="6">
        <f t="shared" si="676"/>
        <v>0</v>
      </c>
      <c r="AG4416" s="14">
        <v>0</v>
      </c>
      <c r="AH4416" s="65">
        <f t="shared" si="680"/>
        <v>0</v>
      </c>
      <c r="AI4416" s="47"/>
      <c r="AJ4416" s="126" t="e">
        <v>#N/A</v>
      </c>
      <c r="AK4416" s="80">
        <f t="shared" si="674"/>
        <v>0</v>
      </c>
      <c r="AM4416" s="85"/>
    </row>
    <row r="4417" spans="1:39" hidden="1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677"/>
        <v>0.100000000000023</v>
      </c>
      <c r="X4417" s="6">
        <f t="shared" si="678"/>
        <v>0</v>
      </c>
      <c r="Y4417" s="13">
        <f t="shared" si="672"/>
        <v>0</v>
      </c>
      <c r="Z4417" s="14">
        <v>0</v>
      </c>
      <c r="AA4417" s="6">
        <v>0</v>
      </c>
      <c r="AB4417" s="4">
        <f t="shared" si="673"/>
        <v>0</v>
      </c>
      <c r="AC4417" s="4">
        <f t="shared" si="675"/>
        <v>0</v>
      </c>
      <c r="AD4417" s="6">
        <f t="shared" si="679"/>
        <v>0</v>
      </c>
      <c r="AE4417" s="2">
        <f>VLOOKUP(I4417,[1]媒体政策预估表!A:N,MATCH(O4417,[1]媒体政策预估表!$A$2:$M$2,0),0)</f>
        <v>0.12</v>
      </c>
      <c r="AF4417" s="6">
        <f t="shared" si="676"/>
        <v>0</v>
      </c>
      <c r="AG4417" s="14">
        <v>0</v>
      </c>
      <c r="AH4417" s="65">
        <f t="shared" si="680"/>
        <v>0</v>
      </c>
      <c r="AI4417" s="47"/>
      <c r="AJ4417" s="126" t="e">
        <v>#N/A</v>
      </c>
      <c r="AK4417" s="80">
        <f t="shared" si="674"/>
        <v>0</v>
      </c>
      <c r="AM4417" s="85"/>
    </row>
    <row r="4418" spans="1:39" hidden="1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677"/>
        <v>-1687065.62026</v>
      </c>
      <c r="X4418" s="6">
        <f t="shared" si="678"/>
        <v>0</v>
      </c>
      <c r="Y4418" s="13">
        <f t="shared" si="672"/>
        <v>0</v>
      </c>
      <c r="Z4418" s="14">
        <v>0</v>
      </c>
      <c r="AA4418" s="6">
        <v>0</v>
      </c>
      <c r="AB4418" s="4">
        <f t="shared" si="673"/>
        <v>0</v>
      </c>
      <c r="AC4418" s="4">
        <f t="shared" si="675"/>
        <v>0</v>
      </c>
      <c r="AD4418" s="6">
        <f t="shared" si="679"/>
        <v>0</v>
      </c>
      <c r="AE4418" s="2">
        <f>VLOOKUP(I4418,[1]媒体政策预估表!A:N,MATCH(O4418,[1]媒体政策预估表!$A$2:$M$2,0),0)</f>
        <v>0.12</v>
      </c>
      <c r="AF4418" s="6">
        <f t="shared" si="676"/>
        <v>0</v>
      </c>
      <c r="AG4418" s="14">
        <v>0</v>
      </c>
      <c r="AH4418" s="65">
        <f t="shared" si="680"/>
        <v>0</v>
      </c>
      <c r="AI4418" s="47"/>
      <c r="AJ4418" s="126" t="e">
        <v>#N/A</v>
      </c>
      <c r="AK4418" s="80">
        <f t="shared" si="674"/>
        <v>0</v>
      </c>
      <c r="AM4418" s="85"/>
    </row>
    <row r="4419" spans="1:39" hidden="1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677"/>
        <v>-1855135.3655000001</v>
      </c>
      <c r="X4419" s="6">
        <f t="shared" si="678"/>
        <v>0</v>
      </c>
      <c r="Y4419" s="13">
        <f t="shared" ref="Y4419:Y4482" si="681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682">X4419+AA4419</f>
        <v>0</v>
      </c>
      <c r="AC4419" s="4">
        <f t="shared" si="675"/>
        <v>0</v>
      </c>
      <c r="AD4419" s="6">
        <f t="shared" si="679"/>
        <v>0</v>
      </c>
      <c r="AE4419" s="2">
        <f>VLOOKUP(I4419,[1]媒体政策预估表!A:N,MATCH(O4419,[1]媒体政策预估表!$A$2:$M$2,0),0)</f>
        <v>0.15</v>
      </c>
      <c r="AF4419" s="6">
        <f t="shared" si="676"/>
        <v>0</v>
      </c>
      <c r="AG4419" s="14">
        <v>0</v>
      </c>
      <c r="AH4419" s="65">
        <f t="shared" si="680"/>
        <v>0</v>
      </c>
      <c r="AI4419" s="47"/>
      <c r="AJ4419" s="126" t="e">
        <v>#N/A</v>
      </c>
      <c r="AK4419" s="80">
        <f t="shared" ref="AK4419:AK4482" si="683">X4419+AA4419-AB4419</f>
        <v>0</v>
      </c>
      <c r="AM4419" s="85"/>
    </row>
    <row r="4420" spans="1:39" hidden="1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677"/>
        <v>-78646.579059999989</v>
      </c>
      <c r="X4420" s="6">
        <f t="shared" si="678"/>
        <v>0</v>
      </c>
      <c r="Y4420" s="13">
        <f t="shared" si="681"/>
        <v>0</v>
      </c>
      <c r="Z4420" s="14">
        <v>0</v>
      </c>
      <c r="AA4420" s="6">
        <v>0</v>
      </c>
      <c r="AB4420" s="4">
        <f t="shared" si="682"/>
        <v>0</v>
      </c>
      <c r="AC4420" s="4">
        <f t="shared" si="675"/>
        <v>0</v>
      </c>
      <c r="AD4420" s="6">
        <f t="shared" si="679"/>
        <v>0</v>
      </c>
      <c r="AE4420" s="2">
        <f>VLOOKUP(I4420,[1]媒体政策预估表!A:N,MATCH(O4420,[1]媒体政策预估表!$A$2:$M$2,0),0)</f>
        <v>0.12</v>
      </c>
      <c r="AF4420" s="6">
        <f t="shared" si="676"/>
        <v>0</v>
      </c>
      <c r="AG4420" s="14">
        <v>0</v>
      </c>
      <c r="AH4420" s="65">
        <f t="shared" si="680"/>
        <v>0</v>
      </c>
      <c r="AI4420" s="47"/>
      <c r="AJ4420" s="126" t="e">
        <v>#N/A</v>
      </c>
      <c r="AK4420" s="80">
        <f t="shared" si="683"/>
        <v>0</v>
      </c>
      <c r="AM4420" s="85"/>
    </row>
    <row r="4421" spans="1:39" hidden="1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677"/>
        <v>59364.5</v>
      </c>
      <c r="X4421" s="6">
        <f t="shared" si="678"/>
        <v>0</v>
      </c>
      <c r="Y4421" s="13">
        <f t="shared" si="681"/>
        <v>0</v>
      </c>
      <c r="Z4421" s="14">
        <v>0</v>
      </c>
      <c r="AA4421" s="6">
        <v>0</v>
      </c>
      <c r="AB4421" s="4">
        <f t="shared" si="682"/>
        <v>0</v>
      </c>
      <c r="AC4421" s="4">
        <f t="shared" si="675"/>
        <v>0</v>
      </c>
      <c r="AD4421" s="6">
        <f t="shared" si="679"/>
        <v>0</v>
      </c>
      <c r="AE4421" s="2">
        <f>VLOOKUP(I4421,[1]媒体政策预估表!A:N,MATCH(O4421,[1]媒体政策预估表!$A$2:$M$2,0),0)</f>
        <v>7.0000000000000007E-2</v>
      </c>
      <c r="AF4421" s="6">
        <f t="shared" si="676"/>
        <v>0</v>
      </c>
      <c r="AG4421" s="14">
        <v>0</v>
      </c>
      <c r="AH4421" s="65">
        <f t="shared" si="680"/>
        <v>0</v>
      </c>
      <c r="AI4421" s="47"/>
      <c r="AJ4421" s="126" t="e">
        <v>#N/A</v>
      </c>
      <c r="AK4421" s="80">
        <f t="shared" si="683"/>
        <v>0</v>
      </c>
      <c r="AM4421" s="85"/>
    </row>
    <row r="4422" spans="1:39" hidden="1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677"/>
        <v>73906.899999999994</v>
      </c>
      <c r="X4422" s="6">
        <f t="shared" si="678"/>
        <v>0</v>
      </c>
      <c r="Y4422" s="13">
        <f t="shared" si="681"/>
        <v>0</v>
      </c>
      <c r="Z4422" s="14">
        <v>0</v>
      </c>
      <c r="AA4422" s="6">
        <v>0</v>
      </c>
      <c r="AB4422" s="4">
        <f t="shared" si="682"/>
        <v>0</v>
      </c>
      <c r="AC4422" s="4">
        <f t="shared" si="675"/>
        <v>0</v>
      </c>
      <c r="AD4422" s="6">
        <f t="shared" si="679"/>
        <v>0</v>
      </c>
      <c r="AE4422" s="2">
        <f>VLOOKUP(I4422,[1]媒体政策预估表!A:N,MATCH(O4422,[1]媒体政策预估表!$A$2:$M$2,0),0)</f>
        <v>7.0000000000000007E-2</v>
      </c>
      <c r="AF4422" s="6">
        <f t="shared" si="676"/>
        <v>0</v>
      </c>
      <c r="AG4422" s="14">
        <v>0</v>
      </c>
      <c r="AH4422" s="65">
        <f t="shared" si="680"/>
        <v>0</v>
      </c>
      <c r="AI4422" s="47"/>
      <c r="AJ4422" s="126" t="e">
        <v>#N/A</v>
      </c>
      <c r="AK4422" s="80">
        <f t="shared" si="683"/>
        <v>0</v>
      </c>
      <c r="AM4422" s="85"/>
    </row>
    <row r="4423" spans="1:39" hidden="1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677"/>
        <v>21552</v>
      </c>
      <c r="X4423" s="6">
        <f t="shared" si="678"/>
        <v>0</v>
      </c>
      <c r="Y4423" s="13">
        <f t="shared" si="681"/>
        <v>0</v>
      </c>
      <c r="Z4423" s="14">
        <v>0</v>
      </c>
      <c r="AA4423" s="6">
        <v>0</v>
      </c>
      <c r="AB4423" s="4">
        <f t="shared" si="682"/>
        <v>0</v>
      </c>
      <c r="AC4423" s="4">
        <f t="shared" si="675"/>
        <v>0</v>
      </c>
      <c r="AD4423" s="6">
        <f t="shared" si="679"/>
        <v>0</v>
      </c>
      <c r="AE4423" s="2">
        <f>VLOOKUP(I4423,[1]媒体政策预估表!A:N,MATCH(O4423,[1]媒体政策预估表!$A$2:$M$2,0),0)</f>
        <v>7.0000000000000007E-2</v>
      </c>
      <c r="AF4423" s="6">
        <f t="shared" si="676"/>
        <v>0</v>
      </c>
      <c r="AG4423" s="14">
        <v>0</v>
      </c>
      <c r="AH4423" s="65">
        <f t="shared" si="680"/>
        <v>0</v>
      </c>
      <c r="AI4423" s="47"/>
      <c r="AJ4423" s="126" t="e">
        <v>#N/A</v>
      </c>
      <c r="AK4423" s="80">
        <f t="shared" si="683"/>
        <v>0</v>
      </c>
      <c r="AM4423" s="85"/>
    </row>
    <row r="4424" spans="1:39" hidden="1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677"/>
        <v>-7905515.2958499994</v>
      </c>
      <c r="X4424" s="6">
        <f t="shared" si="678"/>
        <v>0</v>
      </c>
      <c r="Y4424" s="13">
        <f t="shared" si="681"/>
        <v>0</v>
      </c>
      <c r="Z4424" s="14">
        <v>0</v>
      </c>
      <c r="AA4424" s="6">
        <v>0</v>
      </c>
      <c r="AB4424" s="4">
        <f t="shared" si="682"/>
        <v>0</v>
      </c>
      <c r="AC4424" s="4">
        <f t="shared" si="675"/>
        <v>0</v>
      </c>
      <c r="AD4424" s="6">
        <f t="shared" si="679"/>
        <v>0</v>
      </c>
      <c r="AE4424" s="2">
        <f>VLOOKUP(I4424,[1]媒体政策预估表!A:N,MATCH(O4424,[1]媒体政策预估表!$A$2:$M$2,0),0)</f>
        <v>0.15</v>
      </c>
      <c r="AF4424" s="6">
        <f t="shared" si="676"/>
        <v>0</v>
      </c>
      <c r="AG4424" s="14">
        <v>0</v>
      </c>
      <c r="AH4424" s="65">
        <f t="shared" si="680"/>
        <v>0</v>
      </c>
      <c r="AI4424" s="47"/>
      <c r="AJ4424" s="126" t="e">
        <v>#N/A</v>
      </c>
      <c r="AK4424" s="80">
        <f t="shared" si="683"/>
        <v>0</v>
      </c>
      <c r="AM4424" s="85"/>
    </row>
    <row r="4425" spans="1:39" hidden="1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677"/>
        <v>9.6800000000100699</v>
      </c>
      <c r="X4425" s="6">
        <f t="shared" si="678"/>
        <v>0</v>
      </c>
      <c r="Y4425" s="13">
        <f t="shared" si="681"/>
        <v>0</v>
      </c>
      <c r="Z4425" s="14">
        <v>0</v>
      </c>
      <c r="AA4425" s="6">
        <v>0</v>
      </c>
      <c r="AB4425" s="4"/>
      <c r="AC4425" s="4">
        <f t="shared" si="675"/>
        <v>0</v>
      </c>
      <c r="AD4425" s="6">
        <f t="shared" si="679"/>
        <v>0</v>
      </c>
      <c r="AE4425" s="2">
        <f>VLOOKUP(I4425,[1]媒体政策预估表!A:N,MATCH(O4425,[1]媒体政策预估表!$A$2:$M$2,0),0)</f>
        <v>0.12</v>
      </c>
      <c r="AF4425" s="6">
        <f t="shared" si="676"/>
        <v>0</v>
      </c>
      <c r="AG4425" s="14">
        <v>0</v>
      </c>
      <c r="AH4425" s="65">
        <f t="shared" si="680"/>
        <v>0</v>
      </c>
      <c r="AI4425" s="47"/>
      <c r="AJ4425" s="126">
        <v>31</v>
      </c>
      <c r="AK4425" s="80">
        <f t="shared" si="683"/>
        <v>0</v>
      </c>
      <c r="AM4425" s="85"/>
    </row>
    <row r="4426" spans="1:39" hidden="1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677"/>
        <v>5.0000000001034599E-2</v>
      </c>
      <c r="X4426" s="6">
        <f t="shared" si="678"/>
        <v>0</v>
      </c>
      <c r="Y4426" s="13">
        <f t="shared" si="681"/>
        <v>0</v>
      </c>
      <c r="Z4426" s="14">
        <v>0</v>
      </c>
      <c r="AA4426" s="6">
        <v>0</v>
      </c>
      <c r="AB4426" s="4">
        <f t="shared" si="682"/>
        <v>0</v>
      </c>
      <c r="AC4426" s="4">
        <f t="shared" si="675"/>
        <v>0</v>
      </c>
      <c r="AD4426" s="6">
        <f t="shared" si="679"/>
        <v>0</v>
      </c>
      <c r="AE4426" s="2">
        <f>VLOOKUP(I4426,[1]媒体政策预估表!A:N,MATCH(O4426,[1]媒体政策预估表!$A$2:$M$2,0),0)</f>
        <v>0.12</v>
      </c>
      <c r="AF4426" s="6">
        <f t="shared" si="676"/>
        <v>0</v>
      </c>
      <c r="AG4426" s="14">
        <v>0</v>
      </c>
      <c r="AH4426" s="65">
        <f t="shared" si="680"/>
        <v>0</v>
      </c>
      <c r="AI4426" s="47"/>
      <c r="AJ4426" s="126" t="e">
        <v>#N/A</v>
      </c>
      <c r="AK4426" s="80">
        <f t="shared" si="683"/>
        <v>0</v>
      </c>
      <c r="AM4426" s="85"/>
    </row>
    <row r="4427" spans="1:39" hidden="1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677"/>
        <v>492.7</v>
      </c>
      <c r="X4427" s="6">
        <f t="shared" si="678"/>
        <v>0</v>
      </c>
      <c r="Y4427" s="13">
        <f t="shared" si="681"/>
        <v>0</v>
      </c>
      <c r="Z4427" s="14">
        <v>0</v>
      </c>
      <c r="AA4427" s="6">
        <v>0</v>
      </c>
      <c r="AB4427" s="4">
        <f t="shared" si="682"/>
        <v>0</v>
      </c>
      <c r="AC4427" s="4">
        <f t="shared" si="675"/>
        <v>0</v>
      </c>
      <c r="AD4427" s="6">
        <f t="shared" si="679"/>
        <v>0</v>
      </c>
      <c r="AE4427" s="2">
        <f>VLOOKUP(I4427,[1]媒体政策预估表!A:N,MATCH(O4427,[1]媒体政策预估表!$A$2:$M$2,0),0)</f>
        <v>7.0000000000000007E-2</v>
      </c>
      <c r="AF4427" s="6">
        <f t="shared" si="676"/>
        <v>0</v>
      </c>
      <c r="AG4427" s="14">
        <v>0</v>
      </c>
      <c r="AH4427" s="65">
        <f t="shared" si="680"/>
        <v>0</v>
      </c>
      <c r="AI4427" s="47"/>
      <c r="AJ4427" s="126" t="e">
        <v>#N/A</v>
      </c>
      <c r="AK4427" s="80">
        <f t="shared" si="683"/>
        <v>0</v>
      </c>
      <c r="AM4427" s="85"/>
    </row>
    <row r="4428" spans="1:39" hidden="1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677"/>
        <v>16886.5</v>
      </c>
      <c r="X4428" s="6">
        <f t="shared" si="678"/>
        <v>0</v>
      </c>
      <c r="Y4428" s="13">
        <f t="shared" si="681"/>
        <v>0</v>
      </c>
      <c r="Z4428" s="14">
        <v>0</v>
      </c>
      <c r="AA4428" s="6">
        <v>0</v>
      </c>
      <c r="AB4428" s="4">
        <f t="shared" si="682"/>
        <v>0</v>
      </c>
      <c r="AC4428" s="4">
        <f t="shared" ref="AC4428:AC4491" si="684">IF(P4428="返现",X4428*Q4428,V4428-X4428)</f>
        <v>0</v>
      </c>
      <c r="AD4428" s="6">
        <f t="shared" si="679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685">AD4428*AE4428</f>
        <v>0</v>
      </c>
      <c r="AG4428" s="14">
        <v>0</v>
      </c>
      <c r="AH4428" s="65">
        <f t="shared" si="680"/>
        <v>0</v>
      </c>
      <c r="AI4428" s="47"/>
      <c r="AJ4428" s="126" t="e">
        <v>#N/A</v>
      </c>
      <c r="AK4428" s="80">
        <f t="shared" si="683"/>
        <v>0</v>
      </c>
      <c r="AM4428" s="85"/>
    </row>
    <row r="4429" spans="1:39" hidden="1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677"/>
        <v>3.4399999999995998</v>
      </c>
      <c r="X4429" s="6">
        <f t="shared" si="678"/>
        <v>0</v>
      </c>
      <c r="Y4429" s="13">
        <f t="shared" si="681"/>
        <v>0</v>
      </c>
      <c r="Z4429" s="14">
        <v>0</v>
      </c>
      <c r="AA4429" s="6">
        <v>0</v>
      </c>
      <c r="AB4429" s="4">
        <f t="shared" si="682"/>
        <v>0</v>
      </c>
      <c r="AC4429" s="4">
        <f t="shared" si="684"/>
        <v>0</v>
      </c>
      <c r="AD4429" s="6">
        <f t="shared" si="679"/>
        <v>0</v>
      </c>
      <c r="AE4429" s="2">
        <f>VLOOKUP(I4429,[1]媒体政策预估表!A:N,MATCH(O4429,[1]媒体政策预估表!$A$2:$M$2,0),0)</f>
        <v>7.0000000000000007E-2</v>
      </c>
      <c r="AF4429" s="6">
        <f t="shared" si="685"/>
        <v>0</v>
      </c>
      <c r="AG4429" s="14">
        <v>0</v>
      </c>
      <c r="AH4429" s="65">
        <f t="shared" si="680"/>
        <v>0</v>
      </c>
      <c r="AI4429" s="47"/>
      <c r="AJ4429" s="126" t="e">
        <v>#N/A</v>
      </c>
      <c r="AK4429" s="80">
        <f t="shared" si="683"/>
        <v>0</v>
      </c>
      <c r="AM4429" s="85"/>
    </row>
    <row r="4430" spans="1:39" hidden="1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677"/>
        <v>184.4</v>
      </c>
      <c r="X4430" s="6">
        <f t="shared" si="678"/>
        <v>0</v>
      </c>
      <c r="Y4430" s="13">
        <f t="shared" si="681"/>
        <v>0</v>
      </c>
      <c r="Z4430" s="14">
        <v>0</v>
      </c>
      <c r="AA4430" s="6">
        <v>0</v>
      </c>
      <c r="AB4430" s="4">
        <f t="shared" si="682"/>
        <v>0</v>
      </c>
      <c r="AC4430" s="4">
        <f t="shared" si="684"/>
        <v>0</v>
      </c>
      <c r="AD4430" s="6">
        <f t="shared" si="679"/>
        <v>0</v>
      </c>
      <c r="AE4430" s="2">
        <f>VLOOKUP(I4430,[1]媒体政策预估表!A:N,MATCH(O4430,[1]媒体政策预估表!$A$2:$M$2,0),0)</f>
        <v>7.0000000000000007E-2</v>
      </c>
      <c r="AF4430" s="6">
        <f t="shared" si="685"/>
        <v>0</v>
      </c>
      <c r="AG4430" s="14">
        <v>0</v>
      </c>
      <c r="AH4430" s="65">
        <f t="shared" si="680"/>
        <v>0</v>
      </c>
      <c r="AI4430" s="47"/>
      <c r="AJ4430" s="126" t="e">
        <v>#N/A</v>
      </c>
      <c r="AK4430" s="80">
        <f t="shared" si="683"/>
        <v>0</v>
      </c>
      <c r="AM4430" s="85"/>
    </row>
    <row r="4431" spans="1:39" hidden="1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677"/>
        <v>-1028420.64298</v>
      </c>
      <c r="X4431" s="6">
        <f t="shared" si="678"/>
        <v>0</v>
      </c>
      <c r="Y4431" s="13">
        <f t="shared" si="681"/>
        <v>0</v>
      </c>
      <c r="Z4431" s="14">
        <v>0</v>
      </c>
      <c r="AA4431" s="6">
        <v>0</v>
      </c>
      <c r="AB4431" s="4">
        <f t="shared" si="682"/>
        <v>0</v>
      </c>
      <c r="AC4431" s="4">
        <f t="shared" si="684"/>
        <v>0</v>
      </c>
      <c r="AD4431" s="6">
        <f t="shared" si="679"/>
        <v>0</v>
      </c>
      <c r="AE4431" s="2">
        <f>VLOOKUP(I4431,[1]媒体政策预估表!A:N,MATCH(O4431,[1]媒体政策预估表!$A$2:$M$2,0),0)</f>
        <v>0.12</v>
      </c>
      <c r="AF4431" s="6">
        <f t="shared" si="685"/>
        <v>0</v>
      </c>
      <c r="AG4431" s="14">
        <v>0</v>
      </c>
      <c r="AH4431" s="65">
        <f t="shared" si="680"/>
        <v>0</v>
      </c>
      <c r="AI4431" s="47"/>
      <c r="AJ4431" s="126" t="e">
        <v>#N/A</v>
      </c>
      <c r="AK4431" s="80">
        <f t="shared" si="683"/>
        <v>0</v>
      </c>
      <c r="AM4431" s="85"/>
    </row>
    <row r="4432" spans="1:39" hidden="1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677"/>
        <v>-1595747.2432499998</v>
      </c>
      <c r="X4432" s="6">
        <f t="shared" si="678"/>
        <v>0</v>
      </c>
      <c r="Y4432" s="13">
        <f t="shared" si="681"/>
        <v>0</v>
      </c>
      <c r="Z4432" s="14">
        <v>0</v>
      </c>
      <c r="AA4432" s="6">
        <v>0</v>
      </c>
      <c r="AB4432" s="4">
        <f t="shared" si="682"/>
        <v>0</v>
      </c>
      <c r="AC4432" s="4">
        <f t="shared" si="684"/>
        <v>0</v>
      </c>
      <c r="AD4432" s="6">
        <f t="shared" si="679"/>
        <v>0</v>
      </c>
      <c r="AE4432" s="2">
        <f>VLOOKUP(I4432,[1]媒体政策预估表!A:N,MATCH(O4432,[1]媒体政策预估表!$A$2:$M$2,0),0)</f>
        <v>0.15</v>
      </c>
      <c r="AF4432" s="6">
        <f t="shared" si="685"/>
        <v>0</v>
      </c>
      <c r="AG4432" s="14">
        <v>0</v>
      </c>
      <c r="AH4432" s="65">
        <f t="shared" si="680"/>
        <v>0</v>
      </c>
      <c r="AI4432" s="47"/>
      <c r="AJ4432" s="126" t="e">
        <v>#N/A</v>
      </c>
      <c r="AK4432" s="80">
        <f t="shared" si="683"/>
        <v>0</v>
      </c>
      <c r="AM4432" s="85"/>
    </row>
    <row r="4433" spans="1:39" hidden="1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677"/>
        <v>-144447.58701999995</v>
      </c>
      <c r="X4433" s="6">
        <f t="shared" si="678"/>
        <v>0</v>
      </c>
      <c r="Y4433" s="13">
        <f t="shared" si="681"/>
        <v>0</v>
      </c>
      <c r="Z4433" s="14">
        <v>0</v>
      </c>
      <c r="AA4433" s="6">
        <v>0</v>
      </c>
      <c r="AB4433" s="4">
        <f t="shared" si="682"/>
        <v>0</v>
      </c>
      <c r="AC4433" s="4">
        <f t="shared" si="684"/>
        <v>0</v>
      </c>
      <c r="AD4433" s="6">
        <f t="shared" si="679"/>
        <v>0</v>
      </c>
      <c r="AE4433" s="2">
        <f>VLOOKUP(I4433,[1]媒体政策预估表!A:N,MATCH(O4433,[1]媒体政策预估表!$A$2:$M$2,0),0)</f>
        <v>0.12</v>
      </c>
      <c r="AF4433" s="6">
        <f t="shared" si="685"/>
        <v>0</v>
      </c>
      <c r="AG4433" s="14">
        <v>0</v>
      </c>
      <c r="AH4433" s="65">
        <f t="shared" si="680"/>
        <v>0</v>
      </c>
      <c r="AI4433" s="47"/>
      <c r="AJ4433" s="126" t="e">
        <v>#N/A</v>
      </c>
      <c r="AK4433" s="80">
        <f t="shared" si="683"/>
        <v>0</v>
      </c>
      <c r="AM4433" s="85"/>
    </row>
    <row r="4434" spans="1:39" hidden="1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677"/>
        <v>34.220000000000255</v>
      </c>
      <c r="X4434" s="6">
        <f t="shared" si="678"/>
        <v>0</v>
      </c>
      <c r="Y4434" s="13">
        <f t="shared" si="681"/>
        <v>0</v>
      </c>
      <c r="Z4434" s="14">
        <v>0</v>
      </c>
      <c r="AA4434" s="6">
        <v>0</v>
      </c>
      <c r="AB4434" s="4">
        <f t="shared" si="682"/>
        <v>0</v>
      </c>
      <c r="AC4434" s="4">
        <f t="shared" si="684"/>
        <v>0</v>
      </c>
      <c r="AD4434" s="6">
        <f t="shared" si="679"/>
        <v>0</v>
      </c>
      <c r="AE4434" s="2">
        <f>VLOOKUP(I4434,[1]媒体政策预估表!A:N,MATCH(O4434,[1]媒体政策预估表!$A$2:$M$2,0),0)</f>
        <v>7.0000000000000007E-2</v>
      </c>
      <c r="AF4434" s="6">
        <f t="shared" si="685"/>
        <v>0</v>
      </c>
      <c r="AG4434" s="14">
        <v>0</v>
      </c>
      <c r="AH4434" s="65">
        <f t="shared" si="680"/>
        <v>0</v>
      </c>
      <c r="AI4434" s="47"/>
      <c r="AJ4434" s="126" t="e">
        <v>#N/A</v>
      </c>
      <c r="AK4434" s="80">
        <f t="shared" si="683"/>
        <v>0</v>
      </c>
      <c r="AM4434" s="85"/>
    </row>
    <row r="4435" spans="1:39" hidden="1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677"/>
        <v>0.24000000000523899</v>
      </c>
      <c r="X4435" s="6">
        <f t="shared" si="678"/>
        <v>0</v>
      </c>
      <c r="Y4435" s="13">
        <f t="shared" si="681"/>
        <v>0</v>
      </c>
      <c r="Z4435" s="14">
        <v>0</v>
      </c>
      <c r="AA4435" s="6">
        <v>0</v>
      </c>
      <c r="AB4435" s="4">
        <f t="shared" si="682"/>
        <v>0</v>
      </c>
      <c r="AC4435" s="4">
        <f t="shared" si="684"/>
        <v>0</v>
      </c>
      <c r="AD4435" s="6">
        <f t="shared" si="679"/>
        <v>0</v>
      </c>
      <c r="AE4435" s="2">
        <f>VLOOKUP(I4435,[1]媒体政策预估表!A:N,MATCH(O4435,[1]媒体政策预估表!$A$2:$M$2,0),0)</f>
        <v>0.12</v>
      </c>
      <c r="AF4435" s="6">
        <f t="shared" si="685"/>
        <v>0</v>
      </c>
      <c r="AG4435" s="14">
        <v>0</v>
      </c>
      <c r="AH4435" s="65">
        <f t="shared" si="680"/>
        <v>0</v>
      </c>
      <c r="AI4435" s="47"/>
      <c r="AJ4435" s="126" t="e">
        <v>#N/A</v>
      </c>
      <c r="AK4435" s="80">
        <f t="shared" si="683"/>
        <v>0</v>
      </c>
      <c r="AM4435" s="85"/>
    </row>
    <row r="4436" spans="1:39" hidden="1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677"/>
        <v>0.59999999999945397</v>
      </c>
      <c r="X4436" s="6">
        <f t="shared" si="678"/>
        <v>0</v>
      </c>
      <c r="Y4436" s="13">
        <f t="shared" si="681"/>
        <v>0</v>
      </c>
      <c r="Z4436" s="14">
        <v>0</v>
      </c>
      <c r="AA4436" s="6">
        <v>0</v>
      </c>
      <c r="AB4436" s="4">
        <f t="shared" si="682"/>
        <v>0</v>
      </c>
      <c r="AC4436" s="4">
        <f t="shared" si="684"/>
        <v>0</v>
      </c>
      <c r="AD4436" s="6">
        <f t="shared" si="679"/>
        <v>0</v>
      </c>
      <c r="AE4436" s="2">
        <f>VLOOKUP(I4436,[1]媒体政策预估表!A:N,MATCH(O4436,[1]媒体政策预估表!$A$2:$M$2,0),0)</f>
        <v>7.0000000000000007E-2</v>
      </c>
      <c r="AF4436" s="6">
        <f t="shared" si="685"/>
        <v>0</v>
      </c>
      <c r="AG4436" s="14">
        <v>0</v>
      </c>
      <c r="AH4436" s="65">
        <f t="shared" si="680"/>
        <v>0</v>
      </c>
      <c r="AI4436" s="47"/>
      <c r="AJ4436" s="126" t="e">
        <v>#N/A</v>
      </c>
      <c r="AK4436" s="80">
        <f t="shared" si="683"/>
        <v>0</v>
      </c>
      <c r="AM4436" s="85"/>
    </row>
    <row r="4437" spans="1:39" hidden="1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677"/>
        <v>5.3500000000301497</v>
      </c>
      <c r="X4437" s="6">
        <f t="shared" si="678"/>
        <v>0</v>
      </c>
      <c r="Y4437" s="13">
        <f t="shared" si="681"/>
        <v>0</v>
      </c>
      <c r="Z4437" s="14">
        <v>0</v>
      </c>
      <c r="AA4437" s="6">
        <v>0</v>
      </c>
      <c r="AB4437" s="4"/>
      <c r="AC4437" s="4">
        <f t="shared" si="684"/>
        <v>0</v>
      </c>
      <c r="AD4437" s="6">
        <f t="shared" si="679"/>
        <v>0</v>
      </c>
      <c r="AE4437" s="2">
        <f>VLOOKUP(I4437,[1]媒体政策预估表!A:N,MATCH(O4437,[1]媒体政策预估表!$A$2:$M$2,0),0)</f>
        <v>0.12</v>
      </c>
      <c r="AF4437" s="6">
        <f t="shared" si="685"/>
        <v>0</v>
      </c>
      <c r="AG4437" s="14">
        <v>0</v>
      </c>
      <c r="AH4437" s="65">
        <f t="shared" si="680"/>
        <v>0</v>
      </c>
      <c r="AI4437" s="47"/>
      <c r="AJ4437" s="126">
        <v>62</v>
      </c>
      <c r="AK4437" s="80">
        <f t="shared" si="683"/>
        <v>0</v>
      </c>
      <c r="AM4437" s="85"/>
    </row>
    <row r="4438" spans="1:39" hidden="1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677"/>
        <v>5541.4</v>
      </c>
      <c r="X4438" s="6">
        <f t="shared" si="678"/>
        <v>0</v>
      </c>
      <c r="Y4438" s="13">
        <f t="shared" si="681"/>
        <v>0</v>
      </c>
      <c r="Z4438" s="14">
        <v>0</v>
      </c>
      <c r="AA4438" s="6">
        <v>0</v>
      </c>
      <c r="AB4438" s="4">
        <f t="shared" si="682"/>
        <v>0</v>
      </c>
      <c r="AC4438" s="4">
        <f t="shared" si="684"/>
        <v>0</v>
      </c>
      <c r="AD4438" s="6">
        <f t="shared" si="679"/>
        <v>0</v>
      </c>
      <c r="AE4438" s="2">
        <f>VLOOKUP(I4438,[1]媒体政策预估表!A:N,MATCH(O4438,[1]媒体政策预估表!$A$2:$M$2,0),0)</f>
        <v>7.0000000000000007E-2</v>
      </c>
      <c r="AF4438" s="6">
        <f t="shared" si="685"/>
        <v>0</v>
      </c>
      <c r="AG4438" s="14">
        <v>0</v>
      </c>
      <c r="AH4438" s="65">
        <f t="shared" si="680"/>
        <v>0</v>
      </c>
      <c r="AI4438" s="47"/>
      <c r="AJ4438" s="126" t="e">
        <v>#N/A</v>
      </c>
      <c r="AK4438" s="80">
        <f t="shared" si="683"/>
        <v>0</v>
      </c>
      <c r="AM4438" s="85"/>
    </row>
    <row r="4439" spans="1:39" hidden="1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677"/>
        <v>589.11</v>
      </c>
      <c r="X4439" s="6">
        <f t="shared" si="678"/>
        <v>0</v>
      </c>
      <c r="Y4439" s="13">
        <f t="shared" si="681"/>
        <v>0</v>
      </c>
      <c r="Z4439" s="14">
        <v>0</v>
      </c>
      <c r="AA4439" s="6">
        <v>0</v>
      </c>
      <c r="AB4439" s="4">
        <f t="shared" si="682"/>
        <v>0</v>
      </c>
      <c r="AC4439" s="4">
        <f t="shared" si="684"/>
        <v>0</v>
      </c>
      <c r="AD4439" s="6">
        <f t="shared" si="679"/>
        <v>0</v>
      </c>
      <c r="AE4439" s="2">
        <f>VLOOKUP(I4439,[1]媒体政策预估表!A:N,MATCH(O4439,[1]媒体政策预估表!$A$2:$M$2,0),0)</f>
        <v>0.12</v>
      </c>
      <c r="AF4439" s="6">
        <f t="shared" si="685"/>
        <v>0</v>
      </c>
      <c r="AG4439" s="14">
        <v>0</v>
      </c>
      <c r="AH4439" s="65">
        <f t="shared" si="680"/>
        <v>0</v>
      </c>
      <c r="AI4439" s="47"/>
      <c r="AJ4439" s="126" t="e">
        <v>#N/A</v>
      </c>
      <c r="AK4439" s="80">
        <f t="shared" si="683"/>
        <v>0</v>
      </c>
      <c r="AM4439" s="85"/>
    </row>
    <row r="4440" spans="1:39" hidden="1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677"/>
        <v>593.24</v>
      </c>
      <c r="X4440" s="6">
        <f t="shared" si="678"/>
        <v>0</v>
      </c>
      <c r="Y4440" s="13">
        <f t="shared" si="681"/>
        <v>0</v>
      </c>
      <c r="Z4440" s="14">
        <v>0</v>
      </c>
      <c r="AA4440" s="6">
        <v>0</v>
      </c>
      <c r="AB4440" s="4">
        <f t="shared" si="682"/>
        <v>0</v>
      </c>
      <c r="AC4440" s="4">
        <f t="shared" si="684"/>
        <v>0</v>
      </c>
      <c r="AD4440" s="6">
        <f t="shared" si="679"/>
        <v>0</v>
      </c>
      <c r="AE4440" s="2">
        <f>VLOOKUP(I4440,[1]媒体政策预估表!A:N,MATCH(O4440,[1]媒体政策预估表!$A$2:$M$2,0),0)</f>
        <v>7.0000000000000007E-2</v>
      </c>
      <c r="AF4440" s="6">
        <f t="shared" si="685"/>
        <v>0</v>
      </c>
      <c r="AG4440" s="14">
        <v>0</v>
      </c>
      <c r="AH4440" s="65">
        <f t="shared" si="680"/>
        <v>0</v>
      </c>
      <c r="AI4440" s="47"/>
      <c r="AJ4440" s="126" t="e">
        <v>#N/A</v>
      </c>
      <c r="AK4440" s="80">
        <f t="shared" si="683"/>
        <v>0</v>
      </c>
      <c r="AM4440" s="85"/>
    </row>
    <row r="4441" spans="1:39" hidden="1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677"/>
        <v>10.049999999999301</v>
      </c>
      <c r="X4441" s="6">
        <f t="shared" si="678"/>
        <v>0</v>
      </c>
      <c r="Y4441" s="13">
        <f t="shared" si="681"/>
        <v>0</v>
      </c>
      <c r="Z4441" s="14">
        <v>0</v>
      </c>
      <c r="AA4441" s="6">
        <v>0</v>
      </c>
      <c r="AB4441" s="4"/>
      <c r="AC4441" s="4">
        <f t="shared" si="684"/>
        <v>0</v>
      </c>
      <c r="AD4441" s="6">
        <f t="shared" si="679"/>
        <v>0</v>
      </c>
      <c r="AE4441" s="2">
        <f>VLOOKUP(I4441,[1]媒体政策预估表!A:N,MATCH(O4441,[1]媒体政策预估表!$A$2:$M$2,0),0)</f>
        <v>0.12</v>
      </c>
      <c r="AF4441" s="6">
        <f t="shared" si="685"/>
        <v>0</v>
      </c>
      <c r="AG4441" s="14">
        <v>0</v>
      </c>
      <c r="AH4441" s="65">
        <f t="shared" si="680"/>
        <v>0</v>
      </c>
      <c r="AI4441" s="47"/>
      <c r="AJ4441" s="126">
        <v>64</v>
      </c>
      <c r="AK4441" s="80">
        <f t="shared" si="683"/>
        <v>0</v>
      </c>
      <c r="AM4441" s="85"/>
    </row>
    <row r="4442" spans="1:39" hidden="1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677"/>
        <v>9.8799999998882395</v>
      </c>
      <c r="X4442" s="6">
        <f t="shared" si="678"/>
        <v>0</v>
      </c>
      <c r="Y4442" s="13">
        <f t="shared" si="681"/>
        <v>0</v>
      </c>
      <c r="Z4442" s="14">
        <v>0</v>
      </c>
      <c r="AA4442" s="6">
        <v>0</v>
      </c>
      <c r="AB4442" s="4"/>
      <c r="AC4442" s="4">
        <f t="shared" si="684"/>
        <v>0</v>
      </c>
      <c r="AD4442" s="6">
        <f t="shared" si="679"/>
        <v>0</v>
      </c>
      <c r="AE4442" s="2">
        <f>VLOOKUP(I4442,[1]媒体政策预估表!A:N,MATCH(O4442,[1]媒体政策预估表!$A$2:$M$2,0),0)</f>
        <v>0.12</v>
      </c>
      <c r="AF4442" s="6">
        <f t="shared" si="685"/>
        <v>0</v>
      </c>
      <c r="AG4442" s="14">
        <v>0</v>
      </c>
      <c r="AH4442" s="65">
        <f t="shared" si="680"/>
        <v>0</v>
      </c>
      <c r="AI4442" s="47"/>
      <c r="AJ4442" s="126">
        <v>63</v>
      </c>
      <c r="AK4442" s="80">
        <f t="shared" si="683"/>
        <v>0</v>
      </c>
      <c r="AM4442" s="85"/>
    </row>
    <row r="4443" spans="1:39" hidden="1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677"/>
        <v>3015.2</v>
      </c>
      <c r="X4443" s="6">
        <f t="shared" si="678"/>
        <v>0</v>
      </c>
      <c r="Y4443" s="13">
        <f t="shared" si="681"/>
        <v>0</v>
      </c>
      <c r="Z4443" s="14">
        <v>0</v>
      </c>
      <c r="AA4443" s="6">
        <v>0</v>
      </c>
      <c r="AB4443" s="4">
        <f t="shared" si="682"/>
        <v>0</v>
      </c>
      <c r="AC4443" s="4">
        <f t="shared" si="684"/>
        <v>0</v>
      </c>
      <c r="AD4443" s="6">
        <f t="shared" si="679"/>
        <v>0</v>
      </c>
      <c r="AE4443" s="2">
        <f>VLOOKUP(I4443,[1]媒体政策预估表!A:N,MATCH(O4443,[1]媒体政策预估表!$A$2:$M$2,0),0)</f>
        <v>7.0000000000000007E-2</v>
      </c>
      <c r="AF4443" s="6">
        <f t="shared" si="685"/>
        <v>0</v>
      </c>
      <c r="AG4443" s="14">
        <v>0</v>
      </c>
      <c r="AH4443" s="65">
        <f t="shared" si="680"/>
        <v>0</v>
      </c>
      <c r="AI4443" s="47"/>
      <c r="AJ4443" s="126" t="e">
        <v>#N/A</v>
      </c>
      <c r="AK4443" s="80">
        <f t="shared" si="683"/>
        <v>0</v>
      </c>
      <c r="AM4443" s="85"/>
    </row>
    <row r="4444" spans="1:39" hidden="1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677"/>
        <v>1135.989999999998</v>
      </c>
      <c r="X4444" s="6">
        <f t="shared" si="678"/>
        <v>0</v>
      </c>
      <c r="Y4444" s="13">
        <f t="shared" si="681"/>
        <v>0</v>
      </c>
      <c r="Z4444" s="14">
        <v>0</v>
      </c>
      <c r="AA4444" s="6">
        <v>0</v>
      </c>
      <c r="AB4444" s="4">
        <f t="shared" si="682"/>
        <v>0</v>
      </c>
      <c r="AC4444" s="4">
        <f t="shared" si="684"/>
        <v>0</v>
      </c>
      <c r="AD4444" s="6">
        <f t="shared" si="679"/>
        <v>0</v>
      </c>
      <c r="AE4444" s="2">
        <f>VLOOKUP(I4444,[1]媒体政策预估表!A:N,MATCH(O4444,[1]媒体政策预估表!$A$2:$M$2,0),0)</f>
        <v>7.0000000000000007E-2</v>
      </c>
      <c r="AF4444" s="6">
        <f t="shared" si="685"/>
        <v>0</v>
      </c>
      <c r="AG4444" s="14">
        <v>0</v>
      </c>
      <c r="AH4444" s="65">
        <f t="shared" si="680"/>
        <v>0</v>
      </c>
      <c r="AI4444" s="47"/>
      <c r="AJ4444" s="126" t="e">
        <v>#N/A</v>
      </c>
      <c r="AK4444" s="80">
        <f t="shared" si="683"/>
        <v>0</v>
      </c>
      <c r="AM4444" s="85"/>
    </row>
    <row r="4445" spans="1:39" hidden="1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677"/>
        <v>20021.52</v>
      </c>
      <c r="X4445" s="6">
        <f t="shared" si="678"/>
        <v>0</v>
      </c>
      <c r="Y4445" s="13">
        <f t="shared" si="681"/>
        <v>0</v>
      </c>
      <c r="Z4445" s="14">
        <v>0</v>
      </c>
      <c r="AA4445" s="6">
        <v>0</v>
      </c>
      <c r="AB4445" s="4">
        <f t="shared" si="682"/>
        <v>0</v>
      </c>
      <c r="AC4445" s="4">
        <f t="shared" si="684"/>
        <v>0</v>
      </c>
      <c r="AD4445" s="6">
        <f t="shared" si="679"/>
        <v>0</v>
      </c>
      <c r="AE4445" s="2">
        <f>VLOOKUP(I4445,[1]媒体政策预估表!A:N,MATCH(O4445,[1]媒体政策预估表!$A$2:$M$2,0),0)</f>
        <v>7.0000000000000007E-2</v>
      </c>
      <c r="AF4445" s="6">
        <f t="shared" si="685"/>
        <v>0</v>
      </c>
      <c r="AG4445" s="14">
        <v>0</v>
      </c>
      <c r="AH4445" s="65">
        <f t="shared" si="680"/>
        <v>0</v>
      </c>
      <c r="AI4445" s="47"/>
      <c r="AJ4445" s="126" t="e">
        <v>#N/A</v>
      </c>
      <c r="AK4445" s="80">
        <f t="shared" si="683"/>
        <v>0</v>
      </c>
      <c r="AM4445" s="85"/>
    </row>
    <row r="4446" spans="1:39" hidden="1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677"/>
        <v>434.58</v>
      </c>
      <c r="X4446" s="6">
        <f t="shared" si="678"/>
        <v>0</v>
      </c>
      <c r="Y4446" s="13">
        <f t="shared" si="681"/>
        <v>0</v>
      </c>
      <c r="Z4446" s="14">
        <v>0</v>
      </c>
      <c r="AA4446" s="6">
        <v>0</v>
      </c>
      <c r="AB4446" s="4">
        <f t="shared" si="682"/>
        <v>0</v>
      </c>
      <c r="AC4446" s="4">
        <f t="shared" si="684"/>
        <v>0</v>
      </c>
      <c r="AD4446" s="6">
        <f t="shared" si="679"/>
        <v>0</v>
      </c>
      <c r="AE4446" s="2">
        <f>VLOOKUP(I4446,[1]媒体政策预估表!A:N,MATCH(O4446,[1]媒体政策预估表!$A$2:$M$2,0),0)</f>
        <v>7.0000000000000007E-2</v>
      </c>
      <c r="AF4446" s="6">
        <f t="shared" si="685"/>
        <v>0</v>
      </c>
      <c r="AG4446" s="14">
        <v>0</v>
      </c>
      <c r="AH4446" s="65">
        <f t="shared" si="680"/>
        <v>0</v>
      </c>
      <c r="AI4446" s="47"/>
      <c r="AJ4446" s="126" t="e">
        <v>#N/A</v>
      </c>
      <c r="AK4446" s="80">
        <f t="shared" si="683"/>
        <v>0</v>
      </c>
      <c r="AM4446" s="85"/>
    </row>
    <row r="4447" spans="1:39" hidden="1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677"/>
        <v>440.79999999998802</v>
      </c>
      <c r="X4447" s="6">
        <f t="shared" si="678"/>
        <v>0</v>
      </c>
      <c r="Y4447" s="13">
        <f t="shared" si="681"/>
        <v>0</v>
      </c>
      <c r="Z4447" s="14">
        <v>0</v>
      </c>
      <c r="AA4447" s="6">
        <v>0</v>
      </c>
      <c r="AB4447" s="4">
        <f t="shared" si="682"/>
        <v>0</v>
      </c>
      <c r="AC4447" s="4">
        <f t="shared" si="684"/>
        <v>0</v>
      </c>
      <c r="AD4447" s="6">
        <f t="shared" si="679"/>
        <v>0</v>
      </c>
      <c r="AE4447" s="2">
        <f>VLOOKUP(I4447,[1]媒体政策预估表!A:N,MATCH(O4447,[1]媒体政策预估表!$A$2:$M$2,0),0)</f>
        <v>7.0000000000000007E-2</v>
      </c>
      <c r="AF4447" s="6">
        <f t="shared" si="685"/>
        <v>0</v>
      </c>
      <c r="AG4447" s="14">
        <v>0</v>
      </c>
      <c r="AH4447" s="65">
        <f t="shared" si="680"/>
        <v>0</v>
      </c>
      <c r="AI4447" s="47"/>
      <c r="AJ4447" s="126" t="e">
        <v>#N/A</v>
      </c>
      <c r="AK4447" s="80">
        <f t="shared" si="683"/>
        <v>0</v>
      </c>
      <c r="AM4447" s="85"/>
    </row>
    <row r="4448" spans="1:39" hidden="1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677"/>
        <v>4033.89</v>
      </c>
      <c r="X4448" s="6">
        <f t="shared" si="678"/>
        <v>0</v>
      </c>
      <c r="Y4448" s="13">
        <f t="shared" si="681"/>
        <v>0</v>
      </c>
      <c r="Z4448" s="14">
        <v>0</v>
      </c>
      <c r="AA4448" s="6">
        <v>0</v>
      </c>
      <c r="AB4448" s="4">
        <f t="shared" si="682"/>
        <v>0</v>
      </c>
      <c r="AC4448" s="4">
        <f t="shared" si="684"/>
        <v>0</v>
      </c>
      <c r="AD4448" s="6">
        <f t="shared" si="679"/>
        <v>0</v>
      </c>
      <c r="AE4448" s="2">
        <f>VLOOKUP(I4448,[1]媒体政策预估表!A:N,MATCH(O4448,[1]媒体政策预估表!$A$2:$M$2,0),0)</f>
        <v>0.12</v>
      </c>
      <c r="AF4448" s="6">
        <f t="shared" si="685"/>
        <v>0</v>
      </c>
      <c r="AG4448" s="14">
        <v>0</v>
      </c>
      <c r="AH4448" s="65">
        <f t="shared" si="680"/>
        <v>0</v>
      </c>
      <c r="AI4448" s="47"/>
      <c r="AJ4448" s="126" t="e">
        <v>#N/A</v>
      </c>
      <c r="AK4448" s="80">
        <f t="shared" si="683"/>
        <v>0</v>
      </c>
      <c r="AM4448" s="85"/>
    </row>
    <row r="4449" spans="1:39" hidden="1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677"/>
        <v>-801.2</v>
      </c>
      <c r="X4449" s="6">
        <f t="shared" si="678"/>
        <v>0</v>
      </c>
      <c r="Y4449" s="13">
        <f t="shared" si="681"/>
        <v>0</v>
      </c>
      <c r="Z4449" s="14">
        <v>0</v>
      </c>
      <c r="AA4449" s="6">
        <v>0</v>
      </c>
      <c r="AB4449" s="4">
        <f t="shared" si="682"/>
        <v>0</v>
      </c>
      <c r="AC4449" s="4">
        <f t="shared" si="684"/>
        <v>0</v>
      </c>
      <c r="AD4449" s="6">
        <f t="shared" si="679"/>
        <v>0</v>
      </c>
      <c r="AE4449" s="2">
        <f>VLOOKUP(I4449,[1]媒体政策预估表!A:N,MATCH(O4449,[1]媒体政策预估表!$A$2:$M$2,0),0)</f>
        <v>0.15</v>
      </c>
      <c r="AF4449" s="6">
        <f t="shared" si="685"/>
        <v>0</v>
      </c>
      <c r="AG4449" s="14">
        <v>0</v>
      </c>
      <c r="AH4449" s="65">
        <f t="shared" si="680"/>
        <v>0</v>
      </c>
      <c r="AI4449" s="47"/>
      <c r="AJ4449" s="126" t="e">
        <v>#N/A</v>
      </c>
      <c r="AK4449" s="80">
        <f t="shared" si="683"/>
        <v>0</v>
      </c>
      <c r="AM4449" s="85"/>
    </row>
    <row r="4450" spans="1:39" hidden="1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677"/>
        <v>18770.099999999999</v>
      </c>
      <c r="X4450" s="6">
        <f t="shared" si="678"/>
        <v>0</v>
      </c>
      <c r="Y4450" s="13">
        <f t="shared" si="681"/>
        <v>0</v>
      </c>
      <c r="Z4450" s="14">
        <v>0</v>
      </c>
      <c r="AA4450" s="6">
        <v>0</v>
      </c>
      <c r="AB4450" s="4">
        <f t="shared" si="682"/>
        <v>0</v>
      </c>
      <c r="AC4450" s="4">
        <f t="shared" si="684"/>
        <v>0</v>
      </c>
      <c r="AD4450" s="6">
        <f t="shared" si="679"/>
        <v>0</v>
      </c>
      <c r="AE4450" s="2">
        <f>VLOOKUP(I4450,[1]媒体政策预估表!A:N,MATCH(O4450,[1]媒体政策预估表!$A$2:$M$2,0),0)</f>
        <v>7.0000000000000007E-2</v>
      </c>
      <c r="AF4450" s="6">
        <f t="shared" si="685"/>
        <v>0</v>
      </c>
      <c r="AG4450" s="14">
        <v>0</v>
      </c>
      <c r="AH4450" s="65">
        <f t="shared" si="680"/>
        <v>0</v>
      </c>
      <c r="AI4450" s="47"/>
      <c r="AJ4450" s="126" t="e">
        <v>#N/A</v>
      </c>
      <c r="AK4450" s="80">
        <f t="shared" si="683"/>
        <v>0</v>
      </c>
      <c r="AM4450" s="85"/>
    </row>
    <row r="4451" spans="1:39" hidden="1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677"/>
        <v>67.989999999999995</v>
      </c>
      <c r="X4451" s="6">
        <f t="shared" si="678"/>
        <v>0</v>
      </c>
      <c r="Y4451" s="13">
        <f t="shared" si="681"/>
        <v>0</v>
      </c>
      <c r="Z4451" s="14">
        <v>0</v>
      </c>
      <c r="AA4451" s="6">
        <v>0</v>
      </c>
      <c r="AB4451" s="4">
        <f t="shared" si="682"/>
        <v>0</v>
      </c>
      <c r="AC4451" s="4">
        <f t="shared" si="684"/>
        <v>0</v>
      </c>
      <c r="AD4451" s="6">
        <f t="shared" si="679"/>
        <v>0</v>
      </c>
      <c r="AE4451" s="2">
        <f>VLOOKUP(I4451,[1]媒体政策预估表!A:N,MATCH(O4451,[1]媒体政策预估表!$A$2:$M$2,0),0)</f>
        <v>0.12</v>
      </c>
      <c r="AF4451" s="6">
        <f t="shared" si="685"/>
        <v>0</v>
      </c>
      <c r="AG4451" s="14">
        <v>0</v>
      </c>
      <c r="AH4451" s="65">
        <f t="shared" si="680"/>
        <v>0</v>
      </c>
      <c r="AI4451" s="47"/>
      <c r="AJ4451" s="126" t="e">
        <v>#N/A</v>
      </c>
      <c r="AK4451" s="80">
        <f t="shared" si="683"/>
        <v>0</v>
      </c>
      <c r="AM4451" s="85"/>
    </row>
    <row r="4452" spans="1:39" hidden="1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677"/>
        <v>1475.2</v>
      </c>
      <c r="X4452" s="6">
        <f t="shared" si="678"/>
        <v>0</v>
      </c>
      <c r="Y4452" s="13">
        <f t="shared" si="681"/>
        <v>0</v>
      </c>
      <c r="Z4452" s="14">
        <v>0</v>
      </c>
      <c r="AA4452" s="6">
        <v>0</v>
      </c>
      <c r="AB4452" s="4">
        <f t="shared" si="682"/>
        <v>0</v>
      </c>
      <c r="AC4452" s="4">
        <f t="shared" si="684"/>
        <v>0</v>
      </c>
      <c r="AD4452" s="6">
        <f t="shared" si="679"/>
        <v>0</v>
      </c>
      <c r="AE4452" s="2">
        <f>VLOOKUP(I4452,[1]媒体政策预估表!A:N,MATCH(O4452,[1]媒体政策预估表!$A$2:$M$2,0),0)</f>
        <v>0.12</v>
      </c>
      <c r="AF4452" s="6">
        <f t="shared" si="685"/>
        <v>0</v>
      </c>
      <c r="AG4452" s="14">
        <v>0</v>
      </c>
      <c r="AH4452" s="65">
        <f t="shared" si="680"/>
        <v>0</v>
      </c>
      <c r="AI4452" s="47"/>
      <c r="AJ4452" s="126" t="e">
        <v>#N/A</v>
      </c>
      <c r="AK4452" s="80">
        <f t="shared" si="683"/>
        <v>0</v>
      </c>
      <c r="AM4452" s="85"/>
    </row>
    <row r="4453" spans="1:39" hidden="1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677"/>
        <v>32251.5</v>
      </c>
      <c r="X4453" s="6">
        <f t="shared" si="678"/>
        <v>0</v>
      </c>
      <c r="Y4453" s="13">
        <f t="shared" si="681"/>
        <v>0</v>
      </c>
      <c r="Z4453" s="14">
        <v>0</v>
      </c>
      <c r="AA4453" s="6">
        <v>0</v>
      </c>
      <c r="AB4453" s="4">
        <f t="shared" si="682"/>
        <v>0</v>
      </c>
      <c r="AC4453" s="4">
        <f t="shared" si="684"/>
        <v>0</v>
      </c>
      <c r="AD4453" s="6">
        <f t="shared" si="679"/>
        <v>0</v>
      </c>
      <c r="AE4453" s="2">
        <f>VLOOKUP(I4453,[1]媒体政策预估表!A:N,MATCH(O4453,[1]媒体政策预估表!$A$2:$M$2,0),0)</f>
        <v>7.0000000000000007E-2</v>
      </c>
      <c r="AF4453" s="6">
        <f t="shared" si="685"/>
        <v>0</v>
      </c>
      <c r="AG4453" s="14">
        <v>0</v>
      </c>
      <c r="AH4453" s="65">
        <f t="shared" si="680"/>
        <v>0</v>
      </c>
      <c r="AI4453" s="47"/>
      <c r="AJ4453" s="126" t="e">
        <v>#N/A</v>
      </c>
      <c r="AK4453" s="80">
        <f t="shared" si="683"/>
        <v>0</v>
      </c>
      <c r="AM4453" s="85"/>
    </row>
    <row r="4454" spans="1:39" hidden="1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677"/>
        <v>360.6</v>
      </c>
      <c r="X4454" s="6">
        <f t="shared" si="678"/>
        <v>0</v>
      </c>
      <c r="Y4454" s="13">
        <f t="shared" si="681"/>
        <v>0</v>
      </c>
      <c r="Z4454" s="14">
        <v>0</v>
      </c>
      <c r="AA4454" s="6">
        <v>0</v>
      </c>
      <c r="AB4454" s="4">
        <f t="shared" si="682"/>
        <v>0</v>
      </c>
      <c r="AC4454" s="4">
        <f t="shared" si="684"/>
        <v>0</v>
      </c>
      <c r="AD4454" s="6">
        <f t="shared" si="679"/>
        <v>0</v>
      </c>
      <c r="AE4454" s="2">
        <f>VLOOKUP(I4454,[1]媒体政策预估表!A:N,MATCH(O4454,[1]媒体政策预估表!$A$2:$M$2,0),0)</f>
        <v>7.0000000000000007E-2</v>
      </c>
      <c r="AF4454" s="6">
        <f t="shared" si="685"/>
        <v>0</v>
      </c>
      <c r="AG4454" s="14">
        <v>0</v>
      </c>
      <c r="AH4454" s="65">
        <f t="shared" si="680"/>
        <v>0</v>
      </c>
      <c r="AI4454" s="47"/>
      <c r="AJ4454" s="126" t="e">
        <v>#N/A</v>
      </c>
      <c r="AK4454" s="80">
        <f t="shared" si="683"/>
        <v>0</v>
      </c>
      <c r="AM4454" s="85"/>
    </row>
    <row r="4455" spans="1:39" hidden="1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677"/>
        <v>483.22</v>
      </c>
      <c r="X4455" s="6">
        <f t="shared" si="678"/>
        <v>0</v>
      </c>
      <c r="Y4455" s="13">
        <f t="shared" si="681"/>
        <v>0</v>
      </c>
      <c r="Z4455" s="14">
        <v>0</v>
      </c>
      <c r="AA4455" s="6">
        <v>0</v>
      </c>
      <c r="AB4455" s="4">
        <f t="shared" si="682"/>
        <v>0</v>
      </c>
      <c r="AC4455" s="4">
        <f t="shared" si="684"/>
        <v>0</v>
      </c>
      <c r="AD4455" s="6">
        <f t="shared" si="679"/>
        <v>0</v>
      </c>
      <c r="AE4455" s="2">
        <f>VLOOKUP(I4455,[1]媒体政策预估表!A:N,MATCH(O4455,[1]媒体政策预估表!$A$2:$M$2,0),0)</f>
        <v>0.12</v>
      </c>
      <c r="AF4455" s="6">
        <f t="shared" si="685"/>
        <v>0</v>
      </c>
      <c r="AG4455" s="14">
        <v>0</v>
      </c>
      <c r="AH4455" s="65">
        <f t="shared" si="680"/>
        <v>0</v>
      </c>
      <c r="AI4455" s="47"/>
      <c r="AJ4455" s="126" t="e">
        <v>#N/A</v>
      </c>
      <c r="AK4455" s="80">
        <f t="shared" si="683"/>
        <v>0</v>
      </c>
      <c r="AM4455" s="85"/>
    </row>
    <row r="4456" spans="1:39" hidden="1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677"/>
        <v>61.709999999999098</v>
      </c>
      <c r="X4456" s="6">
        <f t="shared" si="678"/>
        <v>0</v>
      </c>
      <c r="Y4456" s="13">
        <f t="shared" si="681"/>
        <v>0</v>
      </c>
      <c r="Z4456" s="14">
        <v>0</v>
      </c>
      <c r="AA4456" s="6">
        <v>0</v>
      </c>
      <c r="AB4456" s="4">
        <f t="shared" si="682"/>
        <v>0</v>
      </c>
      <c r="AC4456" s="4">
        <f t="shared" si="684"/>
        <v>0</v>
      </c>
      <c r="AD4456" s="6">
        <f t="shared" si="679"/>
        <v>0</v>
      </c>
      <c r="AE4456" s="2">
        <f>VLOOKUP(I4456,[1]媒体政策预估表!A:N,MATCH(O4456,[1]媒体政策预估表!$A$2:$M$2,0),0)</f>
        <v>0.12</v>
      </c>
      <c r="AF4456" s="6">
        <f t="shared" si="685"/>
        <v>0</v>
      </c>
      <c r="AG4456" s="14">
        <v>0</v>
      </c>
      <c r="AH4456" s="65">
        <f t="shared" si="680"/>
        <v>0</v>
      </c>
      <c r="AI4456" s="47"/>
      <c r="AJ4456" s="126" t="e">
        <v>#N/A</v>
      </c>
      <c r="AK4456" s="80">
        <f t="shared" si="683"/>
        <v>0</v>
      </c>
      <c r="AM4456" s="85"/>
    </row>
    <row r="4457" spans="1:39" hidden="1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677"/>
        <v>6.9999999992433004E-2</v>
      </c>
      <c r="X4457" s="6">
        <f t="shared" si="678"/>
        <v>0</v>
      </c>
      <c r="Y4457" s="13">
        <f t="shared" si="681"/>
        <v>0</v>
      </c>
      <c r="Z4457" s="14">
        <v>0</v>
      </c>
      <c r="AA4457" s="6">
        <v>0</v>
      </c>
      <c r="AB4457" s="4">
        <f t="shared" si="682"/>
        <v>0</v>
      </c>
      <c r="AC4457" s="4">
        <f t="shared" si="684"/>
        <v>0</v>
      </c>
      <c r="AD4457" s="6">
        <f t="shared" si="679"/>
        <v>0</v>
      </c>
      <c r="AE4457" s="2">
        <f>VLOOKUP(I4457,[1]媒体政策预估表!A:N,MATCH(O4457,[1]媒体政策预估表!$A$2:$M$2,0),0)</f>
        <v>0.12</v>
      </c>
      <c r="AF4457" s="6">
        <f t="shared" si="685"/>
        <v>0</v>
      </c>
      <c r="AG4457" s="14">
        <v>0</v>
      </c>
      <c r="AH4457" s="65">
        <f t="shared" si="680"/>
        <v>0</v>
      </c>
      <c r="AI4457" s="47"/>
      <c r="AJ4457" s="126" t="e">
        <v>#N/A</v>
      </c>
      <c r="AK4457" s="80">
        <f t="shared" si="683"/>
        <v>0</v>
      </c>
      <c r="AM4457" s="85"/>
    </row>
    <row r="4458" spans="1:39" hidden="1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677"/>
        <v>2.5599999999976699</v>
      </c>
      <c r="X4458" s="6">
        <f t="shared" si="678"/>
        <v>0</v>
      </c>
      <c r="Y4458" s="13">
        <f t="shared" si="681"/>
        <v>0</v>
      </c>
      <c r="Z4458" s="14">
        <v>0</v>
      </c>
      <c r="AA4458" s="6">
        <v>0</v>
      </c>
      <c r="AB4458" s="4">
        <f t="shared" si="682"/>
        <v>0</v>
      </c>
      <c r="AC4458" s="4">
        <f t="shared" si="684"/>
        <v>0</v>
      </c>
      <c r="AD4458" s="6">
        <f t="shared" si="679"/>
        <v>0</v>
      </c>
      <c r="AE4458" s="2">
        <f>VLOOKUP(I4458,[1]媒体政策预估表!A:N,MATCH(O4458,[1]媒体政策预估表!$A$2:$M$2,0),0)</f>
        <v>7.0000000000000007E-2</v>
      </c>
      <c r="AF4458" s="6">
        <f t="shared" si="685"/>
        <v>0</v>
      </c>
      <c r="AG4458" s="14">
        <v>0</v>
      </c>
      <c r="AH4458" s="65">
        <f t="shared" si="680"/>
        <v>0</v>
      </c>
      <c r="AI4458" s="47"/>
      <c r="AJ4458" s="126" t="e">
        <v>#N/A</v>
      </c>
      <c r="AK4458" s="80">
        <f t="shared" si="683"/>
        <v>0</v>
      </c>
      <c r="AM4458" s="85"/>
    </row>
    <row r="4459" spans="1:39" hidden="1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677"/>
        <v>5518.78</v>
      </c>
      <c r="X4459" s="6">
        <f t="shared" si="678"/>
        <v>0</v>
      </c>
      <c r="Y4459" s="13">
        <f t="shared" si="681"/>
        <v>0</v>
      </c>
      <c r="Z4459" s="14">
        <v>0</v>
      </c>
      <c r="AA4459" s="6">
        <v>0</v>
      </c>
      <c r="AB4459" s="4">
        <f t="shared" si="682"/>
        <v>0</v>
      </c>
      <c r="AC4459" s="4">
        <f t="shared" si="684"/>
        <v>0</v>
      </c>
      <c r="AD4459" s="6">
        <f t="shared" si="679"/>
        <v>0</v>
      </c>
      <c r="AE4459" s="2">
        <f>VLOOKUP(I4459,[1]媒体政策预估表!A:N,MATCH(O4459,[1]媒体政策预估表!$A$2:$M$2,0),0)</f>
        <v>0.12</v>
      </c>
      <c r="AF4459" s="6">
        <f t="shared" si="685"/>
        <v>0</v>
      </c>
      <c r="AG4459" s="14">
        <v>0</v>
      </c>
      <c r="AH4459" s="65">
        <f t="shared" si="680"/>
        <v>0</v>
      </c>
      <c r="AI4459" s="47"/>
      <c r="AJ4459" s="126" t="e">
        <v>#N/A</v>
      </c>
      <c r="AK4459" s="80">
        <f t="shared" si="683"/>
        <v>0</v>
      </c>
      <c r="AM4459" s="85"/>
    </row>
    <row r="4460" spans="1:39" hidden="1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677"/>
        <v>472</v>
      </c>
      <c r="X4460" s="6">
        <f t="shared" si="678"/>
        <v>0</v>
      </c>
      <c r="Y4460" s="13">
        <f t="shared" si="681"/>
        <v>0</v>
      </c>
      <c r="Z4460" s="14">
        <v>0</v>
      </c>
      <c r="AA4460" s="6">
        <v>0</v>
      </c>
      <c r="AB4460" s="4">
        <f t="shared" si="682"/>
        <v>0</v>
      </c>
      <c r="AC4460" s="4">
        <f t="shared" si="684"/>
        <v>0</v>
      </c>
      <c r="AD4460" s="6">
        <f t="shared" si="679"/>
        <v>0</v>
      </c>
      <c r="AE4460" s="2">
        <f>VLOOKUP(I4460,[1]媒体政策预估表!A:N,MATCH(O4460,[1]媒体政策预估表!$A$2:$M$2,0),0)</f>
        <v>0.12</v>
      </c>
      <c r="AF4460" s="6">
        <f t="shared" si="685"/>
        <v>0</v>
      </c>
      <c r="AG4460" s="14">
        <v>0</v>
      </c>
      <c r="AH4460" s="65">
        <f t="shared" si="680"/>
        <v>0</v>
      </c>
      <c r="AI4460" s="47"/>
      <c r="AJ4460" s="126" t="e">
        <v>#N/A</v>
      </c>
      <c r="AK4460" s="80">
        <f t="shared" si="683"/>
        <v>0</v>
      </c>
      <c r="AM4460" s="85"/>
    </row>
    <row r="4461" spans="1:39" hidden="1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677"/>
        <v>0.40000000000145502</v>
      </c>
      <c r="X4461" s="6">
        <f t="shared" si="678"/>
        <v>0</v>
      </c>
      <c r="Y4461" s="13">
        <f t="shared" si="681"/>
        <v>0</v>
      </c>
      <c r="Z4461" s="14">
        <v>0</v>
      </c>
      <c r="AA4461" s="6">
        <v>0</v>
      </c>
      <c r="AB4461" s="4">
        <f t="shared" si="682"/>
        <v>0</v>
      </c>
      <c r="AC4461" s="4">
        <f t="shared" si="684"/>
        <v>0</v>
      </c>
      <c r="AD4461" s="6">
        <f t="shared" si="679"/>
        <v>0</v>
      </c>
      <c r="AE4461" s="2">
        <f>VLOOKUP(I4461,[1]媒体政策预估表!A:N,MATCH(O4461,[1]媒体政策预估表!$A$2:$M$2,0),0)</f>
        <v>7.0000000000000007E-2</v>
      </c>
      <c r="AF4461" s="6">
        <f t="shared" si="685"/>
        <v>0</v>
      </c>
      <c r="AG4461" s="14">
        <v>0</v>
      </c>
      <c r="AH4461" s="65">
        <f t="shared" si="680"/>
        <v>0</v>
      </c>
      <c r="AI4461" s="47"/>
      <c r="AJ4461" s="126" t="e">
        <v>#N/A</v>
      </c>
      <c r="AK4461" s="80">
        <f t="shared" si="683"/>
        <v>0</v>
      </c>
      <c r="AM4461" s="85"/>
    </row>
    <row r="4462" spans="1:39" hidden="1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677"/>
        <v>475.77999999999975</v>
      </c>
      <c r="X4462" s="6">
        <f t="shared" si="678"/>
        <v>0</v>
      </c>
      <c r="Y4462" s="13">
        <f t="shared" si="681"/>
        <v>0</v>
      </c>
      <c r="Z4462" s="14">
        <v>0</v>
      </c>
      <c r="AA4462" s="6">
        <v>0</v>
      </c>
      <c r="AB4462" s="4">
        <f t="shared" si="682"/>
        <v>0</v>
      </c>
      <c r="AC4462" s="4">
        <f t="shared" si="684"/>
        <v>0</v>
      </c>
      <c r="AD4462" s="6">
        <f t="shared" si="679"/>
        <v>0</v>
      </c>
      <c r="AE4462" s="2">
        <f>VLOOKUP(I4462,[1]媒体政策预估表!A:N,MATCH(O4462,[1]媒体政策预估表!$A$2:$M$2,0),0)</f>
        <v>7.0000000000000007E-2</v>
      </c>
      <c r="AF4462" s="6">
        <f t="shared" si="685"/>
        <v>0</v>
      </c>
      <c r="AG4462" s="14">
        <v>0</v>
      </c>
      <c r="AH4462" s="65">
        <f t="shared" si="680"/>
        <v>0</v>
      </c>
      <c r="AI4462" s="47"/>
      <c r="AJ4462" s="126" t="e">
        <v>#N/A</v>
      </c>
      <c r="AK4462" s="80">
        <f t="shared" si="683"/>
        <v>0</v>
      </c>
      <c r="AM4462" s="85"/>
    </row>
    <row r="4463" spans="1:39" hidden="1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677"/>
        <v>-99410.644350000002</v>
      </c>
      <c r="X4463" s="6">
        <f t="shared" si="678"/>
        <v>6216.6351176470589</v>
      </c>
      <c r="Y4463" s="13">
        <f t="shared" si="681"/>
        <v>0</v>
      </c>
      <c r="Z4463" s="14">
        <v>0</v>
      </c>
      <c r="AA4463" s="6">
        <v>0</v>
      </c>
      <c r="AB4463" s="4">
        <f t="shared" si="682"/>
        <v>6216.6351176470589</v>
      </c>
      <c r="AC4463" s="4">
        <f t="shared" si="684"/>
        <v>124.33270235294094</v>
      </c>
      <c r="AD4463" s="6">
        <f t="shared" si="679"/>
        <v>6340.9678199999998</v>
      </c>
      <c r="AE4463" s="2">
        <f>VLOOKUP(I4463,[1]媒体政策预估表!A:N,MATCH(O4463,[1]媒体政策预估表!$A$2:$M$2,0),0)</f>
        <v>0.12</v>
      </c>
      <c r="AF4463" s="6">
        <f t="shared" si="685"/>
        <v>760.91613839999991</v>
      </c>
      <c r="AG4463" s="14">
        <v>0</v>
      </c>
      <c r="AH4463" s="65">
        <f t="shared" si="680"/>
        <v>6340.9678199999998</v>
      </c>
      <c r="AI4463" s="47"/>
      <c r="AJ4463" s="126" t="e">
        <v>#N/A</v>
      </c>
      <c r="AK4463" s="80">
        <f t="shared" si="683"/>
        <v>0</v>
      </c>
      <c r="AM4463" s="85"/>
    </row>
    <row r="4464" spans="1:39" hidden="1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677"/>
        <v>29740.7</v>
      </c>
      <c r="X4464" s="6">
        <f t="shared" si="678"/>
        <v>0</v>
      </c>
      <c r="Y4464" s="13">
        <f t="shared" si="681"/>
        <v>0</v>
      </c>
      <c r="Z4464" s="14">
        <v>0</v>
      </c>
      <c r="AA4464" s="6">
        <v>0</v>
      </c>
      <c r="AB4464" s="4"/>
      <c r="AC4464" s="4">
        <f t="shared" si="684"/>
        <v>0</v>
      </c>
      <c r="AD4464" s="6">
        <f t="shared" si="679"/>
        <v>0</v>
      </c>
      <c r="AE4464" s="2">
        <f>VLOOKUP(I4464,[1]媒体政策预估表!A:N,MATCH(O4464,[1]媒体政策预估表!$A$2:$M$2,0),0)</f>
        <v>7.0000000000000007E-2</v>
      </c>
      <c r="AF4464" s="6">
        <f t="shared" si="685"/>
        <v>0</v>
      </c>
      <c r="AG4464" s="14">
        <v>0</v>
      </c>
      <c r="AH4464" s="65">
        <f t="shared" si="680"/>
        <v>0</v>
      </c>
      <c r="AI4464" s="47"/>
      <c r="AJ4464" s="126">
        <v>85</v>
      </c>
      <c r="AK4464" s="80">
        <f t="shared" si="683"/>
        <v>0</v>
      </c>
      <c r="AM4464" s="85"/>
    </row>
    <row r="4465" spans="1:39" hidden="1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677"/>
        <v>6.4</v>
      </c>
      <c r="X4465" s="6">
        <f t="shared" si="678"/>
        <v>0</v>
      </c>
      <c r="Y4465" s="13">
        <f t="shared" si="681"/>
        <v>0</v>
      </c>
      <c r="Z4465" s="14">
        <v>0</v>
      </c>
      <c r="AA4465" s="6">
        <v>0</v>
      </c>
      <c r="AB4465" s="4">
        <f t="shared" si="682"/>
        <v>0</v>
      </c>
      <c r="AC4465" s="4">
        <f t="shared" si="684"/>
        <v>0</v>
      </c>
      <c r="AD4465" s="6">
        <f t="shared" si="679"/>
        <v>0</v>
      </c>
      <c r="AE4465" s="2">
        <f>VLOOKUP(I4465,[1]媒体政策预估表!A:N,MATCH(O4465,[1]媒体政策预估表!$A$2:$M$2,0),0)</f>
        <v>0.12</v>
      </c>
      <c r="AF4465" s="6">
        <f t="shared" si="685"/>
        <v>0</v>
      </c>
      <c r="AG4465" s="14">
        <v>0</v>
      </c>
      <c r="AH4465" s="65">
        <f t="shared" si="680"/>
        <v>0</v>
      </c>
      <c r="AI4465" s="47"/>
      <c r="AJ4465" s="126" t="e">
        <v>#N/A</v>
      </c>
      <c r="AK4465" s="80">
        <f t="shared" si="683"/>
        <v>0</v>
      </c>
      <c r="AM4465" s="85"/>
    </row>
    <row r="4466" spans="1:39" hidden="1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677"/>
        <v>4109.4000000000015</v>
      </c>
      <c r="X4466" s="6">
        <f t="shared" si="678"/>
        <v>0</v>
      </c>
      <c r="Y4466" s="13">
        <f t="shared" si="681"/>
        <v>0</v>
      </c>
      <c r="Z4466" s="14">
        <v>0</v>
      </c>
      <c r="AA4466" s="6">
        <v>0</v>
      </c>
      <c r="AB4466" s="4">
        <f t="shared" si="682"/>
        <v>0</v>
      </c>
      <c r="AC4466" s="4">
        <f t="shared" si="684"/>
        <v>0</v>
      </c>
      <c r="AD4466" s="6">
        <f t="shared" si="679"/>
        <v>0</v>
      </c>
      <c r="AE4466" s="2">
        <f>VLOOKUP(I4466,[1]媒体政策预估表!A:N,MATCH(O4466,[1]媒体政策预估表!$A$2:$M$2,0),0)</f>
        <v>7.0000000000000007E-2</v>
      </c>
      <c r="AF4466" s="6">
        <f t="shared" si="685"/>
        <v>0</v>
      </c>
      <c r="AG4466" s="14">
        <v>0</v>
      </c>
      <c r="AH4466" s="65">
        <f t="shared" si="680"/>
        <v>0</v>
      </c>
      <c r="AI4466" s="47"/>
      <c r="AJ4466" s="126" t="e">
        <v>#N/A</v>
      </c>
      <c r="AK4466" s="80">
        <f t="shared" si="683"/>
        <v>0</v>
      </c>
      <c r="AM4466" s="85"/>
    </row>
    <row r="4467" spans="1:39" hidden="1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677"/>
        <v>628.40999999999894</v>
      </c>
      <c r="X4467" s="6">
        <f t="shared" si="678"/>
        <v>0</v>
      </c>
      <c r="Y4467" s="13">
        <f t="shared" si="681"/>
        <v>0</v>
      </c>
      <c r="Z4467" s="14">
        <v>0</v>
      </c>
      <c r="AA4467" s="6">
        <v>0</v>
      </c>
      <c r="AB4467" s="4">
        <f t="shared" si="682"/>
        <v>0</v>
      </c>
      <c r="AC4467" s="4">
        <f t="shared" si="684"/>
        <v>0</v>
      </c>
      <c r="AD4467" s="6">
        <f t="shared" si="679"/>
        <v>0</v>
      </c>
      <c r="AE4467" s="2">
        <f>VLOOKUP(I4467,[1]媒体政策预估表!A:N,MATCH(O4467,[1]媒体政策预估表!$A$2:$M$2,0),0)</f>
        <v>0.12</v>
      </c>
      <c r="AF4467" s="6">
        <f t="shared" si="685"/>
        <v>0</v>
      </c>
      <c r="AG4467" s="14">
        <v>0</v>
      </c>
      <c r="AH4467" s="65">
        <f t="shared" si="680"/>
        <v>0</v>
      </c>
      <c r="AI4467" s="47"/>
      <c r="AJ4467" s="126" t="e">
        <v>#N/A</v>
      </c>
      <c r="AK4467" s="80">
        <f t="shared" si="683"/>
        <v>0</v>
      </c>
      <c r="AM4467" s="85"/>
    </row>
    <row r="4468" spans="1:39" hidden="1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677"/>
        <v>3445.4</v>
      </c>
      <c r="X4468" s="6">
        <f t="shared" si="678"/>
        <v>0</v>
      </c>
      <c r="Y4468" s="13">
        <f t="shared" si="681"/>
        <v>0</v>
      </c>
      <c r="Z4468" s="14">
        <v>0</v>
      </c>
      <c r="AA4468" s="6">
        <v>0</v>
      </c>
      <c r="AB4468" s="4">
        <f t="shared" si="682"/>
        <v>0</v>
      </c>
      <c r="AC4468" s="4">
        <f t="shared" si="684"/>
        <v>0</v>
      </c>
      <c r="AD4468" s="6">
        <f t="shared" si="679"/>
        <v>0</v>
      </c>
      <c r="AE4468" s="2">
        <f>VLOOKUP(I4468,[1]媒体政策预估表!A:N,MATCH(O4468,[1]媒体政策预估表!$A$2:$M$2,0),0)</f>
        <v>7.0000000000000007E-2</v>
      </c>
      <c r="AF4468" s="6">
        <f t="shared" si="685"/>
        <v>0</v>
      </c>
      <c r="AG4468" s="14">
        <v>0</v>
      </c>
      <c r="AH4468" s="65">
        <f t="shared" si="680"/>
        <v>0</v>
      </c>
      <c r="AI4468" s="47"/>
      <c r="AJ4468" s="126" t="e">
        <v>#N/A</v>
      </c>
      <c r="AK4468" s="80">
        <f t="shared" si="683"/>
        <v>0</v>
      </c>
      <c r="AM4468" s="85"/>
    </row>
    <row r="4469" spans="1:39" hidden="1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677"/>
        <v>9481.92</v>
      </c>
      <c r="X4469" s="6">
        <f t="shared" si="678"/>
        <v>0</v>
      </c>
      <c r="Y4469" s="13">
        <f t="shared" si="681"/>
        <v>0</v>
      </c>
      <c r="Z4469" s="14">
        <v>0</v>
      </c>
      <c r="AA4469" s="6">
        <v>0</v>
      </c>
      <c r="AB4469" s="4">
        <f t="shared" si="682"/>
        <v>0</v>
      </c>
      <c r="AC4469" s="4">
        <f t="shared" si="684"/>
        <v>0</v>
      </c>
      <c r="AD4469" s="6">
        <f t="shared" si="679"/>
        <v>0</v>
      </c>
      <c r="AE4469" s="2">
        <f>VLOOKUP(I4469,[1]媒体政策预估表!A:N,MATCH(O4469,[1]媒体政策预估表!$A$2:$M$2,0),0)</f>
        <v>0.12</v>
      </c>
      <c r="AF4469" s="6">
        <f t="shared" si="685"/>
        <v>0</v>
      </c>
      <c r="AG4469" s="14">
        <v>0</v>
      </c>
      <c r="AH4469" s="65">
        <f t="shared" si="680"/>
        <v>0</v>
      </c>
      <c r="AI4469" s="47"/>
      <c r="AJ4469" s="126" t="e">
        <v>#N/A</v>
      </c>
      <c r="AK4469" s="80">
        <f t="shared" si="683"/>
        <v>0</v>
      </c>
      <c r="AM4469" s="85"/>
    </row>
    <row r="4470" spans="1:39" hidden="1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677"/>
        <v>10200</v>
      </c>
      <c r="X4470" s="6">
        <f t="shared" si="678"/>
        <v>0</v>
      </c>
      <c r="Y4470" s="13">
        <f t="shared" si="681"/>
        <v>0</v>
      </c>
      <c r="Z4470" s="14">
        <v>0</v>
      </c>
      <c r="AA4470" s="6">
        <v>0</v>
      </c>
      <c r="AB4470" s="4">
        <f t="shared" si="682"/>
        <v>0</v>
      </c>
      <c r="AC4470" s="4">
        <f t="shared" si="684"/>
        <v>0</v>
      </c>
      <c r="AD4470" s="6">
        <f t="shared" si="679"/>
        <v>0</v>
      </c>
      <c r="AE4470" s="2">
        <f>VLOOKUP(I4470,[1]媒体政策预估表!A:N,MATCH(O4470,[1]媒体政策预估表!$A$2:$M$2,0),0)</f>
        <v>7.0000000000000007E-2</v>
      </c>
      <c r="AF4470" s="6">
        <f t="shared" si="685"/>
        <v>0</v>
      </c>
      <c r="AG4470" s="14">
        <v>0</v>
      </c>
      <c r="AH4470" s="65">
        <f t="shared" si="680"/>
        <v>0</v>
      </c>
      <c r="AI4470" s="47"/>
      <c r="AJ4470" s="126" t="e">
        <v>#N/A</v>
      </c>
      <c r="AK4470" s="80">
        <f t="shared" si="683"/>
        <v>0</v>
      </c>
      <c r="AM4470" s="85"/>
    </row>
    <row r="4471" spans="1:39" hidden="1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677"/>
        <v>3704.22</v>
      </c>
      <c r="X4471" s="6">
        <f t="shared" si="678"/>
        <v>0</v>
      </c>
      <c r="Y4471" s="13">
        <f t="shared" si="681"/>
        <v>0</v>
      </c>
      <c r="Z4471" s="14">
        <v>0</v>
      </c>
      <c r="AA4471" s="6">
        <v>0</v>
      </c>
      <c r="AB4471" s="4">
        <f t="shared" si="682"/>
        <v>0</v>
      </c>
      <c r="AC4471" s="4">
        <f t="shared" si="684"/>
        <v>0</v>
      </c>
      <c r="AD4471" s="6">
        <f t="shared" si="679"/>
        <v>0</v>
      </c>
      <c r="AE4471" s="2">
        <f>VLOOKUP(I4471,[1]媒体政策预估表!A:N,MATCH(O4471,[1]媒体政策预估表!$A$2:$M$2,0),0)</f>
        <v>0.12</v>
      </c>
      <c r="AF4471" s="6">
        <f t="shared" si="685"/>
        <v>0</v>
      </c>
      <c r="AG4471" s="14">
        <v>0</v>
      </c>
      <c r="AH4471" s="65">
        <f t="shared" si="680"/>
        <v>0</v>
      </c>
      <c r="AI4471" s="47"/>
      <c r="AJ4471" s="126" t="e">
        <v>#N/A</v>
      </c>
      <c r="AK4471" s="80">
        <f t="shared" si="683"/>
        <v>0</v>
      </c>
      <c r="AM4471" s="85"/>
    </row>
    <row r="4472" spans="1:39" hidden="1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677"/>
        <v>2.93</v>
      </c>
      <c r="X4472" s="6">
        <f t="shared" si="678"/>
        <v>0</v>
      </c>
      <c r="Y4472" s="13">
        <f t="shared" si="681"/>
        <v>0</v>
      </c>
      <c r="Z4472" s="14">
        <v>0</v>
      </c>
      <c r="AA4472" s="6">
        <v>0</v>
      </c>
      <c r="AB4472" s="4"/>
      <c r="AC4472" s="4">
        <f t="shared" si="684"/>
        <v>0</v>
      </c>
      <c r="AD4472" s="6">
        <f t="shared" si="679"/>
        <v>0</v>
      </c>
      <c r="AE4472" s="2">
        <f>VLOOKUP(I4472,[1]媒体政策预估表!A:N,MATCH(O4472,[1]媒体政策预估表!$A$2:$M$2,0),0)</f>
        <v>0.12</v>
      </c>
      <c r="AF4472" s="6">
        <f t="shared" si="685"/>
        <v>0</v>
      </c>
      <c r="AG4472" s="14">
        <v>0</v>
      </c>
      <c r="AH4472" s="65">
        <f t="shared" si="680"/>
        <v>0</v>
      </c>
      <c r="AI4472" s="47"/>
      <c r="AJ4472" s="126">
        <v>12</v>
      </c>
      <c r="AK4472" s="80">
        <f t="shared" si="683"/>
        <v>0</v>
      </c>
      <c r="AM4472" s="85"/>
    </row>
    <row r="4473" spans="1:39" hidden="1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677"/>
        <v>1166.5999999999999</v>
      </c>
      <c r="X4473" s="6">
        <f t="shared" si="678"/>
        <v>0</v>
      </c>
      <c r="Y4473" s="13">
        <f t="shared" si="681"/>
        <v>0</v>
      </c>
      <c r="Z4473" s="14">
        <v>0</v>
      </c>
      <c r="AA4473" s="6">
        <v>0</v>
      </c>
      <c r="AB4473" s="4">
        <f t="shared" si="682"/>
        <v>0</v>
      </c>
      <c r="AC4473" s="4">
        <f t="shared" si="684"/>
        <v>0</v>
      </c>
      <c r="AD4473" s="6">
        <f t="shared" si="679"/>
        <v>0</v>
      </c>
      <c r="AE4473" s="2">
        <f>VLOOKUP(I4473,[1]媒体政策预估表!A:N,MATCH(O4473,[1]媒体政策预估表!$A$2:$M$2,0),0)</f>
        <v>7.0000000000000007E-2</v>
      </c>
      <c r="AF4473" s="6">
        <f t="shared" si="685"/>
        <v>0</v>
      </c>
      <c r="AG4473" s="14">
        <v>0</v>
      </c>
      <c r="AH4473" s="65">
        <f t="shared" si="680"/>
        <v>0</v>
      </c>
      <c r="AI4473" s="47"/>
      <c r="AJ4473" s="126" t="e">
        <v>#N/A</v>
      </c>
      <c r="AK4473" s="80">
        <f t="shared" si="683"/>
        <v>0</v>
      </c>
      <c r="AM4473" s="85"/>
    </row>
    <row r="4474" spans="1:39" hidden="1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677"/>
        <v>4759</v>
      </c>
      <c r="X4474" s="6">
        <f t="shared" si="678"/>
        <v>0</v>
      </c>
      <c r="Y4474" s="13">
        <f t="shared" si="681"/>
        <v>0</v>
      </c>
      <c r="Z4474" s="14">
        <v>0</v>
      </c>
      <c r="AA4474" s="6">
        <v>0</v>
      </c>
      <c r="AB4474" s="4">
        <f t="shared" si="682"/>
        <v>0</v>
      </c>
      <c r="AC4474" s="4">
        <f t="shared" si="684"/>
        <v>0</v>
      </c>
      <c r="AD4474" s="6">
        <f t="shared" si="679"/>
        <v>0</v>
      </c>
      <c r="AE4474" s="2">
        <f>VLOOKUP(I4474,[1]媒体政策预估表!A:N,MATCH(O4474,[1]媒体政策预估表!$A$2:$M$2,0),0)</f>
        <v>7.0000000000000007E-2</v>
      </c>
      <c r="AF4474" s="6">
        <f t="shared" si="685"/>
        <v>0</v>
      </c>
      <c r="AG4474" s="14">
        <v>0</v>
      </c>
      <c r="AH4474" s="65">
        <f t="shared" si="680"/>
        <v>0</v>
      </c>
      <c r="AI4474" s="47"/>
      <c r="AJ4474" s="126" t="e">
        <v>#N/A</v>
      </c>
      <c r="AK4474" s="80">
        <f t="shared" si="683"/>
        <v>0</v>
      </c>
      <c r="AM4474" s="85"/>
    </row>
    <row r="4475" spans="1:39" hidden="1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686">T4475+U4475-V4475</f>
        <v>31033.109999999971</v>
      </c>
      <c r="X4475" s="6">
        <f t="shared" ref="X4475:X4538" si="687">IF(P4475="折扣",V4475*Q4475,IF(P4475="返现",V4475,V4475/(1+Q4475)))</f>
        <v>0</v>
      </c>
      <c r="Y4475" s="13">
        <f t="shared" si="681"/>
        <v>0</v>
      </c>
      <c r="Z4475" s="14">
        <v>0</v>
      </c>
      <c r="AA4475" s="6">
        <v>0</v>
      </c>
      <c r="AB4475" s="4">
        <f t="shared" si="682"/>
        <v>0</v>
      </c>
      <c r="AC4475" s="4">
        <f t="shared" si="684"/>
        <v>0</v>
      </c>
      <c r="AD4475" s="6">
        <f t="shared" ref="AD4475:AD4538" si="688">V4475</f>
        <v>0</v>
      </c>
      <c r="AE4475" s="2">
        <f>VLOOKUP(I4475,[1]媒体政策预估表!A:N,MATCH(O4475,[1]媒体政策预估表!$A$2:$M$2,0),0)</f>
        <v>7.0000000000000007E-2</v>
      </c>
      <c r="AF4475" s="6">
        <f t="shared" si="685"/>
        <v>0</v>
      </c>
      <c r="AG4475" s="14">
        <v>0</v>
      </c>
      <c r="AH4475" s="65">
        <f t="shared" ref="AH4475:AH4538" si="689">V4475</f>
        <v>0</v>
      </c>
      <c r="AI4475" s="47"/>
      <c r="AJ4475" s="126" t="e">
        <v>#N/A</v>
      </c>
      <c r="AK4475" s="80">
        <f t="shared" si="683"/>
        <v>0</v>
      </c>
      <c r="AM4475" s="85"/>
    </row>
    <row r="4476" spans="1:39" hidden="1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686"/>
        <v>-1993.4765199999997</v>
      </c>
      <c r="X4476" s="6">
        <f t="shared" si="687"/>
        <v>0</v>
      </c>
      <c r="Y4476" s="13">
        <f t="shared" si="681"/>
        <v>0</v>
      </c>
      <c r="Z4476" s="14">
        <v>0</v>
      </c>
      <c r="AA4476" s="6">
        <v>0</v>
      </c>
      <c r="AB4476" s="4">
        <f t="shared" si="682"/>
        <v>0</v>
      </c>
      <c r="AC4476" s="4">
        <f t="shared" si="684"/>
        <v>0</v>
      </c>
      <c r="AD4476" s="6">
        <f t="shared" si="688"/>
        <v>0</v>
      </c>
      <c r="AE4476" s="2">
        <f>VLOOKUP(I4476,[1]媒体政策预估表!A:N,MATCH(O4476,[1]媒体政策预估表!$A$2:$M$2,0),0)</f>
        <v>0.12</v>
      </c>
      <c r="AF4476" s="6">
        <f t="shared" si="685"/>
        <v>0</v>
      </c>
      <c r="AG4476" s="14">
        <v>0</v>
      </c>
      <c r="AH4476" s="65">
        <f t="shared" si="689"/>
        <v>0</v>
      </c>
      <c r="AI4476" s="47"/>
      <c r="AJ4476" s="126" t="e">
        <v>#N/A</v>
      </c>
      <c r="AK4476" s="80">
        <f t="shared" si="683"/>
        <v>0</v>
      </c>
      <c r="AM4476" s="85"/>
    </row>
    <row r="4477" spans="1:39" hidden="1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686"/>
        <v>3139.3</v>
      </c>
      <c r="X4477" s="6">
        <f t="shared" si="687"/>
        <v>0</v>
      </c>
      <c r="Y4477" s="13">
        <f t="shared" si="681"/>
        <v>0</v>
      </c>
      <c r="Z4477" s="14">
        <v>0</v>
      </c>
      <c r="AA4477" s="6">
        <v>0</v>
      </c>
      <c r="AB4477" s="4">
        <f t="shared" si="682"/>
        <v>0</v>
      </c>
      <c r="AC4477" s="4">
        <f t="shared" si="684"/>
        <v>0</v>
      </c>
      <c r="AD4477" s="6">
        <f t="shared" si="688"/>
        <v>0</v>
      </c>
      <c r="AE4477" s="2">
        <f>VLOOKUP(I4477,[1]媒体政策预估表!A:N,MATCH(O4477,[1]媒体政策预估表!$A$2:$M$2,0),0)</f>
        <v>7.0000000000000007E-2</v>
      </c>
      <c r="AF4477" s="6">
        <f t="shared" si="685"/>
        <v>0</v>
      </c>
      <c r="AG4477" s="14">
        <v>0</v>
      </c>
      <c r="AH4477" s="65">
        <f t="shared" si="689"/>
        <v>0</v>
      </c>
      <c r="AI4477" s="47"/>
      <c r="AJ4477" s="126" t="e">
        <v>#N/A</v>
      </c>
      <c r="AK4477" s="80">
        <f t="shared" si="683"/>
        <v>0</v>
      </c>
      <c r="AM4477" s="85"/>
    </row>
    <row r="4478" spans="1:39" hidden="1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686"/>
        <v>4939.5</v>
      </c>
      <c r="X4478" s="6">
        <f t="shared" si="687"/>
        <v>0</v>
      </c>
      <c r="Y4478" s="13">
        <f t="shared" si="681"/>
        <v>0</v>
      </c>
      <c r="Z4478" s="14">
        <v>0</v>
      </c>
      <c r="AA4478" s="6">
        <v>0</v>
      </c>
      <c r="AB4478" s="4">
        <f t="shared" si="682"/>
        <v>0</v>
      </c>
      <c r="AC4478" s="4">
        <f t="shared" si="684"/>
        <v>0</v>
      </c>
      <c r="AD4478" s="6">
        <f t="shared" si="688"/>
        <v>0</v>
      </c>
      <c r="AE4478" s="2">
        <f>VLOOKUP(I4478,[1]媒体政策预估表!A:N,MATCH(O4478,[1]媒体政策预估表!$A$2:$M$2,0),0)</f>
        <v>7.0000000000000007E-2</v>
      </c>
      <c r="AF4478" s="6">
        <f t="shared" si="685"/>
        <v>0</v>
      </c>
      <c r="AG4478" s="14">
        <v>0</v>
      </c>
      <c r="AH4478" s="65">
        <f t="shared" si="689"/>
        <v>0</v>
      </c>
      <c r="AI4478" s="47"/>
      <c r="AJ4478" s="126" t="e">
        <v>#N/A</v>
      </c>
      <c r="AK4478" s="80">
        <f t="shared" si="683"/>
        <v>0</v>
      </c>
      <c r="AM4478" s="85"/>
    </row>
    <row r="4479" spans="1:39" hidden="1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686"/>
        <v>1</v>
      </c>
      <c r="X4479" s="6">
        <f t="shared" si="687"/>
        <v>0</v>
      </c>
      <c r="Y4479" s="13">
        <f t="shared" si="681"/>
        <v>0</v>
      </c>
      <c r="Z4479" s="14">
        <v>0</v>
      </c>
      <c r="AA4479" s="6">
        <v>0</v>
      </c>
      <c r="AB4479" s="4">
        <f t="shared" si="682"/>
        <v>0</v>
      </c>
      <c r="AC4479" s="4">
        <f t="shared" si="684"/>
        <v>0</v>
      </c>
      <c r="AD4479" s="6">
        <f t="shared" si="688"/>
        <v>0</v>
      </c>
      <c r="AE4479" s="2">
        <f>VLOOKUP(I4479,[1]媒体政策预估表!A:N,MATCH(O4479,[1]媒体政策预估表!$A$2:$M$2,0),0)</f>
        <v>7.0000000000000007E-2</v>
      </c>
      <c r="AF4479" s="6">
        <f t="shared" si="685"/>
        <v>0</v>
      </c>
      <c r="AG4479" s="14">
        <v>0</v>
      </c>
      <c r="AH4479" s="65">
        <f t="shared" si="689"/>
        <v>0</v>
      </c>
      <c r="AI4479" s="47"/>
      <c r="AJ4479" s="126" t="e">
        <v>#N/A</v>
      </c>
      <c r="AK4479" s="80">
        <f t="shared" si="683"/>
        <v>0</v>
      </c>
      <c r="AM4479" s="85"/>
    </row>
    <row r="4480" spans="1:39" hidden="1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686"/>
        <v>62.199999999999818</v>
      </c>
      <c r="X4480" s="6">
        <f t="shared" si="687"/>
        <v>0</v>
      </c>
      <c r="Y4480" s="13">
        <f t="shared" si="681"/>
        <v>0</v>
      </c>
      <c r="Z4480" s="14">
        <v>0</v>
      </c>
      <c r="AA4480" s="6">
        <v>0</v>
      </c>
      <c r="AB4480" s="4">
        <f t="shared" si="682"/>
        <v>0</v>
      </c>
      <c r="AC4480" s="4">
        <f t="shared" si="684"/>
        <v>0</v>
      </c>
      <c r="AD4480" s="6">
        <f t="shared" si="688"/>
        <v>0</v>
      </c>
      <c r="AE4480" s="2">
        <f>VLOOKUP(I4480,[1]媒体政策预估表!A:N,MATCH(O4480,[1]媒体政策预估表!$A$2:$M$2,0),0)</f>
        <v>7.0000000000000007E-2</v>
      </c>
      <c r="AF4480" s="6">
        <f t="shared" si="685"/>
        <v>0</v>
      </c>
      <c r="AG4480" s="14">
        <v>0</v>
      </c>
      <c r="AH4480" s="65">
        <f t="shared" si="689"/>
        <v>0</v>
      </c>
      <c r="AI4480" s="47"/>
      <c r="AJ4480" s="126" t="e">
        <v>#N/A</v>
      </c>
      <c r="AK4480" s="80">
        <f t="shared" si="683"/>
        <v>0</v>
      </c>
      <c r="AM4480" s="85"/>
    </row>
    <row r="4481" spans="1:39" hidden="1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686"/>
        <v>54.699999999999903</v>
      </c>
      <c r="X4481" s="6">
        <f t="shared" si="687"/>
        <v>0</v>
      </c>
      <c r="Y4481" s="13">
        <f t="shared" si="681"/>
        <v>0</v>
      </c>
      <c r="Z4481" s="14">
        <v>0</v>
      </c>
      <c r="AA4481" s="6">
        <v>0</v>
      </c>
      <c r="AB4481" s="4">
        <f t="shared" si="682"/>
        <v>0</v>
      </c>
      <c r="AC4481" s="4">
        <f t="shared" si="684"/>
        <v>0</v>
      </c>
      <c r="AD4481" s="6">
        <f t="shared" si="688"/>
        <v>0</v>
      </c>
      <c r="AE4481" s="2">
        <f>VLOOKUP(I4481,[1]媒体政策预估表!A:N,MATCH(O4481,[1]媒体政策预估表!$A$2:$M$2,0),0)</f>
        <v>7.0000000000000007E-2</v>
      </c>
      <c r="AF4481" s="6">
        <f t="shared" si="685"/>
        <v>0</v>
      </c>
      <c r="AG4481" s="14">
        <v>0</v>
      </c>
      <c r="AH4481" s="65">
        <f t="shared" si="689"/>
        <v>0</v>
      </c>
      <c r="AI4481" s="47"/>
      <c r="AJ4481" s="126" t="e">
        <v>#N/A</v>
      </c>
      <c r="AK4481" s="80">
        <f t="shared" si="683"/>
        <v>0</v>
      </c>
      <c r="AM4481" s="85"/>
    </row>
    <row r="4482" spans="1:39" hidden="1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686"/>
        <v>95600</v>
      </c>
      <c r="X4482" s="6">
        <f t="shared" si="687"/>
        <v>0</v>
      </c>
      <c r="Y4482" s="13">
        <f t="shared" si="681"/>
        <v>0</v>
      </c>
      <c r="Z4482" s="14">
        <v>0</v>
      </c>
      <c r="AA4482" s="6">
        <v>0</v>
      </c>
      <c r="AB4482" s="4">
        <f t="shared" si="682"/>
        <v>0</v>
      </c>
      <c r="AC4482" s="4">
        <f t="shared" si="684"/>
        <v>0</v>
      </c>
      <c r="AD4482" s="6">
        <f t="shared" si="688"/>
        <v>0</v>
      </c>
      <c r="AE4482" s="2">
        <f>VLOOKUP(I4482,[1]媒体政策预估表!A:N,MATCH(O4482,[1]媒体政策预估表!$A$2:$M$2,0),0)</f>
        <v>0.12</v>
      </c>
      <c r="AF4482" s="6">
        <f t="shared" si="685"/>
        <v>0</v>
      </c>
      <c r="AG4482" s="14">
        <v>0</v>
      </c>
      <c r="AH4482" s="65">
        <f t="shared" si="689"/>
        <v>0</v>
      </c>
      <c r="AI4482" s="47"/>
      <c r="AJ4482" s="126" t="e">
        <v>#N/A</v>
      </c>
      <c r="AK4482" s="80">
        <f t="shared" si="683"/>
        <v>0</v>
      </c>
      <c r="AM4482" s="85"/>
    </row>
    <row r="4483" spans="1:39" hidden="1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686"/>
        <v>-594818.11</v>
      </c>
      <c r="X4483" s="6">
        <f t="shared" si="687"/>
        <v>0</v>
      </c>
      <c r="Y4483" s="13">
        <f t="shared" ref="Y4483:Y4546" si="690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691">X4483+AA4483</f>
        <v>0</v>
      </c>
      <c r="AC4483" s="4">
        <f t="shared" si="684"/>
        <v>0</v>
      </c>
      <c r="AD4483" s="6">
        <f t="shared" si="688"/>
        <v>0</v>
      </c>
      <c r="AE4483" s="2">
        <f>VLOOKUP(I4483,[1]媒体政策预估表!A:N,MATCH(O4483,[1]媒体政策预估表!$A$2:$M$2,0),0)</f>
        <v>0.15</v>
      </c>
      <c r="AF4483" s="6">
        <f t="shared" si="685"/>
        <v>0</v>
      </c>
      <c r="AG4483" s="14">
        <v>0</v>
      </c>
      <c r="AH4483" s="65">
        <f t="shared" si="689"/>
        <v>0</v>
      </c>
      <c r="AI4483" s="47"/>
      <c r="AJ4483" s="126" t="e">
        <v>#N/A</v>
      </c>
      <c r="AK4483" s="80">
        <f t="shared" ref="AK4483:AK4546" si="692">X4483+AA4483-AB4483</f>
        <v>0</v>
      </c>
      <c r="AM4483" s="85"/>
    </row>
    <row r="4484" spans="1:39" hidden="1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686"/>
        <v>8603.76</v>
      </c>
      <c r="X4484" s="6">
        <f t="shared" si="687"/>
        <v>0</v>
      </c>
      <c r="Y4484" s="13">
        <f t="shared" si="690"/>
        <v>0</v>
      </c>
      <c r="Z4484" s="14">
        <v>0</v>
      </c>
      <c r="AA4484" s="6">
        <v>0</v>
      </c>
      <c r="AB4484" s="4">
        <f t="shared" si="691"/>
        <v>0</v>
      </c>
      <c r="AC4484" s="4">
        <f t="shared" si="684"/>
        <v>0</v>
      </c>
      <c r="AD4484" s="6">
        <f t="shared" si="688"/>
        <v>0</v>
      </c>
      <c r="AE4484" s="2">
        <f>VLOOKUP(I4484,[1]媒体政策预估表!A:N,MATCH(O4484,[1]媒体政策预估表!$A$2:$M$2,0),0)</f>
        <v>7.0000000000000007E-2</v>
      </c>
      <c r="AF4484" s="6">
        <f t="shared" si="685"/>
        <v>0</v>
      </c>
      <c r="AG4484" s="14">
        <v>0</v>
      </c>
      <c r="AH4484" s="65">
        <f t="shared" si="689"/>
        <v>0</v>
      </c>
      <c r="AI4484" s="47"/>
      <c r="AJ4484" s="126" t="e">
        <v>#N/A</v>
      </c>
      <c r="AK4484" s="80">
        <f t="shared" si="692"/>
        <v>0</v>
      </c>
      <c r="AM4484" s="85"/>
    </row>
    <row r="4485" spans="1:39" hidden="1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686"/>
        <v>9.9500000000007294</v>
      </c>
      <c r="X4485" s="6">
        <f t="shared" si="687"/>
        <v>0</v>
      </c>
      <c r="Y4485" s="13">
        <f t="shared" si="690"/>
        <v>0</v>
      </c>
      <c r="Z4485" s="14">
        <v>0</v>
      </c>
      <c r="AA4485" s="6">
        <v>0</v>
      </c>
      <c r="AB4485" s="4">
        <f t="shared" si="691"/>
        <v>0</v>
      </c>
      <c r="AC4485" s="4">
        <f t="shared" si="684"/>
        <v>0</v>
      </c>
      <c r="AD4485" s="6">
        <f t="shared" si="688"/>
        <v>0</v>
      </c>
      <c r="AE4485" s="2">
        <f>VLOOKUP(I4485,[1]媒体政策预估表!A:N,MATCH(O4485,[1]媒体政策预估表!$A$2:$M$2,0),0)</f>
        <v>0.12</v>
      </c>
      <c r="AF4485" s="6">
        <f t="shared" si="685"/>
        <v>0</v>
      </c>
      <c r="AG4485" s="14">
        <v>0</v>
      </c>
      <c r="AH4485" s="65">
        <f t="shared" si="689"/>
        <v>0</v>
      </c>
      <c r="AI4485" s="47"/>
      <c r="AJ4485" s="126" t="e">
        <v>#N/A</v>
      </c>
      <c r="AK4485" s="80">
        <f t="shared" si="692"/>
        <v>0</v>
      </c>
      <c r="AM4485" s="85"/>
    </row>
    <row r="4486" spans="1:39" hidden="1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686"/>
        <v>5157.2</v>
      </c>
      <c r="X4486" s="6">
        <f t="shared" si="687"/>
        <v>0</v>
      </c>
      <c r="Y4486" s="13">
        <f t="shared" si="690"/>
        <v>0</v>
      </c>
      <c r="Z4486" s="14">
        <v>0</v>
      </c>
      <c r="AA4486" s="6">
        <v>0</v>
      </c>
      <c r="AB4486" s="4">
        <f t="shared" si="691"/>
        <v>0</v>
      </c>
      <c r="AC4486" s="4">
        <f t="shared" si="684"/>
        <v>0</v>
      </c>
      <c r="AD4486" s="6">
        <f t="shared" si="688"/>
        <v>0</v>
      </c>
      <c r="AE4486" s="2">
        <f>VLOOKUP(I4486,[1]媒体政策预估表!A:N,MATCH(O4486,[1]媒体政策预估表!$A$2:$M$2,0),0)</f>
        <v>0.12</v>
      </c>
      <c r="AF4486" s="6">
        <f t="shared" si="685"/>
        <v>0</v>
      </c>
      <c r="AG4486" s="14">
        <v>0</v>
      </c>
      <c r="AH4486" s="65">
        <f t="shared" si="689"/>
        <v>0</v>
      </c>
      <c r="AI4486" s="47"/>
      <c r="AJ4486" s="126" t="e">
        <v>#N/A</v>
      </c>
      <c r="AK4486" s="80">
        <f t="shared" si="692"/>
        <v>0</v>
      </c>
      <c r="AM4486" s="85"/>
    </row>
    <row r="4487" spans="1:39" hidden="1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686"/>
        <v>-966783.75237999996</v>
      </c>
      <c r="X4487" s="6">
        <f t="shared" si="687"/>
        <v>0</v>
      </c>
      <c r="Y4487" s="13">
        <f t="shared" si="690"/>
        <v>0</v>
      </c>
      <c r="Z4487" s="14">
        <v>0</v>
      </c>
      <c r="AA4487" s="6">
        <v>0</v>
      </c>
      <c r="AB4487" s="4">
        <f t="shared" si="691"/>
        <v>0</v>
      </c>
      <c r="AC4487" s="4">
        <f t="shared" si="684"/>
        <v>0</v>
      </c>
      <c r="AD4487" s="6">
        <f t="shared" si="688"/>
        <v>0</v>
      </c>
      <c r="AE4487" s="2">
        <f>VLOOKUP(I4487,[1]媒体政策预估表!A:N,MATCH(O4487,[1]媒体政策预估表!$A$2:$M$2,0),0)</f>
        <v>0.12</v>
      </c>
      <c r="AF4487" s="6">
        <f t="shared" si="685"/>
        <v>0</v>
      </c>
      <c r="AG4487" s="14">
        <v>0</v>
      </c>
      <c r="AH4487" s="65">
        <f t="shared" si="689"/>
        <v>0</v>
      </c>
      <c r="AI4487" s="47"/>
      <c r="AJ4487" s="126" t="e">
        <v>#N/A</v>
      </c>
      <c r="AK4487" s="80">
        <f t="shared" si="692"/>
        <v>0</v>
      </c>
      <c r="AM4487" s="85"/>
    </row>
    <row r="4488" spans="1:39" hidden="1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686"/>
        <v>-810107.99475999991</v>
      </c>
      <c r="X4488" s="6">
        <f t="shared" si="687"/>
        <v>13872.796534653466</v>
      </c>
      <c r="Y4488" s="13">
        <f t="shared" si="690"/>
        <v>0</v>
      </c>
      <c r="Z4488" s="14">
        <v>0</v>
      </c>
      <c r="AA4488" s="6">
        <v>0</v>
      </c>
      <c r="AB4488" s="4">
        <f t="shared" si="691"/>
        <v>13872.796534653466</v>
      </c>
      <c r="AC4488" s="4">
        <f t="shared" si="684"/>
        <v>138.72796534653389</v>
      </c>
      <c r="AD4488" s="6">
        <f t="shared" si="688"/>
        <v>14011.5245</v>
      </c>
      <c r="AE4488" s="2">
        <f>VLOOKUP(I4488,[1]媒体政策预估表!A:N,MATCH(O4488,[1]媒体政策预估表!$A$2:$M$2,0),0)</f>
        <v>0.15</v>
      </c>
      <c r="AF4488" s="6">
        <f t="shared" si="685"/>
        <v>2101.7286749999998</v>
      </c>
      <c r="AG4488" s="14">
        <v>0</v>
      </c>
      <c r="AH4488" s="65">
        <f t="shared" si="689"/>
        <v>14011.5245</v>
      </c>
      <c r="AI4488" s="47"/>
      <c r="AJ4488" s="126" t="e">
        <v>#N/A</v>
      </c>
      <c r="AK4488" s="80">
        <f t="shared" si="692"/>
        <v>0</v>
      </c>
      <c r="AM4488" s="85"/>
    </row>
    <row r="4489" spans="1:39" hidden="1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686"/>
        <v>-110034.21193999999</v>
      </c>
      <c r="X4489" s="6">
        <f t="shared" si="687"/>
        <v>22792.158039603961</v>
      </c>
      <c r="Y4489" s="13">
        <f t="shared" si="690"/>
        <v>0</v>
      </c>
      <c r="Z4489" s="14">
        <v>0</v>
      </c>
      <c r="AA4489" s="6">
        <v>0</v>
      </c>
      <c r="AB4489" s="4">
        <f t="shared" si="691"/>
        <v>22792.158039603961</v>
      </c>
      <c r="AC4489" s="4">
        <f t="shared" si="684"/>
        <v>227.92158039603964</v>
      </c>
      <c r="AD4489" s="6">
        <f t="shared" si="688"/>
        <v>23020.07962</v>
      </c>
      <c r="AE4489" s="2">
        <f>VLOOKUP(I4489,[1]媒体政策预估表!A:N,MATCH(O4489,[1]媒体政策预估表!$A$2:$M$2,0),0)</f>
        <v>0.15</v>
      </c>
      <c r="AF4489" s="6">
        <f t="shared" si="685"/>
        <v>3453.011943</v>
      </c>
      <c r="AG4489" s="14">
        <v>0</v>
      </c>
      <c r="AH4489" s="65">
        <f t="shared" si="689"/>
        <v>23020.07962</v>
      </c>
      <c r="AI4489" s="47"/>
      <c r="AJ4489" s="126" t="e">
        <v>#N/A</v>
      </c>
      <c r="AK4489" s="80">
        <f t="shared" si="692"/>
        <v>0</v>
      </c>
      <c r="AM4489" s="85"/>
    </row>
    <row r="4490" spans="1:39" hidden="1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686"/>
        <v>-7162.6865100000014</v>
      </c>
      <c r="X4490" s="6">
        <f t="shared" si="687"/>
        <v>0</v>
      </c>
      <c r="Y4490" s="13">
        <f t="shared" si="690"/>
        <v>0</v>
      </c>
      <c r="Z4490" s="14">
        <v>0</v>
      </c>
      <c r="AA4490" s="6">
        <v>0</v>
      </c>
      <c r="AB4490" s="4">
        <f t="shared" si="691"/>
        <v>0</v>
      </c>
      <c r="AC4490" s="4">
        <f t="shared" si="684"/>
        <v>0</v>
      </c>
      <c r="AD4490" s="6">
        <f t="shared" si="688"/>
        <v>0</v>
      </c>
      <c r="AE4490" s="2">
        <f>VLOOKUP(I4490,[1]媒体政策预估表!A:N,MATCH(O4490,[1]媒体政策预估表!$A$2:$M$2,0),0)</f>
        <v>0.12</v>
      </c>
      <c r="AF4490" s="6">
        <f t="shared" si="685"/>
        <v>0</v>
      </c>
      <c r="AG4490" s="14">
        <v>0</v>
      </c>
      <c r="AH4490" s="65">
        <f t="shared" si="689"/>
        <v>0</v>
      </c>
      <c r="AI4490" s="47"/>
      <c r="AJ4490" s="126" t="e">
        <v>#N/A</v>
      </c>
      <c r="AK4490" s="80">
        <f t="shared" si="692"/>
        <v>0</v>
      </c>
      <c r="AM4490" s="85"/>
    </row>
    <row r="4491" spans="1:39" hidden="1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686"/>
        <v>-119740.51635999999</v>
      </c>
      <c r="X4491" s="6">
        <f t="shared" si="687"/>
        <v>6531.960495049505</v>
      </c>
      <c r="Y4491" s="13">
        <f t="shared" si="690"/>
        <v>0</v>
      </c>
      <c r="Z4491" s="14">
        <v>0</v>
      </c>
      <c r="AA4491" s="6">
        <v>0</v>
      </c>
      <c r="AB4491" s="4">
        <f t="shared" si="691"/>
        <v>6531.960495049505</v>
      </c>
      <c r="AC4491" s="4">
        <f t="shared" si="684"/>
        <v>65.319604950494977</v>
      </c>
      <c r="AD4491" s="6">
        <f t="shared" si="688"/>
        <v>6597.2800999999999</v>
      </c>
      <c r="AE4491" s="2">
        <f>VLOOKUP(I4491,[1]媒体政策预估表!A:N,MATCH(O4491,[1]媒体政策预估表!$A$2:$M$2,0),0)</f>
        <v>0.12</v>
      </c>
      <c r="AF4491" s="6">
        <f t="shared" si="685"/>
        <v>791.67361199999993</v>
      </c>
      <c r="AG4491" s="14">
        <v>0</v>
      </c>
      <c r="AH4491" s="65">
        <f t="shared" si="689"/>
        <v>6597.2800999999999</v>
      </c>
      <c r="AI4491" s="47"/>
      <c r="AJ4491" s="126" t="e">
        <v>#N/A</v>
      </c>
      <c r="AK4491" s="80">
        <f t="shared" si="692"/>
        <v>0</v>
      </c>
      <c r="AM4491" s="85"/>
    </row>
    <row r="4492" spans="1:39" hidden="1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686"/>
        <v>-631397.36988000001</v>
      </c>
      <c r="X4492" s="6">
        <f t="shared" si="687"/>
        <v>58542.458584158419</v>
      </c>
      <c r="Y4492" s="13">
        <f t="shared" si="690"/>
        <v>0</v>
      </c>
      <c r="Z4492" s="14">
        <v>0</v>
      </c>
      <c r="AA4492" s="6">
        <v>0</v>
      </c>
      <c r="AB4492" s="4">
        <f t="shared" si="691"/>
        <v>58542.458584158419</v>
      </c>
      <c r="AC4492" s="4">
        <f t="shared" ref="AC4492:AC4555" si="693">IF(P4492="返现",X4492*Q4492,V4492-X4492)</f>
        <v>585.42458584158157</v>
      </c>
      <c r="AD4492" s="6">
        <f t="shared" si="688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694">AD4492*AE4492</f>
        <v>7095.3459803999995</v>
      </c>
      <c r="AG4492" s="14">
        <v>0</v>
      </c>
      <c r="AH4492" s="65">
        <f t="shared" si="689"/>
        <v>59127.883170000001</v>
      </c>
      <c r="AI4492" s="47"/>
      <c r="AJ4492" s="126" t="e">
        <v>#N/A</v>
      </c>
      <c r="AK4492" s="80">
        <f t="shared" si="692"/>
        <v>0</v>
      </c>
      <c r="AM4492" s="85"/>
    </row>
    <row r="4493" spans="1:39" hidden="1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686"/>
        <v>0.16000000000349199</v>
      </c>
      <c r="X4493" s="6">
        <f t="shared" si="687"/>
        <v>0</v>
      </c>
      <c r="Y4493" s="13">
        <f t="shared" si="690"/>
        <v>0</v>
      </c>
      <c r="Z4493" s="14">
        <v>0</v>
      </c>
      <c r="AA4493" s="6">
        <v>0</v>
      </c>
      <c r="AB4493" s="4">
        <f t="shared" si="691"/>
        <v>0</v>
      </c>
      <c r="AC4493" s="4">
        <f t="shared" si="693"/>
        <v>0</v>
      </c>
      <c r="AD4493" s="6">
        <f t="shared" si="688"/>
        <v>0</v>
      </c>
      <c r="AE4493" s="2">
        <f>VLOOKUP(I4493,[1]媒体政策预估表!A:N,MATCH(O4493,[1]媒体政策预估表!$A$2:$M$2,0),0)</f>
        <v>0.12</v>
      </c>
      <c r="AF4493" s="6">
        <f t="shared" si="694"/>
        <v>0</v>
      </c>
      <c r="AG4493" s="14">
        <v>0</v>
      </c>
      <c r="AH4493" s="65">
        <f t="shared" si="689"/>
        <v>0</v>
      </c>
      <c r="AI4493" s="47"/>
      <c r="AJ4493" s="126" t="s">
        <v>4220</v>
      </c>
      <c r="AK4493" s="80">
        <f t="shared" si="692"/>
        <v>0</v>
      </c>
      <c r="AL4493" s="150"/>
      <c r="AM4493" s="85"/>
    </row>
    <row r="4494" spans="1:39" hidden="1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686"/>
        <v>1.2799999999988401</v>
      </c>
      <c r="X4494" s="6">
        <f t="shared" si="687"/>
        <v>0</v>
      </c>
      <c r="Y4494" s="13">
        <f t="shared" si="690"/>
        <v>0</v>
      </c>
      <c r="Z4494" s="14">
        <v>0</v>
      </c>
      <c r="AA4494" s="6">
        <v>0</v>
      </c>
      <c r="AB4494" s="4"/>
      <c r="AC4494" s="4">
        <f t="shared" si="693"/>
        <v>0</v>
      </c>
      <c r="AD4494" s="6">
        <f t="shared" si="688"/>
        <v>0</v>
      </c>
      <c r="AE4494" s="2">
        <f>VLOOKUP(I4494,[1]媒体政策预估表!A:N,MATCH(O4494,[1]媒体政策预估表!$A$2:$M$2,0),0)</f>
        <v>7.0000000000000007E-2</v>
      </c>
      <c r="AF4494" s="6">
        <f t="shared" si="694"/>
        <v>0</v>
      </c>
      <c r="AG4494" s="14">
        <v>0</v>
      </c>
      <c r="AH4494" s="65">
        <f t="shared" si="689"/>
        <v>0</v>
      </c>
      <c r="AI4494" s="47"/>
      <c r="AJ4494" s="126">
        <v>60</v>
      </c>
      <c r="AK4494" s="80">
        <f t="shared" si="692"/>
        <v>0</v>
      </c>
      <c r="AM4494" s="85"/>
    </row>
    <row r="4495" spans="1:39" hidden="1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686"/>
        <v>489.4</v>
      </c>
      <c r="X4495" s="6">
        <f t="shared" si="687"/>
        <v>0</v>
      </c>
      <c r="Y4495" s="13">
        <f t="shared" si="690"/>
        <v>0</v>
      </c>
      <c r="Z4495" s="14">
        <v>0</v>
      </c>
      <c r="AA4495" s="6">
        <v>0</v>
      </c>
      <c r="AB4495" s="4">
        <f t="shared" si="691"/>
        <v>0</v>
      </c>
      <c r="AC4495" s="4">
        <f t="shared" si="693"/>
        <v>0</v>
      </c>
      <c r="AD4495" s="6">
        <f t="shared" si="688"/>
        <v>0</v>
      </c>
      <c r="AE4495" s="2">
        <f>VLOOKUP(I4495,[1]媒体政策预估表!A:N,MATCH(O4495,[1]媒体政策预估表!$A$2:$M$2,0),0)</f>
        <v>7.0000000000000007E-2</v>
      </c>
      <c r="AF4495" s="6">
        <f t="shared" si="694"/>
        <v>0</v>
      </c>
      <c r="AG4495" s="14">
        <v>0</v>
      </c>
      <c r="AH4495" s="65">
        <f t="shared" si="689"/>
        <v>0</v>
      </c>
      <c r="AI4495" s="47"/>
      <c r="AJ4495" s="126" t="e">
        <v>#N/A</v>
      </c>
      <c r="AK4495" s="80">
        <f t="shared" si="692"/>
        <v>0</v>
      </c>
      <c r="AM4495" s="85"/>
    </row>
    <row r="4496" spans="1:39" hidden="1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686"/>
        <v>7206.97</v>
      </c>
      <c r="X4496" s="6">
        <f t="shared" si="687"/>
        <v>0</v>
      </c>
      <c r="Y4496" s="13">
        <f t="shared" si="690"/>
        <v>0</v>
      </c>
      <c r="Z4496" s="14">
        <v>0</v>
      </c>
      <c r="AA4496" s="6">
        <v>0</v>
      </c>
      <c r="AB4496" s="4">
        <f t="shared" si="691"/>
        <v>0</v>
      </c>
      <c r="AC4496" s="4">
        <f t="shared" si="693"/>
        <v>0</v>
      </c>
      <c r="AD4496" s="6">
        <f t="shared" si="688"/>
        <v>0</v>
      </c>
      <c r="AE4496" s="2">
        <f>VLOOKUP(I4496,[1]媒体政策预估表!A:N,MATCH(O4496,[1]媒体政策预估表!$A$2:$M$2,0),0)</f>
        <v>0.12</v>
      </c>
      <c r="AF4496" s="6">
        <f t="shared" si="694"/>
        <v>0</v>
      </c>
      <c r="AG4496" s="14">
        <v>0</v>
      </c>
      <c r="AH4496" s="65">
        <f t="shared" si="689"/>
        <v>0</v>
      </c>
      <c r="AI4496" s="47"/>
      <c r="AJ4496" s="126" t="e">
        <v>#N/A</v>
      </c>
      <c r="AK4496" s="80">
        <f t="shared" si="692"/>
        <v>0</v>
      </c>
      <c r="AM4496" s="85"/>
    </row>
    <row r="4497" spans="1:39" hidden="1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686"/>
        <v>-6242</v>
      </c>
      <c r="X4497" s="6">
        <f t="shared" si="687"/>
        <v>0</v>
      </c>
      <c r="Y4497" s="13">
        <f t="shared" si="690"/>
        <v>0</v>
      </c>
      <c r="Z4497" s="14">
        <v>0</v>
      </c>
      <c r="AA4497" s="6">
        <v>0</v>
      </c>
      <c r="AB4497" s="4">
        <f t="shared" si="691"/>
        <v>0</v>
      </c>
      <c r="AC4497" s="4">
        <f t="shared" si="693"/>
        <v>0</v>
      </c>
      <c r="AD4497" s="6">
        <f t="shared" si="688"/>
        <v>0</v>
      </c>
      <c r="AE4497" s="2">
        <f>VLOOKUP(I4497,[1]媒体政策预估表!A:N,MATCH(O4497,[1]媒体政策预估表!$A$2:$M$2,0),0)</f>
        <v>7.0000000000000007E-2</v>
      </c>
      <c r="AF4497" s="6">
        <f t="shared" si="694"/>
        <v>0</v>
      </c>
      <c r="AG4497" s="14">
        <v>0</v>
      </c>
      <c r="AH4497" s="65">
        <f t="shared" si="689"/>
        <v>0</v>
      </c>
      <c r="AI4497" s="47"/>
      <c r="AJ4497" s="126" t="e">
        <v>#N/A</v>
      </c>
      <c r="AK4497" s="80">
        <f t="shared" si="692"/>
        <v>0</v>
      </c>
      <c r="AM4497" s="85"/>
    </row>
    <row r="4498" spans="1:39" hidden="1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686"/>
        <v>-513.77</v>
      </c>
      <c r="X4498" s="6">
        <f t="shared" si="687"/>
        <v>0</v>
      </c>
      <c r="Y4498" s="13">
        <f t="shared" si="690"/>
        <v>0</v>
      </c>
      <c r="Z4498" s="14">
        <v>0</v>
      </c>
      <c r="AA4498" s="6">
        <v>0</v>
      </c>
      <c r="AB4498" s="4">
        <f t="shared" si="691"/>
        <v>0</v>
      </c>
      <c r="AC4498" s="4">
        <f t="shared" si="693"/>
        <v>0</v>
      </c>
      <c r="AD4498" s="6">
        <f t="shared" si="688"/>
        <v>0</v>
      </c>
      <c r="AE4498" s="2">
        <f>VLOOKUP(I4498,[1]媒体政策预估表!A:N,MATCH(O4498,[1]媒体政策预估表!$A$2:$M$2,0),0)</f>
        <v>0.15</v>
      </c>
      <c r="AF4498" s="6">
        <f t="shared" si="694"/>
        <v>0</v>
      </c>
      <c r="AG4498" s="14">
        <v>0</v>
      </c>
      <c r="AH4498" s="65">
        <f t="shared" si="689"/>
        <v>0</v>
      </c>
      <c r="AI4498" s="47"/>
      <c r="AJ4498" s="126" t="e">
        <v>#N/A</v>
      </c>
      <c r="AK4498" s="80">
        <f t="shared" si="692"/>
        <v>0</v>
      </c>
      <c r="AM4498" s="85"/>
    </row>
    <row r="4499" spans="1:39" hidden="1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686"/>
        <v>0.229999999999563</v>
      </c>
      <c r="X4499" s="6">
        <f t="shared" si="687"/>
        <v>0</v>
      </c>
      <c r="Y4499" s="13">
        <f t="shared" si="690"/>
        <v>0</v>
      </c>
      <c r="Z4499" s="14">
        <v>0</v>
      </c>
      <c r="AA4499" s="6">
        <v>0</v>
      </c>
      <c r="AB4499" s="4">
        <f t="shared" si="691"/>
        <v>0</v>
      </c>
      <c r="AC4499" s="4">
        <f t="shared" si="693"/>
        <v>0</v>
      </c>
      <c r="AD4499" s="6">
        <f t="shared" si="688"/>
        <v>0</v>
      </c>
      <c r="AE4499" s="2">
        <f>VLOOKUP(I4499,[1]媒体政策预估表!A:N,MATCH(O4499,[1]媒体政策预估表!$A$2:$M$2,0),0)</f>
        <v>0.12</v>
      </c>
      <c r="AF4499" s="6">
        <f t="shared" si="694"/>
        <v>0</v>
      </c>
      <c r="AG4499" s="14">
        <v>0</v>
      </c>
      <c r="AH4499" s="65">
        <f t="shared" si="689"/>
        <v>0</v>
      </c>
      <c r="AI4499" s="47"/>
      <c r="AJ4499" s="126" t="e">
        <v>#N/A</v>
      </c>
      <c r="AK4499" s="80">
        <f t="shared" si="692"/>
        <v>0</v>
      </c>
      <c r="AM4499" s="85"/>
    </row>
    <row r="4500" spans="1:39" hidden="1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686"/>
        <v>10000</v>
      </c>
      <c r="X4500" s="6">
        <f t="shared" si="687"/>
        <v>0</v>
      </c>
      <c r="Y4500" s="13">
        <f t="shared" si="690"/>
        <v>0</v>
      </c>
      <c r="Z4500" s="14">
        <v>0</v>
      </c>
      <c r="AA4500" s="6">
        <v>0</v>
      </c>
      <c r="AB4500" s="4">
        <f t="shared" si="691"/>
        <v>0</v>
      </c>
      <c r="AC4500" s="4">
        <f t="shared" si="693"/>
        <v>0</v>
      </c>
      <c r="AD4500" s="6">
        <f t="shared" si="688"/>
        <v>0</v>
      </c>
      <c r="AE4500" s="2">
        <f>VLOOKUP(I4500,[1]媒体政策预估表!A:N,MATCH(O4500,[1]媒体政策预估表!$A$2:$M$2,0),0)</f>
        <v>7.0000000000000007E-2</v>
      </c>
      <c r="AF4500" s="6">
        <f t="shared" si="694"/>
        <v>0</v>
      </c>
      <c r="AG4500" s="14">
        <v>0</v>
      </c>
      <c r="AH4500" s="65">
        <f t="shared" si="689"/>
        <v>0</v>
      </c>
      <c r="AI4500" s="47"/>
      <c r="AJ4500" s="126" t="e">
        <v>#N/A</v>
      </c>
      <c r="AK4500" s="80">
        <f t="shared" si="692"/>
        <v>0</v>
      </c>
      <c r="AM4500" s="85"/>
    </row>
    <row r="4501" spans="1:39" hidden="1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686"/>
        <v>12.079999999999927</v>
      </c>
      <c r="X4501" s="6">
        <f t="shared" si="687"/>
        <v>0</v>
      </c>
      <c r="Y4501" s="13">
        <f t="shared" si="690"/>
        <v>0</v>
      </c>
      <c r="Z4501" s="14">
        <v>0</v>
      </c>
      <c r="AA4501" s="6">
        <v>0</v>
      </c>
      <c r="AB4501" s="4">
        <f t="shared" si="691"/>
        <v>0</v>
      </c>
      <c r="AC4501" s="4">
        <f t="shared" si="693"/>
        <v>0</v>
      </c>
      <c r="AD4501" s="6">
        <f t="shared" si="688"/>
        <v>0</v>
      </c>
      <c r="AE4501" s="2">
        <f>VLOOKUP(I4501,[1]媒体政策预估表!A:N,MATCH(O4501,[1]媒体政策预估表!$A$2:$M$2,0),0)</f>
        <v>0.12</v>
      </c>
      <c r="AF4501" s="6">
        <f t="shared" si="694"/>
        <v>0</v>
      </c>
      <c r="AG4501" s="14">
        <v>0</v>
      </c>
      <c r="AH4501" s="65">
        <f t="shared" si="689"/>
        <v>0</v>
      </c>
      <c r="AI4501" s="47"/>
      <c r="AJ4501" s="126" t="e">
        <v>#N/A</v>
      </c>
      <c r="AK4501" s="80">
        <f t="shared" si="692"/>
        <v>0</v>
      </c>
      <c r="AM4501" s="85"/>
    </row>
    <row r="4502" spans="1:39" hidden="1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686"/>
        <v>463.2</v>
      </c>
      <c r="X4502" s="6">
        <f t="shared" si="687"/>
        <v>0</v>
      </c>
      <c r="Y4502" s="13">
        <f t="shared" si="690"/>
        <v>0</v>
      </c>
      <c r="Z4502" s="14">
        <v>0</v>
      </c>
      <c r="AA4502" s="6">
        <v>0</v>
      </c>
      <c r="AB4502" s="4">
        <f t="shared" si="691"/>
        <v>0</v>
      </c>
      <c r="AC4502" s="4">
        <f t="shared" si="693"/>
        <v>0</v>
      </c>
      <c r="AD4502" s="6">
        <f t="shared" si="688"/>
        <v>0</v>
      </c>
      <c r="AE4502" s="2">
        <f>VLOOKUP(I4502,[1]媒体政策预估表!A:N,MATCH(O4502,[1]媒体政策预估表!$A$2:$M$2,0),0)</f>
        <v>7.0000000000000007E-2</v>
      </c>
      <c r="AF4502" s="6">
        <f t="shared" si="694"/>
        <v>0</v>
      </c>
      <c r="AG4502" s="14">
        <v>0</v>
      </c>
      <c r="AH4502" s="65">
        <f t="shared" si="689"/>
        <v>0</v>
      </c>
      <c r="AI4502" s="47"/>
      <c r="AJ4502" s="126" t="e">
        <v>#N/A</v>
      </c>
      <c r="AK4502" s="80">
        <f t="shared" si="692"/>
        <v>0</v>
      </c>
      <c r="AM4502" s="85"/>
    </row>
    <row r="4503" spans="1:39" hidden="1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686"/>
        <v>84.229999999999606</v>
      </c>
      <c r="X4503" s="6">
        <f t="shared" si="687"/>
        <v>0</v>
      </c>
      <c r="Y4503" s="13">
        <f t="shared" si="690"/>
        <v>0</v>
      </c>
      <c r="Z4503" s="14">
        <v>0</v>
      </c>
      <c r="AA4503" s="6">
        <v>0</v>
      </c>
      <c r="AB4503" s="4">
        <f t="shared" si="691"/>
        <v>0</v>
      </c>
      <c r="AC4503" s="4">
        <f t="shared" si="693"/>
        <v>0</v>
      </c>
      <c r="AD4503" s="6">
        <f t="shared" si="688"/>
        <v>0</v>
      </c>
      <c r="AE4503" s="2">
        <f>VLOOKUP(I4503,[1]媒体政策预估表!A:N,MATCH(O4503,[1]媒体政策预估表!$A$2:$M$2,0),0)</f>
        <v>0.12</v>
      </c>
      <c r="AF4503" s="6">
        <f t="shared" si="694"/>
        <v>0</v>
      </c>
      <c r="AG4503" s="14">
        <v>0</v>
      </c>
      <c r="AH4503" s="65">
        <f t="shared" si="689"/>
        <v>0</v>
      </c>
      <c r="AI4503" s="47"/>
      <c r="AJ4503" s="126" t="e">
        <v>#N/A</v>
      </c>
      <c r="AK4503" s="80">
        <f t="shared" si="692"/>
        <v>0</v>
      </c>
      <c r="AM4503" s="85"/>
    </row>
    <row r="4504" spans="1:39" hidden="1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686"/>
        <v>-77447.75</v>
      </c>
      <c r="X4504" s="6">
        <f t="shared" si="687"/>
        <v>0</v>
      </c>
      <c r="Y4504" s="13">
        <f t="shared" si="690"/>
        <v>0</v>
      </c>
      <c r="Z4504" s="14">
        <v>0</v>
      </c>
      <c r="AA4504" s="6">
        <v>0</v>
      </c>
      <c r="AB4504" s="4">
        <f t="shared" si="691"/>
        <v>0</v>
      </c>
      <c r="AC4504" s="4">
        <f t="shared" si="693"/>
        <v>0</v>
      </c>
      <c r="AD4504" s="6">
        <f t="shared" si="688"/>
        <v>0</v>
      </c>
      <c r="AE4504" s="2">
        <f>VLOOKUP(I4504,[1]媒体政策预估表!A:N,MATCH(O4504,[1]媒体政策预估表!$A$2:$M$2,0),0)</f>
        <v>0.15</v>
      </c>
      <c r="AF4504" s="6">
        <f t="shared" si="694"/>
        <v>0</v>
      </c>
      <c r="AG4504" s="14">
        <v>0</v>
      </c>
      <c r="AH4504" s="65">
        <f t="shared" si="689"/>
        <v>0</v>
      </c>
      <c r="AI4504" s="47"/>
      <c r="AJ4504" s="126" t="e">
        <v>#N/A</v>
      </c>
      <c r="AK4504" s="80">
        <f t="shared" si="692"/>
        <v>0</v>
      </c>
      <c r="AM4504" s="85"/>
    </row>
    <row r="4505" spans="1:39" hidden="1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686"/>
        <v>-22392.737779999999</v>
      </c>
      <c r="X4505" s="6">
        <f t="shared" si="687"/>
        <v>0</v>
      </c>
      <c r="Y4505" s="13">
        <f t="shared" si="690"/>
        <v>0</v>
      </c>
      <c r="Z4505" s="14">
        <v>0</v>
      </c>
      <c r="AA4505" s="6">
        <v>0</v>
      </c>
      <c r="AB4505" s="4">
        <f t="shared" si="691"/>
        <v>0</v>
      </c>
      <c r="AC4505" s="4">
        <f t="shared" si="693"/>
        <v>0</v>
      </c>
      <c r="AD4505" s="6">
        <f t="shared" si="688"/>
        <v>0</v>
      </c>
      <c r="AE4505" s="2">
        <f>VLOOKUP(I4505,[1]媒体政策预估表!A:N,MATCH(O4505,[1]媒体政策预估表!$A$2:$M$2,0),0)</f>
        <v>0.12</v>
      </c>
      <c r="AF4505" s="6">
        <f t="shared" si="694"/>
        <v>0</v>
      </c>
      <c r="AG4505" s="14">
        <v>0</v>
      </c>
      <c r="AH4505" s="65">
        <f t="shared" si="689"/>
        <v>0</v>
      </c>
      <c r="AI4505" s="47"/>
      <c r="AJ4505" s="126" t="e">
        <v>#N/A</v>
      </c>
      <c r="AK4505" s="80">
        <f t="shared" si="692"/>
        <v>0</v>
      </c>
      <c r="AM4505" s="85"/>
    </row>
    <row r="4506" spans="1:39" hidden="1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686"/>
        <v>-685889.37</v>
      </c>
      <c r="X4506" s="6">
        <f t="shared" si="687"/>
        <v>0</v>
      </c>
      <c r="Y4506" s="13">
        <f t="shared" si="690"/>
        <v>0</v>
      </c>
      <c r="Z4506" s="14">
        <v>0</v>
      </c>
      <c r="AA4506" s="6">
        <v>0</v>
      </c>
      <c r="AB4506" s="4">
        <f t="shared" si="691"/>
        <v>0</v>
      </c>
      <c r="AC4506" s="4">
        <f t="shared" si="693"/>
        <v>0</v>
      </c>
      <c r="AD4506" s="6">
        <f t="shared" si="688"/>
        <v>0</v>
      </c>
      <c r="AE4506" s="2">
        <f>VLOOKUP(I4506,[1]媒体政策预估表!A:N,MATCH(O4506,[1]媒体政策预估表!$A$2:$M$2,0),0)</f>
        <v>0.12</v>
      </c>
      <c r="AF4506" s="6">
        <f t="shared" si="694"/>
        <v>0</v>
      </c>
      <c r="AG4506" s="14">
        <v>0</v>
      </c>
      <c r="AH4506" s="65">
        <f t="shared" si="689"/>
        <v>0</v>
      </c>
      <c r="AI4506" s="47"/>
      <c r="AJ4506" s="126" t="e">
        <v>#N/A</v>
      </c>
      <c r="AK4506" s="80">
        <f t="shared" si="692"/>
        <v>0</v>
      </c>
      <c r="AM4506" s="85"/>
    </row>
    <row r="4507" spans="1:39" hidden="1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687"/>
        <v>0</v>
      </c>
      <c r="Y4507" s="13">
        <f t="shared" si="690"/>
        <v>0</v>
      </c>
      <c r="Z4507" s="14">
        <v>0</v>
      </c>
      <c r="AA4507" s="6">
        <v>0</v>
      </c>
      <c r="AB4507" s="4">
        <f t="shared" si="691"/>
        <v>0</v>
      </c>
      <c r="AC4507" s="4">
        <f t="shared" si="693"/>
        <v>0</v>
      </c>
      <c r="AD4507" s="6">
        <f t="shared" si="688"/>
        <v>0</v>
      </c>
      <c r="AE4507" s="2">
        <f>VLOOKUP(I4507,[1]媒体政策预估表!A:N,MATCH(O4507,[1]媒体政策预估表!$A$2:$M$2,0),0)</f>
        <v>0.12</v>
      </c>
      <c r="AF4507" s="6">
        <f t="shared" si="694"/>
        <v>0</v>
      </c>
      <c r="AG4507" s="14">
        <v>0</v>
      </c>
      <c r="AH4507" s="65">
        <f t="shared" si="689"/>
        <v>0</v>
      </c>
      <c r="AI4507" s="47"/>
      <c r="AJ4507" s="126" t="e">
        <v>#N/A</v>
      </c>
      <c r="AK4507" s="80">
        <f t="shared" si="692"/>
        <v>0</v>
      </c>
      <c r="AM4507" s="85"/>
    </row>
    <row r="4508" spans="1:39" hidden="1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686"/>
        <v>-60204.99</v>
      </c>
      <c r="X4508" s="6">
        <f t="shared" si="687"/>
        <v>0</v>
      </c>
      <c r="Y4508" s="13">
        <f t="shared" si="690"/>
        <v>0</v>
      </c>
      <c r="Z4508" s="14">
        <v>0</v>
      </c>
      <c r="AA4508" s="6">
        <v>0</v>
      </c>
      <c r="AB4508" s="4">
        <f t="shared" si="691"/>
        <v>0</v>
      </c>
      <c r="AC4508" s="4">
        <f t="shared" si="693"/>
        <v>0</v>
      </c>
      <c r="AD4508" s="6">
        <f t="shared" si="688"/>
        <v>0</v>
      </c>
      <c r="AE4508" s="2">
        <f>VLOOKUP(I4508,[1]媒体政策预估表!A:N,MATCH(O4508,[1]媒体政策预估表!$A$2:$M$2,0),0)</f>
        <v>0.15</v>
      </c>
      <c r="AF4508" s="6">
        <f t="shared" si="694"/>
        <v>0</v>
      </c>
      <c r="AG4508" s="14">
        <v>0</v>
      </c>
      <c r="AH4508" s="65">
        <f t="shared" si="689"/>
        <v>0</v>
      </c>
      <c r="AI4508" s="47"/>
      <c r="AJ4508" s="126" t="e">
        <v>#N/A</v>
      </c>
      <c r="AK4508" s="80">
        <f t="shared" si="692"/>
        <v>0</v>
      </c>
      <c r="AM4508" s="85"/>
    </row>
    <row r="4509" spans="1:39" hidden="1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687"/>
        <v>0</v>
      </c>
      <c r="Y4509" s="13">
        <f t="shared" si="690"/>
        <v>0</v>
      </c>
      <c r="Z4509" s="14">
        <v>0</v>
      </c>
      <c r="AA4509" s="6">
        <v>0</v>
      </c>
      <c r="AB4509" s="4">
        <f t="shared" si="691"/>
        <v>0</v>
      </c>
      <c r="AC4509" s="4">
        <f t="shared" si="693"/>
        <v>0</v>
      </c>
      <c r="AD4509" s="6">
        <f t="shared" si="688"/>
        <v>0</v>
      </c>
      <c r="AE4509" s="2">
        <f>VLOOKUP(I4509,[1]媒体政策预估表!A:N,MATCH(O4509,[1]媒体政策预估表!$A$2:$M$2,0),0)</f>
        <v>0.15</v>
      </c>
      <c r="AF4509" s="6">
        <f t="shared" si="694"/>
        <v>0</v>
      </c>
      <c r="AG4509" s="14">
        <v>0</v>
      </c>
      <c r="AH4509" s="65">
        <f t="shared" si="689"/>
        <v>0</v>
      </c>
      <c r="AI4509" s="47"/>
      <c r="AJ4509" s="126" t="e">
        <v>#N/A</v>
      </c>
      <c r="AK4509" s="80">
        <f t="shared" si="692"/>
        <v>0</v>
      </c>
      <c r="AM4509" s="85"/>
    </row>
    <row r="4510" spans="1:39" hidden="1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687"/>
        <v>0</v>
      </c>
      <c r="Y4510" s="13">
        <f t="shared" si="690"/>
        <v>0</v>
      </c>
      <c r="Z4510" s="14">
        <v>0</v>
      </c>
      <c r="AA4510" s="6">
        <v>0</v>
      </c>
      <c r="AB4510" s="4">
        <f t="shared" si="691"/>
        <v>0</v>
      </c>
      <c r="AC4510" s="4">
        <f t="shared" si="693"/>
        <v>0</v>
      </c>
      <c r="AD4510" s="6">
        <f t="shared" si="688"/>
        <v>0</v>
      </c>
      <c r="AE4510" s="2">
        <f>VLOOKUP(I4510,[1]媒体政策预估表!A:N,MATCH(O4510,[1]媒体政策预估表!$A$2:$M$2,0),0)</f>
        <v>0.12</v>
      </c>
      <c r="AF4510" s="6">
        <f t="shared" si="694"/>
        <v>0</v>
      </c>
      <c r="AG4510" s="14">
        <v>0</v>
      </c>
      <c r="AH4510" s="65">
        <f t="shared" si="689"/>
        <v>0</v>
      </c>
      <c r="AI4510" s="47"/>
      <c r="AJ4510" s="126" t="e">
        <v>#N/A</v>
      </c>
      <c r="AK4510" s="80">
        <f t="shared" si="692"/>
        <v>0</v>
      </c>
      <c r="AM4510" s="85"/>
    </row>
    <row r="4511" spans="1:39" hidden="1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686"/>
        <v>15465.78</v>
      </c>
      <c r="X4511" s="6">
        <f t="shared" si="687"/>
        <v>0</v>
      </c>
      <c r="Y4511" s="13">
        <f t="shared" si="690"/>
        <v>0</v>
      </c>
      <c r="Z4511" s="14">
        <v>0</v>
      </c>
      <c r="AA4511" s="6">
        <v>0</v>
      </c>
      <c r="AB4511" s="4">
        <f t="shared" si="691"/>
        <v>0</v>
      </c>
      <c r="AC4511" s="4">
        <f t="shared" si="693"/>
        <v>0</v>
      </c>
      <c r="AD4511" s="6">
        <f t="shared" si="688"/>
        <v>0</v>
      </c>
      <c r="AE4511" s="2">
        <f>VLOOKUP(I4511,[1]媒体政策预估表!A:N,MATCH(O4511,[1]媒体政策预估表!$A$2:$M$2,0),0)</f>
        <v>0.12</v>
      </c>
      <c r="AF4511" s="6">
        <f t="shared" si="694"/>
        <v>0</v>
      </c>
      <c r="AG4511" s="14">
        <v>0</v>
      </c>
      <c r="AH4511" s="65">
        <f t="shared" si="689"/>
        <v>0</v>
      </c>
      <c r="AI4511" s="47"/>
      <c r="AJ4511" s="126" t="e">
        <v>#N/A</v>
      </c>
      <c r="AK4511" s="80">
        <f t="shared" si="692"/>
        <v>0</v>
      </c>
      <c r="AM4511" s="85"/>
    </row>
    <row r="4512" spans="1:39" hidden="1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686"/>
        <v>5801</v>
      </c>
      <c r="X4512" s="6">
        <f t="shared" si="687"/>
        <v>0</v>
      </c>
      <c r="Y4512" s="13">
        <f t="shared" si="690"/>
        <v>0</v>
      </c>
      <c r="Z4512" s="14">
        <v>0</v>
      </c>
      <c r="AA4512" s="6">
        <v>0</v>
      </c>
      <c r="AB4512" s="4">
        <f t="shared" si="691"/>
        <v>0</v>
      </c>
      <c r="AC4512" s="4">
        <f t="shared" si="693"/>
        <v>0</v>
      </c>
      <c r="AD4512" s="6">
        <f t="shared" si="688"/>
        <v>0</v>
      </c>
      <c r="AE4512" s="2">
        <f>VLOOKUP(I4512,[1]媒体政策预估表!A:N,MATCH(O4512,[1]媒体政策预估表!$A$2:$M$2,0),0)</f>
        <v>7.0000000000000007E-2</v>
      </c>
      <c r="AF4512" s="6">
        <f t="shared" si="694"/>
        <v>0</v>
      </c>
      <c r="AG4512" s="14">
        <v>0</v>
      </c>
      <c r="AH4512" s="65">
        <f t="shared" si="689"/>
        <v>0</v>
      </c>
      <c r="AI4512" s="47"/>
      <c r="AJ4512" s="126" t="e">
        <v>#N/A</v>
      </c>
      <c r="AK4512" s="80">
        <f t="shared" si="692"/>
        <v>0</v>
      </c>
      <c r="AM4512" s="85"/>
    </row>
    <row r="4513" spans="1:39" hidden="1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686"/>
        <v>489.46</v>
      </c>
      <c r="X4513" s="6">
        <f t="shared" si="687"/>
        <v>0</v>
      </c>
      <c r="Y4513" s="13">
        <f t="shared" si="690"/>
        <v>0</v>
      </c>
      <c r="Z4513" s="14">
        <v>0</v>
      </c>
      <c r="AA4513" s="6">
        <v>0</v>
      </c>
      <c r="AB4513" s="4">
        <f t="shared" si="691"/>
        <v>0</v>
      </c>
      <c r="AC4513" s="4">
        <f t="shared" si="693"/>
        <v>0</v>
      </c>
      <c r="AD4513" s="6">
        <f t="shared" si="688"/>
        <v>0</v>
      </c>
      <c r="AE4513" s="2">
        <f>VLOOKUP(I4513,[1]媒体政策预估表!A:N,MATCH(O4513,[1]媒体政策预估表!$A$2:$M$2,0),0)</f>
        <v>7.0000000000000007E-2</v>
      </c>
      <c r="AF4513" s="6">
        <f t="shared" si="694"/>
        <v>0</v>
      </c>
      <c r="AG4513" s="14">
        <v>0</v>
      </c>
      <c r="AH4513" s="65">
        <f t="shared" si="689"/>
        <v>0</v>
      </c>
      <c r="AI4513" s="47"/>
      <c r="AJ4513" s="126" t="e">
        <v>#N/A</v>
      </c>
      <c r="AK4513" s="80">
        <f t="shared" si="692"/>
        <v>0</v>
      </c>
      <c r="AM4513" s="85"/>
    </row>
    <row r="4514" spans="1:39" hidden="1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686"/>
        <v>16335.18</v>
      </c>
      <c r="X4514" s="6">
        <f t="shared" si="687"/>
        <v>0</v>
      </c>
      <c r="Y4514" s="13">
        <f t="shared" si="690"/>
        <v>0</v>
      </c>
      <c r="Z4514" s="14">
        <v>0</v>
      </c>
      <c r="AA4514" s="6">
        <v>0</v>
      </c>
      <c r="AB4514" s="4">
        <f t="shared" si="691"/>
        <v>0</v>
      </c>
      <c r="AC4514" s="4">
        <f t="shared" si="693"/>
        <v>0</v>
      </c>
      <c r="AD4514" s="6">
        <f t="shared" si="688"/>
        <v>0</v>
      </c>
      <c r="AE4514" s="2">
        <f>VLOOKUP(I4514,[1]媒体政策预估表!A:N,MATCH(O4514,[1]媒体政策预估表!$A$2:$M$2,0),0)</f>
        <v>7.0000000000000007E-2</v>
      </c>
      <c r="AF4514" s="6">
        <f t="shared" si="694"/>
        <v>0</v>
      </c>
      <c r="AG4514" s="14">
        <v>0</v>
      </c>
      <c r="AH4514" s="65">
        <f t="shared" si="689"/>
        <v>0</v>
      </c>
      <c r="AI4514" s="47"/>
      <c r="AJ4514" s="126" t="e">
        <v>#N/A</v>
      </c>
      <c r="AK4514" s="80">
        <f t="shared" si="692"/>
        <v>0</v>
      </c>
      <c r="AM4514" s="85"/>
    </row>
    <row r="4515" spans="1:39" hidden="1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686"/>
        <v>31601.200000000001</v>
      </c>
      <c r="X4515" s="6">
        <f t="shared" si="687"/>
        <v>0</v>
      </c>
      <c r="Y4515" s="13">
        <f t="shared" si="690"/>
        <v>0</v>
      </c>
      <c r="Z4515" s="14">
        <v>0</v>
      </c>
      <c r="AA4515" s="6">
        <v>0</v>
      </c>
      <c r="AB4515" s="4">
        <f t="shared" si="691"/>
        <v>0</v>
      </c>
      <c r="AC4515" s="4">
        <f t="shared" si="693"/>
        <v>0</v>
      </c>
      <c r="AD4515" s="6">
        <f t="shared" si="688"/>
        <v>0</v>
      </c>
      <c r="AE4515" s="2">
        <f>VLOOKUP(I4515,[1]媒体政策预估表!A:N,MATCH(O4515,[1]媒体政策预估表!$A$2:$M$2,0),0)</f>
        <v>7.0000000000000007E-2</v>
      </c>
      <c r="AF4515" s="6">
        <f t="shared" si="694"/>
        <v>0</v>
      </c>
      <c r="AG4515" s="14">
        <v>0</v>
      </c>
      <c r="AH4515" s="65">
        <f t="shared" si="689"/>
        <v>0</v>
      </c>
      <c r="AI4515" s="47"/>
      <c r="AJ4515" s="126" t="e">
        <v>#N/A</v>
      </c>
      <c r="AK4515" s="80">
        <f t="shared" si="692"/>
        <v>0</v>
      </c>
      <c r="AM4515" s="85"/>
    </row>
    <row r="4516" spans="1:39" hidden="1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686"/>
        <v>302.09999999999098</v>
      </c>
      <c r="X4516" s="6">
        <f t="shared" si="687"/>
        <v>0</v>
      </c>
      <c r="Y4516" s="13">
        <f t="shared" si="690"/>
        <v>0</v>
      </c>
      <c r="Z4516" s="14">
        <v>0</v>
      </c>
      <c r="AA4516" s="6">
        <v>0</v>
      </c>
      <c r="AB4516" s="4">
        <f t="shared" si="691"/>
        <v>0</v>
      </c>
      <c r="AC4516" s="4">
        <f t="shared" si="693"/>
        <v>0</v>
      </c>
      <c r="AD4516" s="6">
        <f t="shared" si="688"/>
        <v>0</v>
      </c>
      <c r="AE4516" s="2">
        <f>VLOOKUP(I4516,[1]媒体政策预估表!A:N,MATCH(O4516,[1]媒体政策预估表!$A$2:$M$2,0),0)</f>
        <v>7.0000000000000007E-2</v>
      </c>
      <c r="AF4516" s="6">
        <f t="shared" si="694"/>
        <v>0</v>
      </c>
      <c r="AG4516" s="14">
        <v>0</v>
      </c>
      <c r="AH4516" s="65">
        <f t="shared" si="689"/>
        <v>0</v>
      </c>
      <c r="AI4516" s="47"/>
      <c r="AJ4516" s="126" t="e">
        <v>#N/A</v>
      </c>
      <c r="AK4516" s="80">
        <f t="shared" si="692"/>
        <v>0</v>
      </c>
      <c r="AM4516" s="85"/>
    </row>
    <row r="4517" spans="1:39" hidden="1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686"/>
        <v>7428.92</v>
      </c>
      <c r="X4517" s="6">
        <f t="shared" si="687"/>
        <v>0</v>
      </c>
      <c r="Y4517" s="13">
        <f t="shared" si="690"/>
        <v>0</v>
      </c>
      <c r="Z4517" s="14">
        <v>0</v>
      </c>
      <c r="AA4517" s="6">
        <v>0</v>
      </c>
      <c r="AB4517" s="4">
        <f t="shared" si="691"/>
        <v>0</v>
      </c>
      <c r="AC4517" s="4">
        <f t="shared" si="693"/>
        <v>0</v>
      </c>
      <c r="AD4517" s="6">
        <f t="shared" si="688"/>
        <v>0</v>
      </c>
      <c r="AE4517" s="2">
        <f>VLOOKUP(I4517,[1]媒体政策预估表!A:N,MATCH(O4517,[1]媒体政策预估表!$A$2:$M$2,0),0)</f>
        <v>7.0000000000000007E-2</v>
      </c>
      <c r="AF4517" s="6">
        <f t="shared" si="694"/>
        <v>0</v>
      </c>
      <c r="AG4517" s="14">
        <v>0</v>
      </c>
      <c r="AH4517" s="65">
        <f t="shared" si="689"/>
        <v>0</v>
      </c>
      <c r="AI4517" s="47"/>
      <c r="AJ4517" s="126" t="e">
        <v>#N/A</v>
      </c>
      <c r="AK4517" s="80">
        <f t="shared" si="692"/>
        <v>0</v>
      </c>
      <c r="AM4517" s="85"/>
    </row>
    <row r="4518" spans="1:39" hidden="1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686"/>
        <v>487.4</v>
      </c>
      <c r="X4518" s="6">
        <f t="shared" si="687"/>
        <v>0</v>
      </c>
      <c r="Y4518" s="13">
        <f t="shared" si="690"/>
        <v>0</v>
      </c>
      <c r="Z4518" s="14">
        <v>0</v>
      </c>
      <c r="AA4518" s="6">
        <v>0</v>
      </c>
      <c r="AB4518" s="4">
        <f t="shared" si="691"/>
        <v>0</v>
      </c>
      <c r="AC4518" s="4">
        <f t="shared" si="693"/>
        <v>0</v>
      </c>
      <c r="AD4518" s="6">
        <f t="shared" si="688"/>
        <v>0</v>
      </c>
      <c r="AE4518" s="2">
        <f>VLOOKUP(I4518,[1]媒体政策预估表!A:N,MATCH(O4518,[1]媒体政策预估表!$A$2:$M$2,0),0)</f>
        <v>7.0000000000000007E-2</v>
      </c>
      <c r="AF4518" s="6">
        <f t="shared" si="694"/>
        <v>0</v>
      </c>
      <c r="AG4518" s="14">
        <v>0</v>
      </c>
      <c r="AH4518" s="65">
        <f t="shared" si="689"/>
        <v>0</v>
      </c>
      <c r="AI4518" s="47"/>
      <c r="AJ4518" s="126" t="e">
        <v>#N/A</v>
      </c>
      <c r="AK4518" s="80">
        <f t="shared" si="692"/>
        <v>0</v>
      </c>
      <c r="AM4518" s="85"/>
    </row>
    <row r="4519" spans="1:39" hidden="1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686"/>
        <v>5.9999999999490697E-2</v>
      </c>
      <c r="X4519" s="6">
        <f t="shared" si="687"/>
        <v>0</v>
      </c>
      <c r="Y4519" s="13">
        <f t="shared" si="690"/>
        <v>0</v>
      </c>
      <c r="Z4519" s="14">
        <v>0</v>
      </c>
      <c r="AA4519" s="6">
        <v>0</v>
      </c>
      <c r="AB4519" s="4">
        <f t="shared" si="691"/>
        <v>0</v>
      </c>
      <c r="AC4519" s="4">
        <f t="shared" si="693"/>
        <v>0</v>
      </c>
      <c r="AD4519" s="6">
        <f t="shared" si="688"/>
        <v>0</v>
      </c>
      <c r="AE4519" s="2">
        <f>VLOOKUP(I4519,[1]媒体政策预估表!A:N,MATCH(O4519,[1]媒体政策预估表!$A$2:$M$2,0),0)</f>
        <v>0.12</v>
      </c>
      <c r="AF4519" s="6">
        <f t="shared" si="694"/>
        <v>0</v>
      </c>
      <c r="AG4519" s="14">
        <v>0</v>
      </c>
      <c r="AH4519" s="65">
        <f t="shared" si="689"/>
        <v>0</v>
      </c>
      <c r="AI4519" s="47"/>
      <c r="AJ4519" s="126" t="s">
        <v>4222</v>
      </c>
      <c r="AK4519" s="80">
        <f t="shared" si="692"/>
        <v>0</v>
      </c>
      <c r="AL4519" s="150"/>
      <c r="AM4519" s="85"/>
    </row>
    <row r="4520" spans="1:39" hidden="1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686"/>
        <v>6189.5</v>
      </c>
      <c r="X4520" s="6">
        <f t="shared" si="687"/>
        <v>0</v>
      </c>
      <c r="Y4520" s="13">
        <f t="shared" si="690"/>
        <v>0</v>
      </c>
      <c r="Z4520" s="14">
        <v>0</v>
      </c>
      <c r="AA4520" s="6">
        <v>0</v>
      </c>
      <c r="AB4520" s="4">
        <f t="shared" si="691"/>
        <v>0</v>
      </c>
      <c r="AC4520" s="4">
        <f t="shared" si="693"/>
        <v>0</v>
      </c>
      <c r="AD4520" s="6">
        <f t="shared" si="688"/>
        <v>0</v>
      </c>
      <c r="AE4520" s="2">
        <f>VLOOKUP(I4520,[1]媒体政策预估表!A:N,MATCH(O4520,[1]媒体政策预估表!$A$2:$M$2,0),0)</f>
        <v>7.0000000000000007E-2</v>
      </c>
      <c r="AF4520" s="6">
        <f t="shared" si="694"/>
        <v>0</v>
      </c>
      <c r="AG4520" s="14">
        <v>0</v>
      </c>
      <c r="AH4520" s="65">
        <f t="shared" si="689"/>
        <v>0</v>
      </c>
      <c r="AI4520" s="47"/>
      <c r="AJ4520" s="126" t="e">
        <v>#N/A</v>
      </c>
      <c r="AK4520" s="80">
        <f t="shared" si="692"/>
        <v>0</v>
      </c>
      <c r="AM4520" s="85"/>
    </row>
    <row r="4521" spans="1:39" hidden="1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686"/>
        <v>1.8599999999900101</v>
      </c>
      <c r="X4521" s="6">
        <f t="shared" si="687"/>
        <v>0</v>
      </c>
      <c r="Y4521" s="13">
        <f t="shared" si="690"/>
        <v>0</v>
      </c>
      <c r="Z4521" s="14">
        <v>0</v>
      </c>
      <c r="AA4521" s="6">
        <v>0</v>
      </c>
      <c r="AB4521" s="4">
        <f t="shared" si="691"/>
        <v>0</v>
      </c>
      <c r="AC4521" s="4">
        <f t="shared" si="693"/>
        <v>0</v>
      </c>
      <c r="AD4521" s="6">
        <f t="shared" si="688"/>
        <v>0</v>
      </c>
      <c r="AE4521" s="2">
        <f>VLOOKUP(I4521,[1]媒体政策预估表!A:N,MATCH(O4521,[1]媒体政策预估表!$A$2:$M$2,0),0)</f>
        <v>7.0000000000000007E-2</v>
      </c>
      <c r="AF4521" s="6">
        <f t="shared" si="694"/>
        <v>0</v>
      </c>
      <c r="AG4521" s="14">
        <v>0</v>
      </c>
      <c r="AH4521" s="65">
        <f t="shared" si="689"/>
        <v>0</v>
      </c>
      <c r="AI4521" s="47"/>
      <c r="AJ4521" s="126" t="e">
        <v>#N/A</v>
      </c>
      <c r="AK4521" s="80">
        <f t="shared" si="692"/>
        <v>0</v>
      </c>
      <c r="AM4521" s="85"/>
    </row>
    <row r="4522" spans="1:39" hidden="1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686"/>
        <v>484</v>
      </c>
      <c r="X4522" s="6">
        <f t="shared" si="687"/>
        <v>0</v>
      </c>
      <c r="Y4522" s="13">
        <f t="shared" si="690"/>
        <v>0</v>
      </c>
      <c r="Z4522" s="14">
        <v>0</v>
      </c>
      <c r="AA4522" s="6">
        <v>0</v>
      </c>
      <c r="AB4522" s="4">
        <f t="shared" si="691"/>
        <v>0</v>
      </c>
      <c r="AC4522" s="4">
        <f t="shared" si="693"/>
        <v>0</v>
      </c>
      <c r="AD4522" s="6">
        <f t="shared" si="688"/>
        <v>0</v>
      </c>
      <c r="AE4522" s="2">
        <f>VLOOKUP(I4522,[1]媒体政策预估表!A:N,MATCH(O4522,[1]媒体政策预估表!$A$2:$M$2,0),0)</f>
        <v>7.0000000000000007E-2</v>
      </c>
      <c r="AF4522" s="6">
        <f t="shared" si="694"/>
        <v>0</v>
      </c>
      <c r="AG4522" s="14">
        <v>0</v>
      </c>
      <c r="AH4522" s="65">
        <f t="shared" si="689"/>
        <v>0</v>
      </c>
      <c r="AI4522" s="47"/>
      <c r="AJ4522" s="126" t="e">
        <v>#N/A</v>
      </c>
      <c r="AK4522" s="80">
        <f t="shared" si="692"/>
        <v>0</v>
      </c>
      <c r="AM4522" s="85"/>
    </row>
    <row r="4523" spans="1:39" hidden="1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686"/>
        <v>1902.1</v>
      </c>
      <c r="X4523" s="6">
        <f t="shared" si="687"/>
        <v>0</v>
      </c>
      <c r="Y4523" s="13">
        <f t="shared" si="690"/>
        <v>0</v>
      </c>
      <c r="Z4523" s="14">
        <v>0</v>
      </c>
      <c r="AA4523" s="6">
        <v>0</v>
      </c>
      <c r="AB4523" s="4">
        <f t="shared" si="691"/>
        <v>0</v>
      </c>
      <c r="AC4523" s="4">
        <f t="shared" si="693"/>
        <v>0</v>
      </c>
      <c r="AD4523" s="6">
        <f t="shared" si="688"/>
        <v>0</v>
      </c>
      <c r="AE4523" s="2">
        <f>VLOOKUP(I4523,[1]媒体政策预估表!A:N,MATCH(O4523,[1]媒体政策预估表!$A$2:$M$2,0),0)</f>
        <v>7.0000000000000007E-2</v>
      </c>
      <c r="AF4523" s="6">
        <f t="shared" si="694"/>
        <v>0</v>
      </c>
      <c r="AG4523" s="14">
        <v>0</v>
      </c>
      <c r="AH4523" s="65">
        <f t="shared" si="689"/>
        <v>0</v>
      </c>
      <c r="AI4523" s="47"/>
      <c r="AJ4523" s="126" t="e">
        <v>#N/A</v>
      </c>
      <c r="AK4523" s="80">
        <f t="shared" si="692"/>
        <v>0</v>
      </c>
      <c r="AM4523" s="85"/>
    </row>
    <row r="4524" spans="1:39" hidden="1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686"/>
        <v>142.44999999999999</v>
      </c>
      <c r="X4524" s="6">
        <f t="shared" si="687"/>
        <v>0</v>
      </c>
      <c r="Y4524" s="13">
        <f t="shared" si="690"/>
        <v>0</v>
      </c>
      <c r="Z4524" s="14">
        <v>0</v>
      </c>
      <c r="AA4524" s="6">
        <v>0</v>
      </c>
      <c r="AB4524" s="4">
        <f t="shared" si="691"/>
        <v>0</v>
      </c>
      <c r="AC4524" s="4">
        <f t="shared" si="693"/>
        <v>0</v>
      </c>
      <c r="AD4524" s="6">
        <f t="shared" si="688"/>
        <v>0</v>
      </c>
      <c r="AE4524" s="2">
        <f>VLOOKUP(I4524,[1]媒体政策预估表!A:N,MATCH(O4524,[1]媒体政策预估表!$A$2:$M$2,0),0)</f>
        <v>0.12</v>
      </c>
      <c r="AF4524" s="6">
        <f t="shared" si="694"/>
        <v>0</v>
      </c>
      <c r="AG4524" s="14">
        <v>0</v>
      </c>
      <c r="AH4524" s="65">
        <f t="shared" si="689"/>
        <v>0</v>
      </c>
      <c r="AI4524" s="47"/>
      <c r="AJ4524" s="126" t="e">
        <v>#N/A</v>
      </c>
      <c r="AK4524" s="80">
        <f t="shared" si="692"/>
        <v>0</v>
      </c>
      <c r="AM4524" s="85"/>
    </row>
    <row r="4525" spans="1:39" hidden="1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686"/>
        <v>3.1000000000003598</v>
      </c>
      <c r="X4525" s="6">
        <f t="shared" si="687"/>
        <v>0</v>
      </c>
      <c r="Y4525" s="13">
        <f t="shared" si="690"/>
        <v>0</v>
      </c>
      <c r="Z4525" s="14">
        <v>0</v>
      </c>
      <c r="AA4525" s="6">
        <v>0</v>
      </c>
      <c r="AB4525" s="4">
        <f t="shared" si="691"/>
        <v>0</v>
      </c>
      <c r="AC4525" s="4">
        <f t="shared" si="693"/>
        <v>0</v>
      </c>
      <c r="AD4525" s="6">
        <f t="shared" si="688"/>
        <v>0</v>
      </c>
      <c r="AE4525" s="2">
        <f>VLOOKUP(I4525,[1]媒体政策预估表!A:N,MATCH(O4525,[1]媒体政策预估表!$A$2:$M$2,0),0)</f>
        <v>7.0000000000000007E-2</v>
      </c>
      <c r="AF4525" s="6">
        <f t="shared" si="694"/>
        <v>0</v>
      </c>
      <c r="AG4525" s="14">
        <v>0</v>
      </c>
      <c r="AH4525" s="65">
        <f t="shared" si="689"/>
        <v>0</v>
      </c>
      <c r="AI4525" s="47"/>
      <c r="AJ4525" s="126" t="e">
        <v>#N/A</v>
      </c>
      <c r="AK4525" s="80">
        <f t="shared" si="692"/>
        <v>0</v>
      </c>
      <c r="AM4525" s="85"/>
    </row>
    <row r="4526" spans="1:39" hidden="1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686"/>
        <v>464.88000000000102</v>
      </c>
      <c r="X4526" s="6">
        <f t="shared" si="687"/>
        <v>0</v>
      </c>
      <c r="Y4526" s="13">
        <f t="shared" si="690"/>
        <v>0</v>
      </c>
      <c r="Z4526" s="14">
        <v>0</v>
      </c>
      <c r="AA4526" s="6">
        <v>0</v>
      </c>
      <c r="AB4526" s="4"/>
      <c r="AC4526" s="4">
        <f t="shared" si="693"/>
        <v>0</v>
      </c>
      <c r="AD4526" s="6">
        <f t="shared" si="688"/>
        <v>0</v>
      </c>
      <c r="AE4526" s="2">
        <f>VLOOKUP(I4526,[1]媒体政策预估表!A:N,MATCH(O4526,[1]媒体政策预估表!$A$2:$M$2,0),0)</f>
        <v>0.12</v>
      </c>
      <c r="AF4526" s="6">
        <f t="shared" si="694"/>
        <v>0</v>
      </c>
      <c r="AG4526" s="14">
        <v>0</v>
      </c>
      <c r="AH4526" s="65">
        <f t="shared" si="689"/>
        <v>0</v>
      </c>
      <c r="AI4526" s="47"/>
      <c r="AJ4526" s="126">
        <v>61</v>
      </c>
      <c r="AK4526" s="80">
        <f t="shared" si="692"/>
        <v>0</v>
      </c>
      <c r="AM4526" s="85"/>
    </row>
    <row r="4527" spans="1:39" hidden="1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686"/>
        <v>347.59000000002601</v>
      </c>
      <c r="X4527" s="6">
        <f t="shared" si="687"/>
        <v>0</v>
      </c>
      <c r="Y4527" s="13">
        <f t="shared" si="690"/>
        <v>0</v>
      </c>
      <c r="Z4527" s="14">
        <v>0</v>
      </c>
      <c r="AA4527" s="6">
        <v>0</v>
      </c>
      <c r="AB4527" s="4"/>
      <c r="AC4527" s="4">
        <f t="shared" si="693"/>
        <v>0</v>
      </c>
      <c r="AD4527" s="6">
        <f t="shared" si="688"/>
        <v>0</v>
      </c>
      <c r="AE4527" s="2">
        <f>VLOOKUP(I4527,[1]媒体政策预估表!A:N,MATCH(O4527,[1]媒体政策预估表!$A$2:$M$2,0),0)</f>
        <v>0.12</v>
      </c>
      <c r="AF4527" s="6">
        <f t="shared" si="694"/>
        <v>0</v>
      </c>
      <c r="AG4527" s="14">
        <v>0</v>
      </c>
      <c r="AH4527" s="65">
        <f t="shared" si="689"/>
        <v>0</v>
      </c>
      <c r="AI4527" s="47"/>
      <c r="AJ4527" s="126">
        <v>61</v>
      </c>
      <c r="AK4527" s="80">
        <f t="shared" si="692"/>
        <v>0</v>
      </c>
      <c r="AM4527" s="85"/>
    </row>
    <row r="4528" spans="1:39" hidden="1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686"/>
        <v>9103.4</v>
      </c>
      <c r="X4528" s="6">
        <f t="shared" si="687"/>
        <v>0</v>
      </c>
      <c r="Y4528" s="13">
        <f t="shared" si="690"/>
        <v>0</v>
      </c>
      <c r="Z4528" s="14">
        <v>0</v>
      </c>
      <c r="AA4528" s="6">
        <v>0</v>
      </c>
      <c r="AB4528" s="4"/>
      <c r="AC4528" s="4">
        <f t="shared" si="693"/>
        <v>0</v>
      </c>
      <c r="AD4528" s="6">
        <f t="shared" si="688"/>
        <v>0</v>
      </c>
      <c r="AE4528" s="2">
        <f>VLOOKUP(I4528,[1]媒体政策预估表!A:N,MATCH(O4528,[1]媒体政策预估表!$A$2:$M$2,0),0)</f>
        <v>0.12</v>
      </c>
      <c r="AF4528" s="6">
        <f t="shared" si="694"/>
        <v>0</v>
      </c>
      <c r="AG4528" s="14">
        <v>0</v>
      </c>
      <c r="AH4528" s="65">
        <f t="shared" si="689"/>
        <v>0</v>
      </c>
      <c r="AI4528" s="47"/>
      <c r="AJ4528" s="126">
        <v>61</v>
      </c>
      <c r="AK4528" s="80">
        <f t="shared" si="692"/>
        <v>0</v>
      </c>
      <c r="AM4528" s="85"/>
    </row>
    <row r="4529" spans="1:39" hidden="1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686"/>
        <v>2374.2600000000002</v>
      </c>
      <c r="X4529" s="6">
        <f t="shared" si="687"/>
        <v>0</v>
      </c>
      <c r="Y4529" s="13">
        <f t="shared" si="690"/>
        <v>0</v>
      </c>
      <c r="Z4529" s="14">
        <v>0</v>
      </c>
      <c r="AA4529" s="6">
        <v>0</v>
      </c>
      <c r="AB4529" s="4">
        <f t="shared" si="691"/>
        <v>0</v>
      </c>
      <c r="AC4529" s="4">
        <f t="shared" si="693"/>
        <v>0</v>
      </c>
      <c r="AD4529" s="6">
        <f t="shared" si="688"/>
        <v>0</v>
      </c>
      <c r="AE4529" s="2">
        <f>VLOOKUP(I4529,[1]媒体政策预估表!A:N,MATCH(O4529,[1]媒体政策预估表!$A$2:$M$2,0),0)</f>
        <v>0.12</v>
      </c>
      <c r="AF4529" s="6">
        <f t="shared" si="694"/>
        <v>0</v>
      </c>
      <c r="AG4529" s="14">
        <v>0</v>
      </c>
      <c r="AH4529" s="65">
        <f t="shared" si="689"/>
        <v>0</v>
      </c>
      <c r="AI4529" s="47"/>
      <c r="AJ4529" s="126" t="e">
        <v>#N/A</v>
      </c>
      <c r="AK4529" s="80">
        <f t="shared" si="692"/>
        <v>0</v>
      </c>
      <c r="AM4529" s="85"/>
    </row>
    <row r="4530" spans="1:39" hidden="1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686"/>
        <v>1959.5</v>
      </c>
      <c r="X4530" s="6">
        <f t="shared" si="687"/>
        <v>0</v>
      </c>
      <c r="Y4530" s="13">
        <f t="shared" si="690"/>
        <v>0</v>
      </c>
      <c r="Z4530" s="14">
        <v>0</v>
      </c>
      <c r="AA4530" s="6">
        <v>0</v>
      </c>
      <c r="AB4530" s="4">
        <f t="shared" si="691"/>
        <v>0</v>
      </c>
      <c r="AC4530" s="4">
        <f t="shared" si="693"/>
        <v>0</v>
      </c>
      <c r="AD4530" s="6">
        <f t="shared" si="688"/>
        <v>0</v>
      </c>
      <c r="AE4530" s="2">
        <f>VLOOKUP(I4530,[1]媒体政策预估表!A:N,MATCH(O4530,[1]媒体政策预估表!$A$2:$M$2,0),0)</f>
        <v>7.0000000000000007E-2</v>
      </c>
      <c r="AF4530" s="6">
        <f t="shared" si="694"/>
        <v>0</v>
      </c>
      <c r="AG4530" s="14">
        <v>0</v>
      </c>
      <c r="AH4530" s="65">
        <f t="shared" si="689"/>
        <v>0</v>
      </c>
      <c r="AI4530" s="47"/>
      <c r="AJ4530" s="126" t="e">
        <v>#N/A</v>
      </c>
      <c r="AK4530" s="80">
        <f t="shared" si="692"/>
        <v>0</v>
      </c>
      <c r="AM4530" s="85"/>
    </row>
    <row r="4531" spans="1:39" hidden="1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686"/>
        <v>-31310.400000000001</v>
      </c>
      <c r="X4531" s="6">
        <f t="shared" si="687"/>
        <v>0</v>
      </c>
      <c r="Y4531" s="13">
        <f t="shared" si="690"/>
        <v>0</v>
      </c>
      <c r="Z4531" s="14">
        <v>0</v>
      </c>
      <c r="AA4531" s="6">
        <v>0</v>
      </c>
      <c r="AB4531" s="4">
        <f t="shared" si="691"/>
        <v>0</v>
      </c>
      <c r="AC4531" s="4">
        <f t="shared" si="693"/>
        <v>0</v>
      </c>
      <c r="AD4531" s="6">
        <f t="shared" si="688"/>
        <v>0</v>
      </c>
      <c r="AE4531" s="2">
        <f>VLOOKUP(I4531,[1]媒体政策预估表!A:N,MATCH(O4531,[1]媒体政策预估表!$A$2:$M$2,0),0)</f>
        <v>0.15</v>
      </c>
      <c r="AF4531" s="6">
        <f t="shared" si="694"/>
        <v>0</v>
      </c>
      <c r="AG4531" s="14">
        <v>0</v>
      </c>
      <c r="AH4531" s="65">
        <f t="shared" si="689"/>
        <v>0</v>
      </c>
      <c r="AI4531" s="47"/>
      <c r="AJ4531" s="126" t="e">
        <v>#N/A</v>
      </c>
      <c r="AK4531" s="80">
        <f t="shared" si="692"/>
        <v>0</v>
      </c>
      <c r="AM4531" s="85"/>
    </row>
    <row r="4532" spans="1:39" hidden="1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686"/>
        <v>338.3</v>
      </c>
      <c r="X4532" s="6">
        <f t="shared" si="687"/>
        <v>0</v>
      </c>
      <c r="Y4532" s="13">
        <f t="shared" si="690"/>
        <v>0</v>
      </c>
      <c r="Z4532" s="14">
        <v>0</v>
      </c>
      <c r="AA4532" s="6">
        <v>0</v>
      </c>
      <c r="AB4532" s="4">
        <f t="shared" si="691"/>
        <v>0</v>
      </c>
      <c r="AC4532" s="4">
        <f t="shared" si="693"/>
        <v>0</v>
      </c>
      <c r="AD4532" s="6">
        <f t="shared" si="688"/>
        <v>0</v>
      </c>
      <c r="AE4532" s="2">
        <f>VLOOKUP(I4532,[1]媒体政策预估表!A:N,MATCH(O4532,[1]媒体政策预估表!$A$2:$M$2,0),0)</f>
        <v>7.0000000000000007E-2</v>
      </c>
      <c r="AF4532" s="6">
        <f t="shared" si="694"/>
        <v>0</v>
      </c>
      <c r="AG4532" s="14">
        <v>0</v>
      </c>
      <c r="AH4532" s="65">
        <f t="shared" si="689"/>
        <v>0</v>
      </c>
      <c r="AI4532" s="47"/>
      <c r="AJ4532" s="126" t="e">
        <v>#N/A</v>
      </c>
      <c r="AK4532" s="80">
        <f t="shared" si="692"/>
        <v>0</v>
      </c>
      <c r="AM4532" s="85"/>
    </row>
    <row r="4533" spans="1:39" hidden="1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686"/>
        <v>-431894.54719000001</v>
      </c>
      <c r="X4533" s="6">
        <f t="shared" si="687"/>
        <v>0</v>
      </c>
      <c r="Y4533" s="13">
        <f t="shared" si="690"/>
        <v>0</v>
      </c>
      <c r="Z4533" s="14">
        <v>0</v>
      </c>
      <c r="AA4533" s="6">
        <v>0</v>
      </c>
      <c r="AB4533" s="4">
        <f t="shared" si="691"/>
        <v>0</v>
      </c>
      <c r="AC4533" s="4">
        <f t="shared" si="693"/>
        <v>0</v>
      </c>
      <c r="AD4533" s="6">
        <f t="shared" si="688"/>
        <v>0</v>
      </c>
      <c r="AE4533" s="2">
        <f>VLOOKUP(I4533,[1]媒体政策预估表!A:N,MATCH(O4533,[1]媒体政策预估表!$A$2:$M$2,0),0)</f>
        <v>0.15</v>
      </c>
      <c r="AF4533" s="6">
        <f t="shared" si="694"/>
        <v>0</v>
      </c>
      <c r="AG4533" s="14">
        <v>0</v>
      </c>
      <c r="AH4533" s="65">
        <f t="shared" si="689"/>
        <v>0</v>
      </c>
      <c r="AI4533" s="47"/>
      <c r="AJ4533" s="126" t="e">
        <v>#N/A</v>
      </c>
      <c r="AK4533" s="80">
        <f t="shared" si="692"/>
        <v>0</v>
      </c>
      <c r="AM4533" s="85"/>
    </row>
    <row r="4534" spans="1:39" hidden="1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686"/>
        <v>-8740.7613600000022</v>
      </c>
      <c r="X4534" s="6">
        <f t="shared" si="687"/>
        <v>0</v>
      </c>
      <c r="Y4534" s="13">
        <f t="shared" si="690"/>
        <v>0</v>
      </c>
      <c r="Z4534" s="14">
        <v>0</v>
      </c>
      <c r="AA4534" s="6">
        <v>0</v>
      </c>
      <c r="AB4534" s="4">
        <f t="shared" si="691"/>
        <v>0</v>
      </c>
      <c r="AC4534" s="4">
        <f t="shared" si="693"/>
        <v>0</v>
      </c>
      <c r="AD4534" s="6">
        <f t="shared" si="688"/>
        <v>0</v>
      </c>
      <c r="AE4534" s="2">
        <f>VLOOKUP(I4534,[1]媒体政策预估表!A:N,MATCH(O4534,[1]媒体政策预估表!$A$2:$M$2,0),0)</f>
        <v>0.12</v>
      </c>
      <c r="AF4534" s="6">
        <f t="shared" si="694"/>
        <v>0</v>
      </c>
      <c r="AG4534" s="14">
        <v>0</v>
      </c>
      <c r="AH4534" s="65">
        <f t="shared" si="689"/>
        <v>0</v>
      </c>
      <c r="AI4534" s="47"/>
      <c r="AJ4534" s="126" t="e">
        <v>#N/A</v>
      </c>
      <c r="AK4534" s="80">
        <f t="shared" si="692"/>
        <v>0</v>
      </c>
      <c r="AM4534" s="85"/>
    </row>
    <row r="4535" spans="1:39" hidden="1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686"/>
        <v>-2096832.3865300003</v>
      </c>
      <c r="X4535" s="6">
        <f t="shared" si="687"/>
        <v>0</v>
      </c>
      <c r="Y4535" s="13">
        <f t="shared" si="690"/>
        <v>0</v>
      </c>
      <c r="Z4535" s="14">
        <v>0</v>
      </c>
      <c r="AA4535" s="6">
        <v>0</v>
      </c>
      <c r="AB4535" s="4">
        <f t="shared" si="691"/>
        <v>0</v>
      </c>
      <c r="AC4535" s="4">
        <f t="shared" si="693"/>
        <v>0</v>
      </c>
      <c r="AD4535" s="6">
        <f t="shared" si="688"/>
        <v>0</v>
      </c>
      <c r="AE4535" s="2">
        <f>VLOOKUP(I4535,[1]媒体政策预估表!A:N,MATCH(O4535,[1]媒体政策预估表!$A$2:$M$2,0),0)</f>
        <v>0.15</v>
      </c>
      <c r="AF4535" s="6">
        <f t="shared" si="694"/>
        <v>0</v>
      </c>
      <c r="AG4535" s="14">
        <v>0</v>
      </c>
      <c r="AH4535" s="65">
        <f t="shared" si="689"/>
        <v>0</v>
      </c>
      <c r="AI4535" s="47"/>
      <c r="AJ4535" s="126" t="e">
        <v>#N/A</v>
      </c>
      <c r="AK4535" s="80">
        <f t="shared" si="692"/>
        <v>0</v>
      </c>
      <c r="AM4535" s="85"/>
    </row>
    <row r="4536" spans="1:39" hidden="1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686"/>
        <v>-160558.42146000001</v>
      </c>
      <c r="X4536" s="6">
        <f t="shared" si="687"/>
        <v>0</v>
      </c>
      <c r="Y4536" s="13">
        <f t="shared" si="690"/>
        <v>0</v>
      </c>
      <c r="Z4536" s="14">
        <v>0</v>
      </c>
      <c r="AA4536" s="6">
        <v>0</v>
      </c>
      <c r="AB4536" s="4">
        <f t="shared" si="691"/>
        <v>0</v>
      </c>
      <c r="AC4536" s="4">
        <f t="shared" si="693"/>
        <v>0</v>
      </c>
      <c r="AD4536" s="6">
        <f t="shared" si="688"/>
        <v>0</v>
      </c>
      <c r="AE4536" s="2">
        <f>VLOOKUP(I4536,[1]媒体政策预估表!A:N,MATCH(O4536,[1]媒体政策预估表!$A$2:$M$2,0),0)</f>
        <v>0.12</v>
      </c>
      <c r="AF4536" s="6">
        <f t="shared" si="694"/>
        <v>0</v>
      </c>
      <c r="AG4536" s="14">
        <v>0</v>
      </c>
      <c r="AH4536" s="65">
        <f t="shared" si="689"/>
        <v>0</v>
      </c>
      <c r="AI4536" s="47"/>
      <c r="AJ4536" s="126" t="e">
        <v>#N/A</v>
      </c>
      <c r="AK4536" s="80">
        <f t="shared" si="692"/>
        <v>0</v>
      </c>
      <c r="AM4536" s="85"/>
    </row>
    <row r="4537" spans="1:39" hidden="1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686"/>
        <v>9993</v>
      </c>
      <c r="X4537" s="6">
        <f t="shared" si="687"/>
        <v>0</v>
      </c>
      <c r="Y4537" s="13">
        <f t="shared" si="690"/>
        <v>0</v>
      </c>
      <c r="Z4537" s="14">
        <v>0</v>
      </c>
      <c r="AA4537" s="6">
        <v>0</v>
      </c>
      <c r="AB4537" s="4">
        <f t="shared" si="691"/>
        <v>0</v>
      </c>
      <c r="AC4537" s="4">
        <f t="shared" si="693"/>
        <v>0</v>
      </c>
      <c r="AD4537" s="6">
        <f t="shared" si="688"/>
        <v>0</v>
      </c>
      <c r="AE4537" s="2">
        <f>VLOOKUP(I4537,[1]媒体政策预估表!A:N,MATCH(O4537,[1]媒体政策预估表!$A$2:$M$2,0),0)</f>
        <v>7.0000000000000007E-2</v>
      </c>
      <c r="AF4537" s="6">
        <f t="shared" si="694"/>
        <v>0</v>
      </c>
      <c r="AG4537" s="14">
        <v>0</v>
      </c>
      <c r="AH4537" s="65">
        <f t="shared" si="689"/>
        <v>0</v>
      </c>
      <c r="AI4537" s="47"/>
      <c r="AJ4537" s="126" t="e">
        <v>#N/A</v>
      </c>
      <c r="AK4537" s="80">
        <f t="shared" si="692"/>
        <v>0</v>
      </c>
      <c r="AM4537" s="85"/>
    </row>
    <row r="4538" spans="1:39" hidden="1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686"/>
        <v>169.4</v>
      </c>
      <c r="X4538" s="6">
        <f t="shared" si="687"/>
        <v>0</v>
      </c>
      <c r="Y4538" s="13">
        <f t="shared" si="690"/>
        <v>0</v>
      </c>
      <c r="Z4538" s="14">
        <v>0</v>
      </c>
      <c r="AA4538" s="6">
        <v>0</v>
      </c>
      <c r="AB4538" s="4">
        <f t="shared" si="691"/>
        <v>0</v>
      </c>
      <c r="AC4538" s="4">
        <f t="shared" si="693"/>
        <v>0</v>
      </c>
      <c r="AD4538" s="6">
        <f t="shared" si="688"/>
        <v>0</v>
      </c>
      <c r="AE4538" s="2">
        <f>VLOOKUP(I4538,[1]媒体政策预估表!A:N,MATCH(O4538,[1]媒体政策预估表!$A$2:$M$2,0),0)</f>
        <v>7.0000000000000007E-2</v>
      </c>
      <c r="AF4538" s="6">
        <f t="shared" si="694"/>
        <v>0</v>
      </c>
      <c r="AG4538" s="14">
        <v>0</v>
      </c>
      <c r="AH4538" s="65">
        <f t="shared" si="689"/>
        <v>0</v>
      </c>
      <c r="AI4538" s="47"/>
      <c r="AJ4538" s="126" t="e">
        <v>#N/A</v>
      </c>
      <c r="AK4538" s="80">
        <f t="shared" si="692"/>
        <v>0</v>
      </c>
      <c r="AM4538" s="85"/>
    </row>
    <row r="4539" spans="1:39" hidden="1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695">T4539+U4539-V4539</f>
        <v>-11218.59</v>
      </c>
      <c r="X4539" s="6">
        <f t="shared" ref="X4539:X4602" si="696">IF(P4539="折扣",V4539*Q4539,IF(P4539="返现",V4539,V4539/(1+Q4539)))</f>
        <v>0</v>
      </c>
      <c r="Y4539" s="13">
        <f t="shared" si="690"/>
        <v>0</v>
      </c>
      <c r="Z4539" s="14">
        <v>0</v>
      </c>
      <c r="AA4539" s="6">
        <v>0</v>
      </c>
      <c r="AB4539" s="4">
        <f t="shared" si="691"/>
        <v>0</v>
      </c>
      <c r="AC4539" s="4">
        <f t="shared" si="693"/>
        <v>0</v>
      </c>
      <c r="AD4539" s="6">
        <f t="shared" ref="AD4539:AD4602" si="697">V4539</f>
        <v>0</v>
      </c>
      <c r="AE4539" s="2">
        <f>VLOOKUP(I4539,[1]媒体政策预估表!A:N,MATCH(O4539,[1]媒体政策预估表!$A$2:$M$2,0),0)</f>
        <v>0.12</v>
      </c>
      <c r="AF4539" s="6">
        <f t="shared" si="694"/>
        <v>0</v>
      </c>
      <c r="AG4539" s="14">
        <v>0</v>
      </c>
      <c r="AH4539" s="65">
        <f t="shared" ref="AH4539:AH4602" si="698">V4539</f>
        <v>0</v>
      </c>
      <c r="AI4539" s="47"/>
      <c r="AJ4539" s="126" t="e">
        <v>#N/A</v>
      </c>
      <c r="AK4539" s="80">
        <f t="shared" si="692"/>
        <v>0</v>
      </c>
      <c r="AM4539" s="85"/>
    </row>
    <row r="4540" spans="1:39" hidden="1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695"/>
        <v>-1161555.3900000001</v>
      </c>
      <c r="X4540" s="6">
        <f t="shared" si="696"/>
        <v>0</v>
      </c>
      <c r="Y4540" s="13">
        <f t="shared" si="690"/>
        <v>0</v>
      </c>
      <c r="Z4540" s="14">
        <v>0</v>
      </c>
      <c r="AA4540" s="6">
        <v>0</v>
      </c>
      <c r="AB4540" s="4">
        <f t="shared" si="691"/>
        <v>0</v>
      </c>
      <c r="AC4540" s="4">
        <f t="shared" si="693"/>
        <v>0</v>
      </c>
      <c r="AD4540" s="6">
        <f t="shared" si="697"/>
        <v>0</v>
      </c>
      <c r="AE4540" s="2">
        <f>VLOOKUP(I4540,[1]媒体政策预估表!A:N,MATCH(O4540,[1]媒体政策预估表!$A$2:$M$2,0),0)</f>
        <v>0.15</v>
      </c>
      <c r="AF4540" s="6">
        <f t="shared" si="694"/>
        <v>0</v>
      </c>
      <c r="AG4540" s="14">
        <v>0</v>
      </c>
      <c r="AH4540" s="65">
        <f t="shared" si="698"/>
        <v>0</v>
      </c>
      <c r="AI4540" s="47"/>
      <c r="AJ4540" s="126" t="e">
        <v>#N/A</v>
      </c>
      <c r="AK4540" s="80">
        <f t="shared" si="692"/>
        <v>0</v>
      </c>
      <c r="AM4540" s="85"/>
    </row>
    <row r="4541" spans="1:39" hidden="1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695"/>
        <v>-108033.89600000002</v>
      </c>
      <c r="X4541" s="6">
        <f t="shared" si="696"/>
        <v>0</v>
      </c>
      <c r="Y4541" s="13">
        <f t="shared" si="690"/>
        <v>0</v>
      </c>
      <c r="Z4541" s="14">
        <v>0</v>
      </c>
      <c r="AA4541" s="6">
        <v>0</v>
      </c>
      <c r="AB4541" s="4">
        <f t="shared" si="691"/>
        <v>0</v>
      </c>
      <c r="AC4541" s="4">
        <f t="shared" si="693"/>
        <v>0</v>
      </c>
      <c r="AD4541" s="6">
        <f t="shared" si="697"/>
        <v>0</v>
      </c>
      <c r="AE4541" s="2">
        <f>VLOOKUP(I4541,[1]媒体政策预估表!A:N,MATCH(O4541,[1]媒体政策预估表!$A$2:$M$2,0),0)</f>
        <v>0.12</v>
      </c>
      <c r="AF4541" s="6">
        <f t="shared" si="694"/>
        <v>0</v>
      </c>
      <c r="AG4541" s="14">
        <v>0</v>
      </c>
      <c r="AH4541" s="65">
        <f t="shared" si="698"/>
        <v>0</v>
      </c>
      <c r="AI4541" s="47"/>
      <c r="AJ4541" s="126" t="e">
        <v>#N/A</v>
      </c>
      <c r="AK4541" s="80">
        <f t="shared" si="692"/>
        <v>0</v>
      </c>
      <c r="AM4541" s="85"/>
    </row>
    <row r="4542" spans="1:39" hidden="1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695"/>
        <v>-1610.5240899999999</v>
      </c>
      <c r="X4542" s="6">
        <f t="shared" si="696"/>
        <v>487.50874999999996</v>
      </c>
      <c r="Y4542" s="13">
        <f t="shared" si="690"/>
        <v>0</v>
      </c>
      <c r="Z4542" s="14">
        <v>0</v>
      </c>
      <c r="AA4542" s="6">
        <v>0</v>
      </c>
      <c r="AB4542" s="4">
        <f t="shared" si="691"/>
        <v>487.50874999999996</v>
      </c>
      <c r="AC4542" s="4">
        <f t="shared" si="693"/>
        <v>19.500350000000026</v>
      </c>
      <c r="AD4542" s="6">
        <f t="shared" si="697"/>
        <v>507.00909999999999</v>
      </c>
      <c r="AE4542" s="2">
        <f>VLOOKUP(I4542,[1]媒体政策预估表!A:N,MATCH(O4542,[1]媒体政策预估表!$A$2:$M$2,0),0)</f>
        <v>0.12</v>
      </c>
      <c r="AF4542" s="6">
        <f t="shared" si="694"/>
        <v>60.841091999999996</v>
      </c>
      <c r="AG4542" s="14">
        <v>0</v>
      </c>
      <c r="AH4542" s="65">
        <f t="shared" si="698"/>
        <v>507.00909999999999</v>
      </c>
      <c r="AI4542" s="47"/>
      <c r="AJ4542" s="126" t="e">
        <v>#N/A</v>
      </c>
      <c r="AK4542" s="80">
        <f t="shared" si="692"/>
        <v>0</v>
      </c>
      <c r="AM4542" s="85"/>
    </row>
    <row r="4543" spans="1:39" hidden="1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696"/>
        <v>0</v>
      </c>
      <c r="Y4543" s="13">
        <f t="shared" si="690"/>
        <v>0</v>
      </c>
      <c r="Z4543" s="14">
        <v>0</v>
      </c>
      <c r="AA4543" s="6">
        <v>0</v>
      </c>
      <c r="AB4543" s="4">
        <f t="shared" si="691"/>
        <v>0</v>
      </c>
      <c r="AC4543" s="4">
        <f t="shared" si="693"/>
        <v>0</v>
      </c>
      <c r="AD4543" s="6">
        <f t="shared" si="697"/>
        <v>0</v>
      </c>
      <c r="AE4543" s="2">
        <f>VLOOKUP(I4543,[1]媒体政策预估表!A:N,MATCH(O4543,[1]媒体政策预估表!$A$2:$M$2,0),0)</f>
        <v>0.12</v>
      </c>
      <c r="AF4543" s="6">
        <f t="shared" si="694"/>
        <v>0</v>
      </c>
      <c r="AG4543" s="14">
        <v>0</v>
      </c>
      <c r="AH4543" s="65">
        <f t="shared" si="698"/>
        <v>0</v>
      </c>
      <c r="AI4543" s="47"/>
      <c r="AJ4543" s="126" t="e">
        <v>#N/A</v>
      </c>
      <c r="AK4543" s="80">
        <f t="shared" si="692"/>
        <v>0</v>
      </c>
      <c r="AM4543" s="85"/>
    </row>
    <row r="4544" spans="1:39" hidden="1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695"/>
        <v>-140918.96850000002</v>
      </c>
      <c r="X4544" s="6">
        <f t="shared" si="696"/>
        <v>10014.391633663367</v>
      </c>
      <c r="Y4544" s="13">
        <f t="shared" si="690"/>
        <v>0</v>
      </c>
      <c r="Z4544" s="14">
        <v>0</v>
      </c>
      <c r="AA4544" s="6">
        <v>0</v>
      </c>
      <c r="AB4544" s="4">
        <f t="shared" si="691"/>
        <v>10014.391633663367</v>
      </c>
      <c r="AC4544" s="4">
        <f t="shared" si="693"/>
        <v>100.14391633663399</v>
      </c>
      <c r="AD4544" s="6">
        <f t="shared" si="697"/>
        <v>10114.535550000001</v>
      </c>
      <c r="AE4544" s="2">
        <f>VLOOKUP(I4544,[1]媒体政策预估表!A:N,MATCH(O4544,[1]媒体政策预估表!$A$2:$M$2,0),0)</f>
        <v>0.15</v>
      </c>
      <c r="AF4544" s="6">
        <f t="shared" si="694"/>
        <v>1517.1803325000001</v>
      </c>
      <c r="AG4544" s="14">
        <v>0</v>
      </c>
      <c r="AH4544" s="65">
        <f t="shared" si="698"/>
        <v>10114.535550000001</v>
      </c>
      <c r="AI4544" s="47"/>
      <c r="AJ4544" s="126" t="e">
        <v>#N/A</v>
      </c>
      <c r="AK4544" s="80">
        <f t="shared" si="692"/>
        <v>0</v>
      </c>
      <c r="AM4544" s="85"/>
    </row>
    <row r="4545" spans="1:39" hidden="1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695"/>
        <v>-1776.7809299999999</v>
      </c>
      <c r="X4545" s="6">
        <f t="shared" si="696"/>
        <v>1334.9291057692308</v>
      </c>
      <c r="Y4545" s="13">
        <f t="shared" si="690"/>
        <v>0</v>
      </c>
      <c r="Z4545" s="14">
        <v>0</v>
      </c>
      <c r="AA4545" s="6">
        <v>0</v>
      </c>
      <c r="AB4545" s="4">
        <f t="shared" si="691"/>
        <v>1334.9291057692308</v>
      </c>
      <c r="AC4545" s="4">
        <f t="shared" si="693"/>
        <v>53.397164230769249</v>
      </c>
      <c r="AD4545" s="6">
        <f t="shared" si="697"/>
        <v>1388.32627</v>
      </c>
      <c r="AE4545" s="2">
        <f>VLOOKUP(I4545,[1]媒体政策预估表!A:N,MATCH(O4545,[1]媒体政策预估表!$A$2:$M$2,0),0)</f>
        <v>0.12</v>
      </c>
      <c r="AF4545" s="6">
        <f t="shared" si="694"/>
        <v>166.59915240000001</v>
      </c>
      <c r="AG4545" s="14">
        <v>0</v>
      </c>
      <c r="AH4545" s="65">
        <f t="shared" si="698"/>
        <v>1388.32627</v>
      </c>
      <c r="AI4545" s="47"/>
      <c r="AJ4545" s="126" t="e">
        <v>#N/A</v>
      </c>
      <c r="AK4545" s="80">
        <f t="shared" si="692"/>
        <v>0</v>
      </c>
      <c r="AM4545" s="85"/>
    </row>
    <row r="4546" spans="1:39" hidden="1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695"/>
        <v>-58.8</v>
      </c>
      <c r="X4546" s="6">
        <f t="shared" si="696"/>
        <v>0</v>
      </c>
      <c r="Y4546" s="13">
        <f t="shared" si="690"/>
        <v>0</v>
      </c>
      <c r="Z4546" s="14">
        <v>0</v>
      </c>
      <c r="AA4546" s="6">
        <v>0</v>
      </c>
      <c r="AB4546" s="4">
        <f t="shared" si="691"/>
        <v>0</v>
      </c>
      <c r="AC4546" s="4">
        <f t="shared" si="693"/>
        <v>0</v>
      </c>
      <c r="AD4546" s="6">
        <f t="shared" si="697"/>
        <v>0</v>
      </c>
      <c r="AE4546" s="2">
        <f>VLOOKUP(I4546,[1]媒体政策预估表!A:N,MATCH(O4546,[1]媒体政策预估表!$A$2:$M$2,0),0)</f>
        <v>0.12</v>
      </c>
      <c r="AF4546" s="6">
        <f t="shared" si="694"/>
        <v>0</v>
      </c>
      <c r="AG4546" s="14">
        <v>0</v>
      </c>
      <c r="AH4546" s="65">
        <f t="shared" si="698"/>
        <v>0</v>
      </c>
      <c r="AI4546" s="47"/>
      <c r="AJ4546" s="126" t="e">
        <v>#N/A</v>
      </c>
      <c r="AK4546" s="80">
        <f t="shared" si="692"/>
        <v>0</v>
      </c>
      <c r="AM4546" s="85"/>
    </row>
    <row r="4547" spans="1:39" hidden="1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695"/>
        <v>-4203.9045400000005</v>
      </c>
      <c r="X4547" s="6">
        <f t="shared" si="696"/>
        <v>0</v>
      </c>
      <c r="Y4547" s="13">
        <f t="shared" ref="Y4547:Y4610" si="699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00">X4547+AA4547</f>
        <v>0</v>
      </c>
      <c r="AC4547" s="4">
        <f t="shared" si="693"/>
        <v>0</v>
      </c>
      <c r="AD4547" s="6">
        <f t="shared" si="697"/>
        <v>0</v>
      </c>
      <c r="AE4547" s="2">
        <f>VLOOKUP(I4547,[1]媒体政策预估表!A:N,MATCH(O4547,[1]媒体政策预估表!$A$2:$M$2,0),0)</f>
        <v>0.12</v>
      </c>
      <c r="AF4547" s="6">
        <f t="shared" si="694"/>
        <v>0</v>
      </c>
      <c r="AG4547" s="14">
        <v>0</v>
      </c>
      <c r="AH4547" s="65">
        <f t="shared" si="698"/>
        <v>0</v>
      </c>
      <c r="AI4547" s="47"/>
      <c r="AJ4547" s="126" t="e">
        <v>#N/A</v>
      </c>
      <c r="AK4547" s="80">
        <f t="shared" ref="AK4547:AK4610" si="701">X4547+AA4547-AB4547</f>
        <v>0</v>
      </c>
      <c r="AM4547" s="85"/>
    </row>
    <row r="4548" spans="1:39" hidden="1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695"/>
        <v>-30261.357219999998</v>
      </c>
      <c r="X4548" s="6">
        <f t="shared" si="696"/>
        <v>15311.562529999999</v>
      </c>
      <c r="Y4548" s="13">
        <f t="shared" si="699"/>
        <v>0</v>
      </c>
      <c r="Z4548" s="14">
        <v>0</v>
      </c>
      <c r="AA4548" s="6">
        <v>0</v>
      </c>
      <c r="AB4548" s="4">
        <f t="shared" si="700"/>
        <v>15311.562529999999</v>
      </c>
      <c r="AC4548" s="4">
        <f t="shared" si="693"/>
        <v>0</v>
      </c>
      <c r="AD4548" s="6">
        <f t="shared" si="697"/>
        <v>15311.562529999999</v>
      </c>
      <c r="AE4548" s="2">
        <f>VLOOKUP(I4548,[1]媒体政策预估表!A:N,MATCH(O4548,[1]媒体政策预估表!$A$2:$M$2,0),0)</f>
        <v>0.12</v>
      </c>
      <c r="AF4548" s="6">
        <f t="shared" si="694"/>
        <v>1837.3875035999999</v>
      </c>
      <c r="AG4548" s="14">
        <v>0</v>
      </c>
      <c r="AH4548" s="65">
        <f t="shared" si="698"/>
        <v>15311.562529999999</v>
      </c>
      <c r="AI4548" s="47"/>
      <c r="AJ4548" s="126" t="e">
        <v>#N/A</v>
      </c>
      <c r="AK4548" s="80">
        <f t="shared" si="701"/>
        <v>0</v>
      </c>
      <c r="AM4548" s="85"/>
    </row>
    <row r="4549" spans="1:39" hidden="1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695"/>
        <v>-15055.826570000001</v>
      </c>
      <c r="X4549" s="6">
        <f t="shared" si="696"/>
        <v>0</v>
      </c>
      <c r="Y4549" s="13">
        <f t="shared" si="699"/>
        <v>0</v>
      </c>
      <c r="Z4549" s="14">
        <v>0</v>
      </c>
      <c r="AA4549" s="6">
        <v>0</v>
      </c>
      <c r="AB4549" s="4">
        <f t="shared" si="700"/>
        <v>0</v>
      </c>
      <c r="AC4549" s="4">
        <f t="shared" si="693"/>
        <v>0</v>
      </c>
      <c r="AD4549" s="6">
        <f t="shared" si="697"/>
        <v>0</v>
      </c>
      <c r="AE4549" s="2">
        <f>VLOOKUP(I4549,[1]媒体政策预估表!A:N,MATCH(O4549,[1]媒体政策预估表!$A$2:$M$2,0),0)</f>
        <v>0.12</v>
      </c>
      <c r="AF4549" s="6">
        <f t="shared" si="694"/>
        <v>0</v>
      </c>
      <c r="AG4549" s="14">
        <v>0</v>
      </c>
      <c r="AH4549" s="65">
        <f t="shared" si="698"/>
        <v>0</v>
      </c>
      <c r="AI4549" s="47"/>
      <c r="AJ4549" s="126" t="e">
        <v>#N/A</v>
      </c>
      <c r="AK4549" s="80">
        <f t="shared" si="701"/>
        <v>0</v>
      </c>
      <c r="AM4549" s="85"/>
    </row>
    <row r="4550" spans="1:39" hidden="1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696"/>
        <v>0</v>
      </c>
      <c r="Y4550" s="13">
        <f t="shared" si="699"/>
        <v>0</v>
      </c>
      <c r="Z4550" s="14">
        <v>0</v>
      </c>
      <c r="AA4550" s="6">
        <v>0</v>
      </c>
      <c r="AB4550" s="4">
        <f t="shared" si="700"/>
        <v>0</v>
      </c>
      <c r="AC4550" s="4">
        <f t="shared" si="693"/>
        <v>0</v>
      </c>
      <c r="AD4550" s="6">
        <f t="shared" si="697"/>
        <v>0</v>
      </c>
      <c r="AE4550" s="2">
        <f>VLOOKUP(I4550,[1]媒体政策预估表!A:N,MATCH(O4550,[1]媒体政策预估表!$A$2:$M$2,0),0)</f>
        <v>0.12</v>
      </c>
      <c r="AF4550" s="6">
        <f t="shared" si="694"/>
        <v>0</v>
      </c>
      <c r="AG4550" s="14">
        <v>0</v>
      </c>
      <c r="AH4550" s="65">
        <f t="shared" si="698"/>
        <v>0</v>
      </c>
      <c r="AI4550" s="47"/>
      <c r="AJ4550" s="126" t="e">
        <v>#N/A</v>
      </c>
      <c r="AK4550" s="80">
        <f t="shared" si="701"/>
        <v>0</v>
      </c>
      <c r="AM4550" s="85"/>
    </row>
    <row r="4551" spans="1:39" hidden="1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695"/>
        <v>484.13</v>
      </c>
      <c r="X4551" s="6">
        <f t="shared" si="696"/>
        <v>0</v>
      </c>
      <c r="Y4551" s="13">
        <f t="shared" si="699"/>
        <v>0</v>
      </c>
      <c r="Z4551" s="14">
        <v>0</v>
      </c>
      <c r="AA4551" s="6">
        <v>0</v>
      </c>
      <c r="AB4551" s="4">
        <f t="shared" si="700"/>
        <v>0</v>
      </c>
      <c r="AC4551" s="4">
        <f t="shared" si="693"/>
        <v>0</v>
      </c>
      <c r="AD4551" s="6">
        <f t="shared" si="697"/>
        <v>0</v>
      </c>
      <c r="AE4551" s="2">
        <f>VLOOKUP(I4551,[1]媒体政策预估表!A:N,MATCH(O4551,[1]媒体政策预估表!$A$2:$M$2,0),0)</f>
        <v>7.0000000000000007E-2</v>
      </c>
      <c r="AF4551" s="6">
        <f t="shared" si="694"/>
        <v>0</v>
      </c>
      <c r="AG4551" s="14">
        <v>0</v>
      </c>
      <c r="AH4551" s="65">
        <f t="shared" si="698"/>
        <v>0</v>
      </c>
      <c r="AI4551" s="47"/>
      <c r="AJ4551" s="126" t="e">
        <v>#N/A</v>
      </c>
      <c r="AK4551" s="80">
        <f t="shared" si="701"/>
        <v>0</v>
      </c>
      <c r="AM4551" s="85"/>
    </row>
    <row r="4552" spans="1:39" hidden="1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695"/>
        <v>487.91</v>
      </c>
      <c r="X4552" s="6">
        <f t="shared" si="696"/>
        <v>0</v>
      </c>
      <c r="Y4552" s="13">
        <f t="shared" si="699"/>
        <v>0</v>
      </c>
      <c r="Z4552" s="14">
        <v>0</v>
      </c>
      <c r="AA4552" s="6">
        <v>0</v>
      </c>
      <c r="AB4552" s="4">
        <f t="shared" si="700"/>
        <v>0</v>
      </c>
      <c r="AC4552" s="4">
        <f t="shared" si="693"/>
        <v>0</v>
      </c>
      <c r="AD4552" s="6">
        <f t="shared" si="697"/>
        <v>0</v>
      </c>
      <c r="AE4552" s="2">
        <f>VLOOKUP(I4552,[1]媒体政策预估表!A:N,MATCH(O4552,[1]媒体政策预估表!$A$2:$M$2,0),0)</f>
        <v>0.12</v>
      </c>
      <c r="AF4552" s="6">
        <f t="shared" si="694"/>
        <v>0</v>
      </c>
      <c r="AG4552" s="14">
        <v>0</v>
      </c>
      <c r="AH4552" s="65">
        <f t="shared" si="698"/>
        <v>0</v>
      </c>
      <c r="AI4552" s="47"/>
      <c r="AJ4552" s="126" t="e">
        <v>#N/A</v>
      </c>
      <c r="AK4552" s="80">
        <f t="shared" si="701"/>
        <v>0</v>
      </c>
      <c r="AM4552" s="85"/>
    </row>
    <row r="4553" spans="1:39" hidden="1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695"/>
        <v>149.78</v>
      </c>
      <c r="X4553" s="6">
        <f t="shared" si="696"/>
        <v>0</v>
      </c>
      <c r="Y4553" s="13">
        <f t="shared" si="699"/>
        <v>0</v>
      </c>
      <c r="Z4553" s="14">
        <v>0</v>
      </c>
      <c r="AA4553" s="6">
        <v>0</v>
      </c>
      <c r="AB4553" s="4">
        <f t="shared" si="700"/>
        <v>0</v>
      </c>
      <c r="AC4553" s="4">
        <f t="shared" si="693"/>
        <v>0</v>
      </c>
      <c r="AD4553" s="6">
        <f t="shared" si="697"/>
        <v>0</v>
      </c>
      <c r="AE4553" s="2">
        <f>VLOOKUP(I4553,[1]媒体政策预估表!A:N,MATCH(O4553,[1]媒体政策预估表!$A$2:$M$2,0),0)</f>
        <v>7.0000000000000007E-2</v>
      </c>
      <c r="AF4553" s="6">
        <f t="shared" si="694"/>
        <v>0</v>
      </c>
      <c r="AG4553" s="14">
        <v>0</v>
      </c>
      <c r="AH4553" s="65">
        <f t="shared" si="698"/>
        <v>0</v>
      </c>
      <c r="AI4553" s="47"/>
      <c r="AJ4553" s="126" t="e">
        <v>#N/A</v>
      </c>
      <c r="AK4553" s="80">
        <f t="shared" si="701"/>
        <v>0</v>
      </c>
      <c r="AM4553" s="85"/>
    </row>
    <row r="4554" spans="1:39" hidden="1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695"/>
        <v>1.37</v>
      </c>
      <c r="X4554" s="6">
        <f t="shared" si="696"/>
        <v>0</v>
      </c>
      <c r="Y4554" s="13">
        <f t="shared" si="699"/>
        <v>0</v>
      </c>
      <c r="Z4554" s="14">
        <v>0</v>
      </c>
      <c r="AA4554" s="6">
        <v>0</v>
      </c>
      <c r="AB4554" s="4">
        <f t="shared" si="700"/>
        <v>0</v>
      </c>
      <c r="AC4554" s="4">
        <f t="shared" si="693"/>
        <v>0</v>
      </c>
      <c r="AD4554" s="6">
        <f t="shared" si="697"/>
        <v>0</v>
      </c>
      <c r="AE4554" s="2">
        <f>VLOOKUP(I4554,[1]媒体政策预估表!A:N,MATCH(O4554,[1]媒体政策预估表!$A$2:$M$2,0),0)</f>
        <v>7.0000000000000007E-2</v>
      </c>
      <c r="AF4554" s="6">
        <f t="shared" si="694"/>
        <v>0</v>
      </c>
      <c r="AG4554" s="14">
        <v>0</v>
      </c>
      <c r="AH4554" s="65">
        <f t="shared" si="698"/>
        <v>0</v>
      </c>
      <c r="AI4554" s="47"/>
      <c r="AJ4554" s="126" t="e">
        <v>#N/A</v>
      </c>
      <c r="AK4554" s="80">
        <f t="shared" si="701"/>
        <v>0</v>
      </c>
      <c r="AM4554" s="85"/>
    </row>
    <row r="4555" spans="1:39" hidden="1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695"/>
        <v>495.16</v>
      </c>
      <c r="X4555" s="6">
        <f t="shared" si="696"/>
        <v>0</v>
      </c>
      <c r="Y4555" s="13">
        <f t="shared" si="699"/>
        <v>0</v>
      </c>
      <c r="Z4555" s="14">
        <v>0</v>
      </c>
      <c r="AA4555" s="6">
        <v>0</v>
      </c>
      <c r="AB4555" s="4">
        <f t="shared" si="700"/>
        <v>0</v>
      </c>
      <c r="AC4555" s="4">
        <f t="shared" si="693"/>
        <v>0</v>
      </c>
      <c r="AD4555" s="6">
        <f t="shared" si="697"/>
        <v>0</v>
      </c>
      <c r="AE4555" s="2">
        <f>VLOOKUP(I4555,[1]媒体政策预估表!A:N,MATCH(O4555,[1]媒体政策预估表!$A$2:$M$2,0),0)</f>
        <v>0.12</v>
      </c>
      <c r="AF4555" s="6">
        <f t="shared" si="694"/>
        <v>0</v>
      </c>
      <c r="AG4555" s="14">
        <v>0</v>
      </c>
      <c r="AH4555" s="65">
        <f t="shared" si="698"/>
        <v>0</v>
      </c>
      <c r="AI4555" s="47"/>
      <c r="AJ4555" s="126" t="e">
        <v>#N/A</v>
      </c>
      <c r="AK4555" s="80">
        <f t="shared" si="701"/>
        <v>0</v>
      </c>
      <c r="AM4555" s="85"/>
    </row>
    <row r="4556" spans="1:39" hidden="1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695"/>
        <v>-149226.14513000002</v>
      </c>
      <c r="X4556" s="6">
        <f t="shared" si="696"/>
        <v>0</v>
      </c>
      <c r="Y4556" s="13">
        <f t="shared" si="699"/>
        <v>0</v>
      </c>
      <c r="Z4556" s="14">
        <v>0</v>
      </c>
      <c r="AA4556" s="6">
        <v>0</v>
      </c>
      <c r="AB4556" s="4">
        <f t="shared" si="700"/>
        <v>0</v>
      </c>
      <c r="AC4556" s="4">
        <f t="shared" ref="AC4556:AC4619" si="702">IF(P4556="返现",X4556*Q4556,V4556-X4556)</f>
        <v>0</v>
      </c>
      <c r="AD4556" s="6">
        <f t="shared" si="697"/>
        <v>0</v>
      </c>
      <c r="AE4556" s="2">
        <f>VLOOKUP(I4556,[1]媒体政策预估表!A:N,MATCH(O4556,[1]媒体政策预估表!$A$2:$M$2,0),0)</f>
        <v>0.12</v>
      </c>
      <c r="AF4556" s="6">
        <f t="shared" ref="AF4556:AF4619" si="703">AD4556*AE4556</f>
        <v>0</v>
      </c>
      <c r="AG4556" s="14">
        <v>0</v>
      </c>
      <c r="AH4556" s="65">
        <f t="shared" si="698"/>
        <v>0</v>
      </c>
      <c r="AI4556" s="47"/>
      <c r="AJ4556" s="126" t="e">
        <v>#N/A</v>
      </c>
      <c r="AK4556" s="80">
        <f t="shared" si="701"/>
        <v>0</v>
      </c>
      <c r="AM4556" s="85"/>
    </row>
    <row r="4557" spans="1:39" hidden="1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695"/>
        <v>-13317.403919999999</v>
      </c>
      <c r="X4557" s="6">
        <f t="shared" si="696"/>
        <v>5930.6402574257418</v>
      </c>
      <c r="Y4557" s="13">
        <f t="shared" si="699"/>
        <v>0</v>
      </c>
      <c r="Z4557" s="14">
        <v>0</v>
      </c>
      <c r="AA4557" s="6">
        <v>0</v>
      </c>
      <c r="AB4557" s="4">
        <f t="shared" si="700"/>
        <v>5930.6402574257418</v>
      </c>
      <c r="AC4557" s="4">
        <f t="shared" si="702"/>
        <v>59.306402574257845</v>
      </c>
      <c r="AD4557" s="6">
        <f t="shared" si="697"/>
        <v>5989.9466599999996</v>
      </c>
      <c r="AE4557" s="2">
        <f>VLOOKUP(I4557,[1]媒体政策预估表!A:N,MATCH(O4557,[1]媒体政策预估表!$A$2:$M$2,0),0)</f>
        <v>0.12</v>
      </c>
      <c r="AF4557" s="6">
        <f t="shared" si="703"/>
        <v>718.7935991999999</v>
      </c>
      <c r="AG4557" s="14">
        <v>0</v>
      </c>
      <c r="AH4557" s="65">
        <f t="shared" si="698"/>
        <v>5989.9466599999996</v>
      </c>
      <c r="AI4557" s="47"/>
      <c r="AJ4557" s="126" t="e">
        <v>#N/A</v>
      </c>
      <c r="AK4557" s="80">
        <f t="shared" si="701"/>
        <v>0</v>
      </c>
      <c r="AM4557" s="85"/>
    </row>
    <row r="4558" spans="1:39" hidden="1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695"/>
        <v>1.2</v>
      </c>
      <c r="X4558" s="6">
        <f t="shared" si="696"/>
        <v>0</v>
      </c>
      <c r="Y4558" s="13">
        <f t="shared" si="699"/>
        <v>0</v>
      </c>
      <c r="Z4558" s="14">
        <v>0</v>
      </c>
      <c r="AA4558" s="6">
        <v>0</v>
      </c>
      <c r="AB4558" s="4">
        <f t="shared" si="700"/>
        <v>0</v>
      </c>
      <c r="AC4558" s="4">
        <f t="shared" si="702"/>
        <v>0</v>
      </c>
      <c r="AD4558" s="6">
        <f t="shared" si="697"/>
        <v>0</v>
      </c>
      <c r="AE4558" s="2">
        <f>VLOOKUP(I4558,[1]媒体政策预估表!A:N,MATCH(O4558,[1]媒体政策预估表!$A$2:$M$2,0),0)</f>
        <v>7.0000000000000007E-2</v>
      </c>
      <c r="AF4558" s="6">
        <f t="shared" si="703"/>
        <v>0</v>
      </c>
      <c r="AG4558" s="14">
        <v>0</v>
      </c>
      <c r="AH4558" s="65">
        <f t="shared" si="698"/>
        <v>0</v>
      </c>
      <c r="AI4558" s="47"/>
      <c r="AJ4558" s="126" t="e">
        <v>#N/A</v>
      </c>
      <c r="AK4558" s="80">
        <f t="shared" si="701"/>
        <v>0</v>
      </c>
      <c r="AM4558" s="85"/>
    </row>
    <row r="4559" spans="1:39" hidden="1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695"/>
        <v>7945.19</v>
      </c>
      <c r="X4559" s="6">
        <f t="shared" si="696"/>
        <v>0</v>
      </c>
      <c r="Y4559" s="13">
        <f t="shared" si="699"/>
        <v>0</v>
      </c>
      <c r="Z4559" s="14">
        <v>0</v>
      </c>
      <c r="AA4559" s="6">
        <v>0</v>
      </c>
      <c r="AB4559" s="4">
        <f t="shared" si="700"/>
        <v>0</v>
      </c>
      <c r="AC4559" s="4">
        <f t="shared" si="702"/>
        <v>0</v>
      </c>
      <c r="AD4559" s="6">
        <f t="shared" si="697"/>
        <v>0</v>
      </c>
      <c r="AE4559" s="2">
        <f>VLOOKUP(I4559,[1]媒体政策预估表!A:N,MATCH(O4559,[1]媒体政策预估表!$A$2:$M$2,0),0)</f>
        <v>0.12</v>
      </c>
      <c r="AF4559" s="6">
        <f t="shared" si="703"/>
        <v>0</v>
      </c>
      <c r="AG4559" s="14">
        <v>0</v>
      </c>
      <c r="AH4559" s="65">
        <f t="shared" si="698"/>
        <v>0</v>
      </c>
      <c r="AI4559" s="47"/>
      <c r="AJ4559" s="126" t="e">
        <v>#N/A</v>
      </c>
      <c r="AK4559" s="80">
        <f t="shared" si="701"/>
        <v>0</v>
      </c>
      <c r="AM4559" s="85"/>
    </row>
    <row r="4560" spans="1:39" hidden="1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695"/>
        <v>1547.3</v>
      </c>
      <c r="X4560" s="6">
        <f t="shared" si="696"/>
        <v>0</v>
      </c>
      <c r="Y4560" s="13">
        <f t="shared" si="699"/>
        <v>0</v>
      </c>
      <c r="Z4560" s="14">
        <v>0</v>
      </c>
      <c r="AA4560" s="6">
        <v>0</v>
      </c>
      <c r="AB4560" s="4">
        <f t="shared" si="700"/>
        <v>0</v>
      </c>
      <c r="AC4560" s="4">
        <f t="shared" si="702"/>
        <v>0</v>
      </c>
      <c r="AD4560" s="6">
        <f t="shared" si="697"/>
        <v>0</v>
      </c>
      <c r="AE4560" s="2">
        <f>VLOOKUP(I4560,[1]媒体政策预估表!A:N,MATCH(O4560,[1]媒体政策预估表!$A$2:$M$2,0),0)</f>
        <v>7.0000000000000007E-2</v>
      </c>
      <c r="AF4560" s="6">
        <f t="shared" si="703"/>
        <v>0</v>
      </c>
      <c r="AG4560" s="14">
        <v>0</v>
      </c>
      <c r="AH4560" s="65">
        <f t="shared" si="698"/>
        <v>0</v>
      </c>
      <c r="AI4560" s="47"/>
      <c r="AJ4560" s="126" t="e">
        <v>#N/A</v>
      </c>
      <c r="AK4560" s="80">
        <f t="shared" si="701"/>
        <v>0</v>
      </c>
      <c r="AM4560" s="85"/>
    </row>
    <row r="4561" spans="1:39" hidden="1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695"/>
        <v>2.4</v>
      </c>
      <c r="X4561" s="6">
        <f t="shared" si="696"/>
        <v>0</v>
      </c>
      <c r="Y4561" s="13">
        <f t="shared" si="699"/>
        <v>0</v>
      </c>
      <c r="Z4561" s="14">
        <v>0</v>
      </c>
      <c r="AA4561" s="6">
        <v>0</v>
      </c>
      <c r="AB4561" s="4">
        <f t="shared" si="700"/>
        <v>0</v>
      </c>
      <c r="AC4561" s="4">
        <f t="shared" si="702"/>
        <v>0</v>
      </c>
      <c r="AD4561" s="6">
        <f t="shared" si="697"/>
        <v>0</v>
      </c>
      <c r="AE4561" s="2">
        <v>0</v>
      </c>
      <c r="AF4561" s="6">
        <f t="shared" si="703"/>
        <v>0</v>
      </c>
      <c r="AG4561" s="14">
        <v>0</v>
      </c>
      <c r="AH4561" s="65">
        <f t="shared" si="698"/>
        <v>0</v>
      </c>
      <c r="AI4561" s="47"/>
      <c r="AJ4561" s="126" t="e">
        <v>#N/A</v>
      </c>
      <c r="AK4561" s="80">
        <f t="shared" si="701"/>
        <v>0</v>
      </c>
      <c r="AM4561" s="85"/>
    </row>
    <row r="4562" spans="1:39" hidden="1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695"/>
        <v>-417979.23726000002</v>
      </c>
      <c r="X4562" s="6">
        <f t="shared" si="696"/>
        <v>0</v>
      </c>
      <c r="Y4562" s="13">
        <f t="shared" si="699"/>
        <v>0</v>
      </c>
      <c r="Z4562" s="14">
        <v>0</v>
      </c>
      <c r="AA4562" s="6">
        <v>0</v>
      </c>
      <c r="AB4562" s="4">
        <f t="shared" si="700"/>
        <v>0</v>
      </c>
      <c r="AC4562" s="4">
        <f t="shared" si="702"/>
        <v>0</v>
      </c>
      <c r="AD4562" s="6">
        <f t="shared" si="697"/>
        <v>0</v>
      </c>
      <c r="AE4562" s="2">
        <f>VLOOKUP(I4562,[1]媒体政策预估表!A:N,MATCH(O4562,[1]媒体政策预估表!$A$2:$M$2,0),0)</f>
        <v>0.15</v>
      </c>
      <c r="AF4562" s="6">
        <f t="shared" si="703"/>
        <v>0</v>
      </c>
      <c r="AG4562" s="14">
        <v>0</v>
      </c>
      <c r="AH4562" s="65">
        <f t="shared" si="698"/>
        <v>0</v>
      </c>
      <c r="AI4562" s="47"/>
      <c r="AJ4562" s="126" t="e">
        <v>#N/A</v>
      </c>
      <c r="AK4562" s="80">
        <f t="shared" si="701"/>
        <v>0</v>
      </c>
      <c r="AM4562" s="85"/>
    </row>
    <row r="4563" spans="1:39" hidden="1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695"/>
        <v>-854658.36045999988</v>
      </c>
      <c r="X4563" s="6">
        <f t="shared" si="696"/>
        <v>321106.97023529408</v>
      </c>
      <c r="Y4563" s="13">
        <f t="shared" si="699"/>
        <v>0</v>
      </c>
      <c r="Z4563" s="14">
        <v>0</v>
      </c>
      <c r="AA4563" s="6">
        <v>0</v>
      </c>
      <c r="AB4563" s="4">
        <f t="shared" si="700"/>
        <v>321106.97023529408</v>
      </c>
      <c r="AC4563" s="4">
        <f t="shared" si="702"/>
        <v>6422.1394047059002</v>
      </c>
      <c r="AD4563" s="6">
        <f t="shared" si="697"/>
        <v>327529.10963999998</v>
      </c>
      <c r="AE4563" s="2">
        <f>VLOOKUP(I4563,[1]媒体政策预估表!A:N,MATCH(O4563,[1]媒体政策预估表!$A$2:$M$2,0),0)</f>
        <v>0.15</v>
      </c>
      <c r="AF4563" s="6">
        <f t="shared" si="703"/>
        <v>49129.366445999993</v>
      </c>
      <c r="AG4563" s="14">
        <v>0</v>
      </c>
      <c r="AH4563" s="65">
        <f t="shared" si="698"/>
        <v>327529.10963999998</v>
      </c>
      <c r="AI4563" s="47"/>
      <c r="AJ4563" s="126" t="e">
        <v>#N/A</v>
      </c>
      <c r="AK4563" s="80">
        <f t="shared" si="701"/>
        <v>0</v>
      </c>
      <c r="AM4563" s="85"/>
    </row>
    <row r="4564" spans="1:39" hidden="1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695"/>
        <v>-375204.93352999998</v>
      </c>
      <c r="X4564" s="6">
        <f t="shared" si="696"/>
        <v>0</v>
      </c>
      <c r="Y4564" s="13">
        <f t="shared" si="699"/>
        <v>0</v>
      </c>
      <c r="Z4564" s="14">
        <v>0</v>
      </c>
      <c r="AA4564" s="6">
        <v>0</v>
      </c>
      <c r="AB4564" s="4">
        <f t="shared" si="700"/>
        <v>0</v>
      </c>
      <c r="AC4564" s="4">
        <f t="shared" si="702"/>
        <v>0</v>
      </c>
      <c r="AD4564" s="6">
        <f t="shared" si="697"/>
        <v>0</v>
      </c>
      <c r="AE4564" s="2">
        <f>VLOOKUP(I4564,[1]媒体政策预估表!A:N,MATCH(O4564,[1]媒体政策预估表!$A$2:$M$2,0),0)</f>
        <v>0.15</v>
      </c>
      <c r="AF4564" s="6">
        <f t="shared" si="703"/>
        <v>0</v>
      </c>
      <c r="AG4564" s="14">
        <v>0</v>
      </c>
      <c r="AH4564" s="65">
        <f t="shared" si="698"/>
        <v>0</v>
      </c>
      <c r="AI4564" s="47"/>
      <c r="AJ4564" s="126" t="e">
        <v>#N/A</v>
      </c>
      <c r="AK4564" s="80">
        <f t="shared" si="701"/>
        <v>0</v>
      </c>
      <c r="AM4564" s="85"/>
    </row>
    <row r="4565" spans="1:39" hidden="1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695"/>
        <v>-204559.05554999999</v>
      </c>
      <c r="X4565" s="6">
        <f t="shared" si="696"/>
        <v>0</v>
      </c>
      <c r="Y4565" s="13">
        <f t="shared" si="699"/>
        <v>0</v>
      </c>
      <c r="Z4565" s="14">
        <v>0</v>
      </c>
      <c r="AA4565" s="6">
        <v>0</v>
      </c>
      <c r="AB4565" s="4">
        <f t="shared" si="700"/>
        <v>0</v>
      </c>
      <c r="AC4565" s="4">
        <f t="shared" si="702"/>
        <v>0</v>
      </c>
      <c r="AD4565" s="6">
        <f t="shared" si="697"/>
        <v>0</v>
      </c>
      <c r="AE4565" s="2">
        <f>VLOOKUP(I4565,[1]媒体政策预估表!A:N,MATCH(O4565,[1]媒体政策预估表!$A$2:$M$2,0),0)</f>
        <v>0.12</v>
      </c>
      <c r="AF4565" s="6">
        <f t="shared" si="703"/>
        <v>0</v>
      </c>
      <c r="AG4565" s="14">
        <v>0</v>
      </c>
      <c r="AH4565" s="65">
        <f t="shared" si="698"/>
        <v>0</v>
      </c>
      <c r="AI4565" s="47"/>
      <c r="AJ4565" s="126" t="e">
        <v>#N/A</v>
      </c>
      <c r="AK4565" s="80">
        <f t="shared" si="701"/>
        <v>0</v>
      </c>
      <c r="AM4565" s="85"/>
    </row>
    <row r="4566" spans="1:39" hidden="1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695"/>
        <v>2855.97</v>
      </c>
      <c r="X4566" s="6">
        <f t="shared" si="696"/>
        <v>0</v>
      </c>
      <c r="Y4566" s="13">
        <f t="shared" si="699"/>
        <v>0</v>
      </c>
      <c r="Z4566" s="14">
        <v>0</v>
      </c>
      <c r="AA4566" s="6">
        <v>0</v>
      </c>
      <c r="AB4566" s="4">
        <f t="shared" si="700"/>
        <v>0</v>
      </c>
      <c r="AC4566" s="4">
        <f t="shared" si="702"/>
        <v>0</v>
      </c>
      <c r="AD4566" s="6">
        <f t="shared" si="697"/>
        <v>0</v>
      </c>
      <c r="AE4566" s="2">
        <f>VLOOKUP(I4566,[1]媒体政策预估表!A:N,MATCH(O4566,[1]媒体政策预估表!$A$2:$M$2,0),0)</f>
        <v>7.0000000000000007E-2</v>
      </c>
      <c r="AF4566" s="6">
        <f t="shared" si="703"/>
        <v>0</v>
      </c>
      <c r="AG4566" s="14">
        <v>0</v>
      </c>
      <c r="AH4566" s="65">
        <f t="shared" si="698"/>
        <v>0</v>
      </c>
      <c r="AI4566" s="47"/>
      <c r="AJ4566" s="126" t="e">
        <v>#N/A</v>
      </c>
      <c r="AK4566" s="80">
        <f t="shared" si="701"/>
        <v>0</v>
      </c>
      <c r="AM4566" s="85"/>
    </row>
    <row r="4567" spans="1:39" hidden="1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695"/>
        <v>0.5</v>
      </c>
      <c r="X4567" s="6">
        <f t="shared" si="696"/>
        <v>0</v>
      </c>
      <c r="Y4567" s="13">
        <f t="shared" si="699"/>
        <v>0</v>
      </c>
      <c r="Z4567" s="14">
        <v>0</v>
      </c>
      <c r="AA4567" s="6">
        <v>0</v>
      </c>
      <c r="AB4567" s="4"/>
      <c r="AC4567" s="4">
        <f t="shared" si="702"/>
        <v>0</v>
      </c>
      <c r="AD4567" s="6">
        <f t="shared" si="697"/>
        <v>0</v>
      </c>
      <c r="AE4567" s="2">
        <f>VLOOKUP(I4567,[1]媒体政策预估表!A:N,MATCH(O4567,[1]媒体政策预估表!$A$2:$M$2,0),0)</f>
        <v>7.0000000000000007E-2</v>
      </c>
      <c r="AF4567" s="6">
        <f t="shared" si="703"/>
        <v>0</v>
      </c>
      <c r="AG4567" s="14">
        <v>0</v>
      </c>
      <c r="AH4567" s="65">
        <f t="shared" si="698"/>
        <v>0</v>
      </c>
      <c r="AI4567" s="47"/>
      <c r="AJ4567" s="126">
        <v>58</v>
      </c>
      <c r="AK4567" s="80">
        <f t="shared" si="701"/>
        <v>0</v>
      </c>
      <c r="AM4567" s="85"/>
    </row>
    <row r="4568" spans="1:39" hidden="1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695"/>
        <v>1.85</v>
      </c>
      <c r="X4568" s="6">
        <f t="shared" si="696"/>
        <v>0</v>
      </c>
      <c r="Y4568" s="13">
        <f t="shared" si="699"/>
        <v>0</v>
      </c>
      <c r="Z4568" s="14">
        <v>0</v>
      </c>
      <c r="AA4568" s="6">
        <v>0</v>
      </c>
      <c r="AB4568" s="4">
        <f t="shared" si="700"/>
        <v>0</v>
      </c>
      <c r="AC4568" s="4">
        <f t="shared" si="702"/>
        <v>0</v>
      </c>
      <c r="AD4568" s="6">
        <f t="shared" si="697"/>
        <v>0</v>
      </c>
      <c r="AE4568" s="2">
        <f>VLOOKUP(I4568,[1]媒体政策预估表!A:N,MATCH(O4568,[1]媒体政策预估表!$A$2:$M$2,0),0)</f>
        <v>7.0000000000000007E-2</v>
      </c>
      <c r="AF4568" s="6">
        <f t="shared" si="703"/>
        <v>0</v>
      </c>
      <c r="AG4568" s="14">
        <v>0</v>
      </c>
      <c r="AH4568" s="65">
        <f t="shared" si="698"/>
        <v>0</v>
      </c>
      <c r="AI4568" s="47"/>
      <c r="AJ4568" s="126" t="e">
        <v>#N/A</v>
      </c>
      <c r="AK4568" s="80">
        <f t="shared" si="701"/>
        <v>0</v>
      </c>
      <c r="AM4568" s="85"/>
    </row>
    <row r="4569" spans="1:39" hidden="1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695"/>
        <v>-510.3</v>
      </c>
      <c r="X4569" s="6">
        <f t="shared" si="696"/>
        <v>0</v>
      </c>
      <c r="Y4569" s="13">
        <f t="shared" si="699"/>
        <v>0</v>
      </c>
      <c r="Z4569" s="14">
        <v>0</v>
      </c>
      <c r="AA4569" s="6">
        <v>0</v>
      </c>
      <c r="AB4569" s="4">
        <f t="shared" si="700"/>
        <v>0</v>
      </c>
      <c r="AC4569" s="4">
        <f t="shared" si="702"/>
        <v>0</v>
      </c>
      <c r="AD4569" s="6">
        <f t="shared" si="697"/>
        <v>0</v>
      </c>
      <c r="AE4569" s="2">
        <f>VLOOKUP(I4569,[1]媒体政策预估表!A:N,MATCH(O4569,[1]媒体政策预估表!$A$2:$M$2,0),0)</f>
        <v>0.12</v>
      </c>
      <c r="AF4569" s="6">
        <f t="shared" si="703"/>
        <v>0</v>
      </c>
      <c r="AG4569" s="14">
        <v>0</v>
      </c>
      <c r="AH4569" s="65">
        <f t="shared" si="698"/>
        <v>0</v>
      </c>
      <c r="AI4569" s="47"/>
      <c r="AJ4569" s="126" t="e">
        <v>#N/A</v>
      </c>
      <c r="AK4569" s="80">
        <f t="shared" si="701"/>
        <v>0</v>
      </c>
      <c r="AM4569" s="85"/>
    </row>
    <row r="4570" spans="1:39" hidden="1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695"/>
        <v>-364.65</v>
      </c>
      <c r="X4570" s="6">
        <f t="shared" si="696"/>
        <v>0</v>
      </c>
      <c r="Y4570" s="13">
        <f t="shared" si="699"/>
        <v>0</v>
      </c>
      <c r="Z4570" s="14">
        <v>0</v>
      </c>
      <c r="AA4570" s="6">
        <v>0</v>
      </c>
      <c r="AB4570" s="4">
        <f t="shared" si="700"/>
        <v>0</v>
      </c>
      <c r="AC4570" s="4">
        <f t="shared" si="702"/>
        <v>0</v>
      </c>
      <c r="AD4570" s="6">
        <f t="shared" si="697"/>
        <v>0</v>
      </c>
      <c r="AE4570" s="2">
        <f>VLOOKUP(I4570,[1]媒体政策预估表!A:N,MATCH(O4570,[1]媒体政策预估表!$A$2:$M$2,0),0)</f>
        <v>0.12</v>
      </c>
      <c r="AF4570" s="6">
        <f t="shared" si="703"/>
        <v>0</v>
      </c>
      <c r="AG4570" s="14">
        <v>0</v>
      </c>
      <c r="AH4570" s="65">
        <f t="shared" si="698"/>
        <v>0</v>
      </c>
      <c r="AI4570" s="47"/>
      <c r="AJ4570" s="126" t="e">
        <v>#N/A</v>
      </c>
      <c r="AK4570" s="80">
        <f t="shared" si="701"/>
        <v>0</v>
      </c>
      <c r="AM4570" s="85"/>
    </row>
    <row r="4571" spans="1:39" hidden="1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695"/>
        <v>-244104.79671</v>
      </c>
      <c r="X4571" s="6">
        <f t="shared" si="696"/>
        <v>83973.124960396031</v>
      </c>
      <c r="Y4571" s="13">
        <f t="shared" si="699"/>
        <v>0</v>
      </c>
      <c r="Z4571" s="14">
        <v>0</v>
      </c>
      <c r="AA4571" s="6">
        <v>0</v>
      </c>
      <c r="AB4571" s="4">
        <f t="shared" si="700"/>
        <v>83973.124960396031</v>
      </c>
      <c r="AC4571" s="4">
        <f t="shared" si="702"/>
        <v>839.73124960396672</v>
      </c>
      <c r="AD4571" s="6">
        <f t="shared" si="697"/>
        <v>84812.856209999998</v>
      </c>
      <c r="AE4571" s="2">
        <f>VLOOKUP(I4571,[1]媒体政策预估表!A:N,MATCH(O4571,[1]媒体政策预估表!$A$2:$M$2,0),0)</f>
        <v>0.15</v>
      </c>
      <c r="AF4571" s="6">
        <f t="shared" si="703"/>
        <v>12721.928431499999</v>
      </c>
      <c r="AG4571" s="14">
        <v>0</v>
      </c>
      <c r="AH4571" s="65">
        <f t="shared" si="698"/>
        <v>84812.856209999998</v>
      </c>
      <c r="AI4571" s="47"/>
      <c r="AJ4571" s="126" t="e">
        <v>#N/A</v>
      </c>
      <c r="AK4571" s="80">
        <f t="shared" si="701"/>
        <v>0</v>
      </c>
      <c r="AM4571" s="85"/>
    </row>
    <row r="4572" spans="1:39" hidden="1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695"/>
        <v>-1.5</v>
      </c>
      <c r="X4572" s="6">
        <f t="shared" si="696"/>
        <v>0</v>
      </c>
      <c r="Y4572" s="13">
        <f t="shared" si="699"/>
        <v>0</v>
      </c>
      <c r="Z4572" s="14">
        <v>0</v>
      </c>
      <c r="AA4572" s="6">
        <v>0</v>
      </c>
      <c r="AB4572" s="4">
        <f t="shared" si="700"/>
        <v>0</v>
      </c>
      <c r="AC4572" s="4">
        <f t="shared" si="702"/>
        <v>0</v>
      </c>
      <c r="AD4572" s="6">
        <f t="shared" si="697"/>
        <v>0</v>
      </c>
      <c r="AE4572" s="2">
        <f>VLOOKUP(I4572,[1]媒体政策预估表!A:N,MATCH(O4572,[1]媒体政策预估表!$A$2:$M$2,0),0)</f>
        <v>0.12</v>
      </c>
      <c r="AF4572" s="6">
        <f t="shared" si="703"/>
        <v>0</v>
      </c>
      <c r="AG4572" s="14">
        <v>0</v>
      </c>
      <c r="AH4572" s="65">
        <f t="shared" si="698"/>
        <v>0</v>
      </c>
      <c r="AI4572" s="47"/>
      <c r="AJ4572" s="126" t="e">
        <v>#N/A</v>
      </c>
      <c r="AK4572" s="80">
        <f t="shared" si="701"/>
        <v>0</v>
      </c>
      <c r="AM4572" s="85"/>
    </row>
    <row r="4573" spans="1:39" hidden="1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695"/>
        <v>-51</v>
      </c>
      <c r="X4573" s="6">
        <f t="shared" si="696"/>
        <v>0</v>
      </c>
      <c r="Y4573" s="13">
        <f t="shared" si="699"/>
        <v>0</v>
      </c>
      <c r="Z4573" s="14">
        <v>0</v>
      </c>
      <c r="AA4573" s="6">
        <v>0</v>
      </c>
      <c r="AB4573" s="4">
        <f t="shared" si="700"/>
        <v>0</v>
      </c>
      <c r="AC4573" s="4">
        <f t="shared" si="702"/>
        <v>0</v>
      </c>
      <c r="AD4573" s="6">
        <f t="shared" si="697"/>
        <v>0</v>
      </c>
      <c r="AE4573" s="2">
        <f>VLOOKUP(I4573,[1]媒体政策预估表!A:N,MATCH(O4573,[1]媒体政策预估表!$A$2:$M$2,0),0)</f>
        <v>0.12</v>
      </c>
      <c r="AF4573" s="6">
        <f t="shared" si="703"/>
        <v>0</v>
      </c>
      <c r="AG4573" s="14">
        <v>0</v>
      </c>
      <c r="AH4573" s="65">
        <f t="shared" si="698"/>
        <v>0</v>
      </c>
      <c r="AI4573" s="47"/>
      <c r="AJ4573" s="126" t="e">
        <v>#N/A</v>
      </c>
      <c r="AK4573" s="80">
        <f t="shared" si="701"/>
        <v>0</v>
      </c>
      <c r="AM4573" s="85"/>
    </row>
    <row r="4574" spans="1:39" hidden="1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695"/>
        <v>427.15000000000049</v>
      </c>
      <c r="X4574" s="6">
        <f t="shared" si="696"/>
        <v>0</v>
      </c>
      <c r="Y4574" s="13">
        <f t="shared" si="699"/>
        <v>0</v>
      </c>
      <c r="Z4574" s="14">
        <v>0</v>
      </c>
      <c r="AA4574" s="6">
        <v>0</v>
      </c>
      <c r="AB4574" s="4">
        <f t="shared" si="700"/>
        <v>0</v>
      </c>
      <c r="AC4574" s="4">
        <f t="shared" si="702"/>
        <v>0</v>
      </c>
      <c r="AD4574" s="6">
        <f t="shared" si="697"/>
        <v>0</v>
      </c>
      <c r="AE4574" s="2">
        <f>VLOOKUP(I4574,[1]媒体政策预估表!A:N,MATCH(O4574,[1]媒体政策预估表!$A$2:$M$2,0),0)</f>
        <v>0.12</v>
      </c>
      <c r="AF4574" s="6">
        <f t="shared" si="703"/>
        <v>0</v>
      </c>
      <c r="AG4574" s="14">
        <v>0</v>
      </c>
      <c r="AH4574" s="65">
        <f t="shared" si="698"/>
        <v>0</v>
      </c>
      <c r="AI4574" s="47"/>
      <c r="AJ4574" s="126" t="e">
        <v>#N/A</v>
      </c>
      <c r="AK4574" s="80">
        <f t="shared" si="701"/>
        <v>0</v>
      </c>
      <c r="AM4574" s="85"/>
    </row>
    <row r="4575" spans="1:39" hidden="1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695"/>
        <v>-662.4</v>
      </c>
      <c r="X4575" s="6">
        <f t="shared" si="696"/>
        <v>0</v>
      </c>
      <c r="Y4575" s="13">
        <f t="shared" si="699"/>
        <v>0</v>
      </c>
      <c r="Z4575" s="14">
        <v>0</v>
      </c>
      <c r="AA4575" s="6">
        <v>0</v>
      </c>
      <c r="AB4575" s="4">
        <f t="shared" si="700"/>
        <v>0</v>
      </c>
      <c r="AC4575" s="4">
        <f t="shared" si="702"/>
        <v>0</v>
      </c>
      <c r="AD4575" s="6">
        <f t="shared" si="697"/>
        <v>0</v>
      </c>
      <c r="AE4575" s="2">
        <f>VLOOKUP(I4575,[1]媒体政策预估表!A:N,MATCH(O4575,[1]媒体政策预估表!$A$2:$M$2,0),0)</f>
        <v>0.12</v>
      </c>
      <c r="AF4575" s="6">
        <f t="shared" si="703"/>
        <v>0</v>
      </c>
      <c r="AG4575" s="14">
        <v>0</v>
      </c>
      <c r="AH4575" s="65">
        <f t="shared" si="698"/>
        <v>0</v>
      </c>
      <c r="AI4575" s="47"/>
      <c r="AJ4575" s="126" t="e">
        <v>#N/A</v>
      </c>
      <c r="AK4575" s="80">
        <f t="shared" si="701"/>
        <v>0</v>
      </c>
      <c r="AM4575" s="85"/>
    </row>
    <row r="4576" spans="1:39" hidden="1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695"/>
        <v>-10820.1</v>
      </c>
      <c r="X4576" s="6">
        <f t="shared" si="696"/>
        <v>0</v>
      </c>
      <c r="Y4576" s="13">
        <f t="shared" si="699"/>
        <v>0</v>
      </c>
      <c r="Z4576" s="14">
        <v>0</v>
      </c>
      <c r="AA4576" s="6">
        <v>0</v>
      </c>
      <c r="AB4576" s="4">
        <f t="shared" si="700"/>
        <v>0</v>
      </c>
      <c r="AC4576" s="4">
        <f t="shared" si="702"/>
        <v>0</v>
      </c>
      <c r="AD4576" s="6">
        <f t="shared" si="697"/>
        <v>0</v>
      </c>
      <c r="AE4576" s="2">
        <f>VLOOKUP(I4576,[1]媒体政策预估表!A:N,MATCH(O4576,[1]媒体政策预估表!$A$2:$M$2,0),0)</f>
        <v>0.15</v>
      </c>
      <c r="AF4576" s="6">
        <f t="shared" si="703"/>
        <v>0</v>
      </c>
      <c r="AG4576" s="14">
        <v>0</v>
      </c>
      <c r="AH4576" s="65">
        <f t="shared" si="698"/>
        <v>0</v>
      </c>
      <c r="AI4576" s="47"/>
      <c r="AJ4576" s="126" t="e">
        <v>#N/A</v>
      </c>
      <c r="AK4576" s="80">
        <f t="shared" si="701"/>
        <v>0</v>
      </c>
      <c r="AM4576" s="85"/>
    </row>
    <row r="4577" spans="1:39" hidden="1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695"/>
        <v>-116361.57738999999</v>
      </c>
      <c r="X4577" s="6">
        <f t="shared" si="696"/>
        <v>67230.057435643554</v>
      </c>
      <c r="Y4577" s="13">
        <f t="shared" si="699"/>
        <v>0</v>
      </c>
      <c r="Z4577" s="14">
        <v>0</v>
      </c>
      <c r="AA4577" s="6">
        <v>0</v>
      </c>
      <c r="AB4577" s="4">
        <f t="shared" si="700"/>
        <v>67230.057435643554</v>
      </c>
      <c r="AC4577" s="4">
        <f t="shared" si="702"/>
        <v>672.30057435644267</v>
      </c>
      <c r="AD4577" s="6">
        <f t="shared" si="697"/>
        <v>67902.358009999996</v>
      </c>
      <c r="AE4577" s="2">
        <f>VLOOKUP(I4577,[1]媒体政策预估表!A:N,MATCH(O4577,[1]媒体政策预估表!$A$2:$M$2,0),0)</f>
        <v>0.12</v>
      </c>
      <c r="AF4577" s="6">
        <f t="shared" si="703"/>
        <v>8148.2829611999996</v>
      </c>
      <c r="AG4577" s="14">
        <v>0</v>
      </c>
      <c r="AH4577" s="65">
        <f t="shared" si="698"/>
        <v>67902.358009999996</v>
      </c>
      <c r="AI4577" s="47"/>
      <c r="AJ4577" s="126" t="e">
        <v>#N/A</v>
      </c>
      <c r="AK4577" s="80">
        <f t="shared" si="701"/>
        <v>0</v>
      </c>
      <c r="AM4577" s="85"/>
    </row>
    <row r="4578" spans="1:39" hidden="1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695"/>
        <v>-100687.09799999988</v>
      </c>
      <c r="X4578" s="6">
        <f t="shared" si="696"/>
        <v>0</v>
      </c>
      <c r="Y4578" s="13">
        <f t="shared" si="699"/>
        <v>0</v>
      </c>
      <c r="Z4578" s="14">
        <v>0</v>
      </c>
      <c r="AA4578" s="6">
        <v>0</v>
      </c>
      <c r="AB4578" s="4">
        <f t="shared" si="700"/>
        <v>0</v>
      </c>
      <c r="AC4578" s="4">
        <f t="shared" si="702"/>
        <v>0</v>
      </c>
      <c r="AD4578" s="6">
        <f t="shared" si="697"/>
        <v>0</v>
      </c>
      <c r="AE4578" s="2">
        <f>VLOOKUP(I4578,[1]媒体政策预估表!A:N,MATCH(O4578,[1]媒体政策预估表!$A$2:$M$2,0),0)</f>
        <v>0.12</v>
      </c>
      <c r="AF4578" s="6">
        <f t="shared" si="703"/>
        <v>0</v>
      </c>
      <c r="AG4578" s="14">
        <v>0</v>
      </c>
      <c r="AH4578" s="65">
        <f t="shared" si="698"/>
        <v>0</v>
      </c>
      <c r="AI4578" s="47"/>
      <c r="AJ4578" s="126" t="e">
        <v>#N/A</v>
      </c>
      <c r="AK4578" s="80">
        <f t="shared" si="701"/>
        <v>0</v>
      </c>
      <c r="AM4578" s="85"/>
    </row>
    <row r="4579" spans="1:39" hidden="1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695"/>
        <v>-728794.64371999993</v>
      </c>
      <c r="X4579" s="6">
        <f t="shared" si="696"/>
        <v>0</v>
      </c>
      <c r="Y4579" s="13">
        <f t="shared" si="699"/>
        <v>0</v>
      </c>
      <c r="Z4579" s="14">
        <v>0</v>
      </c>
      <c r="AA4579" s="6">
        <v>0</v>
      </c>
      <c r="AB4579" s="4">
        <f t="shared" si="700"/>
        <v>0</v>
      </c>
      <c r="AC4579" s="4">
        <f t="shared" si="702"/>
        <v>0</v>
      </c>
      <c r="AD4579" s="6">
        <f t="shared" si="697"/>
        <v>0</v>
      </c>
      <c r="AE4579" s="2">
        <f>VLOOKUP(I4579,[1]媒体政策预估表!A:N,MATCH(O4579,[1]媒体政策预估表!$A$2:$M$2,0),0)</f>
        <v>0.15</v>
      </c>
      <c r="AF4579" s="6">
        <f t="shared" si="703"/>
        <v>0</v>
      </c>
      <c r="AG4579" s="14">
        <v>0</v>
      </c>
      <c r="AH4579" s="65">
        <f t="shared" si="698"/>
        <v>0</v>
      </c>
      <c r="AI4579" s="47"/>
      <c r="AJ4579" s="126" t="e">
        <v>#N/A</v>
      </c>
      <c r="AK4579" s="80">
        <f t="shared" si="701"/>
        <v>0</v>
      </c>
      <c r="AM4579" s="85"/>
    </row>
    <row r="4580" spans="1:39" hidden="1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695"/>
        <v>12986.9</v>
      </c>
      <c r="X4580" s="6">
        <f t="shared" si="696"/>
        <v>0</v>
      </c>
      <c r="Y4580" s="13">
        <f t="shared" si="699"/>
        <v>0</v>
      </c>
      <c r="Z4580" s="14">
        <v>0</v>
      </c>
      <c r="AA4580" s="6">
        <v>0</v>
      </c>
      <c r="AB4580" s="4">
        <f t="shared" si="700"/>
        <v>0</v>
      </c>
      <c r="AC4580" s="4">
        <f t="shared" si="702"/>
        <v>0</v>
      </c>
      <c r="AD4580" s="6">
        <f t="shared" si="697"/>
        <v>0</v>
      </c>
      <c r="AE4580" s="2">
        <f>VLOOKUP(I4580,[1]媒体政策预估表!A:N,MATCH(O4580,[1]媒体政策预估表!$A$2:$M$2,0),0)</f>
        <v>0.12</v>
      </c>
      <c r="AF4580" s="6">
        <f t="shared" si="703"/>
        <v>0</v>
      </c>
      <c r="AG4580" s="14">
        <v>0</v>
      </c>
      <c r="AH4580" s="65">
        <f t="shared" si="698"/>
        <v>0</v>
      </c>
      <c r="AI4580" s="47"/>
      <c r="AJ4580" s="126" t="e">
        <v>#N/A</v>
      </c>
      <c r="AK4580" s="80">
        <f t="shared" si="701"/>
        <v>0</v>
      </c>
      <c r="AM4580" s="85"/>
    </row>
    <row r="4581" spans="1:39" hidden="1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695"/>
        <v>0</v>
      </c>
      <c r="X4581" s="6">
        <f t="shared" si="696"/>
        <v>0</v>
      </c>
      <c r="Y4581" s="13">
        <f t="shared" si="699"/>
        <v>0</v>
      </c>
      <c r="Z4581" s="14">
        <v>0</v>
      </c>
      <c r="AA4581" s="6">
        <v>0</v>
      </c>
      <c r="AB4581" s="4">
        <f t="shared" si="700"/>
        <v>0</v>
      </c>
      <c r="AC4581" s="4">
        <f t="shared" si="702"/>
        <v>0</v>
      </c>
      <c r="AD4581" s="6">
        <f t="shared" si="697"/>
        <v>0</v>
      </c>
      <c r="AE4581" s="2">
        <f>VLOOKUP(I4581,[1]媒体政策预估表!A:N,MATCH(O4581,[1]媒体政策预估表!$A$2:$M$2,0),0)</f>
        <v>0.12</v>
      </c>
      <c r="AF4581" s="6">
        <f t="shared" si="703"/>
        <v>0</v>
      </c>
      <c r="AG4581" s="14">
        <v>0</v>
      </c>
      <c r="AH4581" s="65">
        <f t="shared" si="698"/>
        <v>0</v>
      </c>
      <c r="AI4581" s="47"/>
      <c r="AJ4581" s="126" t="e">
        <v>#N/A</v>
      </c>
      <c r="AK4581" s="80">
        <f t="shared" si="701"/>
        <v>0</v>
      </c>
      <c r="AM4581" s="85"/>
    </row>
    <row r="4582" spans="1:39" hidden="1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695"/>
        <v>-196.2</v>
      </c>
      <c r="X4582" s="6">
        <f t="shared" si="696"/>
        <v>0</v>
      </c>
      <c r="Y4582" s="13">
        <f t="shared" si="699"/>
        <v>0</v>
      </c>
      <c r="Z4582" s="14">
        <v>0</v>
      </c>
      <c r="AA4582" s="6">
        <v>0</v>
      </c>
      <c r="AB4582" s="4">
        <f t="shared" si="700"/>
        <v>0</v>
      </c>
      <c r="AC4582" s="4">
        <f t="shared" si="702"/>
        <v>0</v>
      </c>
      <c r="AD4582" s="6">
        <f t="shared" si="697"/>
        <v>0</v>
      </c>
      <c r="AE4582" s="2">
        <f>VLOOKUP(I4582,[1]媒体政策预估表!A:N,MATCH(O4582,[1]媒体政策预估表!$A$2:$M$2,0),0)</f>
        <v>0.12</v>
      </c>
      <c r="AF4582" s="6">
        <f t="shared" si="703"/>
        <v>0</v>
      </c>
      <c r="AG4582" s="14">
        <v>0</v>
      </c>
      <c r="AH4582" s="65">
        <f t="shared" si="698"/>
        <v>0</v>
      </c>
      <c r="AI4582" s="47"/>
      <c r="AJ4582" s="126" t="e">
        <v>#N/A</v>
      </c>
      <c r="AK4582" s="80">
        <f t="shared" si="701"/>
        <v>0</v>
      </c>
      <c r="AM4582" s="85"/>
    </row>
    <row r="4583" spans="1:39" hidden="1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695"/>
        <v>-2919</v>
      </c>
      <c r="X4583" s="6">
        <f t="shared" si="696"/>
        <v>0</v>
      </c>
      <c r="Y4583" s="13">
        <f t="shared" si="699"/>
        <v>0</v>
      </c>
      <c r="Z4583" s="14">
        <v>0</v>
      </c>
      <c r="AA4583" s="6">
        <v>0</v>
      </c>
      <c r="AB4583" s="4">
        <f t="shared" si="700"/>
        <v>0</v>
      </c>
      <c r="AC4583" s="4">
        <f t="shared" si="702"/>
        <v>0</v>
      </c>
      <c r="AD4583" s="6">
        <f t="shared" si="697"/>
        <v>0</v>
      </c>
      <c r="AE4583" s="2">
        <f>VLOOKUP(I4583,[1]媒体政策预估表!A:N,MATCH(O4583,[1]媒体政策预估表!$A$2:$M$2,0),0)</f>
        <v>0.12</v>
      </c>
      <c r="AF4583" s="6">
        <f t="shared" si="703"/>
        <v>0</v>
      </c>
      <c r="AG4583" s="14">
        <v>0</v>
      </c>
      <c r="AH4583" s="65">
        <f t="shared" si="698"/>
        <v>0</v>
      </c>
      <c r="AI4583" s="47"/>
      <c r="AJ4583" s="126" t="e">
        <v>#N/A</v>
      </c>
      <c r="AK4583" s="80">
        <f t="shared" si="701"/>
        <v>0</v>
      </c>
      <c r="AM4583" s="85"/>
    </row>
    <row r="4584" spans="1:39" hidden="1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695"/>
        <v>0</v>
      </c>
      <c r="X4584" s="6">
        <f t="shared" si="696"/>
        <v>0</v>
      </c>
      <c r="Y4584" s="13">
        <f t="shared" si="699"/>
        <v>0</v>
      </c>
      <c r="Z4584" s="14">
        <v>0</v>
      </c>
      <c r="AA4584" s="6">
        <v>0</v>
      </c>
      <c r="AB4584" s="4">
        <f t="shared" si="700"/>
        <v>0</v>
      </c>
      <c r="AC4584" s="4">
        <f t="shared" si="702"/>
        <v>0</v>
      </c>
      <c r="AD4584" s="6">
        <f t="shared" si="697"/>
        <v>0</v>
      </c>
      <c r="AE4584" s="2">
        <f>VLOOKUP(I4584,[1]媒体政策预估表!A:N,MATCH(O4584,[1]媒体政策预估表!$A$2:$M$2,0),0)</f>
        <v>0.15</v>
      </c>
      <c r="AF4584" s="6">
        <f t="shared" si="703"/>
        <v>0</v>
      </c>
      <c r="AG4584" s="14">
        <v>0</v>
      </c>
      <c r="AH4584" s="65">
        <f t="shared" si="698"/>
        <v>0</v>
      </c>
      <c r="AI4584" s="47"/>
      <c r="AJ4584" s="126" t="e">
        <v>#N/A</v>
      </c>
      <c r="AK4584" s="80">
        <f t="shared" si="701"/>
        <v>0</v>
      </c>
      <c r="AM4584" s="85"/>
    </row>
    <row r="4585" spans="1:39" hidden="1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695"/>
        <v>0</v>
      </c>
      <c r="X4585" s="6">
        <f t="shared" si="696"/>
        <v>0</v>
      </c>
      <c r="Y4585" s="13">
        <f t="shared" si="699"/>
        <v>0</v>
      </c>
      <c r="Z4585" s="14">
        <v>0</v>
      </c>
      <c r="AA4585" s="6">
        <v>0</v>
      </c>
      <c r="AB4585" s="4">
        <f t="shared" si="700"/>
        <v>0</v>
      </c>
      <c r="AC4585" s="4">
        <f t="shared" si="702"/>
        <v>0</v>
      </c>
      <c r="AD4585" s="6">
        <f t="shared" si="697"/>
        <v>0</v>
      </c>
      <c r="AE4585" s="2">
        <f>VLOOKUP(I4585,[1]媒体政策预估表!A:N,MATCH(O4585,[1]媒体政策预估表!$A$2:$M$2,0),0)</f>
        <v>0.12</v>
      </c>
      <c r="AF4585" s="6">
        <f t="shared" si="703"/>
        <v>0</v>
      </c>
      <c r="AG4585" s="14">
        <v>0</v>
      </c>
      <c r="AH4585" s="65">
        <f t="shared" si="698"/>
        <v>0</v>
      </c>
      <c r="AI4585" s="47"/>
      <c r="AJ4585" s="126" t="e">
        <v>#N/A</v>
      </c>
      <c r="AK4585" s="80">
        <f t="shared" si="701"/>
        <v>0</v>
      </c>
      <c r="AM4585" s="85"/>
    </row>
    <row r="4586" spans="1:39" hidden="1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695"/>
        <v>-430156.33107999997</v>
      </c>
      <c r="X4586" s="6">
        <f t="shared" si="696"/>
        <v>0</v>
      </c>
      <c r="Y4586" s="13">
        <f t="shared" si="699"/>
        <v>0</v>
      </c>
      <c r="Z4586" s="14">
        <v>0</v>
      </c>
      <c r="AA4586" s="6">
        <v>0</v>
      </c>
      <c r="AB4586" s="4">
        <f t="shared" si="700"/>
        <v>0</v>
      </c>
      <c r="AC4586" s="4">
        <f t="shared" si="702"/>
        <v>0</v>
      </c>
      <c r="AD4586" s="6">
        <f t="shared" si="697"/>
        <v>0</v>
      </c>
      <c r="AE4586" s="2">
        <f>VLOOKUP(I4586,[1]媒体政策预估表!A:N,MATCH(O4586,[1]媒体政策预估表!$A$2:$M$2,0),0)</f>
        <v>0.15</v>
      </c>
      <c r="AF4586" s="6">
        <f t="shared" si="703"/>
        <v>0</v>
      </c>
      <c r="AG4586" s="14">
        <v>0</v>
      </c>
      <c r="AH4586" s="65">
        <f t="shared" si="698"/>
        <v>0</v>
      </c>
      <c r="AI4586" s="47"/>
      <c r="AJ4586" s="126" t="e">
        <v>#N/A</v>
      </c>
      <c r="AK4586" s="80">
        <f t="shared" si="701"/>
        <v>0</v>
      </c>
      <c r="AM4586" s="85"/>
    </row>
    <row r="4587" spans="1:39" hidden="1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695"/>
        <v>-19368.649999999998</v>
      </c>
      <c r="X4587" s="6">
        <f t="shared" si="696"/>
        <v>0</v>
      </c>
      <c r="Y4587" s="13">
        <f t="shared" si="699"/>
        <v>0</v>
      </c>
      <c r="Z4587" s="14">
        <v>0</v>
      </c>
      <c r="AA4587" s="6">
        <v>0</v>
      </c>
      <c r="AB4587" s="4">
        <f t="shared" si="700"/>
        <v>0</v>
      </c>
      <c r="AC4587" s="4">
        <f t="shared" si="702"/>
        <v>0</v>
      </c>
      <c r="AD4587" s="6">
        <f t="shared" si="697"/>
        <v>0</v>
      </c>
      <c r="AE4587" s="2">
        <f>VLOOKUP(I4587,[1]媒体政策预估表!A:N,MATCH(O4587,[1]媒体政策预估表!$A$2:$M$2,0),0)</f>
        <v>0.12</v>
      </c>
      <c r="AF4587" s="6">
        <f t="shared" si="703"/>
        <v>0</v>
      </c>
      <c r="AG4587" s="14">
        <v>0</v>
      </c>
      <c r="AH4587" s="65">
        <f t="shared" si="698"/>
        <v>0</v>
      </c>
      <c r="AI4587" s="47"/>
      <c r="AJ4587" s="126" t="e">
        <v>#N/A</v>
      </c>
      <c r="AK4587" s="80">
        <f t="shared" si="701"/>
        <v>0</v>
      </c>
      <c r="AM4587" s="85"/>
    </row>
    <row r="4588" spans="1:39" hidden="1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695"/>
        <v>-20103.67324</v>
      </c>
      <c r="X4588" s="6">
        <f t="shared" si="696"/>
        <v>0</v>
      </c>
      <c r="Y4588" s="13">
        <f t="shared" si="699"/>
        <v>0</v>
      </c>
      <c r="Z4588" s="14">
        <v>0</v>
      </c>
      <c r="AA4588" s="6">
        <v>0</v>
      </c>
      <c r="AB4588" s="4">
        <f t="shared" si="700"/>
        <v>0</v>
      </c>
      <c r="AC4588" s="4">
        <f t="shared" si="702"/>
        <v>0</v>
      </c>
      <c r="AD4588" s="6">
        <f t="shared" si="697"/>
        <v>0</v>
      </c>
      <c r="AE4588" s="2">
        <f>VLOOKUP(I4588,[1]媒体政策预估表!A:N,MATCH(O4588,[1]媒体政策预估表!$A$2:$M$2,0),0)</f>
        <v>0.12</v>
      </c>
      <c r="AF4588" s="6">
        <f t="shared" si="703"/>
        <v>0</v>
      </c>
      <c r="AG4588" s="14">
        <v>0</v>
      </c>
      <c r="AH4588" s="65">
        <f t="shared" si="698"/>
        <v>0</v>
      </c>
      <c r="AI4588" s="47"/>
      <c r="AJ4588" s="126" t="e">
        <v>#N/A</v>
      </c>
      <c r="AK4588" s="80">
        <f t="shared" si="701"/>
        <v>0</v>
      </c>
      <c r="AM4588" s="85"/>
    </row>
    <row r="4589" spans="1:39" hidden="1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695"/>
        <v>-283.33</v>
      </c>
      <c r="X4589" s="6">
        <f t="shared" si="696"/>
        <v>0</v>
      </c>
      <c r="Y4589" s="13">
        <f t="shared" si="699"/>
        <v>0</v>
      </c>
      <c r="Z4589" s="14">
        <v>0</v>
      </c>
      <c r="AA4589" s="6">
        <v>0</v>
      </c>
      <c r="AB4589" s="4">
        <f t="shared" si="700"/>
        <v>0</v>
      </c>
      <c r="AC4589" s="4">
        <f t="shared" si="702"/>
        <v>0</v>
      </c>
      <c r="AD4589" s="6">
        <f t="shared" si="697"/>
        <v>0</v>
      </c>
      <c r="AE4589" s="2">
        <f>VLOOKUP(I4589,[1]媒体政策预估表!A:N,MATCH(O4589,[1]媒体政策预估表!$A$2:$M$2,0),0)</f>
        <v>0.12</v>
      </c>
      <c r="AF4589" s="6">
        <f t="shared" si="703"/>
        <v>0</v>
      </c>
      <c r="AG4589" s="14">
        <v>0</v>
      </c>
      <c r="AH4589" s="65">
        <f t="shared" si="698"/>
        <v>0</v>
      </c>
      <c r="AI4589" s="47"/>
      <c r="AJ4589" s="126" t="e">
        <v>#N/A</v>
      </c>
      <c r="AK4589" s="80">
        <f t="shared" si="701"/>
        <v>0</v>
      </c>
      <c r="AM4589" s="85"/>
    </row>
    <row r="4590" spans="1:39" hidden="1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696"/>
        <v>7003.0218461538461</v>
      </c>
      <c r="Y4590" s="13">
        <f t="shared" si="699"/>
        <v>0</v>
      </c>
      <c r="Z4590" s="14">
        <v>0</v>
      </c>
      <c r="AA4590" s="6">
        <v>0</v>
      </c>
      <c r="AB4590" s="4">
        <f t="shared" si="700"/>
        <v>7003.0218461538461</v>
      </c>
      <c r="AC4590" s="4">
        <f t="shared" si="702"/>
        <v>280.1208738461537</v>
      </c>
      <c r="AD4590" s="6">
        <f t="shared" si="697"/>
        <v>7283.1427199999998</v>
      </c>
      <c r="AE4590" s="2">
        <f>VLOOKUP(I4590,[1]媒体政策预估表!A:N,MATCH(O4590,[1]媒体政策预估表!$A$2:$M$2,0),0)</f>
        <v>0.12</v>
      </c>
      <c r="AF4590" s="6">
        <f t="shared" si="703"/>
        <v>873.97712639999997</v>
      </c>
      <c r="AG4590" s="14">
        <v>0</v>
      </c>
      <c r="AH4590" s="65">
        <f t="shared" si="698"/>
        <v>7283.1427199999998</v>
      </c>
      <c r="AI4590" s="47"/>
      <c r="AJ4590" s="126" t="e">
        <v>#N/A</v>
      </c>
      <c r="AK4590" s="80">
        <f t="shared" si="701"/>
        <v>0</v>
      </c>
      <c r="AM4590" s="85"/>
    </row>
    <row r="4591" spans="1:39" hidden="1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695"/>
        <v>-393.79475000000002</v>
      </c>
      <c r="X4591" s="6">
        <f t="shared" si="696"/>
        <v>0</v>
      </c>
      <c r="Y4591" s="13">
        <f t="shared" si="699"/>
        <v>0</v>
      </c>
      <c r="Z4591" s="14">
        <v>0</v>
      </c>
      <c r="AA4591" s="6">
        <v>0</v>
      </c>
      <c r="AB4591" s="4">
        <f t="shared" si="700"/>
        <v>0</v>
      </c>
      <c r="AC4591" s="4">
        <f t="shared" si="702"/>
        <v>0</v>
      </c>
      <c r="AD4591" s="6">
        <f t="shared" si="697"/>
        <v>0</v>
      </c>
      <c r="AE4591" s="2">
        <f>VLOOKUP(I4591,[1]媒体政策预估表!A:N,MATCH(O4591,[1]媒体政策预估表!$A$2:$M$2,0),0)</f>
        <v>0.12</v>
      </c>
      <c r="AF4591" s="6">
        <f t="shared" si="703"/>
        <v>0</v>
      </c>
      <c r="AG4591" s="14">
        <v>0</v>
      </c>
      <c r="AH4591" s="65">
        <f t="shared" si="698"/>
        <v>0</v>
      </c>
      <c r="AI4591" s="47"/>
      <c r="AJ4591" s="126" t="e">
        <v>#N/A</v>
      </c>
      <c r="AK4591" s="80">
        <f t="shared" si="701"/>
        <v>0</v>
      </c>
      <c r="AM4591" s="85"/>
    </row>
    <row r="4592" spans="1:39" hidden="1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695"/>
        <v>-515.11821999999995</v>
      </c>
      <c r="X4592" s="6">
        <f t="shared" si="696"/>
        <v>0</v>
      </c>
      <c r="Y4592" s="13">
        <f t="shared" si="699"/>
        <v>0</v>
      </c>
      <c r="Z4592" s="14">
        <v>0</v>
      </c>
      <c r="AA4592" s="6">
        <v>0</v>
      </c>
      <c r="AB4592" s="4">
        <f t="shared" si="700"/>
        <v>0</v>
      </c>
      <c r="AC4592" s="4">
        <f t="shared" si="702"/>
        <v>0</v>
      </c>
      <c r="AD4592" s="6">
        <f t="shared" si="697"/>
        <v>0</v>
      </c>
      <c r="AE4592" s="2">
        <f>VLOOKUP(I4592,[1]媒体政策预估表!A:N,MATCH(O4592,[1]媒体政策预估表!$A$2:$M$2,0),0)</f>
        <v>0.12</v>
      </c>
      <c r="AF4592" s="6">
        <f t="shared" si="703"/>
        <v>0</v>
      </c>
      <c r="AG4592" s="14">
        <v>0</v>
      </c>
      <c r="AH4592" s="65">
        <f t="shared" si="698"/>
        <v>0</v>
      </c>
      <c r="AI4592" s="47"/>
      <c r="AJ4592" s="126" t="e">
        <v>#N/A</v>
      </c>
      <c r="AK4592" s="80">
        <f t="shared" si="701"/>
        <v>0</v>
      </c>
      <c r="AM4592" s="85"/>
    </row>
    <row r="4593" spans="1:39" hidden="1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695"/>
        <v>-2326.79</v>
      </c>
      <c r="X4593" s="6">
        <f t="shared" si="696"/>
        <v>0</v>
      </c>
      <c r="Y4593" s="13">
        <f t="shared" si="699"/>
        <v>0</v>
      </c>
      <c r="Z4593" s="14">
        <v>0</v>
      </c>
      <c r="AA4593" s="6">
        <v>0</v>
      </c>
      <c r="AB4593" s="4">
        <f t="shared" si="700"/>
        <v>0</v>
      </c>
      <c r="AC4593" s="4">
        <f t="shared" si="702"/>
        <v>0</v>
      </c>
      <c r="AD4593" s="6">
        <f t="shared" si="697"/>
        <v>0</v>
      </c>
      <c r="AE4593" s="2">
        <f>VLOOKUP(I4593,[1]媒体政策预估表!A:N,MATCH(O4593,[1]媒体政策预估表!$A$2:$M$2,0),0)</f>
        <v>0.12</v>
      </c>
      <c r="AF4593" s="6">
        <f t="shared" si="703"/>
        <v>0</v>
      </c>
      <c r="AG4593" s="14">
        <v>0</v>
      </c>
      <c r="AH4593" s="65">
        <f t="shared" si="698"/>
        <v>0</v>
      </c>
      <c r="AI4593" s="47"/>
      <c r="AJ4593" s="126" t="e">
        <v>#N/A</v>
      </c>
      <c r="AK4593" s="80">
        <f t="shared" si="701"/>
        <v>0</v>
      </c>
      <c r="AM4593" s="85"/>
    </row>
    <row r="4594" spans="1:39" hidden="1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695"/>
        <v>-214626.32046000002</v>
      </c>
      <c r="X4594" s="6">
        <f t="shared" si="696"/>
        <v>106690.13604</v>
      </c>
      <c r="Y4594" s="13">
        <f t="shared" si="699"/>
        <v>0</v>
      </c>
      <c r="Z4594" s="14">
        <v>0</v>
      </c>
      <c r="AA4594" s="6">
        <v>0</v>
      </c>
      <c r="AB4594" s="4">
        <f t="shared" si="700"/>
        <v>106690.13604</v>
      </c>
      <c r="AC4594" s="4">
        <f t="shared" si="702"/>
        <v>0</v>
      </c>
      <c r="AD4594" s="6">
        <f t="shared" si="697"/>
        <v>106690.13604</v>
      </c>
      <c r="AE4594" s="2">
        <f>VLOOKUP(I4594,[1]媒体政策预估表!A:N,MATCH(O4594,[1]媒体政策预估表!$A$2:$M$2,0),0)</f>
        <v>0.04</v>
      </c>
      <c r="AF4594" s="6">
        <f t="shared" si="703"/>
        <v>4267.6054415999997</v>
      </c>
      <c r="AG4594" s="14">
        <v>0</v>
      </c>
      <c r="AH4594" s="65">
        <f t="shared" si="698"/>
        <v>106690.13604</v>
      </c>
      <c r="AI4594" s="47"/>
      <c r="AJ4594" s="126" t="e">
        <v>#N/A</v>
      </c>
      <c r="AK4594" s="80">
        <f t="shared" si="701"/>
        <v>0</v>
      </c>
      <c r="AM4594" s="85"/>
    </row>
    <row r="4595" spans="1:39" hidden="1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695"/>
        <v>-344177.42773999996</v>
      </c>
      <c r="X4595" s="6">
        <f t="shared" si="696"/>
        <v>180644.51397999999</v>
      </c>
      <c r="Y4595" s="13">
        <f t="shared" si="699"/>
        <v>0</v>
      </c>
      <c r="Z4595" s="14">
        <v>0</v>
      </c>
      <c r="AA4595" s="6">
        <v>0</v>
      </c>
      <c r="AB4595" s="4">
        <f t="shared" si="700"/>
        <v>180644.51397999999</v>
      </c>
      <c r="AC4595" s="4">
        <f t="shared" si="702"/>
        <v>0</v>
      </c>
      <c r="AD4595" s="6">
        <f t="shared" si="697"/>
        <v>180644.51397999999</v>
      </c>
      <c r="AE4595" s="2">
        <f>VLOOKUP(I4595,[1]媒体政策预估表!A:N,MATCH(O4595,[1]媒体政策预估表!$A$2:$M$2,0),0)</f>
        <v>0.04</v>
      </c>
      <c r="AF4595" s="6">
        <f t="shared" si="703"/>
        <v>7225.7805591999995</v>
      </c>
      <c r="AG4595" s="14">
        <v>0</v>
      </c>
      <c r="AH4595" s="65">
        <f t="shared" si="698"/>
        <v>180644.51397999999</v>
      </c>
      <c r="AI4595" s="47"/>
      <c r="AJ4595" s="126" t="e">
        <v>#N/A</v>
      </c>
      <c r="AK4595" s="80">
        <f t="shared" si="701"/>
        <v>0</v>
      </c>
      <c r="AM4595" s="85"/>
    </row>
    <row r="4596" spans="1:39" hidden="1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695"/>
        <v>-13432.962930000002</v>
      </c>
      <c r="X4596" s="6">
        <f t="shared" si="696"/>
        <v>6939.3189700000003</v>
      </c>
      <c r="Y4596" s="13">
        <f t="shared" si="699"/>
        <v>0</v>
      </c>
      <c r="Z4596" s="14">
        <v>0</v>
      </c>
      <c r="AA4596" s="6">
        <v>0</v>
      </c>
      <c r="AB4596" s="4">
        <f t="shared" si="700"/>
        <v>6939.3189700000003</v>
      </c>
      <c r="AC4596" s="4">
        <f t="shared" si="702"/>
        <v>0</v>
      </c>
      <c r="AD4596" s="6">
        <f t="shared" si="697"/>
        <v>6939.3189700000003</v>
      </c>
      <c r="AE4596" s="2">
        <f>VLOOKUP(I4596,[1]媒体政策预估表!A:N,MATCH(O4596,[1]媒体政策预估表!$A$2:$M$2,0),0)</f>
        <v>0.04</v>
      </c>
      <c r="AF4596" s="6">
        <f t="shared" si="703"/>
        <v>277.57275880000003</v>
      </c>
      <c r="AG4596" s="14">
        <v>0</v>
      </c>
      <c r="AH4596" s="65">
        <f t="shared" si="698"/>
        <v>6939.3189700000003</v>
      </c>
      <c r="AI4596" s="47"/>
      <c r="AJ4596" s="126" t="e">
        <v>#N/A</v>
      </c>
      <c r="AK4596" s="80">
        <f t="shared" si="701"/>
        <v>0</v>
      </c>
      <c r="AM4596" s="85"/>
    </row>
    <row r="4597" spans="1:39" hidden="1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695"/>
        <v>132328.42392</v>
      </c>
      <c r="X4597" s="6">
        <f t="shared" si="696"/>
        <v>45530.177490000002</v>
      </c>
      <c r="Y4597" s="13">
        <f t="shared" si="699"/>
        <v>368.99502743456833</v>
      </c>
      <c r="Z4597" s="14">
        <v>0</v>
      </c>
      <c r="AA4597" s="6">
        <v>0</v>
      </c>
      <c r="AB4597" s="4">
        <f t="shared" si="700"/>
        <v>45530.177490000002</v>
      </c>
      <c r="AC4597" s="4">
        <f t="shared" si="702"/>
        <v>0</v>
      </c>
      <c r="AD4597" s="6">
        <f t="shared" ref="AD4597:AD4600" si="704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03"/>
        <v>1806.4472985026173</v>
      </c>
      <c r="AG4597" s="14">
        <v>0</v>
      </c>
      <c r="AH4597" s="65">
        <f t="shared" si="698"/>
        <v>45530.177490000002</v>
      </c>
      <c r="AI4597" s="47"/>
      <c r="AJ4597" s="126" t="e">
        <v>#N/A</v>
      </c>
      <c r="AK4597" s="80">
        <f t="shared" si="701"/>
        <v>0</v>
      </c>
      <c r="AM4597" s="85"/>
    </row>
    <row r="4598" spans="1:39" hidden="1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695"/>
        <v>-5081.7767599999997</v>
      </c>
      <c r="X4598" s="6">
        <f t="shared" si="696"/>
        <v>1315.09538</v>
      </c>
      <c r="Y4598" s="13">
        <f t="shared" si="699"/>
        <v>10.658066420425257</v>
      </c>
      <c r="Z4598" s="14">
        <v>0</v>
      </c>
      <c r="AA4598" s="6">
        <v>0</v>
      </c>
      <c r="AB4598" s="4">
        <f t="shared" si="700"/>
        <v>1315.09538</v>
      </c>
      <c r="AC4598" s="4">
        <f t="shared" si="702"/>
        <v>0</v>
      </c>
      <c r="AD4598" s="6">
        <f t="shared" si="704"/>
        <v>1304.4373135795747</v>
      </c>
      <c r="AE4598" s="2">
        <f>VLOOKUP(I4598,[1]媒体政策预估表!A:N,MATCH(O4598,[1]媒体政策预估表!$A$2:$M$2,0),0)</f>
        <v>0.04</v>
      </c>
      <c r="AF4598" s="6">
        <f t="shared" si="703"/>
        <v>52.177492543182993</v>
      </c>
      <c r="AG4598" s="14">
        <v>0</v>
      </c>
      <c r="AH4598" s="65">
        <f t="shared" si="698"/>
        <v>1315.09538</v>
      </c>
      <c r="AI4598" s="47"/>
      <c r="AJ4598" s="126" t="e">
        <v>#N/A</v>
      </c>
      <c r="AK4598" s="80">
        <f t="shared" si="701"/>
        <v>0</v>
      </c>
      <c r="AM4598" s="85"/>
    </row>
    <row r="4599" spans="1:39" hidden="1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695"/>
        <v>-122849.48635000001</v>
      </c>
      <c r="X4599" s="6">
        <f t="shared" si="696"/>
        <v>42026.42151</v>
      </c>
      <c r="Y4599" s="13">
        <f t="shared" si="699"/>
        <v>340.59916769411211</v>
      </c>
      <c r="Z4599" s="14">
        <v>0</v>
      </c>
      <c r="AA4599" s="6">
        <v>0</v>
      </c>
      <c r="AB4599" s="4">
        <f t="shared" si="700"/>
        <v>42026.42151</v>
      </c>
      <c r="AC4599" s="4">
        <f t="shared" si="702"/>
        <v>0</v>
      </c>
      <c r="AD4599" s="6">
        <f t="shared" si="704"/>
        <v>41685.822342305888</v>
      </c>
      <c r="AE4599" s="2">
        <f>VLOOKUP(I4599,[1]媒体政策预估表!A:N,MATCH(O4599,[1]媒体政策预估表!$A$2:$M$2,0),0)</f>
        <v>0.04</v>
      </c>
      <c r="AF4599" s="6">
        <f t="shared" si="703"/>
        <v>1667.4328936922357</v>
      </c>
      <c r="AG4599" s="14">
        <v>0</v>
      </c>
      <c r="AH4599" s="65">
        <f t="shared" si="698"/>
        <v>42026.42151</v>
      </c>
      <c r="AI4599" s="47"/>
      <c r="AJ4599" s="126" t="e">
        <v>#N/A</v>
      </c>
      <c r="AK4599" s="80">
        <f t="shared" si="701"/>
        <v>0</v>
      </c>
      <c r="AM4599" s="85"/>
    </row>
    <row r="4600" spans="1:39" hidden="1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695"/>
        <v>16750.809730000037</v>
      </c>
      <c r="X4600" s="6">
        <f t="shared" si="696"/>
        <v>257222.58087000001</v>
      </c>
      <c r="Y4600" s="13">
        <f t="shared" si="699"/>
        <v>2084.6361362365133</v>
      </c>
      <c r="Z4600" s="14">
        <v>0</v>
      </c>
      <c r="AA4600" s="6">
        <v>0</v>
      </c>
      <c r="AB4600" s="4">
        <f t="shared" si="700"/>
        <v>257222.58087000001</v>
      </c>
      <c r="AC4600" s="4">
        <f t="shared" si="702"/>
        <v>0</v>
      </c>
      <c r="AD4600" s="6">
        <f t="shared" si="704"/>
        <v>255137.94473376349</v>
      </c>
      <c r="AE4600" s="2">
        <f>VLOOKUP(I4600,[1]媒体政策预估表!A:N,MATCH(O4600,[1]媒体政策预估表!$A$2:$M$2,0),0)</f>
        <v>0.02</v>
      </c>
      <c r="AF4600" s="6">
        <f t="shared" si="703"/>
        <v>5102.7588946752703</v>
      </c>
      <c r="AG4600" s="14">
        <v>0</v>
      </c>
      <c r="AH4600" s="65">
        <f t="shared" si="698"/>
        <v>257222.58087000001</v>
      </c>
      <c r="AI4600" s="47"/>
      <c r="AJ4600" s="126" t="e">
        <v>#N/A</v>
      </c>
      <c r="AK4600" s="80">
        <f t="shared" si="701"/>
        <v>0</v>
      </c>
      <c r="AM4600" s="85"/>
    </row>
    <row r="4601" spans="1:39" hidden="1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695"/>
        <v>-2502.8840300000002</v>
      </c>
      <c r="X4601" s="6">
        <f t="shared" si="696"/>
        <v>983.40494117647052</v>
      </c>
      <c r="Y4601" s="13">
        <f t="shared" si="699"/>
        <v>0</v>
      </c>
      <c r="Z4601" s="14">
        <v>0</v>
      </c>
      <c r="AA4601" s="6">
        <v>0</v>
      </c>
      <c r="AB4601" s="4">
        <f t="shared" si="700"/>
        <v>983.40494117647052</v>
      </c>
      <c r="AC4601" s="4">
        <f t="shared" si="702"/>
        <v>19.668098823529476</v>
      </c>
      <c r="AD4601" s="6">
        <f t="shared" si="697"/>
        <v>1003.07304</v>
      </c>
      <c r="AE4601" s="2">
        <f>VLOOKUP(I4601,[1]媒体政策预估表!A:N,MATCH(O4601,[1]媒体政策预估表!$A$2:$M$2,0),0)</f>
        <v>0.12</v>
      </c>
      <c r="AF4601" s="6">
        <f t="shared" si="703"/>
        <v>120.36876479999999</v>
      </c>
      <c r="AG4601" s="14">
        <v>0</v>
      </c>
      <c r="AH4601" s="65">
        <f t="shared" si="698"/>
        <v>1003.07304</v>
      </c>
      <c r="AI4601" s="47"/>
      <c r="AJ4601" s="126" t="e">
        <v>#N/A</v>
      </c>
      <c r="AK4601" s="80">
        <f t="shared" si="701"/>
        <v>0</v>
      </c>
      <c r="AM4601" s="85"/>
    </row>
    <row r="4602" spans="1:39" hidden="1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695"/>
        <v>-470.1</v>
      </c>
      <c r="X4602" s="6">
        <f t="shared" si="696"/>
        <v>0</v>
      </c>
      <c r="Y4602" s="13">
        <f t="shared" si="699"/>
        <v>0</v>
      </c>
      <c r="Z4602" s="14">
        <v>0</v>
      </c>
      <c r="AA4602" s="6">
        <v>0</v>
      </c>
      <c r="AB4602" s="4">
        <f t="shared" si="700"/>
        <v>0</v>
      </c>
      <c r="AC4602" s="4">
        <f t="shared" si="702"/>
        <v>0</v>
      </c>
      <c r="AD4602" s="6">
        <f t="shared" si="697"/>
        <v>0</v>
      </c>
      <c r="AE4602" s="2">
        <f>VLOOKUP(I4602,[1]媒体政策预估表!A:N,MATCH(O4602,[1]媒体政策预估表!$A$2:$M$2,0),0)</f>
        <v>0.12</v>
      </c>
      <c r="AF4602" s="6">
        <f t="shared" si="703"/>
        <v>0</v>
      </c>
      <c r="AG4602" s="14">
        <v>0</v>
      </c>
      <c r="AH4602" s="65">
        <f t="shared" si="698"/>
        <v>0</v>
      </c>
      <c r="AI4602" s="47"/>
      <c r="AJ4602" s="126" t="e">
        <v>#N/A</v>
      </c>
      <c r="AK4602" s="80">
        <f t="shared" si="701"/>
        <v>0</v>
      </c>
      <c r="AM4602" s="85"/>
    </row>
    <row r="4603" spans="1:39" hidden="1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05">T4603+U4603-V4603</f>
        <v>-8.6999999999999993</v>
      </c>
      <c r="X4603" s="6">
        <f t="shared" ref="X4603:X4666" si="706">IF(P4603="折扣",V4603*Q4603,IF(P4603="返现",V4603,V4603/(1+Q4603)))</f>
        <v>0</v>
      </c>
      <c r="Y4603" s="13">
        <f t="shared" si="699"/>
        <v>0</v>
      </c>
      <c r="Z4603" s="14">
        <v>0</v>
      </c>
      <c r="AA4603" s="6">
        <v>0</v>
      </c>
      <c r="AB4603" s="4">
        <f t="shared" si="700"/>
        <v>0</v>
      </c>
      <c r="AC4603" s="4">
        <f t="shared" si="702"/>
        <v>0</v>
      </c>
      <c r="AD4603" s="6">
        <f t="shared" ref="AD4603:AD4653" si="707">V4603</f>
        <v>0</v>
      </c>
      <c r="AE4603" s="2">
        <f>VLOOKUP(I4603,[1]媒体政策预估表!A:N,MATCH(O4603,[1]媒体政策预估表!$A$2:$M$2,0),0)</f>
        <v>0.12</v>
      </c>
      <c r="AF4603" s="6">
        <f t="shared" si="703"/>
        <v>0</v>
      </c>
      <c r="AG4603" s="14">
        <v>0</v>
      </c>
      <c r="AH4603" s="65">
        <f t="shared" ref="AH4603:AH4653" si="708">V4603</f>
        <v>0</v>
      </c>
      <c r="AI4603" s="47"/>
      <c r="AJ4603" s="126" t="e">
        <v>#N/A</v>
      </c>
      <c r="AK4603" s="80">
        <f t="shared" si="701"/>
        <v>0</v>
      </c>
      <c r="AM4603" s="85"/>
    </row>
    <row r="4604" spans="1:39" hidden="1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05"/>
        <v>-908.48</v>
      </c>
      <c r="X4604" s="6">
        <f t="shared" si="706"/>
        <v>0</v>
      </c>
      <c r="Y4604" s="13">
        <f t="shared" si="699"/>
        <v>0</v>
      </c>
      <c r="Z4604" s="14">
        <v>0</v>
      </c>
      <c r="AA4604" s="6">
        <v>0</v>
      </c>
      <c r="AB4604" s="4">
        <f t="shared" si="700"/>
        <v>0</v>
      </c>
      <c r="AC4604" s="4">
        <f t="shared" si="702"/>
        <v>0</v>
      </c>
      <c r="AD4604" s="6">
        <f t="shared" si="707"/>
        <v>0</v>
      </c>
      <c r="AE4604" s="2">
        <f>VLOOKUP(I4604,[1]媒体政策预估表!A:N,MATCH(O4604,[1]媒体政策预估表!$A$2:$M$2,0),0)</f>
        <v>0.12</v>
      </c>
      <c r="AF4604" s="6">
        <f t="shared" si="703"/>
        <v>0</v>
      </c>
      <c r="AG4604" s="14">
        <v>0</v>
      </c>
      <c r="AH4604" s="65">
        <f t="shared" si="708"/>
        <v>0</v>
      </c>
      <c r="AI4604" s="47"/>
      <c r="AJ4604" s="126" t="e">
        <v>#N/A</v>
      </c>
      <c r="AK4604" s="80">
        <f t="shared" si="701"/>
        <v>0</v>
      </c>
      <c r="AM4604" s="85"/>
    </row>
    <row r="4605" spans="1:39" hidden="1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05"/>
        <v>-131.84</v>
      </c>
      <c r="X4605" s="6">
        <f t="shared" si="706"/>
        <v>0</v>
      </c>
      <c r="Y4605" s="13">
        <f t="shared" si="699"/>
        <v>0</v>
      </c>
      <c r="Z4605" s="14">
        <v>0</v>
      </c>
      <c r="AA4605" s="6">
        <v>0</v>
      </c>
      <c r="AB4605" s="4">
        <f t="shared" si="700"/>
        <v>0</v>
      </c>
      <c r="AC4605" s="4">
        <f t="shared" si="702"/>
        <v>0</v>
      </c>
      <c r="AD4605" s="6">
        <f t="shared" si="707"/>
        <v>0</v>
      </c>
      <c r="AE4605" s="2">
        <f>VLOOKUP(I4605,[1]媒体政策预估表!A:N,MATCH(O4605,[1]媒体政策预估表!$A$2:$M$2,0),0)</f>
        <v>0.12</v>
      </c>
      <c r="AF4605" s="6">
        <f t="shared" si="703"/>
        <v>0</v>
      </c>
      <c r="AG4605" s="14">
        <v>0</v>
      </c>
      <c r="AH4605" s="65">
        <f t="shared" si="708"/>
        <v>0</v>
      </c>
      <c r="AI4605" s="47"/>
      <c r="AJ4605" s="126" t="e">
        <v>#N/A</v>
      </c>
      <c r="AK4605" s="80">
        <f t="shared" si="701"/>
        <v>0</v>
      </c>
      <c r="AM4605" s="85"/>
    </row>
    <row r="4606" spans="1:39" hidden="1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05"/>
        <v>-87853.063139999998</v>
      </c>
      <c r="X4606" s="6">
        <f t="shared" si="706"/>
        <v>46139.86217</v>
      </c>
      <c r="Y4606" s="13">
        <f t="shared" si="699"/>
        <v>0</v>
      </c>
      <c r="Z4606" s="14">
        <v>0</v>
      </c>
      <c r="AA4606" s="6">
        <v>0</v>
      </c>
      <c r="AB4606" s="4">
        <f t="shared" si="700"/>
        <v>46139.86217</v>
      </c>
      <c r="AC4606" s="4">
        <f t="shared" si="702"/>
        <v>0</v>
      </c>
      <c r="AD4606" s="6">
        <f t="shared" si="707"/>
        <v>46139.86217</v>
      </c>
      <c r="AE4606" s="2">
        <f>VLOOKUP(I4606,[1]媒体政策预估表!A:N,MATCH(O4606,[1]媒体政策预估表!$A$2:$M$2,0),0)</f>
        <v>0.12</v>
      </c>
      <c r="AF4606" s="6">
        <f t="shared" si="703"/>
        <v>5536.7834604</v>
      </c>
      <c r="AG4606" s="14">
        <v>0</v>
      </c>
      <c r="AH4606" s="65">
        <f t="shared" si="708"/>
        <v>46139.86217</v>
      </c>
      <c r="AI4606" s="47"/>
      <c r="AJ4606" s="126" t="e">
        <v>#N/A</v>
      </c>
      <c r="AK4606" s="80">
        <f t="shared" si="701"/>
        <v>0</v>
      </c>
      <c r="AM4606" s="85"/>
    </row>
    <row r="4607" spans="1:39" hidden="1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05"/>
        <v>-1768986.7264</v>
      </c>
      <c r="X4607" s="6">
        <f t="shared" si="706"/>
        <v>846163.12985000003</v>
      </c>
      <c r="Y4607" s="13">
        <f t="shared" si="699"/>
        <v>0</v>
      </c>
      <c r="Z4607" s="14">
        <v>0</v>
      </c>
      <c r="AA4607" s="6">
        <v>0</v>
      </c>
      <c r="AB4607" s="4">
        <f t="shared" si="700"/>
        <v>846163.12985000003</v>
      </c>
      <c r="AC4607" s="4">
        <f t="shared" si="702"/>
        <v>0</v>
      </c>
      <c r="AD4607" s="6">
        <f t="shared" si="707"/>
        <v>846163.12985000003</v>
      </c>
      <c r="AE4607" s="2">
        <f>VLOOKUP(I4607,[1]媒体政策预估表!A:N,MATCH(O4607,[1]媒体政策预估表!$A$2:$M$2,0),0)</f>
        <v>0.15</v>
      </c>
      <c r="AF4607" s="6">
        <f t="shared" si="703"/>
        <v>126924.4694775</v>
      </c>
      <c r="AG4607" s="14">
        <v>0</v>
      </c>
      <c r="AH4607" s="65">
        <f t="shared" si="708"/>
        <v>846163.12985000003</v>
      </c>
      <c r="AI4607" s="47"/>
      <c r="AJ4607" s="126" t="e">
        <v>#N/A</v>
      </c>
      <c r="AK4607" s="80">
        <f t="shared" si="701"/>
        <v>0</v>
      </c>
      <c r="AM4607" s="85"/>
    </row>
    <row r="4608" spans="1:39" hidden="1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05"/>
        <v>-38165.267800000001</v>
      </c>
      <c r="X4608" s="6">
        <f t="shared" si="706"/>
        <v>16641.89329</v>
      </c>
      <c r="Y4608" s="13">
        <f t="shared" si="699"/>
        <v>0</v>
      </c>
      <c r="Z4608" s="14">
        <v>0</v>
      </c>
      <c r="AA4608" s="6">
        <v>0</v>
      </c>
      <c r="AB4608" s="4">
        <f t="shared" si="700"/>
        <v>16641.89329</v>
      </c>
      <c r="AC4608" s="4">
        <f t="shared" si="702"/>
        <v>0</v>
      </c>
      <c r="AD4608" s="6">
        <f t="shared" si="707"/>
        <v>16641.89329</v>
      </c>
      <c r="AE4608" s="2">
        <f>VLOOKUP(I4608,[1]媒体政策预估表!A:N,MATCH(O4608,[1]媒体政策预估表!$A$2:$M$2,0),0)</f>
        <v>0.12</v>
      </c>
      <c r="AF4608" s="6">
        <f t="shared" si="703"/>
        <v>1997.0271948</v>
      </c>
      <c r="AG4608" s="14">
        <v>0</v>
      </c>
      <c r="AH4608" s="65">
        <f t="shared" si="708"/>
        <v>16641.89329</v>
      </c>
      <c r="AI4608" s="47"/>
      <c r="AJ4608" s="126" t="e">
        <v>#N/A</v>
      </c>
      <c r="AK4608" s="80">
        <f t="shared" si="701"/>
        <v>0</v>
      </c>
      <c r="AM4608" s="85"/>
    </row>
    <row r="4609" spans="1:39" hidden="1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05"/>
        <v>-2375811.5550899999</v>
      </c>
      <c r="X4609" s="6">
        <f t="shared" si="706"/>
        <v>1300645.9769900001</v>
      </c>
      <c r="Y4609" s="13">
        <f t="shared" si="699"/>
        <v>0</v>
      </c>
      <c r="Z4609" s="14">
        <v>0</v>
      </c>
      <c r="AA4609" s="6">
        <v>0</v>
      </c>
      <c r="AB4609" s="4">
        <f t="shared" si="700"/>
        <v>1300645.9769900001</v>
      </c>
      <c r="AC4609" s="4">
        <f t="shared" si="702"/>
        <v>0</v>
      </c>
      <c r="AD4609" s="6">
        <f t="shared" si="707"/>
        <v>1300645.9769900001</v>
      </c>
      <c r="AE4609" s="2">
        <f>VLOOKUP(I4609,[1]媒体政策预估表!A:N,MATCH(O4609,[1]媒体政策预估表!$A$2:$M$2,0),0)</f>
        <v>0.15</v>
      </c>
      <c r="AF4609" s="6">
        <f t="shared" si="703"/>
        <v>195096.89654850002</v>
      </c>
      <c r="AG4609" s="14">
        <v>0</v>
      </c>
      <c r="AH4609" s="65">
        <f t="shared" si="708"/>
        <v>1300645.9769900001</v>
      </c>
      <c r="AI4609" s="47"/>
      <c r="AJ4609" s="126" t="e">
        <v>#N/A</v>
      </c>
      <c r="AK4609" s="80">
        <f t="shared" si="701"/>
        <v>0</v>
      </c>
      <c r="AM4609" s="85"/>
    </row>
    <row r="4610" spans="1:39" hidden="1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05"/>
        <v>-2754159.9512700001</v>
      </c>
      <c r="X4610" s="6">
        <f t="shared" si="706"/>
        <v>1466220.6818599999</v>
      </c>
      <c r="Y4610" s="13">
        <f t="shared" si="699"/>
        <v>0</v>
      </c>
      <c r="Z4610" s="14">
        <v>0</v>
      </c>
      <c r="AA4610" s="6">
        <v>0</v>
      </c>
      <c r="AB4610" s="4">
        <f t="shared" si="700"/>
        <v>1466220.6818599999</v>
      </c>
      <c r="AC4610" s="4">
        <f t="shared" si="702"/>
        <v>0</v>
      </c>
      <c r="AD4610" s="6">
        <f t="shared" si="707"/>
        <v>1466220.6818599999</v>
      </c>
      <c r="AE4610" s="2">
        <f>VLOOKUP(I4610,[1]媒体政策预估表!A:N,MATCH(O4610,[1]媒体政策预估表!$A$2:$M$2,0),0)</f>
        <v>0.15</v>
      </c>
      <c r="AF4610" s="6">
        <f t="shared" si="703"/>
        <v>219933.10227899998</v>
      </c>
      <c r="AG4610" s="14">
        <v>0</v>
      </c>
      <c r="AH4610" s="65">
        <f t="shared" si="708"/>
        <v>1466220.6818599999</v>
      </c>
      <c r="AI4610" s="47"/>
      <c r="AJ4610" s="126" t="e">
        <v>#N/A</v>
      </c>
      <c r="AK4610" s="80">
        <f t="shared" si="701"/>
        <v>0</v>
      </c>
      <c r="AM4610" s="85"/>
    </row>
    <row r="4611" spans="1:39" hidden="1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05"/>
        <v>-2259.08734</v>
      </c>
      <c r="X4611" s="6">
        <f t="shared" si="706"/>
        <v>1641.6873399999999</v>
      </c>
      <c r="Y4611" s="13">
        <f t="shared" ref="Y4611:Y4674" si="709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10">X4611+AA4611</f>
        <v>1641.6873399999999</v>
      </c>
      <c r="AC4611" s="4">
        <f t="shared" si="702"/>
        <v>0</v>
      </c>
      <c r="AD4611" s="6">
        <f t="shared" si="707"/>
        <v>1641.6873399999999</v>
      </c>
      <c r="AE4611" s="2">
        <f>VLOOKUP(I4611,[1]媒体政策预估表!A:N,MATCH(O4611,[1]媒体政策预估表!$A$2:$M$2,0),0)</f>
        <v>0.15</v>
      </c>
      <c r="AF4611" s="6">
        <f t="shared" si="703"/>
        <v>246.25310099999999</v>
      </c>
      <c r="AG4611" s="14">
        <v>0</v>
      </c>
      <c r="AH4611" s="65">
        <f t="shared" si="708"/>
        <v>1641.6873399999999</v>
      </c>
      <c r="AI4611" s="47"/>
      <c r="AJ4611" s="126" t="e">
        <v>#N/A</v>
      </c>
      <c r="AK4611" s="80">
        <f t="shared" ref="AK4611:AK4674" si="711">X4611+AA4611-AB4611</f>
        <v>0</v>
      </c>
      <c r="AM4611" s="85"/>
    </row>
    <row r="4612" spans="1:39" hidden="1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05"/>
        <v>-817446.80340999993</v>
      </c>
      <c r="X4612" s="6">
        <f t="shared" si="706"/>
        <v>526072.1581</v>
      </c>
      <c r="Y4612" s="13">
        <f t="shared" si="709"/>
        <v>0</v>
      </c>
      <c r="Z4612" s="14">
        <v>0</v>
      </c>
      <c r="AA4612" s="6">
        <v>0</v>
      </c>
      <c r="AB4612" s="4">
        <f t="shared" si="710"/>
        <v>526072.1581</v>
      </c>
      <c r="AC4612" s="4">
        <f t="shared" si="702"/>
        <v>0</v>
      </c>
      <c r="AD4612" s="6">
        <f t="shared" si="707"/>
        <v>526072.1581</v>
      </c>
      <c r="AE4612" s="2">
        <f>VLOOKUP(I4612,[1]媒体政策预估表!A:N,MATCH(O4612,[1]媒体政策预估表!$A$2:$M$2,0),0)</f>
        <v>0.15</v>
      </c>
      <c r="AF4612" s="6">
        <f t="shared" si="703"/>
        <v>78910.823714999991</v>
      </c>
      <c r="AG4612" s="14">
        <v>0</v>
      </c>
      <c r="AH4612" s="65">
        <f t="shared" si="708"/>
        <v>526072.1581</v>
      </c>
      <c r="AI4612" s="47"/>
      <c r="AJ4612" s="126" t="e">
        <v>#N/A</v>
      </c>
      <c r="AK4612" s="80">
        <f t="shared" si="711"/>
        <v>0</v>
      </c>
      <c r="AM4612" s="85"/>
    </row>
    <row r="4613" spans="1:39" hidden="1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05"/>
        <v>-507626.64964000002</v>
      </c>
      <c r="X4613" s="6">
        <f t="shared" si="706"/>
        <v>280182.66508000001</v>
      </c>
      <c r="Y4613" s="13">
        <f t="shared" si="709"/>
        <v>0</v>
      </c>
      <c r="Z4613" s="14">
        <v>0</v>
      </c>
      <c r="AA4613" s="6">
        <v>0</v>
      </c>
      <c r="AB4613" s="4">
        <f t="shared" si="710"/>
        <v>280182.66508000001</v>
      </c>
      <c r="AC4613" s="4">
        <f t="shared" si="702"/>
        <v>0</v>
      </c>
      <c r="AD4613" s="6">
        <f t="shared" si="707"/>
        <v>280182.66508000001</v>
      </c>
      <c r="AE4613" s="2">
        <f>VLOOKUP(I4613,[1]媒体政策预估表!A:N,MATCH(O4613,[1]媒体政策预估表!$A$2:$M$2,0),0)</f>
        <v>0.15</v>
      </c>
      <c r="AF4613" s="6">
        <f t="shared" si="703"/>
        <v>42027.399762000001</v>
      </c>
      <c r="AG4613" s="14">
        <v>0</v>
      </c>
      <c r="AH4613" s="65">
        <f t="shared" si="708"/>
        <v>280182.66508000001</v>
      </c>
      <c r="AI4613" s="47"/>
      <c r="AJ4613" s="126" t="e">
        <v>#N/A</v>
      </c>
      <c r="AK4613" s="80">
        <f t="shared" si="711"/>
        <v>0</v>
      </c>
      <c r="AM4613" s="85"/>
    </row>
    <row r="4614" spans="1:39" hidden="1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05"/>
        <v>-453010.82331999997</v>
      </c>
      <c r="X4614" s="6">
        <f t="shared" si="706"/>
        <v>362725.59727999999</v>
      </c>
      <c r="Y4614" s="13">
        <f t="shared" si="709"/>
        <v>0</v>
      </c>
      <c r="Z4614" s="14">
        <v>0</v>
      </c>
      <c r="AA4614" s="6">
        <v>0</v>
      </c>
      <c r="AB4614" s="4">
        <f t="shared" si="710"/>
        <v>362725.59727999999</v>
      </c>
      <c r="AC4614" s="4">
        <f t="shared" si="702"/>
        <v>0</v>
      </c>
      <c r="AD4614" s="6">
        <f t="shared" si="707"/>
        <v>362725.59727999999</v>
      </c>
      <c r="AE4614" s="2">
        <f>VLOOKUP(I4614,[1]媒体政策预估表!A:N,MATCH(O4614,[1]媒体政策预估表!$A$2:$M$2,0),0)</f>
        <v>0.15</v>
      </c>
      <c r="AF4614" s="6">
        <f t="shared" si="703"/>
        <v>54408.839591999997</v>
      </c>
      <c r="AG4614" s="14">
        <v>0</v>
      </c>
      <c r="AH4614" s="65">
        <f t="shared" si="708"/>
        <v>362725.59727999999</v>
      </c>
      <c r="AI4614" s="47"/>
      <c r="AJ4614" s="126" t="e">
        <v>#N/A</v>
      </c>
      <c r="AK4614" s="80">
        <f t="shared" si="711"/>
        <v>0</v>
      </c>
      <c r="AM4614" s="85"/>
    </row>
    <row r="4615" spans="1:39" hidden="1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05"/>
        <v>-138785.31385000001</v>
      </c>
      <c r="X4615" s="6">
        <f t="shared" si="706"/>
        <v>84011.763850000003</v>
      </c>
      <c r="Y4615" s="13">
        <f t="shared" si="709"/>
        <v>0</v>
      </c>
      <c r="Z4615" s="14">
        <v>0</v>
      </c>
      <c r="AA4615" s="6">
        <v>0</v>
      </c>
      <c r="AB4615" s="4">
        <f t="shared" si="710"/>
        <v>84011.763850000003</v>
      </c>
      <c r="AC4615" s="4">
        <f t="shared" si="702"/>
        <v>0</v>
      </c>
      <c r="AD4615" s="6">
        <f t="shared" si="707"/>
        <v>84011.763850000003</v>
      </c>
      <c r="AE4615" s="2">
        <f>VLOOKUP(I4615,[1]媒体政策预估表!A:N,MATCH(O4615,[1]媒体政策预估表!$A$2:$M$2,0),0)</f>
        <v>0.15</v>
      </c>
      <c r="AF4615" s="6">
        <f t="shared" si="703"/>
        <v>12601.7645775</v>
      </c>
      <c r="AG4615" s="14">
        <v>0</v>
      </c>
      <c r="AH4615" s="65">
        <f t="shared" si="708"/>
        <v>84011.763850000003</v>
      </c>
      <c r="AI4615" s="47"/>
      <c r="AJ4615" s="126" t="e">
        <v>#N/A</v>
      </c>
      <c r="AK4615" s="80">
        <f t="shared" si="711"/>
        <v>0</v>
      </c>
      <c r="AM4615" s="85"/>
    </row>
    <row r="4616" spans="1:39" hidden="1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05"/>
        <v>-437402.30709000002</v>
      </c>
      <c r="X4616" s="6">
        <f t="shared" si="706"/>
        <v>205891.65883</v>
      </c>
      <c r="Y4616" s="13">
        <f t="shared" si="709"/>
        <v>0</v>
      </c>
      <c r="Z4616" s="14">
        <v>0</v>
      </c>
      <c r="AA4616" s="6">
        <v>0</v>
      </c>
      <c r="AB4616" s="4">
        <f t="shared" si="710"/>
        <v>205891.65883</v>
      </c>
      <c r="AC4616" s="4">
        <f t="shared" si="702"/>
        <v>0</v>
      </c>
      <c r="AD4616" s="6">
        <f t="shared" si="707"/>
        <v>205891.65883</v>
      </c>
      <c r="AE4616" s="2">
        <f>VLOOKUP(I4616,[1]媒体政策预估表!A:N,MATCH(O4616,[1]媒体政策预估表!$A$2:$M$2,0),0)</f>
        <v>0.15</v>
      </c>
      <c r="AF4616" s="6">
        <f t="shared" si="703"/>
        <v>30883.748824499999</v>
      </c>
      <c r="AG4616" s="14">
        <v>0</v>
      </c>
      <c r="AH4616" s="65">
        <f t="shared" si="708"/>
        <v>205891.65883</v>
      </c>
      <c r="AI4616" s="47"/>
      <c r="AJ4616" s="126" t="e">
        <v>#N/A</v>
      </c>
      <c r="AK4616" s="80">
        <f t="shared" si="711"/>
        <v>0</v>
      </c>
      <c r="AM4616" s="85"/>
    </row>
    <row r="4617" spans="1:39" hidden="1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05"/>
        <v>-2.2400000000000002</v>
      </c>
      <c r="X4617" s="6">
        <f t="shared" si="706"/>
        <v>0</v>
      </c>
      <c r="Y4617" s="13">
        <f t="shared" si="709"/>
        <v>0</v>
      </c>
      <c r="Z4617" s="14">
        <v>0</v>
      </c>
      <c r="AA4617" s="6">
        <v>0</v>
      </c>
      <c r="AB4617" s="4">
        <f t="shared" si="710"/>
        <v>0</v>
      </c>
      <c r="AC4617" s="4">
        <f t="shared" si="702"/>
        <v>0</v>
      </c>
      <c r="AD4617" s="6">
        <f t="shared" si="707"/>
        <v>0</v>
      </c>
      <c r="AE4617" s="2">
        <f>VLOOKUP(I4617,[1]媒体政策预估表!A:N,MATCH(O4617,[1]媒体政策预估表!$A$2:$M$2,0),0)</f>
        <v>0.15</v>
      </c>
      <c r="AF4617" s="6">
        <f t="shared" si="703"/>
        <v>0</v>
      </c>
      <c r="AG4617" s="14">
        <v>0</v>
      </c>
      <c r="AH4617" s="65">
        <f t="shared" si="708"/>
        <v>0</v>
      </c>
      <c r="AI4617" s="47"/>
      <c r="AJ4617" s="126" t="e">
        <v>#N/A</v>
      </c>
      <c r="AK4617" s="80">
        <f t="shared" si="711"/>
        <v>0</v>
      </c>
      <c r="AM4617" s="85"/>
    </row>
    <row r="4618" spans="1:39" hidden="1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05"/>
        <v>-98.01764</v>
      </c>
      <c r="X4618" s="6">
        <f t="shared" si="706"/>
        <v>0</v>
      </c>
      <c r="Y4618" s="13">
        <f t="shared" si="709"/>
        <v>0</v>
      </c>
      <c r="Z4618" s="14">
        <v>0</v>
      </c>
      <c r="AA4618" s="6">
        <v>0</v>
      </c>
      <c r="AB4618" s="4">
        <f t="shared" si="710"/>
        <v>0</v>
      </c>
      <c r="AC4618" s="4">
        <f t="shared" si="702"/>
        <v>0</v>
      </c>
      <c r="AD4618" s="6">
        <f t="shared" si="707"/>
        <v>0</v>
      </c>
      <c r="AE4618" s="2">
        <f>VLOOKUP(I4618,[1]媒体政策预估表!A:N,MATCH(O4618,[1]媒体政策预估表!$A$2:$M$2,0),0)</f>
        <v>0.15</v>
      </c>
      <c r="AF4618" s="6">
        <f t="shared" si="703"/>
        <v>0</v>
      </c>
      <c r="AG4618" s="14">
        <v>0</v>
      </c>
      <c r="AH4618" s="65">
        <f t="shared" si="708"/>
        <v>0</v>
      </c>
      <c r="AI4618" s="47"/>
      <c r="AJ4618" s="126" t="e">
        <v>#N/A</v>
      </c>
      <c r="AK4618" s="80">
        <f t="shared" si="711"/>
        <v>0</v>
      </c>
      <c r="AM4618" s="85"/>
    </row>
    <row r="4619" spans="1:39" hidden="1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05"/>
        <v>-302123.43833999999</v>
      </c>
      <c r="X4619" s="6">
        <f t="shared" si="706"/>
        <v>173079.02749000001</v>
      </c>
      <c r="Y4619" s="13">
        <f t="shared" si="709"/>
        <v>0</v>
      </c>
      <c r="Z4619" s="14">
        <v>0</v>
      </c>
      <c r="AA4619" s="6">
        <v>0</v>
      </c>
      <c r="AB4619" s="4">
        <f t="shared" si="710"/>
        <v>173079.02749000001</v>
      </c>
      <c r="AC4619" s="4">
        <f t="shared" si="702"/>
        <v>0</v>
      </c>
      <c r="AD4619" s="6">
        <f t="shared" si="707"/>
        <v>173079.02749000001</v>
      </c>
      <c r="AE4619" s="2">
        <f>VLOOKUP(I4619,[1]媒体政策预估表!A:N,MATCH(O4619,[1]媒体政策预估表!$A$2:$M$2,0),0)</f>
        <v>0.15</v>
      </c>
      <c r="AF4619" s="6">
        <f t="shared" si="703"/>
        <v>25961.854123500001</v>
      </c>
      <c r="AG4619" s="14">
        <v>0</v>
      </c>
      <c r="AH4619" s="65">
        <f t="shared" si="708"/>
        <v>173079.02749000001</v>
      </c>
      <c r="AI4619" s="47"/>
      <c r="AJ4619" s="126" t="e">
        <v>#N/A</v>
      </c>
      <c r="AK4619" s="80">
        <f t="shared" si="711"/>
        <v>0</v>
      </c>
      <c r="AM4619" s="85"/>
    </row>
    <row r="4620" spans="1:39" hidden="1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05"/>
        <v>-3220.4427000000001</v>
      </c>
      <c r="X4620" s="6">
        <f t="shared" si="706"/>
        <v>783.51319000000001</v>
      </c>
      <c r="Y4620" s="13">
        <f t="shared" si="709"/>
        <v>0</v>
      </c>
      <c r="Z4620" s="14">
        <v>0</v>
      </c>
      <c r="AA4620" s="6">
        <v>0</v>
      </c>
      <c r="AB4620" s="4">
        <f t="shared" si="710"/>
        <v>783.51319000000001</v>
      </c>
      <c r="AC4620" s="4">
        <f t="shared" ref="AC4620:AC4683" si="712">IF(P4620="返现",X4620*Q4620,V4620-X4620)</f>
        <v>0</v>
      </c>
      <c r="AD4620" s="6">
        <f t="shared" si="707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13">AD4620*AE4620</f>
        <v>117.5269785</v>
      </c>
      <c r="AG4620" s="14">
        <v>0</v>
      </c>
      <c r="AH4620" s="65">
        <f t="shared" si="708"/>
        <v>783.51319000000001</v>
      </c>
      <c r="AI4620" s="47"/>
      <c r="AJ4620" s="126" t="e">
        <v>#N/A</v>
      </c>
      <c r="AK4620" s="80">
        <f t="shared" si="711"/>
        <v>0</v>
      </c>
      <c r="AM4620" s="85"/>
    </row>
    <row r="4621" spans="1:39" hidden="1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05"/>
        <v>-1912383.59244</v>
      </c>
      <c r="X4621" s="6">
        <f t="shared" si="706"/>
        <v>1230234.8761372548</v>
      </c>
      <c r="Y4621" s="13">
        <f t="shared" si="709"/>
        <v>0</v>
      </c>
      <c r="Z4621" s="14">
        <v>0</v>
      </c>
      <c r="AA4621" s="6">
        <v>0</v>
      </c>
      <c r="AB4621" s="4">
        <f t="shared" si="710"/>
        <v>1230234.8761372548</v>
      </c>
      <c r="AC4621" s="4">
        <f t="shared" si="712"/>
        <v>24604.697522745235</v>
      </c>
      <c r="AD4621" s="6">
        <f t="shared" si="707"/>
        <v>1254839.57366</v>
      </c>
      <c r="AE4621" s="2">
        <f>VLOOKUP(I4621,[1]媒体政策预估表!A:N,MATCH(O4621,[1]媒体政策预估表!$A$2:$M$2,0),0)</f>
        <v>0.15</v>
      </c>
      <c r="AF4621" s="6">
        <f t="shared" si="713"/>
        <v>188225.93604899998</v>
      </c>
      <c r="AG4621" s="14">
        <v>0</v>
      </c>
      <c r="AH4621" s="65">
        <f t="shared" si="708"/>
        <v>1254839.57366</v>
      </c>
      <c r="AI4621" s="47"/>
      <c r="AJ4621" s="126" t="e">
        <v>#N/A</v>
      </c>
      <c r="AK4621" s="80">
        <f t="shared" si="711"/>
        <v>0</v>
      </c>
      <c r="AM4621" s="85"/>
    </row>
    <row r="4622" spans="1:39" hidden="1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05"/>
        <v>-86853.1</v>
      </c>
      <c r="X4622" s="6">
        <f t="shared" si="706"/>
        <v>26242.2</v>
      </c>
      <c r="Y4622" s="13">
        <f t="shared" si="709"/>
        <v>0</v>
      </c>
      <c r="Z4622" s="14">
        <v>0</v>
      </c>
      <c r="AA4622" s="6">
        <v>0</v>
      </c>
      <c r="AB4622" s="4">
        <f t="shared" si="710"/>
        <v>26242.2</v>
      </c>
      <c r="AC4622" s="4">
        <f t="shared" si="712"/>
        <v>0</v>
      </c>
      <c r="AD4622" s="6">
        <f t="shared" si="707"/>
        <v>26242.2</v>
      </c>
      <c r="AE4622" s="2">
        <f>VLOOKUP(I4622,[1]媒体政策预估表!A:N,MATCH(O4622,[1]媒体政策预估表!$A$2:$M$2,0),0)</f>
        <v>0.15</v>
      </c>
      <c r="AF4622" s="6">
        <f t="shared" si="713"/>
        <v>3936.33</v>
      </c>
      <c r="AG4622" s="14">
        <v>0</v>
      </c>
      <c r="AH4622" s="65">
        <f t="shared" si="708"/>
        <v>26242.2</v>
      </c>
      <c r="AI4622" s="47"/>
      <c r="AJ4622" s="126" t="e">
        <v>#N/A</v>
      </c>
      <c r="AK4622" s="80">
        <f t="shared" si="711"/>
        <v>0</v>
      </c>
      <c r="AM4622" s="85"/>
    </row>
    <row r="4623" spans="1:39" hidden="1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05"/>
        <v>-1116.8140800000001</v>
      </c>
      <c r="X4623" s="6">
        <f t="shared" si="706"/>
        <v>0</v>
      </c>
      <c r="Y4623" s="13">
        <f t="shared" si="709"/>
        <v>0</v>
      </c>
      <c r="Z4623" s="14">
        <v>0</v>
      </c>
      <c r="AA4623" s="6">
        <v>0</v>
      </c>
      <c r="AB4623" s="4">
        <f t="shared" si="710"/>
        <v>0</v>
      </c>
      <c r="AC4623" s="4">
        <f t="shared" si="712"/>
        <v>0</v>
      </c>
      <c r="AD4623" s="6">
        <f t="shared" si="707"/>
        <v>0</v>
      </c>
      <c r="AE4623" s="2">
        <f>VLOOKUP(I4623,[1]媒体政策预估表!A:N,MATCH(O4623,[1]媒体政策预估表!$A$2:$M$2,0),0)</f>
        <v>0.15</v>
      </c>
      <c r="AF4623" s="6">
        <f t="shared" si="713"/>
        <v>0</v>
      </c>
      <c r="AG4623" s="14">
        <v>0</v>
      </c>
      <c r="AH4623" s="65">
        <f t="shared" si="708"/>
        <v>0</v>
      </c>
      <c r="AI4623" s="47"/>
      <c r="AJ4623" s="126" t="e">
        <v>#N/A</v>
      </c>
      <c r="AK4623" s="80">
        <f t="shared" si="711"/>
        <v>0</v>
      </c>
      <c r="AM4623" s="85"/>
    </row>
    <row r="4624" spans="1:39" hidden="1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05"/>
        <v>-1740.0517600000001</v>
      </c>
      <c r="X4624" s="6">
        <f t="shared" si="706"/>
        <v>0</v>
      </c>
      <c r="Y4624" s="13">
        <f t="shared" si="709"/>
        <v>0</v>
      </c>
      <c r="Z4624" s="14">
        <v>0</v>
      </c>
      <c r="AA4624" s="6">
        <v>0</v>
      </c>
      <c r="AB4624" s="4">
        <f t="shared" si="710"/>
        <v>0</v>
      </c>
      <c r="AC4624" s="4">
        <f t="shared" si="712"/>
        <v>0</v>
      </c>
      <c r="AD4624" s="6">
        <f t="shared" si="707"/>
        <v>0</v>
      </c>
      <c r="AE4624" s="2">
        <f>VLOOKUP(I4624,[1]媒体政策预估表!A:N,MATCH(O4624,[1]媒体政策预估表!$A$2:$M$2,0),0)</f>
        <v>0.15</v>
      </c>
      <c r="AF4624" s="6">
        <f t="shared" si="713"/>
        <v>0</v>
      </c>
      <c r="AG4624" s="14">
        <v>0</v>
      </c>
      <c r="AH4624" s="65">
        <f t="shared" si="708"/>
        <v>0</v>
      </c>
      <c r="AI4624" s="47"/>
      <c r="AJ4624" s="126" t="e">
        <v>#N/A</v>
      </c>
      <c r="AK4624" s="80">
        <f t="shared" si="711"/>
        <v>0</v>
      </c>
      <c r="AM4624" s="85"/>
    </row>
    <row r="4625" spans="1:39" hidden="1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05"/>
        <v>-324989.99</v>
      </c>
      <c r="X4625" s="6">
        <f t="shared" si="706"/>
        <v>129545.37</v>
      </c>
      <c r="Y4625" s="13">
        <f t="shared" si="709"/>
        <v>0</v>
      </c>
      <c r="Z4625" s="14">
        <v>0</v>
      </c>
      <c r="AA4625" s="6">
        <v>0</v>
      </c>
      <c r="AB4625" s="4">
        <f t="shared" si="710"/>
        <v>129545.37</v>
      </c>
      <c r="AC4625" s="4">
        <f t="shared" si="712"/>
        <v>0</v>
      </c>
      <c r="AD4625" s="6">
        <f t="shared" si="707"/>
        <v>129545.37</v>
      </c>
      <c r="AE4625" s="2">
        <f>VLOOKUP(I4625,[1]媒体政策预估表!A:N,MATCH(O4625,[1]媒体政策预估表!$A$2:$M$2,0),0)</f>
        <v>0.15</v>
      </c>
      <c r="AF4625" s="6">
        <f t="shared" si="713"/>
        <v>19431.805499999999</v>
      </c>
      <c r="AG4625" s="14">
        <v>0</v>
      </c>
      <c r="AH4625" s="65">
        <f t="shared" si="708"/>
        <v>129545.37</v>
      </c>
      <c r="AI4625" s="47"/>
      <c r="AJ4625" s="126" t="e">
        <v>#N/A</v>
      </c>
      <c r="AK4625" s="80">
        <f t="shared" si="711"/>
        <v>0</v>
      </c>
      <c r="AM4625" s="85"/>
    </row>
    <row r="4626" spans="1:39" hidden="1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05"/>
        <v>-6838.6828599999999</v>
      </c>
      <c r="X4626" s="6">
        <f t="shared" si="706"/>
        <v>0</v>
      </c>
      <c r="Y4626" s="13">
        <f t="shared" si="709"/>
        <v>0</v>
      </c>
      <c r="Z4626" s="14">
        <v>0</v>
      </c>
      <c r="AA4626" s="6">
        <v>0</v>
      </c>
      <c r="AB4626" s="4">
        <f t="shared" si="710"/>
        <v>0</v>
      </c>
      <c r="AC4626" s="4">
        <f t="shared" si="712"/>
        <v>0</v>
      </c>
      <c r="AD4626" s="6">
        <f t="shared" si="707"/>
        <v>0</v>
      </c>
      <c r="AE4626" s="2">
        <f>VLOOKUP(I4626,[1]媒体政策预估表!A:N,MATCH(O4626,[1]媒体政策预估表!$A$2:$M$2,0),0)</f>
        <v>0.15</v>
      </c>
      <c r="AF4626" s="6">
        <f t="shared" si="713"/>
        <v>0</v>
      </c>
      <c r="AG4626" s="14">
        <v>0</v>
      </c>
      <c r="AH4626" s="65">
        <f t="shared" si="708"/>
        <v>0</v>
      </c>
      <c r="AI4626" s="47"/>
      <c r="AJ4626" s="126" t="e">
        <v>#N/A</v>
      </c>
      <c r="AK4626" s="80">
        <f t="shared" si="711"/>
        <v>0</v>
      </c>
      <c r="AM4626" s="85"/>
    </row>
    <row r="4627" spans="1:39" hidden="1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05"/>
        <v>-2428180.87</v>
      </c>
      <c r="X4627" s="6">
        <f t="shared" si="706"/>
        <v>957305.51</v>
      </c>
      <c r="Y4627" s="13">
        <f t="shared" si="709"/>
        <v>0</v>
      </c>
      <c r="Z4627" s="14">
        <v>0</v>
      </c>
      <c r="AA4627" s="6">
        <v>0</v>
      </c>
      <c r="AB4627" s="4">
        <f t="shared" si="710"/>
        <v>957305.51</v>
      </c>
      <c r="AC4627" s="4">
        <f t="shared" si="712"/>
        <v>0</v>
      </c>
      <c r="AD4627" s="6">
        <f t="shared" si="707"/>
        <v>957305.51</v>
      </c>
      <c r="AE4627" s="2">
        <f>VLOOKUP(I4627,[1]媒体政策预估表!A:N,MATCH(O4627,[1]媒体政策预估表!$A$2:$M$2,0),0)</f>
        <v>0.15</v>
      </c>
      <c r="AF4627" s="6">
        <f t="shared" si="713"/>
        <v>143595.8265</v>
      </c>
      <c r="AG4627" s="14">
        <v>0</v>
      </c>
      <c r="AH4627" s="65">
        <f t="shared" si="708"/>
        <v>957305.51</v>
      </c>
      <c r="AI4627" s="47"/>
      <c r="AJ4627" s="126" t="e">
        <v>#N/A</v>
      </c>
      <c r="AK4627" s="80">
        <f t="shared" si="711"/>
        <v>0</v>
      </c>
      <c r="AM4627" s="85"/>
    </row>
    <row r="4628" spans="1:39" hidden="1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05"/>
        <v>-1126.08</v>
      </c>
      <c r="X4628" s="6">
        <f t="shared" si="706"/>
        <v>0</v>
      </c>
      <c r="Y4628" s="13">
        <f t="shared" si="709"/>
        <v>0</v>
      </c>
      <c r="Z4628" s="14">
        <v>0</v>
      </c>
      <c r="AA4628" s="6">
        <v>0</v>
      </c>
      <c r="AB4628" s="4">
        <f t="shared" si="710"/>
        <v>0</v>
      </c>
      <c r="AC4628" s="4">
        <f t="shared" si="712"/>
        <v>0</v>
      </c>
      <c r="AD4628" s="6">
        <f t="shared" si="707"/>
        <v>0</v>
      </c>
      <c r="AE4628" s="2">
        <f>VLOOKUP(I4628,[1]媒体政策预估表!A:N,MATCH(O4628,[1]媒体政策预估表!$A$2:$M$2,0),0)</f>
        <v>0.15</v>
      </c>
      <c r="AF4628" s="6">
        <f t="shared" si="713"/>
        <v>0</v>
      </c>
      <c r="AG4628" s="14">
        <v>0</v>
      </c>
      <c r="AH4628" s="65">
        <f t="shared" si="708"/>
        <v>0</v>
      </c>
      <c r="AI4628" s="47"/>
      <c r="AJ4628" s="126" t="e">
        <v>#N/A</v>
      </c>
      <c r="AK4628" s="80">
        <f t="shared" si="711"/>
        <v>0</v>
      </c>
      <c r="AM4628" s="85"/>
    </row>
    <row r="4629" spans="1:39" hidden="1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05"/>
        <v>-1294373.4720300001</v>
      </c>
      <c r="X4629" s="6">
        <f t="shared" si="706"/>
        <v>756694.56570000004</v>
      </c>
      <c r="Y4629" s="13">
        <f t="shared" si="709"/>
        <v>0</v>
      </c>
      <c r="Z4629" s="14">
        <v>0</v>
      </c>
      <c r="AA4629" s="6">
        <v>0</v>
      </c>
      <c r="AB4629" s="4">
        <f t="shared" si="710"/>
        <v>756694.56570000004</v>
      </c>
      <c r="AC4629" s="4">
        <f t="shared" si="712"/>
        <v>0</v>
      </c>
      <c r="AD4629" s="6">
        <f t="shared" si="707"/>
        <v>756694.56570000004</v>
      </c>
      <c r="AE4629" s="2">
        <f>VLOOKUP(I4629,[1]媒体政策预估表!A:N,MATCH(O4629,[1]媒体政策预估表!$A$2:$M$2,0),0)</f>
        <v>0.15</v>
      </c>
      <c r="AF4629" s="6">
        <f t="shared" si="713"/>
        <v>113504.184855</v>
      </c>
      <c r="AG4629" s="14">
        <v>0</v>
      </c>
      <c r="AH4629" s="65">
        <f t="shared" si="708"/>
        <v>756694.56570000004</v>
      </c>
      <c r="AI4629" s="47"/>
      <c r="AJ4629" s="126" t="e">
        <v>#N/A</v>
      </c>
      <c r="AK4629" s="80">
        <f t="shared" si="711"/>
        <v>0</v>
      </c>
      <c r="AM4629" s="85"/>
    </row>
    <row r="4630" spans="1:39" hidden="1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05"/>
        <v>-686278.43</v>
      </c>
      <c r="X4630" s="6">
        <f t="shared" si="706"/>
        <v>451602.95</v>
      </c>
      <c r="Y4630" s="13">
        <f t="shared" si="709"/>
        <v>0</v>
      </c>
      <c r="Z4630" s="14">
        <v>0</v>
      </c>
      <c r="AA4630" s="6">
        <v>0</v>
      </c>
      <c r="AB4630" s="4">
        <f t="shared" si="710"/>
        <v>451602.95</v>
      </c>
      <c r="AC4630" s="4">
        <f t="shared" si="712"/>
        <v>0</v>
      </c>
      <c r="AD4630" s="6">
        <f t="shared" si="707"/>
        <v>451602.95</v>
      </c>
      <c r="AE4630" s="2">
        <f>VLOOKUP(I4630,[1]媒体政策预估表!A:N,MATCH(O4630,[1]媒体政策预估表!$A$2:$M$2,0),0)</f>
        <v>0.15</v>
      </c>
      <c r="AF4630" s="6">
        <f t="shared" si="713"/>
        <v>67740.442500000005</v>
      </c>
      <c r="AG4630" s="14">
        <v>0</v>
      </c>
      <c r="AH4630" s="65">
        <f t="shared" si="708"/>
        <v>451602.95</v>
      </c>
      <c r="AI4630" s="47"/>
      <c r="AJ4630" s="126" t="e">
        <v>#N/A</v>
      </c>
      <c r="AK4630" s="80">
        <f t="shared" si="711"/>
        <v>0</v>
      </c>
      <c r="AM4630" s="85"/>
    </row>
    <row r="4631" spans="1:39" hidden="1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05"/>
        <v>-13827.68</v>
      </c>
      <c r="X4631" s="6">
        <f t="shared" si="706"/>
        <v>0</v>
      </c>
      <c r="Y4631" s="13">
        <f t="shared" si="709"/>
        <v>0</v>
      </c>
      <c r="Z4631" s="14">
        <v>0</v>
      </c>
      <c r="AA4631" s="6">
        <v>0</v>
      </c>
      <c r="AB4631" s="4">
        <f t="shared" si="710"/>
        <v>0</v>
      </c>
      <c r="AC4631" s="4">
        <f t="shared" si="712"/>
        <v>0</v>
      </c>
      <c r="AD4631" s="6">
        <f t="shared" si="707"/>
        <v>0</v>
      </c>
      <c r="AE4631" s="2">
        <f>VLOOKUP(I4631,[1]媒体政策预估表!A:N,MATCH(O4631,[1]媒体政策预估表!$A$2:$M$2,0),0)</f>
        <v>0.15</v>
      </c>
      <c r="AF4631" s="6">
        <f t="shared" si="713"/>
        <v>0</v>
      </c>
      <c r="AG4631" s="14">
        <v>0</v>
      </c>
      <c r="AH4631" s="65">
        <f t="shared" si="708"/>
        <v>0</v>
      </c>
      <c r="AI4631" s="47"/>
      <c r="AJ4631" s="126" t="e">
        <v>#N/A</v>
      </c>
      <c r="AK4631" s="80">
        <f t="shared" si="711"/>
        <v>0</v>
      </c>
      <c r="AM4631" s="85"/>
    </row>
    <row r="4632" spans="1:39" hidden="1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05"/>
        <v>-318.06</v>
      </c>
      <c r="X4632" s="6">
        <f t="shared" si="706"/>
        <v>0</v>
      </c>
      <c r="Y4632" s="13">
        <f t="shared" si="709"/>
        <v>0</v>
      </c>
      <c r="Z4632" s="14">
        <v>0</v>
      </c>
      <c r="AA4632" s="6">
        <v>0</v>
      </c>
      <c r="AB4632" s="4">
        <f t="shared" si="710"/>
        <v>0</v>
      </c>
      <c r="AC4632" s="4">
        <f t="shared" si="712"/>
        <v>0</v>
      </c>
      <c r="AD4632" s="6">
        <f t="shared" si="707"/>
        <v>0</v>
      </c>
      <c r="AE4632" s="2">
        <f>VLOOKUP(I4632,[1]媒体政策预估表!A:N,MATCH(O4632,[1]媒体政策预估表!$A$2:$M$2,0),0)</f>
        <v>0.15</v>
      </c>
      <c r="AF4632" s="6">
        <f t="shared" si="713"/>
        <v>0</v>
      </c>
      <c r="AG4632" s="14">
        <v>0</v>
      </c>
      <c r="AH4632" s="65">
        <f t="shared" si="708"/>
        <v>0</v>
      </c>
      <c r="AI4632" s="47"/>
      <c r="AJ4632" s="126" t="e">
        <v>#N/A</v>
      </c>
      <c r="AK4632" s="80">
        <f t="shared" si="711"/>
        <v>0</v>
      </c>
      <c r="AM4632" s="85"/>
    </row>
    <row r="4633" spans="1:39" hidden="1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05"/>
        <v>-34100.78557</v>
      </c>
      <c r="X4633" s="6">
        <f t="shared" si="706"/>
        <v>17520.593529999998</v>
      </c>
      <c r="Y4633" s="13">
        <f t="shared" si="709"/>
        <v>0</v>
      </c>
      <c r="Z4633" s="14">
        <v>0</v>
      </c>
      <c r="AA4633" s="6">
        <v>0</v>
      </c>
      <c r="AB4633" s="4">
        <f t="shared" si="710"/>
        <v>17520.593529999998</v>
      </c>
      <c r="AC4633" s="4">
        <f t="shared" si="712"/>
        <v>0</v>
      </c>
      <c r="AD4633" s="6">
        <f t="shared" si="707"/>
        <v>17520.593529999998</v>
      </c>
      <c r="AE4633" s="2">
        <f>VLOOKUP(I4633,[1]媒体政策预估表!A:N,MATCH(O4633,[1]媒体政策预估表!$A$2:$M$2,0),0)</f>
        <v>0.12</v>
      </c>
      <c r="AF4633" s="6">
        <f t="shared" si="713"/>
        <v>2102.4712235999996</v>
      </c>
      <c r="AG4633" s="14">
        <v>0</v>
      </c>
      <c r="AH4633" s="65">
        <f t="shared" si="708"/>
        <v>17520.593529999998</v>
      </c>
      <c r="AI4633" s="47"/>
      <c r="AJ4633" s="126" t="e">
        <v>#N/A</v>
      </c>
      <c r="AK4633" s="80">
        <f t="shared" si="711"/>
        <v>0</v>
      </c>
      <c r="AM4633" s="85"/>
    </row>
    <row r="4634" spans="1:39" hidden="1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05"/>
        <v>-4226.5334000000003</v>
      </c>
      <c r="X4634" s="6">
        <f t="shared" si="706"/>
        <v>4.3152254901960783</v>
      </c>
      <c r="Y4634" s="13">
        <f t="shared" si="709"/>
        <v>0</v>
      </c>
      <c r="Z4634" s="14">
        <v>0</v>
      </c>
      <c r="AA4634" s="6">
        <v>0</v>
      </c>
      <c r="AB4634" s="4">
        <f t="shared" si="710"/>
        <v>4.3152254901960783</v>
      </c>
      <c r="AC4634" s="4">
        <f t="shared" si="712"/>
        <v>8.6304509803921903E-2</v>
      </c>
      <c r="AD4634" s="6">
        <f t="shared" si="707"/>
        <v>4.4015300000000002</v>
      </c>
      <c r="AE4634" s="2">
        <f>VLOOKUP(I4634,[1]媒体政策预估表!A:N,MATCH(O4634,[1]媒体政策预估表!$A$2:$M$2,0),0)</f>
        <v>0.12</v>
      </c>
      <c r="AF4634" s="6">
        <f t="shared" si="713"/>
        <v>0.52818359999999998</v>
      </c>
      <c r="AG4634" s="14">
        <v>0</v>
      </c>
      <c r="AH4634" s="65">
        <f t="shared" si="708"/>
        <v>4.4015300000000002</v>
      </c>
      <c r="AI4634" s="47"/>
      <c r="AJ4634" s="126" t="e">
        <v>#N/A</v>
      </c>
      <c r="AK4634" s="80">
        <f t="shared" si="711"/>
        <v>0</v>
      </c>
      <c r="AM4634" s="85"/>
    </row>
    <row r="4635" spans="1:39" hidden="1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05"/>
        <v>-656.50497000000007</v>
      </c>
      <c r="X4635" s="6">
        <f t="shared" si="706"/>
        <v>556.45095000000003</v>
      </c>
      <c r="Y4635" s="13">
        <f t="shared" si="709"/>
        <v>0</v>
      </c>
      <c r="Z4635" s="14">
        <v>0</v>
      </c>
      <c r="AA4635" s="6">
        <v>0</v>
      </c>
      <c r="AB4635" s="4">
        <f t="shared" si="710"/>
        <v>556.45095000000003</v>
      </c>
      <c r="AC4635" s="4">
        <f t="shared" si="712"/>
        <v>0</v>
      </c>
      <c r="AD4635" s="6">
        <f t="shared" si="707"/>
        <v>556.45095000000003</v>
      </c>
      <c r="AE4635" s="2">
        <f>VLOOKUP(I4635,[1]媒体政策预估表!A:N,MATCH(O4635,[1]媒体政策预估表!$A$2:$M$2,0),0)</f>
        <v>0.12</v>
      </c>
      <c r="AF4635" s="6">
        <f t="shared" si="713"/>
        <v>66.774113999999997</v>
      </c>
      <c r="AG4635" s="14">
        <v>0</v>
      </c>
      <c r="AH4635" s="65">
        <f t="shared" si="708"/>
        <v>556.45095000000003</v>
      </c>
      <c r="AI4635" s="47"/>
      <c r="AJ4635" s="126" t="e">
        <v>#N/A</v>
      </c>
      <c r="AK4635" s="80">
        <f t="shared" si="711"/>
        <v>0</v>
      </c>
      <c r="AM4635" s="85"/>
    </row>
    <row r="4636" spans="1:39" hidden="1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05"/>
        <v>-6206.7361600000004</v>
      </c>
      <c r="X4636" s="6">
        <f t="shared" si="706"/>
        <v>0</v>
      </c>
      <c r="Y4636" s="13">
        <f t="shared" si="709"/>
        <v>0</v>
      </c>
      <c r="Z4636" s="14">
        <v>0</v>
      </c>
      <c r="AA4636" s="6">
        <v>0</v>
      </c>
      <c r="AB4636" s="4">
        <f t="shared" si="710"/>
        <v>0</v>
      </c>
      <c r="AC4636" s="4">
        <f t="shared" si="712"/>
        <v>0</v>
      </c>
      <c r="AD4636" s="6">
        <f t="shared" si="707"/>
        <v>0</v>
      </c>
      <c r="AE4636" s="2">
        <f>VLOOKUP(I4636,[1]媒体政策预估表!A:N,MATCH(O4636,[1]媒体政策预估表!$A$2:$M$2,0),0)</f>
        <v>0.12</v>
      </c>
      <c r="AF4636" s="6">
        <f t="shared" si="713"/>
        <v>0</v>
      </c>
      <c r="AG4636" s="14">
        <v>0</v>
      </c>
      <c r="AH4636" s="65">
        <f t="shared" si="708"/>
        <v>0</v>
      </c>
      <c r="AI4636" s="47"/>
      <c r="AJ4636" s="126" t="e">
        <v>#N/A</v>
      </c>
      <c r="AK4636" s="80">
        <f t="shared" si="711"/>
        <v>0</v>
      </c>
      <c r="AM4636" s="85"/>
    </row>
    <row r="4637" spans="1:39" hidden="1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05"/>
        <v>-1280.7417800000001</v>
      </c>
      <c r="X4637" s="6">
        <f t="shared" si="706"/>
        <v>537.28339000000005</v>
      </c>
      <c r="Y4637" s="13">
        <f t="shared" si="709"/>
        <v>0</v>
      </c>
      <c r="Z4637" s="14">
        <v>0</v>
      </c>
      <c r="AA4637" s="6">
        <v>0</v>
      </c>
      <c r="AB4637" s="4">
        <f t="shared" si="710"/>
        <v>537.28339000000005</v>
      </c>
      <c r="AC4637" s="4">
        <f t="shared" si="712"/>
        <v>0</v>
      </c>
      <c r="AD4637" s="6">
        <f t="shared" si="707"/>
        <v>537.28339000000005</v>
      </c>
      <c r="AE4637" s="2">
        <f>VLOOKUP(I4637,[1]媒体政策预估表!A:N,MATCH(O4637,[1]媒体政策预估表!$A$2:$M$2,0),0)</f>
        <v>0.12</v>
      </c>
      <c r="AF4637" s="6">
        <f t="shared" si="713"/>
        <v>64.474006799999998</v>
      </c>
      <c r="AG4637" s="14">
        <v>0</v>
      </c>
      <c r="AH4637" s="65">
        <f t="shared" si="708"/>
        <v>537.28339000000005</v>
      </c>
      <c r="AI4637" s="47"/>
      <c r="AJ4637" s="126" t="e">
        <v>#N/A</v>
      </c>
      <c r="AK4637" s="80">
        <f t="shared" si="711"/>
        <v>0</v>
      </c>
      <c r="AM4637" s="85"/>
    </row>
    <row r="4638" spans="1:39" hidden="1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05"/>
        <v>-147022.40568</v>
      </c>
      <c r="X4638" s="6">
        <f t="shared" si="706"/>
        <v>92144.952549019596</v>
      </c>
      <c r="Y4638" s="13">
        <f t="shared" si="709"/>
        <v>0</v>
      </c>
      <c r="Z4638" s="14">
        <v>0</v>
      </c>
      <c r="AA4638" s="6">
        <v>0</v>
      </c>
      <c r="AB4638" s="4">
        <f t="shared" si="710"/>
        <v>92144.952549019596</v>
      </c>
      <c r="AC4638" s="4">
        <f t="shared" si="712"/>
        <v>1842.8990509803989</v>
      </c>
      <c r="AD4638" s="6">
        <f t="shared" si="707"/>
        <v>93987.851599999995</v>
      </c>
      <c r="AE4638" s="2">
        <f>VLOOKUP(I4638,[1]媒体政策预估表!A:N,MATCH(O4638,[1]媒体政策预估表!$A$2:$M$2,0),0)</f>
        <v>0.12</v>
      </c>
      <c r="AF4638" s="6">
        <f t="shared" si="713"/>
        <v>11278.542191999999</v>
      </c>
      <c r="AG4638" s="14">
        <v>0</v>
      </c>
      <c r="AH4638" s="65">
        <f t="shared" si="708"/>
        <v>93987.851599999995</v>
      </c>
      <c r="AI4638" s="47"/>
      <c r="AJ4638" s="126" t="e">
        <v>#N/A</v>
      </c>
      <c r="AK4638" s="80">
        <f t="shared" si="711"/>
        <v>0</v>
      </c>
      <c r="AM4638" s="85"/>
    </row>
    <row r="4639" spans="1:39" hidden="1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05"/>
        <v>-27636.10859</v>
      </c>
      <c r="X4639" s="6">
        <f t="shared" si="706"/>
        <v>4785.1637403846153</v>
      </c>
      <c r="Y4639" s="13">
        <f t="shared" si="709"/>
        <v>0</v>
      </c>
      <c r="Z4639" s="14">
        <v>0</v>
      </c>
      <c r="AA4639" s="6">
        <v>0</v>
      </c>
      <c r="AB4639" s="4">
        <f t="shared" si="710"/>
        <v>4785.1637403846153</v>
      </c>
      <c r="AC4639" s="4">
        <f t="shared" si="712"/>
        <v>191.40654961538439</v>
      </c>
      <c r="AD4639" s="6">
        <f t="shared" si="707"/>
        <v>4976.5702899999997</v>
      </c>
      <c r="AE4639" s="2">
        <f>VLOOKUP(I4639,[1]媒体政策预估表!A:N,MATCH(O4639,[1]媒体政策预估表!$A$2:$M$2,0),0)</f>
        <v>0.12</v>
      </c>
      <c r="AF4639" s="6">
        <f t="shared" si="713"/>
        <v>597.18843479999998</v>
      </c>
      <c r="AG4639" s="14">
        <v>0</v>
      </c>
      <c r="AH4639" s="65">
        <f t="shared" si="708"/>
        <v>4976.5702899999997</v>
      </c>
      <c r="AI4639" s="47"/>
      <c r="AJ4639" s="126" t="e">
        <v>#N/A</v>
      </c>
      <c r="AK4639" s="80">
        <f t="shared" si="711"/>
        <v>0</v>
      </c>
      <c r="AM4639" s="85"/>
    </row>
    <row r="4640" spans="1:39" hidden="1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05"/>
        <v>-590933.64061999996</v>
      </c>
      <c r="X4640" s="6">
        <f t="shared" si="706"/>
        <v>224342.14081000001</v>
      </c>
      <c r="Y4640" s="13">
        <f t="shared" si="709"/>
        <v>0</v>
      </c>
      <c r="Z4640" s="14">
        <v>0</v>
      </c>
      <c r="AA4640" s="6">
        <v>0</v>
      </c>
      <c r="AB4640" s="4">
        <f t="shared" si="710"/>
        <v>224342.14081000001</v>
      </c>
      <c r="AC4640" s="4">
        <f t="shared" si="712"/>
        <v>0</v>
      </c>
      <c r="AD4640" s="6">
        <f t="shared" si="707"/>
        <v>224342.14081000001</v>
      </c>
      <c r="AE4640" s="2">
        <f>VLOOKUP(I4640,[1]媒体政策预估表!A:N,MATCH(O4640,[1]媒体政策预估表!$A$2:$M$2,0),0)</f>
        <v>0.12</v>
      </c>
      <c r="AF4640" s="6">
        <f t="shared" si="713"/>
        <v>26921.0568972</v>
      </c>
      <c r="AG4640" s="14">
        <v>0</v>
      </c>
      <c r="AH4640" s="65">
        <f t="shared" si="708"/>
        <v>224342.14081000001</v>
      </c>
      <c r="AI4640" s="47"/>
      <c r="AJ4640" s="126" t="e">
        <v>#N/A</v>
      </c>
      <c r="AK4640" s="80">
        <f t="shared" si="711"/>
        <v>0</v>
      </c>
      <c r="AM4640" s="85"/>
    </row>
    <row r="4641" spans="1:39" hidden="1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05"/>
        <v>-50.1</v>
      </c>
      <c r="X4641" s="6">
        <f t="shared" si="706"/>
        <v>0</v>
      </c>
      <c r="Y4641" s="13">
        <f t="shared" si="709"/>
        <v>0</v>
      </c>
      <c r="Z4641" s="14">
        <v>0</v>
      </c>
      <c r="AA4641" s="6">
        <v>0</v>
      </c>
      <c r="AB4641" s="4">
        <f t="shared" si="710"/>
        <v>0</v>
      </c>
      <c r="AC4641" s="4">
        <f t="shared" si="712"/>
        <v>0</v>
      </c>
      <c r="AD4641" s="6">
        <f t="shared" si="707"/>
        <v>0</v>
      </c>
      <c r="AE4641" s="2">
        <f>VLOOKUP(I4641,[1]媒体政策预估表!A:N,MATCH(O4641,[1]媒体政策预估表!$A$2:$M$2,0),0)</f>
        <v>0.12</v>
      </c>
      <c r="AF4641" s="6">
        <f t="shared" si="713"/>
        <v>0</v>
      </c>
      <c r="AG4641" s="14">
        <v>0</v>
      </c>
      <c r="AH4641" s="65">
        <f t="shared" si="708"/>
        <v>0</v>
      </c>
      <c r="AI4641" s="47"/>
      <c r="AJ4641" s="126" t="e">
        <v>#N/A</v>
      </c>
      <c r="AK4641" s="80">
        <f t="shared" si="711"/>
        <v>0</v>
      </c>
      <c r="AM4641" s="85"/>
    </row>
    <row r="4642" spans="1:39" hidden="1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05"/>
        <v>-4429.2</v>
      </c>
      <c r="X4642" s="6">
        <f t="shared" si="706"/>
        <v>607.79999999999995</v>
      </c>
      <c r="Y4642" s="13">
        <f t="shared" si="709"/>
        <v>0</v>
      </c>
      <c r="Z4642" s="14">
        <v>0</v>
      </c>
      <c r="AA4642" s="6">
        <v>0</v>
      </c>
      <c r="AB4642" s="4">
        <f t="shared" si="710"/>
        <v>607.79999999999995</v>
      </c>
      <c r="AC4642" s="4">
        <f t="shared" si="712"/>
        <v>0</v>
      </c>
      <c r="AD4642" s="6">
        <f t="shared" si="707"/>
        <v>607.79999999999995</v>
      </c>
      <c r="AE4642" s="2">
        <f>VLOOKUP(I4642,[1]媒体政策预估表!A:N,MATCH(O4642,[1]媒体政策预估表!$A$2:$M$2,0),0)</f>
        <v>0.12</v>
      </c>
      <c r="AF4642" s="6">
        <f t="shared" si="713"/>
        <v>72.935999999999993</v>
      </c>
      <c r="AG4642" s="14">
        <v>0</v>
      </c>
      <c r="AH4642" s="65">
        <f t="shared" si="708"/>
        <v>607.79999999999995</v>
      </c>
      <c r="AI4642" s="47"/>
      <c r="AJ4642" s="126" t="e">
        <v>#N/A</v>
      </c>
      <c r="AK4642" s="80">
        <f t="shared" si="711"/>
        <v>0</v>
      </c>
      <c r="AM4642" s="85"/>
    </row>
    <row r="4643" spans="1:39" hidden="1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05"/>
        <v>-801.6</v>
      </c>
      <c r="X4643" s="6">
        <f t="shared" si="706"/>
        <v>0</v>
      </c>
      <c r="Y4643" s="13">
        <f t="shared" si="709"/>
        <v>0</v>
      </c>
      <c r="Z4643" s="14">
        <v>0</v>
      </c>
      <c r="AA4643" s="6">
        <v>0</v>
      </c>
      <c r="AB4643" s="4">
        <f t="shared" si="710"/>
        <v>0</v>
      </c>
      <c r="AC4643" s="4">
        <f t="shared" si="712"/>
        <v>0</v>
      </c>
      <c r="AD4643" s="6">
        <f t="shared" si="707"/>
        <v>0</v>
      </c>
      <c r="AE4643" s="2">
        <f>VLOOKUP(I4643,[1]媒体政策预估表!A:N,MATCH(O4643,[1]媒体政策预估表!$A$2:$M$2,0),0)</f>
        <v>0.12</v>
      </c>
      <c r="AF4643" s="6">
        <f t="shared" si="713"/>
        <v>0</v>
      </c>
      <c r="AG4643" s="14">
        <v>0</v>
      </c>
      <c r="AH4643" s="65">
        <f t="shared" si="708"/>
        <v>0</v>
      </c>
      <c r="AI4643" s="47"/>
      <c r="AJ4643" s="126" t="e">
        <v>#N/A</v>
      </c>
      <c r="AK4643" s="80">
        <f t="shared" si="711"/>
        <v>0</v>
      </c>
      <c r="AM4643" s="85"/>
    </row>
    <row r="4644" spans="1:39" hidden="1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05"/>
        <v>-12.464639999999999</v>
      </c>
      <c r="X4644" s="6">
        <f t="shared" si="706"/>
        <v>0.17868000000000001</v>
      </c>
      <c r="Y4644" s="13">
        <f t="shared" si="709"/>
        <v>0</v>
      </c>
      <c r="Z4644" s="14">
        <v>0</v>
      </c>
      <c r="AA4644" s="6">
        <v>0</v>
      </c>
      <c r="AB4644" s="4">
        <f t="shared" si="710"/>
        <v>0.17868000000000001</v>
      </c>
      <c r="AC4644" s="4">
        <f t="shared" si="712"/>
        <v>0</v>
      </c>
      <c r="AD4644" s="6">
        <f t="shared" si="707"/>
        <v>0.17868000000000001</v>
      </c>
      <c r="AE4644" s="2">
        <f>VLOOKUP(I4644,[1]媒体政策预估表!A:N,MATCH(O4644,[1]媒体政策预估表!$A$2:$M$2,0),0)</f>
        <v>0.12</v>
      </c>
      <c r="AF4644" s="6">
        <f t="shared" si="713"/>
        <v>2.1441599999999998E-2</v>
      </c>
      <c r="AG4644" s="14">
        <v>0</v>
      </c>
      <c r="AH4644" s="65">
        <f t="shared" si="708"/>
        <v>0.17868000000000001</v>
      </c>
      <c r="AI4644" s="47"/>
      <c r="AJ4644" s="126" t="e">
        <v>#N/A</v>
      </c>
      <c r="AK4644" s="80">
        <f t="shared" si="711"/>
        <v>0</v>
      </c>
      <c r="AM4644" s="85"/>
    </row>
    <row r="4645" spans="1:39" hidden="1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06"/>
        <v>0</v>
      </c>
      <c r="Y4645" s="13">
        <f t="shared" si="709"/>
        <v>0</v>
      </c>
      <c r="Z4645" s="14">
        <v>0</v>
      </c>
      <c r="AA4645" s="6">
        <v>0</v>
      </c>
      <c r="AB4645" s="4">
        <f t="shared" si="710"/>
        <v>0</v>
      </c>
      <c r="AC4645" s="4">
        <f t="shared" si="712"/>
        <v>0</v>
      </c>
      <c r="AD4645" s="6">
        <f t="shared" si="707"/>
        <v>0</v>
      </c>
      <c r="AE4645" s="2">
        <f>VLOOKUP(I4645,[1]媒体政策预估表!A:N,MATCH(O4645,[1]媒体政策预估表!$A$2:$M$2,0),0)</f>
        <v>0.12</v>
      </c>
      <c r="AF4645" s="6">
        <f t="shared" si="713"/>
        <v>0</v>
      </c>
      <c r="AG4645" s="14">
        <v>0</v>
      </c>
      <c r="AH4645" s="65">
        <f t="shared" si="708"/>
        <v>0</v>
      </c>
      <c r="AI4645" s="47"/>
      <c r="AJ4645" s="126" t="e">
        <v>#N/A</v>
      </c>
      <c r="AK4645" s="80">
        <f t="shared" si="711"/>
        <v>0</v>
      </c>
      <c r="AM4645" s="85"/>
    </row>
    <row r="4646" spans="1:39" hidden="1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05"/>
        <v>-4250.7</v>
      </c>
      <c r="X4646" s="6">
        <f t="shared" si="706"/>
        <v>0</v>
      </c>
      <c r="Y4646" s="13">
        <f t="shared" si="709"/>
        <v>0</v>
      </c>
      <c r="Z4646" s="14">
        <v>0</v>
      </c>
      <c r="AA4646" s="6">
        <v>0</v>
      </c>
      <c r="AB4646" s="4">
        <f t="shared" si="710"/>
        <v>0</v>
      </c>
      <c r="AC4646" s="4">
        <f t="shared" si="712"/>
        <v>0</v>
      </c>
      <c r="AD4646" s="6">
        <f t="shared" si="707"/>
        <v>0</v>
      </c>
      <c r="AE4646" s="2">
        <f>VLOOKUP(I4646,[1]媒体政策预估表!A:N,MATCH(O4646,[1]媒体政策预估表!$A$2:$M$2,0),0)</f>
        <v>7.0000000000000007E-2</v>
      </c>
      <c r="AF4646" s="6">
        <f t="shared" si="713"/>
        <v>0</v>
      </c>
      <c r="AG4646" s="14">
        <v>0</v>
      </c>
      <c r="AH4646" s="65">
        <f t="shared" si="708"/>
        <v>0</v>
      </c>
      <c r="AI4646" s="47"/>
      <c r="AJ4646" s="126" t="e">
        <v>#N/A</v>
      </c>
      <c r="AK4646" s="80">
        <f t="shared" si="711"/>
        <v>0</v>
      </c>
      <c r="AM4646" s="85"/>
    </row>
    <row r="4647" spans="1:39" hidden="1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05"/>
        <v>-82630.237899999993</v>
      </c>
      <c r="X4647" s="6">
        <f t="shared" si="706"/>
        <v>81010.037156862731</v>
      </c>
      <c r="Y4647" s="13">
        <f t="shared" si="709"/>
        <v>0</v>
      </c>
      <c r="Z4647" s="14">
        <v>0</v>
      </c>
      <c r="AA4647" s="6">
        <v>0</v>
      </c>
      <c r="AB4647" s="4">
        <f t="shared" si="710"/>
        <v>81010.037156862731</v>
      </c>
      <c r="AC4647" s="4">
        <f t="shared" si="712"/>
        <v>1620.2007431372622</v>
      </c>
      <c r="AD4647" s="6">
        <f t="shared" si="707"/>
        <v>82630.237899999993</v>
      </c>
      <c r="AE4647" s="2">
        <f>VLOOKUP(I4647,[1]媒体政策预估表!A:N,MATCH(O4647,[1]媒体政策预估表!$A$2:$M$2,0),0)</f>
        <v>0.15</v>
      </c>
      <c r="AF4647" s="6">
        <f t="shared" si="713"/>
        <v>12394.535684999999</v>
      </c>
      <c r="AG4647" s="14">
        <v>0</v>
      </c>
      <c r="AH4647" s="65">
        <f t="shared" si="708"/>
        <v>82630.237899999993</v>
      </c>
      <c r="AI4647" s="47"/>
      <c r="AJ4647" s="126" t="e">
        <v>#N/A</v>
      </c>
      <c r="AK4647" s="80">
        <f t="shared" si="711"/>
        <v>0</v>
      </c>
      <c r="AM4647" s="85"/>
    </row>
    <row r="4648" spans="1:39" hidden="1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05"/>
        <v>-302.02226000000002</v>
      </c>
      <c r="X4648" s="6">
        <f t="shared" si="706"/>
        <v>302.02226000000002</v>
      </c>
      <c r="Y4648" s="13">
        <f t="shared" si="709"/>
        <v>0</v>
      </c>
      <c r="Z4648" s="14">
        <v>0</v>
      </c>
      <c r="AA4648" s="6">
        <v>0</v>
      </c>
      <c r="AB4648" s="4">
        <f t="shared" si="710"/>
        <v>302.02226000000002</v>
      </c>
      <c r="AC4648" s="4">
        <f t="shared" si="712"/>
        <v>0</v>
      </c>
      <c r="AD4648" s="6">
        <f t="shared" si="707"/>
        <v>302.02226000000002</v>
      </c>
      <c r="AE4648" s="2">
        <f>VLOOKUP(I4648,[1]媒体政策预估表!A:N,MATCH(O4648,[1]媒体政策预估表!$A$2:$M$2,0),0)</f>
        <v>0.15</v>
      </c>
      <c r="AF4648" s="6">
        <f t="shared" si="713"/>
        <v>45.303339000000001</v>
      </c>
      <c r="AG4648" s="14">
        <v>0</v>
      </c>
      <c r="AH4648" s="65">
        <f t="shared" si="708"/>
        <v>302.02226000000002</v>
      </c>
      <c r="AI4648" s="47"/>
      <c r="AJ4648" s="126" t="e">
        <v>#N/A</v>
      </c>
      <c r="AK4648" s="80">
        <f t="shared" si="711"/>
        <v>0</v>
      </c>
      <c r="AM4648" s="85"/>
    </row>
    <row r="4649" spans="1:39" hidden="1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05"/>
        <v>-38596.185080000003</v>
      </c>
      <c r="X4649" s="6">
        <f t="shared" si="706"/>
        <v>38596.185080000003</v>
      </c>
      <c r="Y4649" s="13">
        <f t="shared" si="709"/>
        <v>0</v>
      </c>
      <c r="Z4649" s="14">
        <v>0</v>
      </c>
      <c r="AA4649" s="6">
        <v>0</v>
      </c>
      <c r="AB4649" s="4">
        <f t="shared" si="710"/>
        <v>38596.185080000003</v>
      </c>
      <c r="AC4649" s="4">
        <f t="shared" si="712"/>
        <v>0</v>
      </c>
      <c r="AD4649" s="6">
        <f t="shared" si="707"/>
        <v>38596.185080000003</v>
      </c>
      <c r="AE4649" s="2">
        <f>VLOOKUP(I4649,[1]媒体政策预估表!A:N,MATCH(O4649,[1]媒体政策预估表!$A$2:$M$2,0),0)</f>
        <v>0.12</v>
      </c>
      <c r="AF4649" s="6">
        <f t="shared" si="713"/>
        <v>4631.5422096000002</v>
      </c>
      <c r="AG4649" s="14">
        <v>0</v>
      </c>
      <c r="AH4649" s="65">
        <f t="shared" si="708"/>
        <v>38596.185080000003</v>
      </c>
      <c r="AI4649" s="47"/>
      <c r="AJ4649" s="126" t="e">
        <v>#N/A</v>
      </c>
      <c r="AK4649" s="80">
        <f t="shared" si="711"/>
        <v>0</v>
      </c>
      <c r="AM4649" s="85"/>
    </row>
    <row r="4650" spans="1:39" hidden="1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05"/>
        <v>-162.03792000000001</v>
      </c>
      <c r="X4650" s="6">
        <f t="shared" si="706"/>
        <v>158.86070588235296</v>
      </c>
      <c r="Y4650" s="13">
        <f t="shared" si="709"/>
        <v>0</v>
      </c>
      <c r="Z4650" s="14">
        <v>0</v>
      </c>
      <c r="AA4650" s="6">
        <v>0</v>
      </c>
      <c r="AB4650" s="4">
        <f t="shared" si="710"/>
        <v>158.86070588235296</v>
      </c>
      <c r="AC4650" s="4">
        <f t="shared" si="712"/>
        <v>3.1772141176470541</v>
      </c>
      <c r="AD4650" s="6">
        <f t="shared" si="707"/>
        <v>162.03792000000001</v>
      </c>
      <c r="AE4650" s="2">
        <f>VLOOKUP(I4650,[1]媒体政策预估表!A:N,MATCH(O4650,[1]媒体政策预估表!$A$2:$M$2,0),0)</f>
        <v>0.12</v>
      </c>
      <c r="AF4650" s="6">
        <f t="shared" si="713"/>
        <v>19.444550400000001</v>
      </c>
      <c r="AG4650" s="14">
        <v>0</v>
      </c>
      <c r="AH4650" s="65">
        <f t="shared" si="708"/>
        <v>162.03792000000001</v>
      </c>
      <c r="AI4650" s="47"/>
      <c r="AJ4650" s="126" t="e">
        <v>#N/A</v>
      </c>
      <c r="AK4650" s="80">
        <f t="shared" si="711"/>
        <v>0</v>
      </c>
      <c r="AM4650" s="85"/>
    </row>
    <row r="4651" spans="1:39" hidden="1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05"/>
        <v>-51450.309130000001</v>
      </c>
      <c r="X4651" s="6">
        <f t="shared" si="706"/>
        <v>51450.309130000001</v>
      </c>
      <c r="Y4651" s="13">
        <f t="shared" si="709"/>
        <v>0</v>
      </c>
      <c r="Z4651" s="14">
        <v>0</v>
      </c>
      <c r="AA4651" s="6">
        <v>0</v>
      </c>
      <c r="AB4651" s="4">
        <f t="shared" si="710"/>
        <v>51450.309130000001</v>
      </c>
      <c r="AC4651" s="4">
        <f t="shared" si="712"/>
        <v>0</v>
      </c>
      <c r="AD4651" s="6">
        <f t="shared" si="707"/>
        <v>51450.309130000001</v>
      </c>
      <c r="AE4651" s="2">
        <f>VLOOKUP(I4651,[1]媒体政策预估表!A:N,MATCH(O4651,[1]媒体政策预估表!$A$2:$M$2,0),0)</f>
        <v>0.12</v>
      </c>
      <c r="AF4651" s="6">
        <f t="shared" si="713"/>
        <v>6174.0370955999997</v>
      </c>
      <c r="AG4651" s="14">
        <v>0</v>
      </c>
      <c r="AH4651" s="65">
        <f t="shared" si="708"/>
        <v>51450.309130000001</v>
      </c>
      <c r="AI4651" s="47"/>
      <c r="AJ4651" s="126" t="e">
        <v>#N/A</v>
      </c>
      <c r="AK4651" s="80">
        <f t="shared" si="711"/>
        <v>0</v>
      </c>
      <c r="AM4651" s="85"/>
    </row>
    <row r="4652" spans="1:39" hidden="1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05"/>
        <v>-923.69376999999997</v>
      </c>
      <c r="X4652" s="6">
        <f t="shared" si="706"/>
        <v>914.54828712871279</v>
      </c>
      <c r="Y4652" s="13">
        <f t="shared" si="709"/>
        <v>0</v>
      </c>
      <c r="Z4652" s="14">
        <v>0</v>
      </c>
      <c r="AA4652" s="6">
        <v>0</v>
      </c>
      <c r="AB4652" s="4">
        <f t="shared" si="710"/>
        <v>914.54828712871279</v>
      </c>
      <c r="AC4652" s="4">
        <f t="shared" si="712"/>
        <v>9.1454828712871858</v>
      </c>
      <c r="AD4652" s="6">
        <f t="shared" si="707"/>
        <v>923.69376999999997</v>
      </c>
      <c r="AE4652" s="2">
        <f>VLOOKUP(I4652,[1]媒体政策预估表!A:N,MATCH(O4652,[1]媒体政策预估表!$A$2:$M$2,0),0)</f>
        <v>0.12</v>
      </c>
      <c r="AF4652" s="6">
        <f t="shared" si="713"/>
        <v>110.8432524</v>
      </c>
      <c r="AG4652" s="14">
        <v>0</v>
      </c>
      <c r="AH4652" s="65">
        <f t="shared" si="708"/>
        <v>923.69376999999997</v>
      </c>
      <c r="AI4652" s="47"/>
      <c r="AJ4652" s="126" t="e">
        <v>#N/A</v>
      </c>
      <c r="AK4652" s="80">
        <f t="shared" si="711"/>
        <v>0</v>
      </c>
      <c r="AM4652" s="85"/>
    </row>
    <row r="4653" spans="1:39" hidden="1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05"/>
        <v>-4860.77747</v>
      </c>
      <c r="X4653" s="6">
        <f t="shared" si="706"/>
        <v>4860.77747</v>
      </c>
      <c r="Y4653" s="13">
        <f t="shared" si="709"/>
        <v>0</v>
      </c>
      <c r="Z4653" s="14">
        <v>0</v>
      </c>
      <c r="AA4653" s="6">
        <v>0</v>
      </c>
      <c r="AB4653" s="4">
        <f t="shared" si="710"/>
        <v>4860.77747</v>
      </c>
      <c r="AC4653" s="4">
        <f t="shared" si="712"/>
        <v>0</v>
      </c>
      <c r="AD4653" s="6">
        <f t="shared" si="707"/>
        <v>4860.77747</v>
      </c>
      <c r="AE4653" s="2">
        <f>VLOOKUP(I4653,[1]媒体政策预估表!A:N,MATCH(O4653,[1]媒体政策预估表!$A$2:$M$2,0),0)</f>
        <v>0.12</v>
      </c>
      <c r="AF4653" s="6">
        <f t="shared" si="713"/>
        <v>583.29329640000003</v>
      </c>
      <c r="AG4653" s="14">
        <v>0</v>
      </c>
      <c r="AH4653" s="65">
        <f t="shared" si="708"/>
        <v>4860.77747</v>
      </c>
      <c r="AI4653" s="47"/>
      <c r="AJ4653" s="126" t="e">
        <v>#N/A</v>
      </c>
      <c r="AK4653" s="80">
        <f t="shared" si="711"/>
        <v>0</v>
      </c>
      <c r="AM4653" s="85"/>
    </row>
    <row r="4654" spans="1:39" hidden="1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06"/>
        <v>6350</v>
      </c>
      <c r="Y4654" s="13">
        <f t="shared" si="709"/>
        <v>0</v>
      </c>
      <c r="Z4654" s="14">
        <v>0</v>
      </c>
      <c r="AA4654" s="6">
        <v>0</v>
      </c>
      <c r="AB4654" s="4">
        <f t="shared" si="710"/>
        <v>6350</v>
      </c>
      <c r="AC4654" s="4">
        <f t="shared" si="712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13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11"/>
        <v>0</v>
      </c>
      <c r="AM4654" s="85"/>
    </row>
    <row r="4655" spans="1:39" hidden="1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14">T4655+U4655-V4655</f>
        <v>19474.679999999993</v>
      </c>
      <c r="X4655" s="6">
        <f t="shared" si="706"/>
        <v>103062</v>
      </c>
      <c r="Y4655" s="13">
        <f t="shared" si="709"/>
        <v>0</v>
      </c>
      <c r="Z4655" s="14">
        <v>0</v>
      </c>
      <c r="AA4655" s="6">
        <v>0</v>
      </c>
      <c r="AB4655" s="4">
        <f t="shared" si="710"/>
        <v>103062</v>
      </c>
      <c r="AC4655" s="4">
        <f t="shared" si="712"/>
        <v>0</v>
      </c>
      <c r="AD4655" s="6">
        <f t="shared" ref="AD4655:AD4718" si="715">V4655</f>
        <v>103062</v>
      </c>
      <c r="AE4655" s="2">
        <f>VLOOKUP(I4655,[1]媒体政策预估表!A:N,MATCH(O4655,[1]媒体政策预估表!$A$2:$M$2,0),0)</f>
        <v>0.09</v>
      </c>
      <c r="AF4655" s="6">
        <f t="shared" si="713"/>
        <v>9275.58</v>
      </c>
      <c r="AG4655" s="14">
        <v>0</v>
      </c>
      <c r="AH4655" s="65">
        <f t="shared" ref="AH4655:AH4718" si="716">AD4655</f>
        <v>103062</v>
      </c>
      <c r="AI4655" s="47"/>
      <c r="AJ4655" s="126" t="e">
        <v>#N/A</v>
      </c>
      <c r="AK4655" s="80">
        <f t="shared" si="711"/>
        <v>0</v>
      </c>
      <c r="AM4655" s="85"/>
    </row>
    <row r="4656" spans="1:39" hidden="1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14"/>
        <v>5177.9999999999982</v>
      </c>
      <c r="X4656" s="6">
        <f t="shared" si="706"/>
        <v>823.52941176470586</v>
      </c>
      <c r="Y4656" s="13">
        <f t="shared" si="709"/>
        <v>0</v>
      </c>
      <c r="Z4656" s="14">
        <v>0</v>
      </c>
      <c r="AA4656" s="6">
        <v>0</v>
      </c>
      <c r="AB4656" s="4">
        <f t="shared" si="710"/>
        <v>823.52941176470586</v>
      </c>
      <c r="AC4656" s="4">
        <f t="shared" si="712"/>
        <v>16.470588235294144</v>
      </c>
      <c r="AD4656" s="6">
        <f t="shared" si="715"/>
        <v>840</v>
      </c>
      <c r="AE4656" s="2">
        <f>VLOOKUP(I4656,[1]媒体政策预估表!A:N,MATCH(O4656,[1]媒体政策预估表!$A$2:$M$2,0),0)</f>
        <v>0.09</v>
      </c>
      <c r="AF4656" s="6">
        <f t="shared" si="713"/>
        <v>75.599999999999994</v>
      </c>
      <c r="AG4656" s="14">
        <v>0</v>
      </c>
      <c r="AH4656" s="65">
        <f t="shared" si="716"/>
        <v>840</v>
      </c>
      <c r="AI4656" s="47"/>
      <c r="AJ4656" s="126" t="e">
        <v>#N/A</v>
      </c>
      <c r="AK4656" s="80">
        <f t="shared" si="711"/>
        <v>0</v>
      </c>
      <c r="AM4656" s="85"/>
    </row>
    <row r="4657" spans="1:39" hidden="1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14"/>
        <v>64204.690000000017</v>
      </c>
      <c r="X4657" s="6">
        <f t="shared" si="706"/>
        <v>16908.87</v>
      </c>
      <c r="Y4657" s="13">
        <f t="shared" si="709"/>
        <v>0</v>
      </c>
      <c r="Z4657" s="14">
        <v>0</v>
      </c>
      <c r="AA4657" s="6">
        <v>0</v>
      </c>
      <c r="AB4657" s="4">
        <f t="shared" si="710"/>
        <v>16908.87</v>
      </c>
      <c r="AC4657" s="4">
        <f t="shared" si="712"/>
        <v>0</v>
      </c>
      <c r="AD4657" s="6">
        <f t="shared" si="715"/>
        <v>16908.87</v>
      </c>
      <c r="AE4657" s="2">
        <f>VLOOKUP(I4657,[1]媒体政策预估表!A:N,MATCH(O4657,[1]媒体政策预估表!$A$2:$M$2,0),0)</f>
        <v>0.09</v>
      </c>
      <c r="AF4657" s="6">
        <f t="shared" si="713"/>
        <v>1521.7982999999999</v>
      </c>
      <c r="AG4657" s="14">
        <v>0</v>
      </c>
      <c r="AH4657" s="65">
        <f t="shared" si="716"/>
        <v>16908.87</v>
      </c>
      <c r="AI4657" s="47"/>
      <c r="AJ4657" s="126" t="e">
        <v>#N/A</v>
      </c>
      <c r="AK4657" s="80">
        <f t="shared" si="711"/>
        <v>0</v>
      </c>
      <c r="AM4657" s="85"/>
    </row>
    <row r="4658" spans="1:39" hidden="1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14"/>
        <v>5728.4499999999989</v>
      </c>
      <c r="X4658" s="6">
        <f t="shared" si="706"/>
        <v>16248.1</v>
      </c>
      <c r="Y4658" s="13">
        <f t="shared" si="709"/>
        <v>0</v>
      </c>
      <c r="Z4658" s="14">
        <v>0</v>
      </c>
      <c r="AA4658" s="6">
        <v>0</v>
      </c>
      <c r="AB4658" s="4">
        <f t="shared" si="710"/>
        <v>16248.1</v>
      </c>
      <c r="AC4658" s="4">
        <f t="shared" si="712"/>
        <v>0</v>
      </c>
      <c r="AD4658" s="6">
        <f t="shared" si="715"/>
        <v>16248.1</v>
      </c>
      <c r="AE4658" s="2">
        <f>VLOOKUP(I4658,[1]媒体政策预估表!A:N,MATCH(O4658,[1]媒体政策预估表!$A$2:$M$2,0),0)</f>
        <v>0.09</v>
      </c>
      <c r="AF4658" s="6">
        <f t="shared" si="713"/>
        <v>1462.329</v>
      </c>
      <c r="AG4658" s="14">
        <v>0</v>
      </c>
      <c r="AH4658" s="65">
        <f t="shared" si="716"/>
        <v>16248.1</v>
      </c>
      <c r="AI4658" s="47"/>
      <c r="AJ4658" s="126" t="e">
        <v>#N/A</v>
      </c>
      <c r="AK4658" s="80">
        <f t="shared" si="711"/>
        <v>0</v>
      </c>
      <c r="AM4658" s="85"/>
    </row>
    <row r="4659" spans="1:39" hidden="1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14"/>
        <v>433998.62999999977</v>
      </c>
      <c r="X4659" s="6">
        <f t="shared" si="706"/>
        <v>303361.31520000019</v>
      </c>
      <c r="Y4659" s="13">
        <f t="shared" si="709"/>
        <v>0</v>
      </c>
      <c r="Z4659" s="14">
        <v>0</v>
      </c>
      <c r="AA4659" s="6">
        <v>0</v>
      </c>
      <c r="AB4659" s="4">
        <f t="shared" si="710"/>
        <v>303361.31520000019</v>
      </c>
      <c r="AC4659" s="4">
        <f t="shared" si="712"/>
        <v>12640.054800000042</v>
      </c>
      <c r="AD4659" s="6">
        <f t="shared" si="715"/>
        <v>316001.37000000023</v>
      </c>
      <c r="AE4659" s="2">
        <f>VLOOKUP(I4659,[1]媒体政策预估表!A:N,MATCH(O4659,[1]媒体政策预估表!$A$2:$M$2,0),0)</f>
        <v>0.09</v>
      </c>
      <c r="AF4659" s="6">
        <f t="shared" si="713"/>
        <v>28440.123300000021</v>
      </c>
      <c r="AG4659" s="14">
        <v>0</v>
      </c>
      <c r="AH4659" s="65">
        <f t="shared" si="716"/>
        <v>316001.37000000023</v>
      </c>
      <c r="AI4659" s="47"/>
      <c r="AJ4659" s="126" t="e">
        <v>#N/A</v>
      </c>
      <c r="AK4659" s="80">
        <f t="shared" si="711"/>
        <v>0</v>
      </c>
      <c r="AM4659" s="85"/>
    </row>
    <row r="4660" spans="1:39" hidden="1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14"/>
        <v>18833.900000000067</v>
      </c>
      <c r="X4660" s="6">
        <f t="shared" si="706"/>
        <v>79243.77</v>
      </c>
      <c r="Y4660" s="13">
        <f t="shared" si="709"/>
        <v>0</v>
      </c>
      <c r="Z4660" s="14">
        <v>0</v>
      </c>
      <c r="AA4660" s="6">
        <v>0</v>
      </c>
      <c r="AB4660" s="4">
        <f t="shared" si="710"/>
        <v>79243.77</v>
      </c>
      <c r="AC4660" s="4">
        <f t="shared" si="712"/>
        <v>0</v>
      </c>
      <c r="AD4660" s="6">
        <f t="shared" si="715"/>
        <v>79243.77</v>
      </c>
      <c r="AE4660" s="2">
        <f>VLOOKUP(I4660,[1]媒体政策预估表!A:N,MATCH(O4660,[1]媒体政策预估表!$A$2:$M$2,0),0)</f>
        <v>0.09</v>
      </c>
      <c r="AF4660" s="6">
        <f t="shared" si="713"/>
        <v>7131.9393</v>
      </c>
      <c r="AG4660" s="14">
        <v>0</v>
      </c>
      <c r="AH4660" s="65">
        <f t="shared" si="716"/>
        <v>79243.77</v>
      </c>
      <c r="AI4660" s="47"/>
      <c r="AJ4660" s="126" t="e">
        <v>#N/A</v>
      </c>
      <c r="AK4660" s="80">
        <f t="shared" si="711"/>
        <v>0</v>
      </c>
      <c r="AM4660" s="85"/>
    </row>
    <row r="4661" spans="1:39" hidden="1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14"/>
        <v>5225.5800000000017</v>
      </c>
      <c r="X4661" s="6">
        <f t="shared" si="706"/>
        <v>55679.5</v>
      </c>
      <c r="Y4661" s="13">
        <f t="shared" si="709"/>
        <v>0</v>
      </c>
      <c r="Z4661" s="14">
        <v>0</v>
      </c>
      <c r="AA4661" s="6">
        <v>0</v>
      </c>
      <c r="AB4661" s="4">
        <f t="shared" si="710"/>
        <v>55679.5</v>
      </c>
      <c r="AC4661" s="4">
        <f t="shared" si="712"/>
        <v>0</v>
      </c>
      <c r="AD4661" s="6">
        <f t="shared" si="715"/>
        <v>55679.5</v>
      </c>
      <c r="AE4661" s="2">
        <f>VLOOKUP(I4661,[1]媒体政策预估表!A:N,MATCH(O4661,[1]媒体政策预估表!$A$2:$M$2,0),0)</f>
        <v>0.09</v>
      </c>
      <c r="AF4661" s="6">
        <f t="shared" si="713"/>
        <v>5011.1549999999997</v>
      </c>
      <c r="AG4661" s="14">
        <v>0</v>
      </c>
      <c r="AH4661" s="65">
        <f t="shared" si="716"/>
        <v>55679.5</v>
      </c>
      <c r="AI4661" s="47"/>
      <c r="AJ4661" s="126" t="e">
        <v>#N/A</v>
      </c>
      <c r="AK4661" s="80">
        <f t="shared" si="711"/>
        <v>0</v>
      </c>
      <c r="AM4661" s="85"/>
    </row>
    <row r="4662" spans="1:39" hidden="1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14"/>
        <v>0</v>
      </c>
      <c r="X4662" s="6">
        <f t="shared" si="706"/>
        <v>464</v>
      </c>
      <c r="Y4662" s="13">
        <f t="shared" si="709"/>
        <v>0</v>
      </c>
      <c r="Z4662" s="14">
        <v>0</v>
      </c>
      <c r="AA4662" s="6">
        <v>0</v>
      </c>
      <c r="AB4662" s="4">
        <f t="shared" si="710"/>
        <v>464</v>
      </c>
      <c r="AC4662" s="4">
        <f t="shared" si="712"/>
        <v>0</v>
      </c>
      <c r="AD4662" s="6">
        <f t="shared" si="715"/>
        <v>464</v>
      </c>
      <c r="AE4662" s="2">
        <f>VLOOKUP(I4662,[1]媒体政策预估表!A:N,MATCH(O4662,[1]媒体政策预估表!$A$2:$M$2,0),0)</f>
        <v>0.09</v>
      </c>
      <c r="AF4662" s="6">
        <f t="shared" si="713"/>
        <v>41.76</v>
      </c>
      <c r="AG4662" s="14">
        <v>0</v>
      </c>
      <c r="AH4662" s="65">
        <f t="shared" si="716"/>
        <v>464</v>
      </c>
      <c r="AI4662" s="47"/>
      <c r="AJ4662" s="126" t="e">
        <v>#N/A</v>
      </c>
      <c r="AK4662" s="80">
        <f t="shared" si="711"/>
        <v>0</v>
      </c>
      <c r="AM4662" s="85"/>
    </row>
    <row r="4663" spans="1:39" hidden="1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14"/>
        <v>170491.88999999996</v>
      </c>
      <c r="X4663" s="6">
        <f t="shared" si="706"/>
        <v>165039.45000000001</v>
      </c>
      <c r="Y4663" s="13">
        <f t="shared" si="709"/>
        <v>0</v>
      </c>
      <c r="Z4663" s="14">
        <v>0</v>
      </c>
      <c r="AA4663" s="6">
        <v>0</v>
      </c>
      <c r="AB4663" s="4">
        <f t="shared" si="710"/>
        <v>165039.45000000001</v>
      </c>
      <c r="AC4663" s="4">
        <f t="shared" si="712"/>
        <v>0</v>
      </c>
      <c r="AD4663" s="6">
        <f t="shared" si="715"/>
        <v>165039.45000000001</v>
      </c>
      <c r="AE4663" s="2">
        <f>VLOOKUP(I4663,[1]媒体政策预估表!A:N,MATCH(O4663,[1]媒体政策预估表!$A$2:$M$2,0),0)</f>
        <v>0.09</v>
      </c>
      <c r="AF4663" s="6">
        <f t="shared" si="713"/>
        <v>14853.550500000001</v>
      </c>
      <c r="AG4663" s="14">
        <v>0</v>
      </c>
      <c r="AH4663" s="65">
        <f t="shared" si="716"/>
        <v>165039.45000000001</v>
      </c>
      <c r="AI4663" s="47"/>
      <c r="AJ4663" s="126" t="e">
        <v>#N/A</v>
      </c>
      <c r="AK4663" s="80">
        <f t="shared" si="711"/>
        <v>0</v>
      </c>
      <c r="AM4663" s="85"/>
    </row>
    <row r="4664" spans="1:39" hidden="1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14"/>
        <v>10000</v>
      </c>
      <c r="X4664" s="6">
        <f t="shared" si="706"/>
        <v>0</v>
      </c>
      <c r="Y4664" s="13">
        <f t="shared" si="709"/>
        <v>0</v>
      </c>
      <c r="Z4664" s="14">
        <v>0</v>
      </c>
      <c r="AA4664" s="6">
        <v>0</v>
      </c>
      <c r="AB4664" s="4">
        <f t="shared" si="710"/>
        <v>0</v>
      </c>
      <c r="AC4664" s="4">
        <f t="shared" si="712"/>
        <v>0</v>
      </c>
      <c r="AD4664" s="6">
        <f t="shared" si="715"/>
        <v>0</v>
      </c>
      <c r="AE4664" s="2">
        <f>VLOOKUP(I4664,[1]媒体政策预估表!A:N,MATCH(O4664,[1]媒体政策预估表!$A$2:$M$2,0),0)</f>
        <v>0.09</v>
      </c>
      <c r="AF4664" s="6">
        <f t="shared" si="713"/>
        <v>0</v>
      </c>
      <c r="AG4664" s="14">
        <v>0</v>
      </c>
      <c r="AH4664" s="65">
        <f t="shared" si="716"/>
        <v>0</v>
      </c>
      <c r="AI4664" s="47"/>
      <c r="AJ4664" s="126" t="e">
        <v>#N/A</v>
      </c>
      <c r="AK4664" s="80">
        <f t="shared" si="711"/>
        <v>0</v>
      </c>
      <c r="AM4664" s="85"/>
    </row>
    <row r="4665" spans="1:39" hidden="1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06"/>
        <v>0</v>
      </c>
      <c r="Y4665" s="13">
        <f t="shared" si="709"/>
        <v>0</v>
      </c>
      <c r="Z4665" s="14">
        <v>0</v>
      </c>
      <c r="AA4665" s="6">
        <v>0</v>
      </c>
      <c r="AB4665" s="4"/>
      <c r="AC4665" s="4">
        <f t="shared" si="712"/>
        <v>0</v>
      </c>
      <c r="AD4665" s="6">
        <f t="shared" si="715"/>
        <v>0</v>
      </c>
      <c r="AE4665" s="2">
        <f>VLOOKUP(I4665,[1]媒体政策预估表!A:N,MATCH(O4665,[1]媒体政策预估表!$A$2:$M$2,0),0)</f>
        <v>0.09</v>
      </c>
      <c r="AF4665" s="6">
        <f t="shared" si="713"/>
        <v>0</v>
      </c>
      <c r="AG4665" s="14">
        <v>0</v>
      </c>
      <c r="AH4665" s="65">
        <f t="shared" si="716"/>
        <v>0</v>
      </c>
      <c r="AI4665" s="47"/>
      <c r="AJ4665" s="126">
        <v>117</v>
      </c>
      <c r="AK4665" s="80">
        <f t="shared" si="711"/>
        <v>0</v>
      </c>
      <c r="AM4665" s="85"/>
    </row>
    <row r="4666" spans="1:39" hidden="1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14"/>
        <v>9571.880000000001</v>
      </c>
      <c r="X4666" s="6">
        <f t="shared" si="706"/>
        <v>6944.94</v>
      </c>
      <c r="Y4666" s="13">
        <f t="shared" si="709"/>
        <v>0</v>
      </c>
      <c r="Z4666" s="14">
        <v>0</v>
      </c>
      <c r="AA4666" s="6">
        <v>0</v>
      </c>
      <c r="AB4666" s="4">
        <f t="shared" si="710"/>
        <v>6944.94</v>
      </c>
      <c r="AC4666" s="4">
        <f t="shared" si="712"/>
        <v>0</v>
      </c>
      <c r="AD4666" s="6">
        <f t="shared" si="715"/>
        <v>6944.94</v>
      </c>
      <c r="AE4666" s="2">
        <f>VLOOKUP(I4666,[1]媒体政策预估表!A:N,MATCH(O4666,[1]媒体政策预估表!$A$2:$M$2,0),0)</f>
        <v>0.09</v>
      </c>
      <c r="AF4666" s="6">
        <f t="shared" si="713"/>
        <v>625.04459999999995</v>
      </c>
      <c r="AG4666" s="14">
        <v>0</v>
      </c>
      <c r="AH4666" s="65">
        <f t="shared" si="716"/>
        <v>6944.94</v>
      </c>
      <c r="AI4666" s="47"/>
      <c r="AJ4666" s="126" t="e">
        <v>#N/A</v>
      </c>
      <c r="AK4666" s="80">
        <f t="shared" si="711"/>
        <v>0</v>
      </c>
      <c r="AM4666" s="85"/>
    </row>
    <row r="4667" spans="1:39" hidden="1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14"/>
        <v>9932.4799999999977</v>
      </c>
      <c r="X4667" s="6">
        <f t="shared" ref="X4667:X4730" si="717">IF(P4667="折扣",V4667*Q4667,IF(P4667="返现",V4667,V4667/(1+Q4667)))</f>
        <v>8073.51</v>
      </c>
      <c r="Y4667" s="13">
        <f t="shared" si="709"/>
        <v>0</v>
      </c>
      <c r="Z4667" s="14">
        <v>0</v>
      </c>
      <c r="AA4667" s="6">
        <v>0</v>
      </c>
      <c r="AB4667" s="4">
        <f t="shared" si="710"/>
        <v>8073.51</v>
      </c>
      <c r="AC4667" s="4">
        <f t="shared" si="712"/>
        <v>0</v>
      </c>
      <c r="AD4667" s="6">
        <f t="shared" si="715"/>
        <v>8073.51</v>
      </c>
      <c r="AE4667" s="2">
        <f>VLOOKUP(I4667,[1]媒体政策预估表!A:N,MATCH(O4667,[1]媒体政策预估表!$A$2:$M$2,0),0)</f>
        <v>0.09</v>
      </c>
      <c r="AF4667" s="6">
        <f t="shared" si="713"/>
        <v>726.61590000000001</v>
      </c>
      <c r="AG4667" s="14">
        <v>0</v>
      </c>
      <c r="AH4667" s="65">
        <f t="shared" si="716"/>
        <v>8073.51</v>
      </c>
      <c r="AI4667" s="47"/>
      <c r="AJ4667" s="126" t="e">
        <v>#N/A</v>
      </c>
      <c r="AK4667" s="80">
        <f t="shared" si="711"/>
        <v>0</v>
      </c>
      <c r="AM4667" s="85"/>
    </row>
    <row r="4668" spans="1:39" hidden="1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14"/>
        <v>79881.62999999999</v>
      </c>
      <c r="X4668" s="6">
        <f t="shared" si="717"/>
        <v>48507.44</v>
      </c>
      <c r="Y4668" s="13">
        <f t="shared" si="709"/>
        <v>0</v>
      </c>
      <c r="Z4668" s="14">
        <v>0</v>
      </c>
      <c r="AA4668" s="6">
        <v>0</v>
      </c>
      <c r="AB4668" s="4">
        <f t="shared" si="710"/>
        <v>48507.44</v>
      </c>
      <c r="AC4668" s="4">
        <f t="shared" si="712"/>
        <v>0</v>
      </c>
      <c r="AD4668" s="6">
        <f t="shared" si="715"/>
        <v>48507.44</v>
      </c>
      <c r="AE4668" s="2">
        <f>VLOOKUP(I4668,[1]媒体政策预估表!A:N,MATCH(O4668,[1]媒体政策预估表!$A$2:$M$2,0),0)</f>
        <v>0.09</v>
      </c>
      <c r="AF4668" s="6">
        <f t="shared" si="713"/>
        <v>4365.6696000000002</v>
      </c>
      <c r="AG4668" s="14">
        <v>0</v>
      </c>
      <c r="AH4668" s="65">
        <f t="shared" si="716"/>
        <v>48507.44</v>
      </c>
      <c r="AI4668" s="47"/>
      <c r="AJ4668" s="126" t="e">
        <v>#N/A</v>
      </c>
      <c r="AK4668" s="80">
        <f t="shared" si="711"/>
        <v>0</v>
      </c>
      <c r="AM4668" s="85"/>
    </row>
    <row r="4669" spans="1:39" hidden="1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14"/>
        <v>108858.84</v>
      </c>
      <c r="X4669" s="6">
        <f t="shared" si="717"/>
        <v>59441.16</v>
      </c>
      <c r="Y4669" s="13">
        <f t="shared" si="709"/>
        <v>0</v>
      </c>
      <c r="Z4669" s="14">
        <v>0</v>
      </c>
      <c r="AA4669" s="6">
        <v>0</v>
      </c>
      <c r="AB4669" s="4">
        <f t="shared" si="710"/>
        <v>59441.16</v>
      </c>
      <c r="AC4669" s="4">
        <f t="shared" si="712"/>
        <v>0</v>
      </c>
      <c r="AD4669" s="6">
        <f t="shared" si="715"/>
        <v>59441.16</v>
      </c>
      <c r="AE4669" s="2">
        <f>VLOOKUP(I4669,[1]媒体政策预估表!A:N,MATCH(O4669,[1]媒体政策预估表!$A$2:$M$2,0),0)</f>
        <v>0.09</v>
      </c>
      <c r="AF4669" s="6">
        <f t="shared" si="713"/>
        <v>5349.7044000000005</v>
      </c>
      <c r="AG4669" s="14">
        <v>0</v>
      </c>
      <c r="AH4669" s="65">
        <f t="shared" si="716"/>
        <v>59441.16</v>
      </c>
      <c r="AI4669" s="47"/>
      <c r="AJ4669" s="126" t="e">
        <v>#N/A</v>
      </c>
      <c r="AK4669" s="80">
        <f t="shared" si="711"/>
        <v>0</v>
      </c>
      <c r="AM4669" s="85"/>
    </row>
    <row r="4670" spans="1:39" hidden="1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14"/>
        <v>249816.82</v>
      </c>
      <c r="X4670" s="6">
        <f t="shared" si="717"/>
        <v>366936.16</v>
      </c>
      <c r="Y4670" s="13">
        <f t="shared" si="709"/>
        <v>0</v>
      </c>
      <c r="Z4670" s="14">
        <v>0</v>
      </c>
      <c r="AA4670" s="6">
        <v>0</v>
      </c>
      <c r="AB4670" s="4">
        <f t="shared" si="710"/>
        <v>366936.16</v>
      </c>
      <c r="AC4670" s="4">
        <f t="shared" si="712"/>
        <v>0</v>
      </c>
      <c r="AD4670" s="6">
        <f t="shared" si="715"/>
        <v>366936.16</v>
      </c>
      <c r="AE4670" s="2">
        <f>VLOOKUP(I4670,[1]媒体政策预估表!A:N,MATCH(O4670,[1]媒体政策预估表!$A$2:$M$2,0),0)</f>
        <v>0.09</v>
      </c>
      <c r="AF4670" s="6">
        <f t="shared" si="713"/>
        <v>33024.254399999998</v>
      </c>
      <c r="AG4670" s="14">
        <v>0</v>
      </c>
      <c r="AH4670" s="65">
        <f t="shared" si="716"/>
        <v>366936.16</v>
      </c>
      <c r="AI4670" s="47"/>
      <c r="AJ4670" s="126" t="e">
        <v>#N/A</v>
      </c>
      <c r="AK4670" s="80">
        <f t="shared" si="711"/>
        <v>0</v>
      </c>
      <c r="AM4670" s="85"/>
    </row>
    <row r="4671" spans="1:39" hidden="1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14"/>
        <v>172398.42999999988</v>
      </c>
      <c r="X4671" s="6">
        <f t="shared" si="717"/>
        <v>263788.71000000002</v>
      </c>
      <c r="Y4671" s="13">
        <f t="shared" si="709"/>
        <v>0</v>
      </c>
      <c r="Z4671" s="14">
        <v>0</v>
      </c>
      <c r="AA4671" s="6">
        <v>0</v>
      </c>
      <c r="AB4671" s="4">
        <f t="shared" si="710"/>
        <v>263788.71000000002</v>
      </c>
      <c r="AC4671" s="4">
        <f t="shared" si="712"/>
        <v>0</v>
      </c>
      <c r="AD4671" s="6">
        <f t="shared" si="715"/>
        <v>263788.71000000002</v>
      </c>
      <c r="AE4671" s="2">
        <f>VLOOKUP(I4671,[1]媒体政策预估表!A:N,MATCH(O4671,[1]媒体政策预估表!$A$2:$M$2,0),0)</f>
        <v>0.09</v>
      </c>
      <c r="AF4671" s="6">
        <f t="shared" si="713"/>
        <v>23740.983899999999</v>
      </c>
      <c r="AG4671" s="14">
        <v>0</v>
      </c>
      <c r="AH4671" s="65">
        <f t="shared" si="716"/>
        <v>263788.71000000002</v>
      </c>
      <c r="AI4671" s="47"/>
      <c r="AJ4671" s="126" t="e">
        <v>#N/A</v>
      </c>
      <c r="AK4671" s="80">
        <f t="shared" si="711"/>
        <v>0</v>
      </c>
      <c r="AM4671" s="85"/>
    </row>
    <row r="4672" spans="1:39" hidden="1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14"/>
        <v>48089.049999999988</v>
      </c>
      <c r="X4672" s="6">
        <f t="shared" si="717"/>
        <v>114886.88</v>
      </c>
      <c r="Y4672" s="13">
        <f t="shared" si="709"/>
        <v>0</v>
      </c>
      <c r="Z4672" s="14">
        <v>0</v>
      </c>
      <c r="AA4672" s="6">
        <v>0</v>
      </c>
      <c r="AB4672" s="4">
        <f t="shared" si="710"/>
        <v>114886.88</v>
      </c>
      <c r="AC4672" s="4">
        <f t="shared" si="712"/>
        <v>0</v>
      </c>
      <c r="AD4672" s="6">
        <f t="shared" si="715"/>
        <v>114886.88</v>
      </c>
      <c r="AE4672" s="2">
        <f>VLOOKUP(I4672,[1]媒体政策预估表!A:N,MATCH(O4672,[1]媒体政策预估表!$A$2:$M$2,0),0)</f>
        <v>0.09</v>
      </c>
      <c r="AF4672" s="6">
        <f t="shared" si="713"/>
        <v>10339.8192</v>
      </c>
      <c r="AG4672" s="14">
        <v>0</v>
      </c>
      <c r="AH4672" s="65">
        <f t="shared" si="716"/>
        <v>114886.88</v>
      </c>
      <c r="AI4672" s="47"/>
      <c r="AJ4672" s="126" t="e">
        <v>#N/A</v>
      </c>
      <c r="AK4672" s="80">
        <f t="shared" si="711"/>
        <v>0</v>
      </c>
      <c r="AM4672" s="85"/>
    </row>
    <row r="4673" spans="1:39" hidden="1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14"/>
        <v>29703.97000000003</v>
      </c>
      <c r="X4673" s="6">
        <f t="shared" si="717"/>
        <v>61736.42</v>
      </c>
      <c r="Y4673" s="13">
        <f t="shared" si="709"/>
        <v>0</v>
      </c>
      <c r="Z4673" s="14">
        <v>0</v>
      </c>
      <c r="AA4673" s="6">
        <v>0</v>
      </c>
      <c r="AB4673" s="4">
        <f t="shared" si="710"/>
        <v>61736.42</v>
      </c>
      <c r="AC4673" s="4">
        <f t="shared" si="712"/>
        <v>0</v>
      </c>
      <c r="AD4673" s="6">
        <f t="shared" si="715"/>
        <v>61736.42</v>
      </c>
      <c r="AE4673" s="2">
        <f>VLOOKUP(I4673,[1]媒体政策预估表!A:N,MATCH(O4673,[1]媒体政策预估表!$A$2:$M$2,0),0)</f>
        <v>0.09</v>
      </c>
      <c r="AF4673" s="6">
        <f t="shared" si="713"/>
        <v>5556.2777999999998</v>
      </c>
      <c r="AG4673" s="14">
        <v>0</v>
      </c>
      <c r="AH4673" s="65">
        <f t="shared" si="716"/>
        <v>61736.42</v>
      </c>
      <c r="AI4673" s="47"/>
      <c r="AJ4673" s="126" t="e">
        <v>#N/A</v>
      </c>
      <c r="AK4673" s="80">
        <f t="shared" si="711"/>
        <v>0</v>
      </c>
      <c r="AM4673" s="85"/>
    </row>
    <row r="4674" spans="1:39" hidden="1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14"/>
        <v>23930.83</v>
      </c>
      <c r="X4674" s="6">
        <f t="shared" si="717"/>
        <v>7352.9411764705883</v>
      </c>
      <c r="Y4674" s="13">
        <f t="shared" si="709"/>
        <v>0</v>
      </c>
      <c r="Z4674" s="14">
        <v>0</v>
      </c>
      <c r="AA4674" s="6">
        <v>0</v>
      </c>
      <c r="AB4674" s="4">
        <f t="shared" si="710"/>
        <v>7352.9411764705883</v>
      </c>
      <c r="AC4674" s="4">
        <f t="shared" si="712"/>
        <v>147.05882352941171</v>
      </c>
      <c r="AD4674" s="6">
        <f t="shared" si="715"/>
        <v>7500</v>
      </c>
      <c r="AE4674" s="2">
        <f>VLOOKUP(I4674,[1]媒体政策预估表!A:N,MATCH(O4674,[1]媒体政策预估表!$A$2:$M$2,0),0)</f>
        <v>0.09</v>
      </c>
      <c r="AF4674" s="6">
        <f t="shared" si="713"/>
        <v>675</v>
      </c>
      <c r="AG4674" s="14">
        <v>0</v>
      </c>
      <c r="AH4674" s="65">
        <f t="shared" si="716"/>
        <v>7500</v>
      </c>
      <c r="AI4674" s="47"/>
      <c r="AJ4674" s="126" t="e">
        <v>#N/A</v>
      </c>
      <c r="AK4674" s="80">
        <f t="shared" si="711"/>
        <v>0</v>
      </c>
      <c r="AM4674" s="85"/>
    </row>
    <row r="4675" spans="1:39" hidden="1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14"/>
        <v>35811.850000000079</v>
      </c>
      <c r="X4675" s="6">
        <f t="shared" si="717"/>
        <v>17751.689999999999</v>
      </c>
      <c r="Y4675" s="13">
        <f t="shared" ref="Y4675:Y4738" si="718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19">X4675+AA4675</f>
        <v>17751.689999999999</v>
      </c>
      <c r="AC4675" s="4">
        <f t="shared" si="712"/>
        <v>0</v>
      </c>
      <c r="AD4675" s="6">
        <f t="shared" si="715"/>
        <v>17751.689999999999</v>
      </c>
      <c r="AE4675" s="2">
        <f>VLOOKUP(I4675,[1]媒体政策预估表!A:N,MATCH(O4675,[1]媒体政策预估表!$A$2:$M$2,0),0)</f>
        <v>0.09</v>
      </c>
      <c r="AF4675" s="6">
        <f t="shared" si="713"/>
        <v>1597.6520999999998</v>
      </c>
      <c r="AG4675" s="14">
        <v>0</v>
      </c>
      <c r="AH4675" s="65">
        <f t="shared" si="716"/>
        <v>17751.689999999999</v>
      </c>
      <c r="AI4675" s="47"/>
      <c r="AJ4675" s="126" t="e">
        <v>#N/A</v>
      </c>
      <c r="AK4675" s="80">
        <f t="shared" ref="AK4675:AK4738" si="720">X4675+AA4675-AB4675</f>
        <v>0</v>
      </c>
      <c r="AM4675" s="85"/>
    </row>
    <row r="4676" spans="1:39" hidden="1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14"/>
        <v>1579125.3399999994</v>
      </c>
      <c r="X4676" s="6">
        <f t="shared" si="717"/>
        <v>3715995.8039215687</v>
      </c>
      <c r="Y4676" s="13">
        <f t="shared" si="718"/>
        <v>0</v>
      </c>
      <c r="Z4676" s="14">
        <v>0</v>
      </c>
      <c r="AA4676" s="6">
        <v>0</v>
      </c>
      <c r="AB4676" s="4">
        <f t="shared" si="719"/>
        <v>3715995.8039215687</v>
      </c>
      <c r="AC4676" s="4">
        <f t="shared" si="712"/>
        <v>74319.916078431532</v>
      </c>
      <c r="AD4676" s="6">
        <f t="shared" si="715"/>
        <v>3790315.72</v>
      </c>
      <c r="AE4676" s="2">
        <f>VLOOKUP(I4676,[1]媒体政策预估表!A:N,MATCH(O4676,[1]媒体政策预估表!$A$2:$M$2,0),0)</f>
        <v>0.09</v>
      </c>
      <c r="AF4676" s="6">
        <f t="shared" si="713"/>
        <v>341128.41480000003</v>
      </c>
      <c r="AG4676" s="14">
        <v>0</v>
      </c>
      <c r="AH4676" s="65">
        <f t="shared" si="716"/>
        <v>3790315.72</v>
      </c>
      <c r="AI4676" s="47"/>
      <c r="AJ4676" s="126" t="e">
        <v>#N/A</v>
      </c>
      <c r="AK4676" s="80">
        <f t="shared" si="720"/>
        <v>0</v>
      </c>
      <c r="AM4676" s="85"/>
    </row>
    <row r="4677" spans="1:39" hidden="1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14"/>
        <v>194682.54000000027</v>
      </c>
      <c r="X4677" s="6">
        <f t="shared" si="717"/>
        <v>1305018.7843137253</v>
      </c>
      <c r="Y4677" s="13">
        <f t="shared" si="718"/>
        <v>0</v>
      </c>
      <c r="Z4677" s="14">
        <v>0</v>
      </c>
      <c r="AA4677" s="6">
        <v>0</v>
      </c>
      <c r="AB4677" s="4">
        <f t="shared" si="719"/>
        <v>1305018.7843137253</v>
      </c>
      <c r="AC4677" s="4">
        <f t="shared" si="712"/>
        <v>26100.375686274609</v>
      </c>
      <c r="AD4677" s="6">
        <f t="shared" si="715"/>
        <v>1331119.1599999999</v>
      </c>
      <c r="AE4677" s="2">
        <f>VLOOKUP(I4677,[1]媒体政策预估表!A:N,MATCH(O4677,[1]媒体政策预估表!$A$2:$M$2,0),0)</f>
        <v>0.09</v>
      </c>
      <c r="AF4677" s="6">
        <f t="shared" si="713"/>
        <v>119800.72439999999</v>
      </c>
      <c r="AG4677" s="14">
        <v>0</v>
      </c>
      <c r="AH4677" s="65">
        <f t="shared" si="716"/>
        <v>1331119.1599999999</v>
      </c>
      <c r="AI4677" s="47"/>
      <c r="AJ4677" s="126" t="e">
        <v>#N/A</v>
      </c>
      <c r="AK4677" s="80">
        <f t="shared" si="720"/>
        <v>0</v>
      </c>
      <c r="AM4677" s="85"/>
    </row>
    <row r="4678" spans="1:39" hidden="1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14"/>
        <v>17344.560000000009</v>
      </c>
      <c r="X4678" s="6">
        <f t="shared" si="717"/>
        <v>31303.627450980392</v>
      </c>
      <c r="Y4678" s="13">
        <f t="shared" si="718"/>
        <v>0</v>
      </c>
      <c r="Z4678" s="14">
        <v>0</v>
      </c>
      <c r="AA4678" s="6">
        <v>0</v>
      </c>
      <c r="AB4678" s="4">
        <f t="shared" si="719"/>
        <v>31303.627450980392</v>
      </c>
      <c r="AC4678" s="4">
        <f t="shared" si="712"/>
        <v>626.07254901960914</v>
      </c>
      <c r="AD4678" s="6">
        <f t="shared" si="715"/>
        <v>31929.7</v>
      </c>
      <c r="AE4678" s="2">
        <f>VLOOKUP(I4678,[1]媒体政策预估表!A:N,MATCH(O4678,[1]媒体政策预估表!$A$2:$M$2,0),0)</f>
        <v>0.09</v>
      </c>
      <c r="AF4678" s="6">
        <f t="shared" si="713"/>
        <v>2873.6729999999998</v>
      </c>
      <c r="AG4678" s="14">
        <v>0</v>
      </c>
      <c r="AH4678" s="65">
        <f t="shared" si="716"/>
        <v>31929.7</v>
      </c>
      <c r="AI4678" s="47"/>
      <c r="AJ4678" s="126" t="e">
        <v>#N/A</v>
      </c>
      <c r="AK4678" s="80">
        <f t="shared" si="720"/>
        <v>0</v>
      </c>
      <c r="AM4678" s="85"/>
    </row>
    <row r="4679" spans="1:39" hidden="1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14"/>
        <v>42103.47000000003</v>
      </c>
      <c r="X4679" s="6">
        <f t="shared" si="717"/>
        <v>127848.99019607843</v>
      </c>
      <c r="Y4679" s="13">
        <f t="shared" si="718"/>
        <v>0</v>
      </c>
      <c r="Z4679" s="14">
        <v>0</v>
      </c>
      <c r="AA4679" s="6">
        <v>0</v>
      </c>
      <c r="AB4679" s="4">
        <f t="shared" si="719"/>
        <v>127848.99019607843</v>
      </c>
      <c r="AC4679" s="4">
        <f t="shared" si="712"/>
        <v>2556.9798039215675</v>
      </c>
      <c r="AD4679" s="6">
        <f t="shared" si="715"/>
        <v>130405.97</v>
      </c>
      <c r="AE4679" s="2">
        <f>VLOOKUP(I4679,[1]媒体政策预估表!A:N,MATCH(O4679,[1]媒体政策预估表!$A$2:$M$2,0),0)</f>
        <v>0.09</v>
      </c>
      <c r="AF4679" s="6">
        <f t="shared" si="713"/>
        <v>11736.5373</v>
      </c>
      <c r="AG4679" s="14">
        <v>0</v>
      </c>
      <c r="AH4679" s="65">
        <f t="shared" si="716"/>
        <v>130405.97</v>
      </c>
      <c r="AI4679" s="47"/>
      <c r="AJ4679" s="126" t="e">
        <v>#N/A</v>
      </c>
      <c r="AK4679" s="80">
        <f t="shared" si="720"/>
        <v>0</v>
      </c>
      <c r="AM4679" s="85"/>
    </row>
    <row r="4680" spans="1:39" hidden="1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14"/>
        <v>19867.120000000003</v>
      </c>
      <c r="X4680" s="6">
        <f t="shared" si="717"/>
        <v>23433.539215686273</v>
      </c>
      <c r="Y4680" s="13">
        <f t="shared" si="718"/>
        <v>0</v>
      </c>
      <c r="Z4680" s="14">
        <v>0</v>
      </c>
      <c r="AA4680" s="6">
        <v>0</v>
      </c>
      <c r="AB4680" s="4">
        <f t="shared" si="719"/>
        <v>23433.539215686273</v>
      </c>
      <c r="AC4680" s="4">
        <f t="shared" si="712"/>
        <v>468.67078431372647</v>
      </c>
      <c r="AD4680" s="6">
        <f t="shared" si="715"/>
        <v>23902.21</v>
      </c>
      <c r="AE4680" s="2">
        <f>VLOOKUP(I4680,[1]媒体政策预估表!A:N,MATCH(O4680,[1]媒体政策预估表!$A$2:$M$2,0),0)</f>
        <v>0.09</v>
      </c>
      <c r="AF4680" s="6">
        <f t="shared" si="713"/>
        <v>2151.1988999999999</v>
      </c>
      <c r="AG4680" s="14">
        <v>0</v>
      </c>
      <c r="AH4680" s="65">
        <f t="shared" si="716"/>
        <v>23902.21</v>
      </c>
      <c r="AI4680" s="47"/>
      <c r="AJ4680" s="126" t="e">
        <v>#N/A</v>
      </c>
      <c r="AK4680" s="80">
        <f t="shared" si="720"/>
        <v>0</v>
      </c>
      <c r="AM4680" s="85"/>
    </row>
    <row r="4681" spans="1:39" hidden="1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14"/>
        <v>18484.309999999998</v>
      </c>
      <c r="X4681" s="6">
        <f t="shared" si="717"/>
        <v>16423.745098039217</v>
      </c>
      <c r="Y4681" s="13">
        <f t="shared" si="718"/>
        <v>0</v>
      </c>
      <c r="Z4681" s="14">
        <v>0</v>
      </c>
      <c r="AA4681" s="6">
        <v>0</v>
      </c>
      <c r="AB4681" s="4">
        <f t="shared" si="719"/>
        <v>16423.745098039217</v>
      </c>
      <c r="AC4681" s="4">
        <f t="shared" si="712"/>
        <v>328.47490196078434</v>
      </c>
      <c r="AD4681" s="6">
        <f t="shared" si="715"/>
        <v>16752.22</v>
      </c>
      <c r="AE4681" s="2">
        <f>VLOOKUP(I4681,[1]媒体政策预估表!A:N,MATCH(O4681,[1]媒体政策预估表!$A$2:$M$2,0),0)</f>
        <v>0.09</v>
      </c>
      <c r="AF4681" s="6">
        <f t="shared" si="713"/>
        <v>1507.6998000000001</v>
      </c>
      <c r="AG4681" s="14">
        <v>0</v>
      </c>
      <c r="AH4681" s="65">
        <f t="shared" si="716"/>
        <v>16752.22</v>
      </c>
      <c r="AI4681" s="47"/>
      <c r="AJ4681" s="126" t="e">
        <v>#N/A</v>
      </c>
      <c r="AK4681" s="80">
        <f t="shared" si="720"/>
        <v>0</v>
      </c>
      <c r="AM4681" s="85"/>
    </row>
    <row r="4682" spans="1:39" hidden="1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14"/>
        <v>172076.80999999997</v>
      </c>
      <c r="X4682" s="6">
        <f t="shared" si="717"/>
        <v>0</v>
      </c>
      <c r="Y4682" s="13">
        <f t="shared" si="718"/>
        <v>0</v>
      </c>
      <c r="Z4682" s="14">
        <v>0</v>
      </c>
      <c r="AA4682" s="6">
        <v>0</v>
      </c>
      <c r="AB4682" s="4">
        <f t="shared" si="719"/>
        <v>0</v>
      </c>
      <c r="AC4682" s="4">
        <f t="shared" si="712"/>
        <v>0</v>
      </c>
      <c r="AD4682" s="6">
        <f t="shared" si="715"/>
        <v>0</v>
      </c>
      <c r="AE4682" s="2">
        <f>VLOOKUP(I4682,[1]媒体政策预估表!A:N,MATCH(O4682,[1]媒体政策预估表!$A$2:$M$2,0),0)</f>
        <v>0.09</v>
      </c>
      <c r="AF4682" s="6">
        <f t="shared" si="713"/>
        <v>0</v>
      </c>
      <c r="AG4682" s="14">
        <v>0</v>
      </c>
      <c r="AH4682" s="65">
        <f t="shared" si="716"/>
        <v>0</v>
      </c>
      <c r="AI4682" s="47"/>
      <c r="AJ4682" s="126" t="e">
        <v>#N/A</v>
      </c>
      <c r="AK4682" s="80">
        <f t="shared" si="720"/>
        <v>0</v>
      </c>
      <c r="AM4682" s="85"/>
    </row>
    <row r="4683" spans="1:39" hidden="1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14"/>
        <v>334339.65000000002</v>
      </c>
      <c r="X4683" s="6">
        <f t="shared" si="717"/>
        <v>0</v>
      </c>
      <c r="Y4683" s="13">
        <f t="shared" si="718"/>
        <v>0</v>
      </c>
      <c r="Z4683" s="14">
        <v>0</v>
      </c>
      <c r="AA4683" s="6">
        <v>0</v>
      </c>
      <c r="AB4683" s="4">
        <f t="shared" si="719"/>
        <v>0</v>
      </c>
      <c r="AC4683" s="4">
        <f t="shared" si="712"/>
        <v>0</v>
      </c>
      <c r="AD4683" s="6">
        <f t="shared" si="715"/>
        <v>0</v>
      </c>
      <c r="AE4683" s="2">
        <f>VLOOKUP(I4683,[1]媒体政策预估表!A:N,MATCH(O4683,[1]媒体政策预估表!$A$2:$M$2,0),0)</f>
        <v>0.09</v>
      </c>
      <c r="AF4683" s="6">
        <f t="shared" si="713"/>
        <v>0</v>
      </c>
      <c r="AG4683" s="14">
        <v>0</v>
      </c>
      <c r="AH4683" s="65">
        <f t="shared" si="716"/>
        <v>0</v>
      </c>
      <c r="AI4683" s="47"/>
      <c r="AJ4683" s="126" t="e">
        <v>#N/A</v>
      </c>
      <c r="AK4683" s="80">
        <f t="shared" si="720"/>
        <v>0</v>
      </c>
      <c r="AM4683" s="85"/>
    </row>
    <row r="4684" spans="1:39" hidden="1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14"/>
        <v>307236.31999999995</v>
      </c>
      <c r="X4684" s="6">
        <f t="shared" si="717"/>
        <v>0</v>
      </c>
      <c r="Y4684" s="13">
        <f t="shared" si="718"/>
        <v>0</v>
      </c>
      <c r="Z4684" s="14">
        <v>0</v>
      </c>
      <c r="AA4684" s="6">
        <v>0</v>
      </c>
      <c r="AB4684" s="4">
        <f t="shared" si="719"/>
        <v>0</v>
      </c>
      <c r="AC4684" s="4">
        <f t="shared" ref="AC4684:AC4747" si="721">IF(P4684="返现",X4684*Q4684,V4684-X4684)</f>
        <v>0</v>
      </c>
      <c r="AD4684" s="6">
        <f t="shared" si="715"/>
        <v>0</v>
      </c>
      <c r="AE4684" s="2">
        <f>VLOOKUP(I4684,[1]媒体政策预估表!A:N,MATCH(O4684,[1]媒体政策预估表!$A$2:$M$2,0),0)</f>
        <v>0.09</v>
      </c>
      <c r="AF4684" s="6">
        <f t="shared" ref="AF4684:AF4747" si="722">AD4684*AE4684</f>
        <v>0</v>
      </c>
      <c r="AG4684" s="14">
        <v>0</v>
      </c>
      <c r="AH4684" s="65">
        <f t="shared" si="716"/>
        <v>0</v>
      </c>
      <c r="AI4684" s="47"/>
      <c r="AJ4684" s="126" t="e">
        <v>#N/A</v>
      </c>
      <c r="AK4684" s="80">
        <f t="shared" si="720"/>
        <v>0</v>
      </c>
      <c r="AM4684" s="85"/>
    </row>
    <row r="4685" spans="1:39" hidden="1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14"/>
        <v>0</v>
      </c>
      <c r="X4685" s="6">
        <f t="shared" si="717"/>
        <v>0</v>
      </c>
      <c r="Y4685" s="13">
        <f t="shared" si="718"/>
        <v>0</v>
      </c>
      <c r="Z4685" s="14">
        <v>0</v>
      </c>
      <c r="AA4685" s="6">
        <v>0</v>
      </c>
      <c r="AB4685" s="4">
        <f t="shared" si="719"/>
        <v>0</v>
      </c>
      <c r="AC4685" s="4">
        <f t="shared" si="721"/>
        <v>0</v>
      </c>
      <c r="AD4685" s="6">
        <f t="shared" si="715"/>
        <v>0</v>
      </c>
      <c r="AE4685" s="2">
        <f>VLOOKUP(I4685,[1]媒体政策预估表!A:N,MATCH(O4685,[1]媒体政策预估表!$A$2:$M$2,0),0)</f>
        <v>0.09</v>
      </c>
      <c r="AF4685" s="6">
        <f t="shared" si="722"/>
        <v>0</v>
      </c>
      <c r="AG4685" s="14">
        <v>0</v>
      </c>
      <c r="AH4685" s="65">
        <f t="shared" si="716"/>
        <v>0</v>
      </c>
      <c r="AI4685" s="47"/>
      <c r="AJ4685" s="126" t="e">
        <v>#N/A</v>
      </c>
      <c r="AK4685" s="80">
        <f t="shared" si="720"/>
        <v>0</v>
      </c>
      <c r="AM4685" s="85"/>
    </row>
    <row r="4686" spans="1:39" hidden="1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14"/>
        <v>142066.67000000004</v>
      </c>
      <c r="X4686" s="6">
        <f t="shared" si="717"/>
        <v>126669.81</v>
      </c>
      <c r="Y4686" s="13">
        <f t="shared" si="718"/>
        <v>0</v>
      </c>
      <c r="Z4686" s="14">
        <v>0</v>
      </c>
      <c r="AA4686" s="6">
        <v>0</v>
      </c>
      <c r="AB4686" s="4">
        <f t="shared" si="719"/>
        <v>126669.81</v>
      </c>
      <c r="AC4686" s="4">
        <f t="shared" si="721"/>
        <v>0</v>
      </c>
      <c r="AD4686" s="6">
        <f t="shared" si="715"/>
        <v>126669.81</v>
      </c>
      <c r="AE4686" s="2">
        <f>VLOOKUP(I4686,[1]媒体政策预估表!A:N,MATCH(O4686,[1]媒体政策预估表!$A$2:$M$2,0),0)</f>
        <v>0.09</v>
      </c>
      <c r="AF4686" s="6">
        <f t="shared" si="722"/>
        <v>11400.2829</v>
      </c>
      <c r="AG4686" s="14">
        <v>0</v>
      </c>
      <c r="AH4686" s="65">
        <f t="shared" si="716"/>
        <v>126669.81</v>
      </c>
      <c r="AI4686" s="47"/>
      <c r="AJ4686" s="126" t="e">
        <v>#N/A</v>
      </c>
      <c r="AK4686" s="80">
        <f t="shared" si="720"/>
        <v>0</v>
      </c>
      <c r="AM4686" s="85"/>
    </row>
    <row r="4687" spans="1:39" hidden="1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14"/>
        <v>47269.809999999881</v>
      </c>
      <c r="X4687" s="6">
        <f t="shared" si="717"/>
        <v>195945.5</v>
      </c>
      <c r="Y4687" s="13">
        <f t="shared" si="718"/>
        <v>0</v>
      </c>
      <c r="Z4687" s="14">
        <v>0</v>
      </c>
      <c r="AA4687" s="6">
        <v>0</v>
      </c>
      <c r="AB4687" s="4">
        <f t="shared" si="719"/>
        <v>195945.5</v>
      </c>
      <c r="AC4687" s="4">
        <f t="shared" si="721"/>
        <v>0</v>
      </c>
      <c r="AD4687" s="6">
        <f t="shared" si="715"/>
        <v>195945.5</v>
      </c>
      <c r="AE4687" s="2">
        <f>VLOOKUP(I4687,[1]媒体政策预估表!A:N,MATCH(O4687,[1]媒体政策预估表!$A$2:$M$2,0),0)</f>
        <v>0.09</v>
      </c>
      <c r="AF4687" s="6">
        <f t="shared" si="722"/>
        <v>17635.095000000001</v>
      </c>
      <c r="AG4687" s="14">
        <v>0</v>
      </c>
      <c r="AH4687" s="65">
        <f t="shared" si="716"/>
        <v>195945.5</v>
      </c>
      <c r="AI4687" s="47"/>
      <c r="AJ4687" s="126" t="e">
        <v>#N/A</v>
      </c>
      <c r="AK4687" s="80">
        <f t="shared" si="720"/>
        <v>0</v>
      </c>
      <c r="AM4687" s="85"/>
    </row>
    <row r="4688" spans="1:39" hidden="1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14"/>
        <v>9390.5200000000186</v>
      </c>
      <c r="X4688" s="6">
        <f t="shared" si="717"/>
        <v>94208.18</v>
      </c>
      <c r="Y4688" s="13">
        <f t="shared" si="718"/>
        <v>0</v>
      </c>
      <c r="Z4688" s="14">
        <v>0</v>
      </c>
      <c r="AA4688" s="6">
        <v>0</v>
      </c>
      <c r="AB4688" s="4">
        <f t="shared" si="719"/>
        <v>94208.18</v>
      </c>
      <c r="AC4688" s="4">
        <f t="shared" si="721"/>
        <v>0</v>
      </c>
      <c r="AD4688" s="6">
        <f t="shared" si="715"/>
        <v>94208.18</v>
      </c>
      <c r="AE4688" s="2">
        <f>VLOOKUP(I4688,[1]媒体政策预估表!A:N,MATCH(O4688,[1]媒体政策预估表!$A$2:$M$2,0),0)</f>
        <v>0.09</v>
      </c>
      <c r="AF4688" s="6">
        <f t="shared" si="722"/>
        <v>8478.7361999999994</v>
      </c>
      <c r="AG4688" s="14">
        <v>0</v>
      </c>
      <c r="AH4688" s="65">
        <f t="shared" si="716"/>
        <v>94208.18</v>
      </c>
      <c r="AI4688" s="47"/>
      <c r="AJ4688" s="126" t="e">
        <v>#N/A</v>
      </c>
      <c r="AK4688" s="80">
        <f t="shared" si="720"/>
        <v>0</v>
      </c>
      <c r="AM4688" s="85"/>
    </row>
    <row r="4689" spans="1:39" hidden="1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14"/>
        <v>0</v>
      </c>
      <c r="X4689" s="6">
        <f t="shared" si="717"/>
        <v>1604.0190476190476</v>
      </c>
      <c r="Y4689" s="13">
        <f t="shared" si="718"/>
        <v>0</v>
      </c>
      <c r="Z4689" s="14">
        <v>0</v>
      </c>
      <c r="AA4689" s="6">
        <v>0</v>
      </c>
      <c r="AB4689" s="4">
        <f t="shared" si="719"/>
        <v>1604.0190476190476</v>
      </c>
      <c r="AC4689" s="4">
        <f t="shared" si="721"/>
        <v>80.200952380952458</v>
      </c>
      <c r="AD4689" s="6">
        <f t="shared" si="715"/>
        <v>1684.22</v>
      </c>
      <c r="AE4689" s="2">
        <f>VLOOKUP(I4689,[1]媒体政策预估表!A:N,MATCH(O4689,[1]媒体政策预估表!$A$2:$M$2,0),0)</f>
        <v>0.18</v>
      </c>
      <c r="AF4689" s="6">
        <f t="shared" si="722"/>
        <v>303.15960000000001</v>
      </c>
      <c r="AG4689" s="14">
        <v>0</v>
      </c>
      <c r="AH4689" s="65">
        <f t="shared" si="716"/>
        <v>1684.22</v>
      </c>
      <c r="AI4689" s="47"/>
      <c r="AJ4689" s="126" t="e">
        <v>#N/A</v>
      </c>
      <c r="AK4689" s="80">
        <f t="shared" si="720"/>
        <v>0</v>
      </c>
      <c r="AM4689" s="85"/>
    </row>
    <row r="4690" spans="1:39" hidden="1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14"/>
        <v>2131322.5199999996</v>
      </c>
      <c r="X4690" s="6">
        <f t="shared" si="717"/>
        <v>1347931.8333333333</v>
      </c>
      <c r="Y4690" s="13">
        <f t="shared" si="718"/>
        <v>0</v>
      </c>
      <c r="Z4690" s="14">
        <v>0</v>
      </c>
      <c r="AA4690" s="6">
        <v>0</v>
      </c>
      <c r="AB4690" s="4">
        <f t="shared" si="719"/>
        <v>1347931.8333333333</v>
      </c>
      <c r="AC4690" s="4">
        <f t="shared" si="721"/>
        <v>26958.636666666716</v>
      </c>
      <c r="AD4690" s="6">
        <f t="shared" si="715"/>
        <v>1374890.47</v>
      </c>
      <c r="AE4690" s="2">
        <f>VLOOKUP(I4690,[1]媒体政策预估表!A:N,MATCH(O4690,[1]媒体政策预估表!$A$2:$M$2,0),0)</f>
        <v>0.09</v>
      </c>
      <c r="AF4690" s="6">
        <f t="shared" si="722"/>
        <v>123740.14229999999</v>
      </c>
      <c r="AG4690" s="14">
        <v>0</v>
      </c>
      <c r="AH4690" s="65">
        <f t="shared" si="716"/>
        <v>1374890.47</v>
      </c>
      <c r="AI4690" s="47"/>
      <c r="AJ4690" s="126" t="e">
        <v>#N/A</v>
      </c>
      <c r="AK4690" s="80">
        <f t="shared" si="720"/>
        <v>0</v>
      </c>
      <c r="AM4690" s="85"/>
    </row>
    <row r="4691" spans="1:39" hidden="1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14"/>
        <v>23523.52</v>
      </c>
      <c r="X4691" s="6">
        <f t="shared" si="717"/>
        <v>26476.48</v>
      </c>
      <c r="Y4691" s="13">
        <f t="shared" si="718"/>
        <v>0</v>
      </c>
      <c r="Z4691" s="14">
        <v>0</v>
      </c>
      <c r="AA4691" s="6">
        <v>0</v>
      </c>
      <c r="AB4691" s="4">
        <f t="shared" si="719"/>
        <v>26476.48</v>
      </c>
      <c r="AC4691" s="4">
        <f t="shared" si="721"/>
        <v>0</v>
      </c>
      <c r="AD4691" s="6">
        <f t="shared" si="715"/>
        <v>26476.48</v>
      </c>
      <c r="AE4691" s="2">
        <f>VLOOKUP(I4691,[1]媒体政策预估表!A:N,MATCH(O4691,[1]媒体政策预估表!$A$2:$M$2,0),0)</f>
        <v>0.09</v>
      </c>
      <c r="AF4691" s="6">
        <f t="shared" si="722"/>
        <v>2382.8831999999998</v>
      </c>
      <c r="AG4691" s="14">
        <v>0</v>
      </c>
      <c r="AH4691" s="65">
        <f t="shared" si="716"/>
        <v>26476.48</v>
      </c>
      <c r="AI4691" s="47"/>
      <c r="AJ4691" s="126" t="e">
        <v>#N/A</v>
      </c>
      <c r="AK4691" s="80">
        <f t="shared" si="720"/>
        <v>0</v>
      </c>
      <c r="AM4691" s="85"/>
    </row>
    <row r="4692" spans="1:39" hidden="1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14"/>
        <v>269387.36</v>
      </c>
      <c r="X4692" s="6">
        <f t="shared" si="717"/>
        <v>130612.64000000001</v>
      </c>
      <c r="Y4692" s="13">
        <f t="shared" si="718"/>
        <v>0</v>
      </c>
      <c r="Z4692" s="14">
        <v>0</v>
      </c>
      <c r="AA4692" s="6">
        <v>0</v>
      </c>
      <c r="AB4692" s="4">
        <f t="shared" si="719"/>
        <v>130612.64000000001</v>
      </c>
      <c r="AC4692" s="4">
        <f t="shared" si="721"/>
        <v>0</v>
      </c>
      <c r="AD4692" s="6">
        <f t="shared" si="715"/>
        <v>130612.64000000001</v>
      </c>
      <c r="AE4692" s="2">
        <f>VLOOKUP(I4692,[1]媒体政策预估表!A:N,MATCH(O4692,[1]媒体政策预估表!$A$2:$M$2,0),0)</f>
        <v>0.09</v>
      </c>
      <c r="AF4692" s="6">
        <f t="shared" si="722"/>
        <v>11755.1376</v>
      </c>
      <c r="AG4692" s="14">
        <v>0</v>
      </c>
      <c r="AH4692" s="65">
        <f t="shared" si="716"/>
        <v>130612.64000000001</v>
      </c>
      <c r="AI4692" s="47"/>
      <c r="AJ4692" s="126" t="e">
        <v>#N/A</v>
      </c>
      <c r="AK4692" s="80">
        <f t="shared" si="720"/>
        <v>0</v>
      </c>
      <c r="AM4692" s="85"/>
    </row>
    <row r="4693" spans="1:39" hidden="1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14"/>
        <v>4452202.4099999983</v>
      </c>
      <c r="X4693" s="6">
        <f t="shared" si="717"/>
        <v>781283.16</v>
      </c>
      <c r="Y4693" s="13">
        <f t="shared" si="718"/>
        <v>0</v>
      </c>
      <c r="Z4693" s="14">
        <v>0</v>
      </c>
      <c r="AA4693" s="6">
        <v>0</v>
      </c>
      <c r="AB4693" s="4">
        <f t="shared" si="719"/>
        <v>781283.16</v>
      </c>
      <c r="AC4693" s="4">
        <f t="shared" si="721"/>
        <v>0</v>
      </c>
      <c r="AD4693" s="6">
        <f t="shared" si="715"/>
        <v>781283.16</v>
      </c>
      <c r="AE4693" s="2">
        <f>VLOOKUP(I4693,[1]媒体政策预估表!A:N,MATCH(O4693,[1]媒体政策预估表!$A$2:$M$2,0),0)</f>
        <v>0.09</v>
      </c>
      <c r="AF4693" s="6">
        <f t="shared" si="722"/>
        <v>70315.484400000001</v>
      </c>
      <c r="AG4693" s="14">
        <v>0</v>
      </c>
      <c r="AH4693" s="65">
        <f t="shared" si="716"/>
        <v>781283.16</v>
      </c>
      <c r="AI4693" s="47"/>
      <c r="AJ4693" s="126" t="e">
        <v>#N/A</v>
      </c>
      <c r="AK4693" s="80">
        <f t="shared" si="720"/>
        <v>0</v>
      </c>
      <c r="AM4693" s="85"/>
    </row>
    <row r="4694" spans="1:39" hidden="1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17"/>
        <v>0</v>
      </c>
      <c r="Y4694" s="13">
        <f t="shared" si="718"/>
        <v>0</v>
      </c>
      <c r="Z4694" s="14">
        <v>0</v>
      </c>
      <c r="AA4694" s="6">
        <v>0</v>
      </c>
      <c r="AB4694" s="4">
        <f t="shared" si="719"/>
        <v>0</v>
      </c>
      <c r="AC4694" s="4">
        <f t="shared" si="721"/>
        <v>0</v>
      </c>
      <c r="AD4694" s="6">
        <f t="shared" si="715"/>
        <v>0</v>
      </c>
      <c r="AE4694" s="2">
        <f>VLOOKUP(I4694,[1]媒体政策预估表!A:N,MATCH(O4694,[1]媒体政策预估表!$A$2:$M$2,0),0)</f>
        <v>0.09</v>
      </c>
      <c r="AF4694" s="6">
        <f t="shared" si="722"/>
        <v>0</v>
      </c>
      <c r="AG4694" s="14">
        <v>0</v>
      </c>
      <c r="AH4694" s="65">
        <f t="shared" si="716"/>
        <v>0</v>
      </c>
      <c r="AI4694" s="47"/>
      <c r="AJ4694" s="126" t="e">
        <v>#N/A</v>
      </c>
      <c r="AK4694" s="80">
        <f t="shared" si="720"/>
        <v>0</v>
      </c>
      <c r="AM4694" s="85"/>
    </row>
    <row r="4695" spans="1:39" hidden="1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14"/>
        <v>196666.22999999992</v>
      </c>
      <c r="X4695" s="6">
        <f t="shared" si="717"/>
        <v>359213.43</v>
      </c>
      <c r="Y4695" s="13">
        <f t="shared" si="718"/>
        <v>0</v>
      </c>
      <c r="Z4695" s="14">
        <v>0</v>
      </c>
      <c r="AA4695" s="6">
        <v>0</v>
      </c>
      <c r="AB4695" s="4">
        <f t="shared" si="719"/>
        <v>359213.43</v>
      </c>
      <c r="AC4695" s="4">
        <f t="shared" si="721"/>
        <v>0</v>
      </c>
      <c r="AD4695" s="6">
        <f t="shared" si="715"/>
        <v>359213.43</v>
      </c>
      <c r="AE4695" s="2">
        <f>VLOOKUP(I4695,[1]媒体政策预估表!A:N,MATCH(O4695,[1]媒体政策预估表!$A$2:$M$2,0),0)</f>
        <v>0.09</v>
      </c>
      <c r="AF4695" s="6">
        <f t="shared" si="722"/>
        <v>32329.208699999999</v>
      </c>
      <c r="AG4695" s="14">
        <v>0</v>
      </c>
      <c r="AH4695" s="65">
        <f t="shared" si="716"/>
        <v>359213.43</v>
      </c>
      <c r="AI4695" s="47"/>
      <c r="AJ4695" s="126" t="e">
        <v>#N/A</v>
      </c>
      <c r="AK4695" s="80">
        <f t="shared" si="720"/>
        <v>0</v>
      </c>
      <c r="AM4695" s="85"/>
    </row>
    <row r="4696" spans="1:39" hidden="1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14"/>
        <v>-2036052.7200000002</v>
      </c>
      <c r="X4696" s="6">
        <f t="shared" si="717"/>
        <v>1132721.6792452829</v>
      </c>
      <c r="Y4696" s="13">
        <f t="shared" si="718"/>
        <v>0</v>
      </c>
      <c r="Z4696" s="14">
        <v>0</v>
      </c>
      <c r="AA4696" s="6">
        <v>0</v>
      </c>
      <c r="AB4696" s="4">
        <f t="shared" si="719"/>
        <v>1132721.6792452829</v>
      </c>
      <c r="AC4696" s="4">
        <f t="shared" si="721"/>
        <v>67963.300754717086</v>
      </c>
      <c r="AD4696" s="6">
        <f t="shared" si="715"/>
        <v>1200684.98</v>
      </c>
      <c r="AE4696" s="2">
        <f>VLOOKUP(I4696,[1]媒体政策预估表!A:N,MATCH(O4696,[1]媒体政策预估表!$A$2:$M$2,0),0)</f>
        <v>0.18</v>
      </c>
      <c r="AF4696" s="6">
        <f t="shared" si="722"/>
        <v>216123.29639999999</v>
      </c>
      <c r="AG4696" s="14">
        <v>0</v>
      </c>
      <c r="AH4696" s="65">
        <f t="shared" si="716"/>
        <v>1200684.98</v>
      </c>
      <c r="AI4696" s="47"/>
      <c r="AJ4696" s="126" t="e">
        <v>#N/A</v>
      </c>
      <c r="AK4696" s="80">
        <f t="shared" si="720"/>
        <v>0</v>
      </c>
      <c r="AM4696" s="85"/>
    </row>
    <row r="4697" spans="1:39" hidden="1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14"/>
        <v>2099877.600000001</v>
      </c>
      <c r="X4697" s="6">
        <f t="shared" si="717"/>
        <v>96271.538461537581</v>
      </c>
      <c r="Y4697" s="13">
        <f t="shared" si="718"/>
        <v>0</v>
      </c>
      <c r="Z4697" s="14">
        <v>0</v>
      </c>
      <c r="AA4697" s="6">
        <v>0</v>
      </c>
      <c r="AB4697" s="4">
        <f t="shared" si="719"/>
        <v>96271.538461537581</v>
      </c>
      <c r="AC4697" s="4">
        <f t="shared" si="721"/>
        <v>3850.8615384615114</v>
      </c>
      <c r="AD4697" s="6">
        <f t="shared" si="715"/>
        <v>100122.39999999909</v>
      </c>
      <c r="AE4697" s="2">
        <f>VLOOKUP(I4697,[1]媒体政策预估表!A:N,MATCH(O4697,[1]媒体政策预估表!$A$2:$M$2,0),0)</f>
        <v>0.09</v>
      </c>
      <c r="AF4697" s="6">
        <f t="shared" si="722"/>
        <v>9011.0159999999178</v>
      </c>
      <c r="AG4697" s="14">
        <v>0</v>
      </c>
      <c r="AH4697" s="65">
        <f t="shared" si="716"/>
        <v>100122.39999999909</v>
      </c>
      <c r="AI4697" s="47"/>
      <c r="AJ4697" s="126" t="e">
        <v>#N/A</v>
      </c>
      <c r="AK4697" s="80">
        <f t="shared" si="720"/>
        <v>0</v>
      </c>
      <c r="AM4697" s="85"/>
    </row>
    <row r="4698" spans="1:39" hidden="1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14"/>
        <v>4207.3999999999996</v>
      </c>
      <c r="X4698" s="6">
        <f t="shared" si="717"/>
        <v>0</v>
      </c>
      <c r="Y4698" s="13">
        <f t="shared" si="718"/>
        <v>0</v>
      </c>
      <c r="Z4698" s="14">
        <v>0</v>
      </c>
      <c r="AA4698" s="6">
        <v>0</v>
      </c>
      <c r="AB4698" s="4">
        <f t="shared" si="719"/>
        <v>0</v>
      </c>
      <c r="AC4698" s="4">
        <f t="shared" si="721"/>
        <v>0</v>
      </c>
      <c r="AD4698" s="6">
        <f t="shared" si="715"/>
        <v>0</v>
      </c>
      <c r="AE4698" s="2">
        <f>VLOOKUP(I4698,[1]媒体政策预估表!A:N,MATCH(O4698,[1]媒体政策预估表!$A$2:$M$2,0),0)</f>
        <v>0.18</v>
      </c>
      <c r="AF4698" s="6">
        <f t="shared" si="722"/>
        <v>0</v>
      </c>
      <c r="AG4698" s="14">
        <v>0</v>
      </c>
      <c r="AH4698" s="65">
        <f t="shared" si="716"/>
        <v>0</v>
      </c>
      <c r="AI4698" s="47"/>
      <c r="AJ4698" s="126" t="e">
        <v>#N/A</v>
      </c>
      <c r="AK4698" s="80">
        <f t="shared" si="720"/>
        <v>0</v>
      </c>
      <c r="AM4698" s="85"/>
    </row>
    <row r="4699" spans="1:39" hidden="1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14"/>
        <v>3846.15</v>
      </c>
      <c r="X4699" s="6">
        <f t="shared" si="717"/>
        <v>0</v>
      </c>
      <c r="Y4699" s="13">
        <f t="shared" si="718"/>
        <v>0</v>
      </c>
      <c r="Z4699" s="14">
        <v>0</v>
      </c>
      <c r="AA4699" s="6">
        <v>0</v>
      </c>
      <c r="AB4699" s="4">
        <f t="shared" si="719"/>
        <v>0</v>
      </c>
      <c r="AC4699" s="4">
        <f t="shared" si="721"/>
        <v>0</v>
      </c>
      <c r="AD4699" s="6">
        <f t="shared" si="715"/>
        <v>0</v>
      </c>
      <c r="AE4699" s="2">
        <f>VLOOKUP(I4699,[1]媒体政策预估表!A:N,MATCH(O4699,[1]媒体政策预估表!$A$2:$M$2,0),0)</f>
        <v>0.18</v>
      </c>
      <c r="AF4699" s="6">
        <f t="shared" si="722"/>
        <v>0</v>
      </c>
      <c r="AG4699" s="14">
        <v>0</v>
      </c>
      <c r="AH4699" s="65">
        <f t="shared" si="716"/>
        <v>0</v>
      </c>
      <c r="AI4699" s="47"/>
      <c r="AJ4699" s="126" t="e">
        <v>#N/A</v>
      </c>
      <c r="AK4699" s="80">
        <f t="shared" si="720"/>
        <v>0</v>
      </c>
      <c r="AM4699" s="85"/>
    </row>
    <row r="4700" spans="1:39" hidden="1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14"/>
        <v>19640.010000000009</v>
      </c>
      <c r="X4700" s="6">
        <f t="shared" si="717"/>
        <v>42839.603960396038</v>
      </c>
      <c r="Y4700" s="13">
        <f t="shared" si="718"/>
        <v>0</v>
      </c>
      <c r="Z4700" s="14">
        <v>0</v>
      </c>
      <c r="AA4700" s="6">
        <v>0</v>
      </c>
      <c r="AB4700" s="4">
        <f t="shared" si="719"/>
        <v>42839.603960396038</v>
      </c>
      <c r="AC4700" s="4">
        <f t="shared" si="721"/>
        <v>428.39603960396198</v>
      </c>
      <c r="AD4700" s="6">
        <f t="shared" si="715"/>
        <v>43268</v>
      </c>
      <c r="AE4700" s="2">
        <f>VLOOKUP(I4700,[1]媒体政策预估表!A:N,MATCH(O4700,[1]媒体政策预估表!$A$2:$M$2,0),0)</f>
        <v>0.09</v>
      </c>
      <c r="AF4700" s="6">
        <f t="shared" si="722"/>
        <v>3894.12</v>
      </c>
      <c r="AG4700" s="14">
        <v>0</v>
      </c>
      <c r="AH4700" s="65">
        <f t="shared" si="716"/>
        <v>43268</v>
      </c>
      <c r="AI4700" s="47"/>
      <c r="AJ4700" s="126" t="e">
        <v>#N/A</v>
      </c>
      <c r="AK4700" s="80">
        <f t="shared" si="720"/>
        <v>0</v>
      </c>
      <c r="AM4700" s="85"/>
    </row>
    <row r="4701" spans="1:39" hidden="1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14"/>
        <v>29228</v>
      </c>
      <c r="X4701" s="6">
        <f t="shared" si="717"/>
        <v>59903.960396039605</v>
      </c>
      <c r="Y4701" s="13">
        <f t="shared" si="718"/>
        <v>0</v>
      </c>
      <c r="Z4701" s="14">
        <v>0</v>
      </c>
      <c r="AA4701" s="6">
        <v>0</v>
      </c>
      <c r="AB4701" s="4">
        <f t="shared" si="719"/>
        <v>59903.960396039605</v>
      </c>
      <c r="AC4701" s="4">
        <f t="shared" si="721"/>
        <v>599.03960396039474</v>
      </c>
      <c r="AD4701" s="6">
        <f t="shared" si="715"/>
        <v>60503</v>
      </c>
      <c r="AE4701" s="2">
        <f>VLOOKUP(I4701,[1]媒体政策预估表!A:N,MATCH(O4701,[1]媒体政策预估表!$A$2:$M$2,0),0)</f>
        <v>0.09</v>
      </c>
      <c r="AF4701" s="6">
        <f t="shared" si="722"/>
        <v>5445.2699999999995</v>
      </c>
      <c r="AG4701" s="14">
        <v>0</v>
      </c>
      <c r="AH4701" s="65">
        <f t="shared" si="716"/>
        <v>60503</v>
      </c>
      <c r="AI4701" s="47"/>
      <c r="AJ4701" s="126" t="e">
        <v>#N/A</v>
      </c>
      <c r="AK4701" s="80">
        <f t="shared" si="720"/>
        <v>0</v>
      </c>
      <c r="AM4701" s="85"/>
    </row>
    <row r="4702" spans="1:39" hidden="1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3760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14"/>
        <v>990.04</v>
      </c>
      <c r="X4702" s="6">
        <f t="shared" si="717"/>
        <v>0</v>
      </c>
      <c r="Y4702" s="13">
        <f t="shared" si="718"/>
        <v>0</v>
      </c>
      <c r="Z4702" s="14">
        <v>0</v>
      </c>
      <c r="AA4702" s="6">
        <v>0</v>
      </c>
      <c r="AB4702" s="4">
        <f t="shared" si="719"/>
        <v>0</v>
      </c>
      <c r="AC4702" s="4">
        <f t="shared" si="721"/>
        <v>0</v>
      </c>
      <c r="AD4702" s="6">
        <f t="shared" si="715"/>
        <v>0</v>
      </c>
      <c r="AE4702" s="2">
        <f>VLOOKUP(I4702,[1]媒体政策预估表!A:N,MATCH(O4702,[1]媒体政策预估表!$A$2:$M$2,0),0)</f>
        <v>0.09</v>
      </c>
      <c r="AF4702" s="6">
        <f t="shared" si="722"/>
        <v>0</v>
      </c>
      <c r="AG4702" s="14">
        <v>0</v>
      </c>
      <c r="AH4702" s="65">
        <f t="shared" si="716"/>
        <v>0</v>
      </c>
      <c r="AI4702" s="47"/>
      <c r="AJ4702" s="126" t="e">
        <v>#N/A</v>
      </c>
      <c r="AK4702" s="80">
        <f t="shared" si="720"/>
        <v>0</v>
      </c>
      <c r="AM4702" s="85"/>
    </row>
    <row r="4703" spans="1:39" hidden="1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14"/>
        <v>62154.640000000036</v>
      </c>
      <c r="X4703" s="6">
        <f t="shared" si="717"/>
        <v>51920.29</v>
      </c>
      <c r="Y4703" s="13">
        <f t="shared" si="718"/>
        <v>0</v>
      </c>
      <c r="Z4703" s="14">
        <v>0</v>
      </c>
      <c r="AA4703" s="6">
        <v>0</v>
      </c>
      <c r="AB4703" s="4">
        <f t="shared" si="719"/>
        <v>51920.29</v>
      </c>
      <c r="AC4703" s="4">
        <f t="shared" si="721"/>
        <v>0</v>
      </c>
      <c r="AD4703" s="6">
        <f t="shared" si="715"/>
        <v>51920.29</v>
      </c>
      <c r="AE4703" s="2">
        <f>VLOOKUP(I4703,[1]媒体政策预估表!A:N,MATCH(O4703,[1]媒体政策预估表!$A$2:$M$2,0),0)</f>
        <v>0.09</v>
      </c>
      <c r="AF4703" s="6">
        <f t="shared" si="722"/>
        <v>4672.8261000000002</v>
      </c>
      <c r="AG4703" s="14">
        <v>0</v>
      </c>
      <c r="AH4703" s="65">
        <f t="shared" si="716"/>
        <v>51920.29</v>
      </c>
      <c r="AI4703" s="47"/>
      <c r="AJ4703" s="126" t="e">
        <v>#N/A</v>
      </c>
      <c r="AK4703" s="80">
        <f t="shared" si="720"/>
        <v>0</v>
      </c>
      <c r="AM4703" s="85"/>
    </row>
    <row r="4704" spans="1:39" hidden="1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14"/>
        <v>0</v>
      </c>
      <c r="X4704" s="6">
        <f t="shared" si="717"/>
        <v>10000</v>
      </c>
      <c r="Y4704" s="13">
        <f t="shared" si="718"/>
        <v>0</v>
      </c>
      <c r="Z4704" s="14">
        <v>0</v>
      </c>
      <c r="AA4704" s="6">
        <v>0</v>
      </c>
      <c r="AB4704" s="4">
        <f t="shared" si="719"/>
        <v>10000</v>
      </c>
      <c r="AC4704" s="4">
        <f t="shared" si="721"/>
        <v>200</v>
      </c>
      <c r="AD4704" s="6">
        <f t="shared" si="715"/>
        <v>10200</v>
      </c>
      <c r="AE4704" s="2">
        <f>VLOOKUP(I4704,[1]媒体政策预估表!A:N,MATCH(O4704,[1]媒体政策预估表!$A$2:$M$2,0),0)</f>
        <v>0.09</v>
      </c>
      <c r="AF4704" s="6">
        <f t="shared" si="722"/>
        <v>918</v>
      </c>
      <c r="AG4704" s="14">
        <v>0</v>
      </c>
      <c r="AH4704" s="65">
        <f t="shared" si="716"/>
        <v>10200</v>
      </c>
      <c r="AI4704" s="47"/>
      <c r="AJ4704" s="126" t="e">
        <v>#N/A</v>
      </c>
      <c r="AK4704" s="80">
        <f t="shared" si="720"/>
        <v>0</v>
      </c>
      <c r="AM4704" s="85"/>
    </row>
    <row r="4705" spans="1:39" hidden="1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14"/>
        <v>0</v>
      </c>
      <c r="X4705" s="6">
        <f t="shared" si="717"/>
        <v>0</v>
      </c>
      <c r="Y4705" s="13">
        <f t="shared" si="718"/>
        <v>0</v>
      </c>
      <c r="Z4705" s="14">
        <v>0</v>
      </c>
      <c r="AA4705" s="6">
        <v>0</v>
      </c>
      <c r="AB4705" s="4">
        <f t="shared" si="719"/>
        <v>0</v>
      </c>
      <c r="AC4705" s="4">
        <f t="shared" si="721"/>
        <v>0</v>
      </c>
      <c r="AD4705" s="6">
        <f t="shared" si="715"/>
        <v>0</v>
      </c>
      <c r="AE4705" s="2">
        <f>VLOOKUP(I4705,[1]媒体政策预估表!A:N,MATCH(O4705,[1]媒体政策预估表!$A$2:$M$2,0),0)</f>
        <v>0.09</v>
      </c>
      <c r="AF4705" s="6">
        <f t="shared" si="722"/>
        <v>0</v>
      </c>
      <c r="AG4705" s="14">
        <v>0</v>
      </c>
      <c r="AH4705" s="65">
        <f t="shared" si="716"/>
        <v>0</v>
      </c>
      <c r="AI4705" s="47"/>
      <c r="AJ4705" s="126" t="e">
        <v>#N/A</v>
      </c>
      <c r="AK4705" s="80">
        <f t="shared" si="720"/>
        <v>0</v>
      </c>
      <c r="AM4705" s="85"/>
    </row>
    <row r="4706" spans="1:39" hidden="1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14"/>
        <v>386453.37999999995</v>
      </c>
      <c r="X4706" s="6">
        <f t="shared" si="717"/>
        <v>401731.8128078818</v>
      </c>
      <c r="Y4706" s="13">
        <f t="shared" si="718"/>
        <v>0</v>
      </c>
      <c r="Z4706" s="14">
        <v>0</v>
      </c>
      <c r="AA4706" s="6">
        <v>0</v>
      </c>
      <c r="AB4706" s="4">
        <f t="shared" si="719"/>
        <v>401731.8128078818</v>
      </c>
      <c r="AC4706" s="4">
        <f t="shared" si="721"/>
        <v>6025.9771921181818</v>
      </c>
      <c r="AD4706" s="6">
        <f t="shared" si="715"/>
        <v>407757.79</v>
      </c>
      <c r="AE4706" s="2">
        <f>VLOOKUP(I4706,[1]媒体政策预估表!A:N,MATCH(O4706,[1]媒体政策预估表!$A$2:$M$2,0),0)</f>
        <v>0.09</v>
      </c>
      <c r="AF4706" s="6">
        <f t="shared" si="722"/>
        <v>36698.201099999998</v>
      </c>
      <c r="AG4706" s="14">
        <v>0</v>
      </c>
      <c r="AH4706" s="65">
        <f t="shared" si="716"/>
        <v>407757.79</v>
      </c>
      <c r="AI4706" s="47"/>
      <c r="AJ4706" s="126" t="e">
        <v>#N/A</v>
      </c>
      <c r="AK4706" s="80">
        <f t="shared" si="720"/>
        <v>0</v>
      </c>
      <c r="AM4706" s="85"/>
    </row>
    <row r="4707" spans="1:39" hidden="1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14"/>
        <v>107735.63999999998</v>
      </c>
      <c r="X4707" s="6">
        <f t="shared" si="717"/>
        <v>18066.443349753696</v>
      </c>
      <c r="Y4707" s="13">
        <f t="shared" si="718"/>
        <v>0</v>
      </c>
      <c r="Z4707" s="14">
        <v>0</v>
      </c>
      <c r="AA4707" s="6">
        <v>0</v>
      </c>
      <c r="AB4707" s="4">
        <f t="shared" si="719"/>
        <v>18066.443349753696</v>
      </c>
      <c r="AC4707" s="4">
        <f t="shared" si="721"/>
        <v>270.99665024630303</v>
      </c>
      <c r="AD4707" s="6">
        <f t="shared" si="715"/>
        <v>18337.439999999999</v>
      </c>
      <c r="AE4707" s="2">
        <f>VLOOKUP(I4707,[1]媒体政策预估表!A:N,MATCH(O4707,[1]媒体政策预估表!$A$2:$M$2,0),0)</f>
        <v>0.09</v>
      </c>
      <c r="AF4707" s="6">
        <f t="shared" si="722"/>
        <v>1650.3695999999998</v>
      </c>
      <c r="AG4707" s="14">
        <v>0</v>
      </c>
      <c r="AH4707" s="65">
        <f t="shared" si="716"/>
        <v>18337.439999999999</v>
      </c>
      <c r="AI4707" s="47"/>
      <c r="AJ4707" s="126" t="e">
        <v>#N/A</v>
      </c>
      <c r="AK4707" s="80">
        <f t="shared" si="720"/>
        <v>0</v>
      </c>
      <c r="AM4707" s="85"/>
    </row>
    <row r="4708" spans="1:39" hidden="1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14"/>
        <v>64827.359999999884</v>
      </c>
      <c r="X4708" s="6">
        <f t="shared" si="717"/>
        <v>63851.19</v>
      </c>
      <c r="Y4708" s="13">
        <f t="shared" si="718"/>
        <v>0</v>
      </c>
      <c r="Z4708" s="14">
        <v>0</v>
      </c>
      <c r="AA4708" s="6">
        <v>0</v>
      </c>
      <c r="AB4708" s="4">
        <f t="shared" si="719"/>
        <v>63851.19</v>
      </c>
      <c r="AC4708" s="4">
        <f t="shared" si="721"/>
        <v>0</v>
      </c>
      <c r="AD4708" s="6">
        <f t="shared" si="715"/>
        <v>63851.19</v>
      </c>
      <c r="AE4708" s="2">
        <f>VLOOKUP(I4708,[1]媒体政策预估表!A:N,MATCH(O4708,[1]媒体政策预估表!$A$2:$M$2,0),0)</f>
        <v>0.09</v>
      </c>
      <c r="AF4708" s="6">
        <f t="shared" si="722"/>
        <v>5746.6071000000002</v>
      </c>
      <c r="AG4708" s="14">
        <v>0</v>
      </c>
      <c r="AH4708" s="65">
        <f t="shared" si="716"/>
        <v>63851.19</v>
      </c>
      <c r="AI4708" s="47"/>
      <c r="AJ4708" s="126" t="e">
        <v>#N/A</v>
      </c>
      <c r="AK4708" s="80">
        <f t="shared" si="720"/>
        <v>0</v>
      </c>
      <c r="AM4708" s="85"/>
    </row>
    <row r="4709" spans="1:39" hidden="1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14"/>
        <v>8000</v>
      </c>
      <c r="X4709" s="6">
        <f t="shared" si="717"/>
        <v>27450.980392156864</v>
      </c>
      <c r="Y4709" s="13">
        <f t="shared" si="718"/>
        <v>0</v>
      </c>
      <c r="Z4709" s="14">
        <v>0</v>
      </c>
      <c r="AA4709" s="6">
        <v>0</v>
      </c>
      <c r="AB4709" s="4">
        <f t="shared" si="719"/>
        <v>27450.980392156864</v>
      </c>
      <c r="AC4709" s="4">
        <f t="shared" si="721"/>
        <v>549.01960784313633</v>
      </c>
      <c r="AD4709" s="6">
        <f t="shared" si="715"/>
        <v>28000</v>
      </c>
      <c r="AE4709" s="2">
        <f>VLOOKUP(I4709,[1]媒体政策预估表!A:N,MATCH(O4709,[1]媒体政策预估表!$A$2:$M$2,0),0)</f>
        <v>0.09</v>
      </c>
      <c r="AF4709" s="6">
        <f t="shared" si="722"/>
        <v>2520</v>
      </c>
      <c r="AG4709" s="14">
        <v>0</v>
      </c>
      <c r="AH4709" s="65">
        <f t="shared" si="716"/>
        <v>28000</v>
      </c>
      <c r="AI4709" s="47"/>
      <c r="AJ4709" s="126" t="e">
        <v>#N/A</v>
      </c>
      <c r="AK4709" s="80">
        <f t="shared" si="720"/>
        <v>0</v>
      </c>
      <c r="AM4709" s="85"/>
    </row>
    <row r="4710" spans="1:39" hidden="1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14"/>
        <v>179308.87999999989</v>
      </c>
      <c r="X4710" s="6">
        <f t="shared" si="717"/>
        <v>1422430.4313725489</v>
      </c>
      <c r="Y4710" s="13">
        <f t="shared" si="718"/>
        <v>0</v>
      </c>
      <c r="Z4710" s="14">
        <v>0</v>
      </c>
      <c r="AA4710" s="6">
        <v>0</v>
      </c>
      <c r="AB4710" s="4">
        <f t="shared" si="719"/>
        <v>1422430.4313725489</v>
      </c>
      <c r="AC4710" s="4">
        <f t="shared" si="721"/>
        <v>28448.608627451118</v>
      </c>
      <c r="AD4710" s="6">
        <f t="shared" si="715"/>
        <v>1450879.04</v>
      </c>
      <c r="AE4710" s="2">
        <f>VLOOKUP(I4710,[1]媒体政策预估表!A:N,MATCH(O4710,[1]媒体政策预估表!$A$2:$M$2,0),0)</f>
        <v>0.09</v>
      </c>
      <c r="AF4710" s="6">
        <f t="shared" si="722"/>
        <v>130579.1136</v>
      </c>
      <c r="AG4710" s="14">
        <v>0</v>
      </c>
      <c r="AH4710" s="65">
        <f t="shared" si="716"/>
        <v>1450879.04</v>
      </c>
      <c r="AI4710" s="47"/>
      <c r="AJ4710" s="126" t="e">
        <v>#N/A</v>
      </c>
      <c r="AK4710" s="80">
        <f t="shared" si="720"/>
        <v>0</v>
      </c>
      <c r="AM4710" s="85"/>
    </row>
    <row r="4711" spans="1:39" hidden="1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14"/>
        <v>451595.28</v>
      </c>
      <c r="X4711" s="6">
        <f t="shared" si="717"/>
        <v>480954.5294117647</v>
      </c>
      <c r="Y4711" s="13">
        <f t="shared" si="718"/>
        <v>0</v>
      </c>
      <c r="Z4711" s="14">
        <v>0</v>
      </c>
      <c r="AA4711" s="6">
        <v>0</v>
      </c>
      <c r="AB4711" s="4">
        <f t="shared" si="719"/>
        <v>480954.5294117647</v>
      </c>
      <c r="AC4711" s="4">
        <f t="shared" si="721"/>
        <v>9619.0905882352963</v>
      </c>
      <c r="AD4711" s="6">
        <f t="shared" si="715"/>
        <v>490573.62</v>
      </c>
      <c r="AE4711" s="2">
        <f>VLOOKUP(I4711,[1]媒体政策预估表!A:N,MATCH(O4711,[1]媒体政策预估表!$A$2:$M$2,0),0)</f>
        <v>0.09</v>
      </c>
      <c r="AF4711" s="6">
        <f t="shared" si="722"/>
        <v>44151.625799999994</v>
      </c>
      <c r="AG4711" s="14">
        <v>0</v>
      </c>
      <c r="AH4711" s="65">
        <f t="shared" si="716"/>
        <v>490573.62</v>
      </c>
      <c r="AI4711" s="47"/>
      <c r="AJ4711" s="126" t="e">
        <v>#N/A</v>
      </c>
      <c r="AK4711" s="80">
        <f t="shared" si="720"/>
        <v>0</v>
      </c>
      <c r="AM4711" s="85"/>
    </row>
    <row r="4712" spans="1:39" hidden="1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14"/>
        <v>46168.799999999996</v>
      </c>
      <c r="X4712" s="6">
        <f t="shared" si="717"/>
        <v>15643.1</v>
      </c>
      <c r="Y4712" s="13">
        <f t="shared" si="718"/>
        <v>0</v>
      </c>
      <c r="Z4712" s="14">
        <v>0</v>
      </c>
      <c r="AA4712" s="6">
        <v>0</v>
      </c>
      <c r="AB4712" s="4">
        <f t="shared" si="719"/>
        <v>15643.1</v>
      </c>
      <c r="AC4712" s="4">
        <f t="shared" si="721"/>
        <v>0</v>
      </c>
      <c r="AD4712" s="6">
        <f t="shared" si="715"/>
        <v>15643.1</v>
      </c>
      <c r="AE4712" s="2">
        <f>VLOOKUP(I4712,[1]媒体政策预估表!A:N,MATCH(O4712,[1]媒体政策预估表!$A$2:$M$2,0),0)</f>
        <v>0.09</v>
      </c>
      <c r="AF4712" s="6">
        <f t="shared" si="722"/>
        <v>1407.8789999999999</v>
      </c>
      <c r="AG4712" s="14">
        <v>0</v>
      </c>
      <c r="AH4712" s="65">
        <f t="shared" si="716"/>
        <v>15643.1</v>
      </c>
      <c r="AI4712" s="47"/>
      <c r="AJ4712" s="126" t="e">
        <v>#N/A</v>
      </c>
      <c r="AK4712" s="80">
        <f t="shared" si="720"/>
        <v>0</v>
      </c>
      <c r="AM4712" s="85"/>
    </row>
    <row r="4713" spans="1:39" hidden="1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14"/>
        <v>59338.919999999984</v>
      </c>
      <c r="X4713" s="6">
        <f t="shared" si="717"/>
        <v>0</v>
      </c>
      <c r="Y4713" s="13">
        <f t="shared" si="718"/>
        <v>0</v>
      </c>
      <c r="Z4713" s="14">
        <v>0</v>
      </c>
      <c r="AA4713" s="6">
        <v>0</v>
      </c>
      <c r="AB4713" s="4">
        <f t="shared" si="719"/>
        <v>0</v>
      </c>
      <c r="AC4713" s="4">
        <f t="shared" si="721"/>
        <v>0</v>
      </c>
      <c r="AD4713" s="6">
        <f t="shared" si="715"/>
        <v>0</v>
      </c>
      <c r="AE4713" s="2">
        <f>VLOOKUP(I4713,[1]媒体政策预估表!A:N,MATCH(O4713,[1]媒体政策预估表!$A$2:$M$2,0),0)</f>
        <v>0.09</v>
      </c>
      <c r="AF4713" s="6">
        <f t="shared" si="722"/>
        <v>0</v>
      </c>
      <c r="AG4713" s="14">
        <v>0</v>
      </c>
      <c r="AH4713" s="65">
        <f t="shared" si="716"/>
        <v>0</v>
      </c>
      <c r="AI4713" s="47"/>
      <c r="AJ4713" s="126" t="e">
        <v>#N/A</v>
      </c>
      <c r="AK4713" s="80">
        <f t="shared" si="720"/>
        <v>0</v>
      </c>
      <c r="AM4713" s="85"/>
    </row>
    <row r="4714" spans="1:39" hidden="1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14"/>
        <v>290441.15999999992</v>
      </c>
      <c r="X4714" s="6">
        <f t="shared" si="717"/>
        <v>311485.48</v>
      </c>
      <c r="Y4714" s="13">
        <f t="shared" si="718"/>
        <v>0</v>
      </c>
      <c r="Z4714" s="14">
        <v>0</v>
      </c>
      <c r="AA4714" s="6">
        <v>0</v>
      </c>
      <c r="AB4714" s="4">
        <f t="shared" si="719"/>
        <v>311485.48</v>
      </c>
      <c r="AC4714" s="4">
        <f t="shared" si="721"/>
        <v>0</v>
      </c>
      <c r="AD4714" s="6">
        <f t="shared" si="715"/>
        <v>311485.48</v>
      </c>
      <c r="AE4714" s="2">
        <f>VLOOKUP(I4714,[1]媒体政策预估表!A:N,MATCH(O4714,[1]媒体政策预估表!$A$2:$M$2,0),0)</f>
        <v>0.09</v>
      </c>
      <c r="AF4714" s="6">
        <f t="shared" si="722"/>
        <v>28033.693199999998</v>
      </c>
      <c r="AG4714" s="14">
        <v>0</v>
      </c>
      <c r="AH4714" s="65">
        <f t="shared" si="716"/>
        <v>311485.48</v>
      </c>
      <c r="AI4714" s="47"/>
      <c r="AJ4714" s="126" t="e">
        <v>#N/A</v>
      </c>
      <c r="AK4714" s="80">
        <f t="shared" si="720"/>
        <v>0</v>
      </c>
      <c r="AM4714" s="85"/>
    </row>
    <row r="4715" spans="1:39" hidden="1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14"/>
        <v>164982.21999999997</v>
      </c>
      <c r="X4715" s="6">
        <f t="shared" si="717"/>
        <v>305971.13</v>
      </c>
      <c r="Y4715" s="13">
        <f t="shared" si="718"/>
        <v>0</v>
      </c>
      <c r="Z4715" s="14">
        <v>0</v>
      </c>
      <c r="AA4715" s="6">
        <v>0</v>
      </c>
      <c r="AB4715" s="4">
        <f t="shared" si="719"/>
        <v>305971.13</v>
      </c>
      <c r="AC4715" s="4">
        <f t="shared" si="721"/>
        <v>0</v>
      </c>
      <c r="AD4715" s="6">
        <f t="shared" si="715"/>
        <v>305971.13</v>
      </c>
      <c r="AE4715" s="2">
        <f>VLOOKUP(I4715,[1]媒体政策预估表!A:N,MATCH(O4715,[1]媒体政策预估表!$A$2:$M$2,0),0)</f>
        <v>0.09</v>
      </c>
      <c r="AF4715" s="6">
        <f t="shared" si="722"/>
        <v>27537.401699999999</v>
      </c>
      <c r="AG4715" s="14">
        <v>0</v>
      </c>
      <c r="AH4715" s="65">
        <f t="shared" si="716"/>
        <v>305971.13</v>
      </c>
      <c r="AI4715" s="47"/>
      <c r="AJ4715" s="126" t="e">
        <v>#N/A</v>
      </c>
      <c r="AK4715" s="80">
        <f t="shared" si="720"/>
        <v>0</v>
      </c>
      <c r="AM4715" s="85"/>
    </row>
    <row r="4716" spans="1:39" hidden="1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14"/>
        <v>67761.540000000023</v>
      </c>
      <c r="X4716" s="6">
        <f t="shared" si="717"/>
        <v>54547.41</v>
      </c>
      <c r="Y4716" s="13">
        <f t="shared" si="718"/>
        <v>0</v>
      </c>
      <c r="Z4716" s="14">
        <v>0</v>
      </c>
      <c r="AA4716" s="6">
        <v>0</v>
      </c>
      <c r="AB4716" s="4">
        <f t="shared" si="719"/>
        <v>54547.41</v>
      </c>
      <c r="AC4716" s="4">
        <f t="shared" si="721"/>
        <v>0</v>
      </c>
      <c r="AD4716" s="6">
        <f t="shared" si="715"/>
        <v>54547.41</v>
      </c>
      <c r="AE4716" s="2">
        <f>VLOOKUP(I4716,[1]媒体政策预估表!A:N,MATCH(O4716,[1]媒体政策预估表!$A$2:$M$2,0),0)</f>
        <v>0.09</v>
      </c>
      <c r="AF4716" s="6">
        <f t="shared" si="722"/>
        <v>4909.2669000000005</v>
      </c>
      <c r="AG4716" s="14">
        <v>0</v>
      </c>
      <c r="AH4716" s="65">
        <f t="shared" si="716"/>
        <v>54547.41</v>
      </c>
      <c r="AI4716" s="47"/>
      <c r="AJ4716" s="126" t="e">
        <v>#N/A</v>
      </c>
      <c r="AK4716" s="80">
        <f t="shared" si="720"/>
        <v>0</v>
      </c>
      <c r="AM4716" s="85"/>
    </row>
    <row r="4717" spans="1:39" hidden="1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14"/>
        <v>16269.580000000011</v>
      </c>
      <c r="X4717" s="6">
        <f t="shared" si="717"/>
        <v>4674.1499999999996</v>
      </c>
      <c r="Y4717" s="13">
        <f t="shared" si="718"/>
        <v>0</v>
      </c>
      <c r="Z4717" s="14">
        <v>0</v>
      </c>
      <c r="AA4717" s="6">
        <v>0</v>
      </c>
      <c r="AB4717" s="4">
        <f t="shared" si="719"/>
        <v>4674.1499999999996</v>
      </c>
      <c r="AC4717" s="4">
        <f t="shared" si="721"/>
        <v>0</v>
      </c>
      <c r="AD4717" s="6">
        <f t="shared" si="715"/>
        <v>4674.1499999999996</v>
      </c>
      <c r="AE4717" s="2">
        <f>VLOOKUP(I4717,[1]媒体政策预估表!A:N,MATCH(O4717,[1]媒体政策预估表!$A$2:$M$2,0),0)</f>
        <v>0.18</v>
      </c>
      <c r="AF4717" s="6">
        <f t="shared" si="722"/>
        <v>841.34699999999987</v>
      </c>
      <c r="AG4717" s="14">
        <v>0</v>
      </c>
      <c r="AH4717" s="65">
        <f t="shared" si="716"/>
        <v>4674.1499999999996</v>
      </c>
      <c r="AI4717" s="47"/>
      <c r="AJ4717" s="126" t="e">
        <v>#N/A</v>
      </c>
      <c r="AK4717" s="80">
        <f t="shared" si="720"/>
        <v>0</v>
      </c>
      <c r="AM4717" s="85"/>
    </row>
    <row r="4718" spans="1:39" hidden="1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14"/>
        <v>233782.99</v>
      </c>
      <c r="X4718" s="6">
        <f t="shared" si="717"/>
        <v>241101.74257425743</v>
      </c>
      <c r="Y4718" s="13">
        <f t="shared" si="718"/>
        <v>0</v>
      </c>
      <c r="Z4718" s="14">
        <v>0</v>
      </c>
      <c r="AA4718" s="6">
        <v>0</v>
      </c>
      <c r="AB4718" s="4">
        <f t="shared" si="719"/>
        <v>241101.74257425743</v>
      </c>
      <c r="AC4718" s="4">
        <f t="shared" si="721"/>
        <v>2411.0174257425824</v>
      </c>
      <c r="AD4718" s="6">
        <f t="shared" si="715"/>
        <v>243512.76</v>
      </c>
      <c r="AE4718" s="2">
        <f>VLOOKUP(I4718,[1]媒体政策预估表!A:N,MATCH(O4718,[1]媒体政策预估表!$A$2:$M$2,0),0)</f>
        <v>0.09</v>
      </c>
      <c r="AF4718" s="6">
        <f t="shared" si="722"/>
        <v>21916.148399999998</v>
      </c>
      <c r="AG4718" s="14">
        <v>0</v>
      </c>
      <c r="AH4718" s="65">
        <f t="shared" si="716"/>
        <v>243512.76</v>
      </c>
      <c r="AI4718" s="47"/>
      <c r="AJ4718" s="126" t="e">
        <v>#N/A</v>
      </c>
      <c r="AK4718" s="80">
        <f t="shared" si="720"/>
        <v>0</v>
      </c>
      <c r="AM4718" s="85"/>
    </row>
    <row r="4719" spans="1:39" hidden="1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23">T4719+U4719-V4719</f>
        <v>463435.46000000008</v>
      </c>
      <c r="X4719" s="6">
        <f t="shared" si="717"/>
        <v>758672.64</v>
      </c>
      <c r="Y4719" s="13">
        <f t="shared" si="718"/>
        <v>0</v>
      </c>
      <c r="Z4719" s="14">
        <v>0</v>
      </c>
      <c r="AA4719" s="6">
        <v>0</v>
      </c>
      <c r="AB4719" s="4">
        <f t="shared" si="719"/>
        <v>758672.64</v>
      </c>
      <c r="AC4719" s="4">
        <f t="shared" si="721"/>
        <v>0</v>
      </c>
      <c r="AD4719" s="6">
        <f t="shared" ref="AD4719:AD4782" si="724">V4719</f>
        <v>758672.64</v>
      </c>
      <c r="AE4719" s="2">
        <f>VLOOKUP(I4719,[1]媒体政策预估表!A:N,MATCH(O4719,[1]媒体政策预估表!$A$2:$M$2,0),0)</f>
        <v>0.09</v>
      </c>
      <c r="AF4719" s="6">
        <f t="shared" si="722"/>
        <v>68280.537599999996</v>
      </c>
      <c r="AG4719" s="14">
        <v>0</v>
      </c>
      <c r="AH4719" s="65">
        <f t="shared" ref="AH4719:AH4782" si="725">AD4719</f>
        <v>758672.64</v>
      </c>
      <c r="AI4719" s="47"/>
      <c r="AJ4719" s="126" t="e">
        <v>#N/A</v>
      </c>
      <c r="AK4719" s="80">
        <f t="shared" si="720"/>
        <v>0</v>
      </c>
      <c r="AM4719" s="85"/>
    </row>
    <row r="4720" spans="1:39" hidden="1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23"/>
        <v>167385.41</v>
      </c>
      <c r="X4720" s="6">
        <f t="shared" si="717"/>
        <v>77938.292452830181</v>
      </c>
      <c r="Y4720" s="13">
        <f t="shared" si="718"/>
        <v>0</v>
      </c>
      <c r="Z4720" s="14">
        <v>0</v>
      </c>
      <c r="AA4720" s="6">
        <v>0</v>
      </c>
      <c r="AB4720" s="4">
        <f t="shared" si="719"/>
        <v>77938.292452830181</v>
      </c>
      <c r="AC4720" s="4">
        <f t="shared" si="721"/>
        <v>4676.2975471698155</v>
      </c>
      <c r="AD4720" s="6">
        <f t="shared" si="724"/>
        <v>82614.59</v>
      </c>
      <c r="AE4720" s="2">
        <f>VLOOKUP(I4720,[1]媒体政策预估表!A:N,MATCH(O4720,[1]媒体政策预估表!$A$2:$M$2,0),0)</f>
        <v>0.18</v>
      </c>
      <c r="AF4720" s="6">
        <f t="shared" si="722"/>
        <v>14870.626199999999</v>
      </c>
      <c r="AG4720" s="14">
        <v>0</v>
      </c>
      <c r="AH4720" s="65">
        <f t="shared" si="725"/>
        <v>82614.59</v>
      </c>
      <c r="AI4720" s="47"/>
      <c r="AJ4720" s="126" t="e">
        <v>#N/A</v>
      </c>
      <c r="AK4720" s="80">
        <f t="shared" si="720"/>
        <v>0</v>
      </c>
      <c r="AM4720" s="85"/>
    </row>
    <row r="4721" spans="1:39" hidden="1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23"/>
        <v>3020.2799999999988</v>
      </c>
      <c r="X4721" s="6">
        <f t="shared" si="717"/>
        <v>45172.807692307695</v>
      </c>
      <c r="Y4721" s="13">
        <f t="shared" si="718"/>
        <v>0</v>
      </c>
      <c r="Z4721" s="14">
        <v>0</v>
      </c>
      <c r="AA4721" s="6">
        <v>0</v>
      </c>
      <c r="AB4721" s="4">
        <f t="shared" si="719"/>
        <v>45172.807692307695</v>
      </c>
      <c r="AC4721" s="4">
        <f t="shared" si="721"/>
        <v>1806.9123076923061</v>
      </c>
      <c r="AD4721" s="6">
        <f t="shared" si="724"/>
        <v>46979.72</v>
      </c>
      <c r="AE4721" s="2">
        <f>VLOOKUP(I4721,[1]媒体政策预估表!A:N,MATCH(O4721,[1]媒体政策预估表!$A$2:$M$2,0),0)</f>
        <v>0.09</v>
      </c>
      <c r="AF4721" s="6">
        <f t="shared" si="722"/>
        <v>4228.1747999999998</v>
      </c>
      <c r="AG4721" s="14">
        <v>0</v>
      </c>
      <c r="AH4721" s="65">
        <f t="shared" si="725"/>
        <v>46979.72</v>
      </c>
      <c r="AI4721" s="47"/>
      <c r="AJ4721" s="126" t="e">
        <v>#N/A</v>
      </c>
      <c r="AK4721" s="80">
        <f t="shared" si="720"/>
        <v>0</v>
      </c>
      <c r="AM4721" s="85"/>
    </row>
    <row r="4722" spans="1:39" hidden="1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23"/>
        <v>220599.52999999988</v>
      </c>
      <c r="X4722" s="6">
        <f t="shared" si="717"/>
        <v>151924.5882352941</v>
      </c>
      <c r="Y4722" s="13">
        <f t="shared" si="718"/>
        <v>0</v>
      </c>
      <c r="Z4722" s="14">
        <v>0</v>
      </c>
      <c r="AA4722" s="6">
        <v>0</v>
      </c>
      <c r="AB4722" s="4">
        <f t="shared" si="719"/>
        <v>151924.5882352941</v>
      </c>
      <c r="AC4722" s="4">
        <f t="shared" si="721"/>
        <v>3038.4917647058901</v>
      </c>
      <c r="AD4722" s="6">
        <f t="shared" si="724"/>
        <v>154963.07999999999</v>
      </c>
      <c r="AE4722" s="2">
        <f>VLOOKUP(I4722,[1]媒体政策预估表!A:N,MATCH(O4722,[1]媒体政策预估表!$A$2:$M$2,0),0)</f>
        <v>0.09</v>
      </c>
      <c r="AF4722" s="6">
        <f t="shared" si="722"/>
        <v>13946.677199999998</v>
      </c>
      <c r="AG4722" s="14">
        <v>0</v>
      </c>
      <c r="AH4722" s="65">
        <f t="shared" si="725"/>
        <v>154963.07999999999</v>
      </c>
      <c r="AI4722" s="47"/>
      <c r="AJ4722" s="126" t="e">
        <v>#N/A</v>
      </c>
      <c r="AK4722" s="80">
        <f t="shared" si="720"/>
        <v>0</v>
      </c>
      <c r="AM4722" s="85"/>
    </row>
    <row r="4723" spans="1:39" hidden="1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23"/>
        <v>9829.09</v>
      </c>
      <c r="X4723" s="6">
        <f t="shared" si="717"/>
        <v>0</v>
      </c>
      <c r="Y4723" s="13">
        <f t="shared" si="718"/>
        <v>0</v>
      </c>
      <c r="Z4723" s="14">
        <v>0</v>
      </c>
      <c r="AA4723" s="6">
        <v>0</v>
      </c>
      <c r="AB4723" s="4">
        <f t="shared" si="719"/>
        <v>0</v>
      </c>
      <c r="AC4723" s="4">
        <f t="shared" si="721"/>
        <v>0</v>
      </c>
      <c r="AD4723" s="6">
        <f t="shared" si="724"/>
        <v>0</v>
      </c>
      <c r="AE4723" s="2">
        <f>VLOOKUP(I4723,[1]媒体政策预估表!A:N,MATCH(O4723,[1]媒体政策预估表!$A$2:$M$2,0),0)</f>
        <v>0.18</v>
      </c>
      <c r="AF4723" s="6">
        <f t="shared" si="722"/>
        <v>0</v>
      </c>
      <c r="AG4723" s="14">
        <v>0</v>
      </c>
      <c r="AH4723" s="65">
        <f t="shared" si="725"/>
        <v>0</v>
      </c>
      <c r="AI4723" s="47"/>
      <c r="AJ4723" s="126" t="e">
        <v>#N/A</v>
      </c>
      <c r="AK4723" s="80">
        <f t="shared" si="720"/>
        <v>0</v>
      </c>
      <c r="AM4723" s="85"/>
    </row>
    <row r="4724" spans="1:39" hidden="1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23"/>
        <v>0</v>
      </c>
      <c r="X4724" s="6">
        <f t="shared" si="717"/>
        <v>0</v>
      </c>
      <c r="Y4724" s="13">
        <f t="shared" si="718"/>
        <v>0</v>
      </c>
      <c r="Z4724" s="14">
        <v>0</v>
      </c>
      <c r="AA4724" s="6">
        <v>0</v>
      </c>
      <c r="AB4724" s="4">
        <f t="shared" si="719"/>
        <v>0</v>
      </c>
      <c r="AC4724" s="4">
        <f t="shared" si="721"/>
        <v>0</v>
      </c>
      <c r="AD4724" s="6">
        <f t="shared" si="724"/>
        <v>0</v>
      </c>
      <c r="AE4724" s="2">
        <f>VLOOKUP(I4724,[1]媒体政策预估表!A:N,MATCH(O4724,[1]媒体政策预估表!$A$2:$M$2,0),0)</f>
        <v>0.18</v>
      </c>
      <c r="AF4724" s="6">
        <f t="shared" si="722"/>
        <v>0</v>
      </c>
      <c r="AG4724" s="14">
        <v>0</v>
      </c>
      <c r="AH4724" s="65">
        <f t="shared" si="725"/>
        <v>0</v>
      </c>
      <c r="AI4724" s="47"/>
      <c r="AJ4724" s="126" t="e">
        <v>#N/A</v>
      </c>
      <c r="AK4724" s="80">
        <f t="shared" si="720"/>
        <v>0</v>
      </c>
      <c r="AM4724" s="85"/>
    </row>
    <row r="4725" spans="1:39" hidden="1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23"/>
        <v>-8289.7999999999993</v>
      </c>
      <c r="X4725" s="6">
        <f t="shared" si="717"/>
        <v>4012.0849056603774</v>
      </c>
      <c r="Y4725" s="13">
        <f t="shared" si="718"/>
        <v>0</v>
      </c>
      <c r="Z4725" s="14">
        <v>0</v>
      </c>
      <c r="AA4725" s="6">
        <v>0</v>
      </c>
      <c r="AB4725" s="4">
        <f t="shared" si="719"/>
        <v>4012.0849056603774</v>
      </c>
      <c r="AC4725" s="4">
        <f t="shared" si="721"/>
        <v>240.72509433962296</v>
      </c>
      <c r="AD4725" s="6">
        <f t="shared" si="724"/>
        <v>4252.8100000000004</v>
      </c>
      <c r="AE4725" s="2">
        <f>VLOOKUP(I4725,[1]媒体政策预估表!A:N,MATCH(O4725,[1]媒体政策预估表!$A$2:$M$2,0),0)</f>
        <v>0.18</v>
      </c>
      <c r="AF4725" s="6">
        <f t="shared" si="722"/>
        <v>765.50580000000002</v>
      </c>
      <c r="AG4725" s="14">
        <v>0</v>
      </c>
      <c r="AH4725" s="65">
        <f t="shared" si="725"/>
        <v>4252.8100000000004</v>
      </c>
      <c r="AI4725" s="47"/>
      <c r="AJ4725" s="126" t="e">
        <v>#N/A</v>
      </c>
      <c r="AK4725" s="80">
        <f t="shared" si="720"/>
        <v>0</v>
      </c>
      <c r="AM4725" s="85"/>
    </row>
    <row r="4726" spans="1:39" hidden="1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23"/>
        <v>-467663.58999999997</v>
      </c>
      <c r="X4726" s="6">
        <f t="shared" si="717"/>
        <v>227174.47169811319</v>
      </c>
      <c r="Y4726" s="13">
        <f t="shared" si="718"/>
        <v>0</v>
      </c>
      <c r="Z4726" s="14">
        <v>0</v>
      </c>
      <c r="AA4726" s="6">
        <v>0</v>
      </c>
      <c r="AB4726" s="4">
        <f t="shared" si="719"/>
        <v>227174.47169811319</v>
      </c>
      <c r="AC4726" s="4">
        <f t="shared" si="721"/>
        <v>13630.468301886809</v>
      </c>
      <c r="AD4726" s="6">
        <f t="shared" si="724"/>
        <v>240804.94</v>
      </c>
      <c r="AE4726" s="2">
        <f>VLOOKUP(I4726,[1]媒体政策预估表!A:N,MATCH(O4726,[1]媒体政策预估表!$A$2:$M$2,0),0)</f>
        <v>0.18</v>
      </c>
      <c r="AF4726" s="6">
        <f t="shared" si="722"/>
        <v>43344.889199999998</v>
      </c>
      <c r="AG4726" s="14">
        <v>0</v>
      </c>
      <c r="AH4726" s="65">
        <f t="shared" si="725"/>
        <v>240804.94</v>
      </c>
      <c r="AI4726" s="47"/>
      <c r="AJ4726" s="126" t="e">
        <v>#N/A</v>
      </c>
      <c r="AK4726" s="80">
        <f t="shared" si="720"/>
        <v>0</v>
      </c>
      <c r="AM4726" s="85"/>
    </row>
    <row r="4727" spans="1:39" hidden="1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23"/>
        <v>684333.71000000008</v>
      </c>
      <c r="X4727" s="6">
        <f t="shared" si="717"/>
        <v>656607.79807692301</v>
      </c>
      <c r="Y4727" s="13">
        <f t="shared" si="718"/>
        <v>0</v>
      </c>
      <c r="Z4727" s="14">
        <v>0</v>
      </c>
      <c r="AA4727" s="6">
        <v>0</v>
      </c>
      <c r="AB4727" s="4">
        <f t="shared" si="719"/>
        <v>656607.79807692301</v>
      </c>
      <c r="AC4727" s="4">
        <f t="shared" si="721"/>
        <v>26264.311923076981</v>
      </c>
      <c r="AD4727" s="6">
        <f t="shared" si="724"/>
        <v>682872.11</v>
      </c>
      <c r="AE4727" s="2">
        <f>VLOOKUP(I4727,[1]媒体政策预估表!A:N,MATCH(O4727,[1]媒体政策预估表!$A$2:$M$2,0),0)</f>
        <v>0.09</v>
      </c>
      <c r="AF4727" s="6">
        <f t="shared" si="722"/>
        <v>61458.489899999993</v>
      </c>
      <c r="AG4727" s="14">
        <v>0</v>
      </c>
      <c r="AH4727" s="65">
        <f t="shared" si="725"/>
        <v>682872.11</v>
      </c>
      <c r="AI4727" s="47"/>
      <c r="AJ4727" s="126" t="e">
        <v>#N/A</v>
      </c>
      <c r="AK4727" s="80">
        <f t="shared" si="720"/>
        <v>0</v>
      </c>
      <c r="AM4727" s="85"/>
    </row>
    <row r="4728" spans="1:39" hidden="1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23"/>
        <v>-4788333.47</v>
      </c>
      <c r="X4728" s="6">
        <f t="shared" si="717"/>
        <v>1591461.8773584904</v>
      </c>
      <c r="Y4728" s="13">
        <f t="shared" si="718"/>
        <v>0</v>
      </c>
      <c r="Z4728" s="14">
        <v>0</v>
      </c>
      <c r="AA4728" s="6">
        <v>0</v>
      </c>
      <c r="AB4728" s="4">
        <f t="shared" si="719"/>
        <v>1591461.8773584904</v>
      </c>
      <c r="AC4728" s="4">
        <f t="shared" si="721"/>
        <v>95487.712641509483</v>
      </c>
      <c r="AD4728" s="6">
        <f t="shared" si="724"/>
        <v>1686949.5899999999</v>
      </c>
      <c r="AE4728" s="2">
        <f>VLOOKUP(I4728,[1]媒体政策预估表!A:N,MATCH(O4728,[1]媒体政策预估表!$A$2:$M$2,0),0)</f>
        <v>0.18</v>
      </c>
      <c r="AF4728" s="6">
        <f t="shared" si="722"/>
        <v>303650.92619999999</v>
      </c>
      <c r="AG4728" s="14">
        <v>0</v>
      </c>
      <c r="AH4728" s="65">
        <f t="shared" si="725"/>
        <v>1686949.5899999999</v>
      </c>
      <c r="AI4728" s="47"/>
      <c r="AJ4728" s="126" t="e">
        <v>#N/A</v>
      </c>
      <c r="AK4728" s="80">
        <f t="shared" si="720"/>
        <v>0</v>
      </c>
      <c r="AM4728" s="85"/>
    </row>
    <row r="4729" spans="1:39" hidden="1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23"/>
        <v>5304000</v>
      </c>
      <c r="X4729" s="6">
        <f t="shared" si="717"/>
        <v>0</v>
      </c>
      <c r="Y4729" s="13">
        <f t="shared" si="718"/>
        <v>0</v>
      </c>
      <c r="Z4729" s="14">
        <v>0</v>
      </c>
      <c r="AA4729" s="6">
        <v>0</v>
      </c>
      <c r="AB4729" s="4">
        <f t="shared" si="719"/>
        <v>0</v>
      </c>
      <c r="AC4729" s="4">
        <f t="shared" si="721"/>
        <v>0</v>
      </c>
      <c r="AD4729" s="6">
        <f t="shared" si="724"/>
        <v>0</v>
      </c>
      <c r="AE4729" s="2">
        <f>VLOOKUP(I4729,[1]媒体政策预估表!A:N,MATCH(O4729,[1]媒体政策预估表!$A$2:$M$2,0),0)</f>
        <v>0.09</v>
      </c>
      <c r="AF4729" s="6">
        <f t="shared" si="722"/>
        <v>0</v>
      </c>
      <c r="AG4729" s="14">
        <v>0</v>
      </c>
      <c r="AH4729" s="65">
        <f t="shared" si="725"/>
        <v>0</v>
      </c>
      <c r="AI4729" s="47"/>
      <c r="AJ4729" s="126" t="e">
        <v>#N/A</v>
      </c>
      <c r="AK4729" s="80">
        <f t="shared" si="720"/>
        <v>0</v>
      </c>
      <c r="AM4729" s="85"/>
    </row>
    <row r="4730" spans="1:39" hidden="1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23"/>
        <v>-6079676.1600000001</v>
      </c>
      <c r="X4730" s="6">
        <f t="shared" si="717"/>
        <v>3060239.7924528299</v>
      </c>
      <c r="Y4730" s="13">
        <f t="shared" si="718"/>
        <v>0</v>
      </c>
      <c r="Z4730" s="14">
        <v>0</v>
      </c>
      <c r="AA4730" s="6">
        <v>0</v>
      </c>
      <c r="AB4730" s="4">
        <f t="shared" si="719"/>
        <v>3060239.7924528299</v>
      </c>
      <c r="AC4730" s="4">
        <f t="shared" si="721"/>
        <v>183614.38754716981</v>
      </c>
      <c r="AD4730" s="6">
        <f t="shared" si="724"/>
        <v>3243854.1799999997</v>
      </c>
      <c r="AE4730" s="2">
        <f>VLOOKUP(I4730,[1]媒体政策预估表!A:N,MATCH(O4730,[1]媒体政策预估表!$A$2:$M$2,0),0)</f>
        <v>0.18</v>
      </c>
      <c r="AF4730" s="6">
        <f t="shared" si="722"/>
        <v>583893.75239999988</v>
      </c>
      <c r="AG4730" s="14">
        <v>0</v>
      </c>
      <c r="AH4730" s="65">
        <f t="shared" si="725"/>
        <v>3243854.1799999997</v>
      </c>
      <c r="AI4730" s="47"/>
      <c r="AJ4730" s="126" t="e">
        <v>#N/A</v>
      </c>
      <c r="AK4730" s="80">
        <f t="shared" si="720"/>
        <v>0</v>
      </c>
      <c r="AM4730" s="85"/>
    </row>
    <row r="4731" spans="1:39" hidden="1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23"/>
        <v>6656000</v>
      </c>
      <c r="X4731" s="6">
        <f t="shared" ref="X4731:X4794" si="726">IF(P4731="折扣",V4731*Q4731,IF(P4731="返现",V4731,V4731/(1+Q4731)))</f>
        <v>0</v>
      </c>
      <c r="Y4731" s="13">
        <f t="shared" si="718"/>
        <v>0</v>
      </c>
      <c r="Z4731" s="14">
        <v>0</v>
      </c>
      <c r="AA4731" s="6">
        <v>0</v>
      </c>
      <c r="AB4731" s="4">
        <f t="shared" si="719"/>
        <v>0</v>
      </c>
      <c r="AC4731" s="4">
        <f t="shared" si="721"/>
        <v>0</v>
      </c>
      <c r="AD4731" s="6">
        <f t="shared" si="724"/>
        <v>0</v>
      </c>
      <c r="AE4731" s="2">
        <f>VLOOKUP(I4731,[1]媒体政策预估表!A:N,MATCH(O4731,[1]媒体政策预估表!$A$2:$M$2,0),0)</f>
        <v>0.09</v>
      </c>
      <c r="AF4731" s="6">
        <f t="shared" si="722"/>
        <v>0</v>
      </c>
      <c r="AG4731" s="14">
        <v>0</v>
      </c>
      <c r="AH4731" s="65">
        <f t="shared" si="725"/>
        <v>0</v>
      </c>
      <c r="AI4731" s="47"/>
      <c r="AJ4731" s="126" t="e">
        <v>#N/A</v>
      </c>
      <c r="AK4731" s="80">
        <f t="shared" si="720"/>
        <v>0</v>
      </c>
      <c r="AM4731" s="85"/>
    </row>
    <row r="4732" spans="1:39" hidden="1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23"/>
        <v>884000</v>
      </c>
      <c r="X4732" s="6">
        <f t="shared" si="726"/>
        <v>0</v>
      </c>
      <c r="Y4732" s="13">
        <f t="shared" si="718"/>
        <v>0</v>
      </c>
      <c r="Z4732" s="14">
        <v>0</v>
      </c>
      <c r="AA4732" s="6">
        <v>0</v>
      </c>
      <c r="AB4732" s="4">
        <f t="shared" si="719"/>
        <v>0</v>
      </c>
      <c r="AC4732" s="4">
        <f t="shared" si="721"/>
        <v>0</v>
      </c>
      <c r="AD4732" s="6">
        <f t="shared" si="724"/>
        <v>0</v>
      </c>
      <c r="AE4732" s="2">
        <f>VLOOKUP(I4732,[1]媒体政策预估表!A:N,MATCH(O4732,[1]媒体政策预估表!$A$2:$M$2,0),0)</f>
        <v>0.09</v>
      </c>
      <c r="AF4732" s="6">
        <f t="shared" si="722"/>
        <v>0</v>
      </c>
      <c r="AG4732" s="14">
        <v>0</v>
      </c>
      <c r="AH4732" s="65">
        <f t="shared" si="725"/>
        <v>0</v>
      </c>
      <c r="AI4732" s="47"/>
      <c r="AJ4732" s="126" t="e">
        <v>#N/A</v>
      </c>
      <c r="AK4732" s="80">
        <f t="shared" si="720"/>
        <v>0</v>
      </c>
      <c r="AM4732" s="85"/>
    </row>
    <row r="4733" spans="1:39" hidden="1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23"/>
        <v>-708223.9</v>
      </c>
      <c r="X4733" s="6">
        <f t="shared" si="726"/>
        <v>178935.6886792453</v>
      </c>
      <c r="Y4733" s="13">
        <f t="shared" si="718"/>
        <v>0</v>
      </c>
      <c r="Z4733" s="14">
        <v>0</v>
      </c>
      <c r="AA4733" s="6">
        <v>0</v>
      </c>
      <c r="AB4733" s="4">
        <f t="shared" si="719"/>
        <v>178935.6886792453</v>
      </c>
      <c r="AC4733" s="4">
        <f t="shared" si="721"/>
        <v>10736.141320754716</v>
      </c>
      <c r="AD4733" s="6">
        <f t="shared" si="724"/>
        <v>189671.83000000002</v>
      </c>
      <c r="AE4733" s="2">
        <f>VLOOKUP(I4733,[1]媒体政策预估表!A:N,MATCH(O4733,[1]媒体政策预估表!$A$2:$M$2,0),0)</f>
        <v>0.18</v>
      </c>
      <c r="AF4733" s="6">
        <f t="shared" si="722"/>
        <v>34140.929400000001</v>
      </c>
      <c r="AG4733" s="14">
        <v>0</v>
      </c>
      <c r="AH4733" s="65">
        <f t="shared" si="725"/>
        <v>189671.83000000002</v>
      </c>
      <c r="AI4733" s="47"/>
      <c r="AJ4733" s="126" t="e">
        <v>#N/A</v>
      </c>
      <c r="AK4733" s="80">
        <f t="shared" si="720"/>
        <v>0</v>
      </c>
      <c r="AM4733" s="85"/>
    </row>
    <row r="4734" spans="1:39" hidden="1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23"/>
        <v>1057000</v>
      </c>
      <c r="X4734" s="6">
        <f t="shared" si="726"/>
        <v>134615.38461538462</v>
      </c>
      <c r="Y4734" s="13">
        <f t="shared" si="718"/>
        <v>0</v>
      </c>
      <c r="Z4734" s="14">
        <v>0</v>
      </c>
      <c r="AA4734" s="6">
        <v>0</v>
      </c>
      <c r="AB4734" s="4">
        <f t="shared" si="719"/>
        <v>134615.38461538462</v>
      </c>
      <c r="AC4734" s="4">
        <f t="shared" si="721"/>
        <v>5384.6153846153757</v>
      </c>
      <c r="AD4734" s="6">
        <f t="shared" si="724"/>
        <v>140000</v>
      </c>
      <c r="AE4734" s="2">
        <f>VLOOKUP(I4734,[1]媒体政策预估表!A:N,MATCH(O4734,[1]媒体政策预估表!$A$2:$M$2,0),0)</f>
        <v>0.09</v>
      </c>
      <c r="AF4734" s="6">
        <f t="shared" si="722"/>
        <v>12600</v>
      </c>
      <c r="AG4734" s="14">
        <v>0</v>
      </c>
      <c r="AH4734" s="65">
        <f t="shared" si="725"/>
        <v>140000</v>
      </c>
      <c r="AI4734" s="47"/>
      <c r="AJ4734" s="126" t="e">
        <v>#N/A</v>
      </c>
      <c r="AK4734" s="80">
        <f t="shared" si="720"/>
        <v>0</v>
      </c>
      <c r="AM4734" s="85"/>
    </row>
    <row r="4735" spans="1:39" hidden="1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23"/>
        <v>19148.370000000017</v>
      </c>
      <c r="X4735" s="6">
        <f t="shared" si="726"/>
        <v>33992.5</v>
      </c>
      <c r="Y4735" s="13">
        <f t="shared" si="718"/>
        <v>0</v>
      </c>
      <c r="Z4735" s="14">
        <v>0</v>
      </c>
      <c r="AA4735" s="6">
        <v>0</v>
      </c>
      <c r="AB4735" s="4">
        <f t="shared" si="719"/>
        <v>33992.5</v>
      </c>
      <c r="AC4735" s="4">
        <f t="shared" si="721"/>
        <v>0</v>
      </c>
      <c r="AD4735" s="6">
        <f t="shared" si="724"/>
        <v>33992.5</v>
      </c>
      <c r="AE4735" s="2">
        <f>VLOOKUP(I4735,[1]媒体政策预估表!A:N,MATCH(O4735,[1]媒体政策预估表!$A$2:$M$2,0),0)</f>
        <v>0.09</v>
      </c>
      <c r="AF4735" s="6">
        <f t="shared" si="722"/>
        <v>3059.3249999999998</v>
      </c>
      <c r="AG4735" s="14">
        <v>0</v>
      </c>
      <c r="AH4735" s="65">
        <f t="shared" si="725"/>
        <v>33992.5</v>
      </c>
      <c r="AI4735" s="47"/>
      <c r="AJ4735" s="126" t="e">
        <v>#N/A</v>
      </c>
      <c r="AK4735" s="80">
        <f t="shared" si="720"/>
        <v>0</v>
      </c>
      <c r="AM4735" s="85"/>
    </row>
    <row r="4736" spans="1:39" hidden="1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23"/>
        <v>324839.93000000017</v>
      </c>
      <c r="X4736" s="6">
        <f t="shared" si="726"/>
        <v>1017678.1862745098</v>
      </c>
      <c r="Y4736" s="13">
        <f t="shared" si="718"/>
        <v>0</v>
      </c>
      <c r="Z4736" s="14">
        <v>0</v>
      </c>
      <c r="AA4736" s="6">
        <v>0</v>
      </c>
      <c r="AB4736" s="4">
        <f t="shared" si="719"/>
        <v>1017678.1862745098</v>
      </c>
      <c r="AC4736" s="4">
        <f t="shared" si="721"/>
        <v>20353.563725490239</v>
      </c>
      <c r="AD4736" s="6">
        <f t="shared" si="724"/>
        <v>1038031.75</v>
      </c>
      <c r="AE4736" s="2">
        <f>VLOOKUP(I4736,[1]媒体政策预估表!A:N,MATCH(O4736,[1]媒体政策预估表!$A$2:$M$2,0),0)</f>
        <v>0.09</v>
      </c>
      <c r="AF4736" s="6">
        <f t="shared" si="722"/>
        <v>93422.857499999998</v>
      </c>
      <c r="AG4736" s="14">
        <v>0</v>
      </c>
      <c r="AH4736" s="65">
        <f t="shared" si="725"/>
        <v>1038031.75</v>
      </c>
      <c r="AI4736" s="47"/>
      <c r="AJ4736" s="126" t="e">
        <v>#N/A</v>
      </c>
      <c r="AK4736" s="80">
        <f t="shared" si="720"/>
        <v>0</v>
      </c>
      <c r="AM4736" s="85"/>
    </row>
    <row r="4737" spans="1:39" hidden="1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23"/>
        <v>41642.400000000001</v>
      </c>
      <c r="X4737" s="6">
        <f t="shared" si="726"/>
        <v>57856.274509803923</v>
      </c>
      <c r="Y4737" s="13">
        <f t="shared" si="718"/>
        <v>0</v>
      </c>
      <c r="Z4737" s="14">
        <v>0</v>
      </c>
      <c r="AA4737" s="6">
        <v>0</v>
      </c>
      <c r="AB4737" s="4">
        <f t="shared" si="719"/>
        <v>57856.274509803923</v>
      </c>
      <c r="AC4737" s="4">
        <f t="shared" si="721"/>
        <v>1157.1254901960783</v>
      </c>
      <c r="AD4737" s="6">
        <f t="shared" si="724"/>
        <v>59013.4</v>
      </c>
      <c r="AE4737" s="2">
        <f>VLOOKUP(I4737,[1]媒体政策预估表!A:N,MATCH(O4737,[1]媒体政策预估表!$A$2:$M$2,0),0)</f>
        <v>0.09</v>
      </c>
      <c r="AF4737" s="6">
        <f t="shared" si="722"/>
        <v>5311.2060000000001</v>
      </c>
      <c r="AG4737" s="14">
        <v>0</v>
      </c>
      <c r="AH4737" s="65">
        <f t="shared" si="725"/>
        <v>59013.4</v>
      </c>
      <c r="AI4737" s="47"/>
      <c r="AJ4737" s="126" t="e">
        <v>#N/A</v>
      </c>
      <c r="AK4737" s="80">
        <f t="shared" si="720"/>
        <v>0</v>
      </c>
      <c r="AM4737" s="85"/>
    </row>
    <row r="4738" spans="1:39" hidden="1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23"/>
        <v>15631.680000000008</v>
      </c>
      <c r="X4738" s="6">
        <f t="shared" si="726"/>
        <v>102446.37</v>
      </c>
      <c r="Y4738" s="13">
        <f t="shared" si="718"/>
        <v>0</v>
      </c>
      <c r="Z4738" s="14">
        <v>0</v>
      </c>
      <c r="AA4738" s="6">
        <v>0</v>
      </c>
      <c r="AB4738" s="4">
        <f t="shared" si="719"/>
        <v>102446.37</v>
      </c>
      <c r="AC4738" s="4">
        <f t="shared" si="721"/>
        <v>0</v>
      </c>
      <c r="AD4738" s="6">
        <f t="shared" si="724"/>
        <v>102446.37</v>
      </c>
      <c r="AE4738" s="2">
        <f>VLOOKUP(I4738,[1]媒体政策预估表!A:N,MATCH(O4738,[1]媒体政策预估表!$A$2:$M$2,0),0)</f>
        <v>0.09</v>
      </c>
      <c r="AF4738" s="6">
        <f t="shared" si="722"/>
        <v>9220.1732999999986</v>
      </c>
      <c r="AG4738" s="14">
        <v>0</v>
      </c>
      <c r="AH4738" s="65">
        <f t="shared" si="725"/>
        <v>102446.37</v>
      </c>
      <c r="AI4738" s="47"/>
      <c r="AJ4738" s="126" t="e">
        <v>#N/A</v>
      </c>
      <c r="AK4738" s="80">
        <f t="shared" si="720"/>
        <v>0</v>
      </c>
      <c r="AM4738" s="85"/>
    </row>
    <row r="4739" spans="1:39" hidden="1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23"/>
        <v>17300.239999999998</v>
      </c>
      <c r="X4739" s="6">
        <f t="shared" si="726"/>
        <v>56999.781818181815</v>
      </c>
      <c r="Y4739" s="13">
        <f t="shared" ref="Y4739:Y4802" si="727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28">X4739+AA4739</f>
        <v>56999.781818181815</v>
      </c>
      <c r="AC4739" s="4">
        <f t="shared" si="721"/>
        <v>5699.9781818181873</v>
      </c>
      <c r="AD4739" s="6">
        <f t="shared" si="724"/>
        <v>62699.76</v>
      </c>
      <c r="AE4739" s="2">
        <f>VLOOKUP(I4739,[1]媒体政策预估表!A:N,MATCH(O4739,[1]媒体政策预估表!$A$2:$M$2,0),0)</f>
        <v>0.18</v>
      </c>
      <c r="AF4739" s="6">
        <f t="shared" si="722"/>
        <v>11285.9568</v>
      </c>
      <c r="AG4739" s="14">
        <v>0</v>
      </c>
      <c r="AH4739" s="65">
        <f t="shared" si="725"/>
        <v>62699.76</v>
      </c>
      <c r="AI4739" s="47"/>
      <c r="AJ4739" s="126" t="e">
        <v>#N/A</v>
      </c>
      <c r="AK4739" s="80">
        <f t="shared" ref="AK4739:AK4802" si="729">X4739+AA4739-AB4739</f>
        <v>0</v>
      </c>
      <c r="AM4739" s="85"/>
    </row>
    <row r="4740" spans="1:39" hidden="1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23"/>
        <v>0</v>
      </c>
      <c r="X4740" s="6">
        <f t="shared" si="726"/>
        <v>221.66</v>
      </c>
      <c r="Y4740" s="13">
        <f t="shared" si="727"/>
        <v>0</v>
      </c>
      <c r="Z4740" s="14">
        <v>0</v>
      </c>
      <c r="AA4740" s="6">
        <v>0</v>
      </c>
      <c r="AB4740" s="4">
        <f t="shared" si="728"/>
        <v>221.66</v>
      </c>
      <c r="AC4740" s="4">
        <f t="shared" si="721"/>
        <v>0</v>
      </c>
      <c r="AD4740" s="6">
        <f t="shared" si="724"/>
        <v>221.66</v>
      </c>
      <c r="AE4740" s="2">
        <f>VLOOKUP(I4740,[1]媒体政策预估表!A:N,MATCH(O4740,[1]媒体政策预估表!$A$2:$M$2,0),0)</f>
        <v>0.09</v>
      </c>
      <c r="AF4740" s="6">
        <f t="shared" si="722"/>
        <v>19.949400000000001</v>
      </c>
      <c r="AG4740" s="14">
        <v>0</v>
      </c>
      <c r="AH4740" s="65">
        <f t="shared" si="725"/>
        <v>221.66</v>
      </c>
      <c r="AI4740" s="47"/>
      <c r="AJ4740" s="126" t="e">
        <v>#N/A</v>
      </c>
      <c r="AK4740" s="80">
        <f t="shared" si="729"/>
        <v>0</v>
      </c>
      <c r="AM4740" s="85"/>
    </row>
    <row r="4741" spans="1:39" hidden="1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23"/>
        <v>0</v>
      </c>
      <c r="X4741" s="6">
        <f t="shared" si="726"/>
        <v>9523.8095238095229</v>
      </c>
      <c r="Y4741" s="13">
        <f t="shared" si="727"/>
        <v>0</v>
      </c>
      <c r="Z4741" s="14">
        <v>0</v>
      </c>
      <c r="AA4741" s="6">
        <v>0</v>
      </c>
      <c r="AB4741" s="4">
        <f t="shared" si="728"/>
        <v>9523.8095238095229</v>
      </c>
      <c r="AC4741" s="4">
        <f t="shared" si="721"/>
        <v>476.19047619047706</v>
      </c>
      <c r="AD4741" s="6">
        <f t="shared" si="724"/>
        <v>10000</v>
      </c>
      <c r="AE4741" s="2">
        <f>VLOOKUP(I4741,[1]媒体政策预估表!A:N,MATCH(O4741,[1]媒体政策预估表!$A$2:$M$2,0),0)</f>
        <v>0.09</v>
      </c>
      <c r="AF4741" s="6">
        <f t="shared" si="722"/>
        <v>900</v>
      </c>
      <c r="AG4741" s="14">
        <v>0</v>
      </c>
      <c r="AH4741" s="65">
        <f t="shared" si="725"/>
        <v>10000</v>
      </c>
      <c r="AI4741" s="47"/>
      <c r="AJ4741" s="126" t="e">
        <v>#N/A</v>
      </c>
      <c r="AK4741" s="80">
        <f t="shared" si="729"/>
        <v>0</v>
      </c>
      <c r="AM4741" s="85"/>
    </row>
    <row r="4742" spans="1:39" hidden="1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23"/>
        <v>12015.5</v>
      </c>
      <c r="X4742" s="6">
        <f t="shared" si="726"/>
        <v>10388.921568627451</v>
      </c>
      <c r="Y4742" s="13">
        <f t="shared" si="727"/>
        <v>0</v>
      </c>
      <c r="Z4742" s="14">
        <v>0</v>
      </c>
      <c r="AA4742" s="6">
        <v>0</v>
      </c>
      <c r="AB4742" s="4">
        <f t="shared" si="728"/>
        <v>10388.921568627451</v>
      </c>
      <c r="AC4742" s="4">
        <f t="shared" si="721"/>
        <v>207.77843137254968</v>
      </c>
      <c r="AD4742" s="6">
        <f t="shared" si="724"/>
        <v>10596.7</v>
      </c>
      <c r="AE4742" s="2">
        <f>VLOOKUP(I4742,[1]媒体政策预估表!A:N,MATCH(O4742,[1]媒体政策预估表!$A$2:$M$2,0),0)</f>
        <v>0.09</v>
      </c>
      <c r="AF4742" s="6">
        <f t="shared" si="722"/>
        <v>953.70299999999997</v>
      </c>
      <c r="AG4742" s="14">
        <v>0</v>
      </c>
      <c r="AH4742" s="65">
        <f t="shared" si="725"/>
        <v>10596.7</v>
      </c>
      <c r="AI4742" s="47"/>
      <c r="AJ4742" s="126" t="e">
        <v>#N/A</v>
      </c>
      <c r="AK4742" s="80">
        <f t="shared" si="729"/>
        <v>0</v>
      </c>
      <c r="AM4742" s="85"/>
    </row>
    <row r="4743" spans="1:39" hidden="1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23"/>
        <v>50627.790000000008</v>
      </c>
      <c r="X4743" s="6">
        <f t="shared" si="726"/>
        <v>20671.36</v>
      </c>
      <c r="Y4743" s="13">
        <f t="shared" si="727"/>
        <v>0</v>
      </c>
      <c r="Z4743" s="14">
        <v>0</v>
      </c>
      <c r="AA4743" s="6">
        <v>0</v>
      </c>
      <c r="AB4743" s="4">
        <f t="shared" si="728"/>
        <v>20671.36</v>
      </c>
      <c r="AC4743" s="4">
        <f t="shared" si="721"/>
        <v>0</v>
      </c>
      <c r="AD4743" s="6">
        <f t="shared" si="724"/>
        <v>20671.36</v>
      </c>
      <c r="AE4743" s="2">
        <f>VLOOKUP(I4743,[1]媒体政策预估表!A:N,MATCH(O4743,[1]媒体政策预估表!$A$2:$M$2,0),0)</f>
        <v>0.09</v>
      </c>
      <c r="AF4743" s="6">
        <f t="shared" si="722"/>
        <v>1860.4223999999999</v>
      </c>
      <c r="AG4743" s="14">
        <v>0</v>
      </c>
      <c r="AH4743" s="65">
        <f t="shared" si="725"/>
        <v>20671.36</v>
      </c>
      <c r="AI4743" s="47"/>
      <c r="AJ4743" s="126" t="e">
        <v>#N/A</v>
      </c>
      <c r="AK4743" s="80">
        <f t="shared" si="729"/>
        <v>0</v>
      </c>
      <c r="AM4743" s="85"/>
    </row>
    <row r="4744" spans="1:39" hidden="1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23"/>
        <v>300000</v>
      </c>
      <c r="X4744" s="6">
        <f t="shared" si="726"/>
        <v>0</v>
      </c>
      <c r="Y4744" s="13">
        <f t="shared" si="727"/>
        <v>0</v>
      </c>
      <c r="Z4744" s="14">
        <v>0</v>
      </c>
      <c r="AA4744" s="6">
        <v>0</v>
      </c>
      <c r="AB4744" s="4">
        <f t="shared" si="728"/>
        <v>0</v>
      </c>
      <c r="AC4744" s="4">
        <f t="shared" si="721"/>
        <v>0</v>
      </c>
      <c r="AD4744" s="6">
        <f t="shared" si="724"/>
        <v>0</v>
      </c>
      <c r="AE4744" s="2">
        <f>VLOOKUP(I4744,[1]媒体政策预估表!A:N,MATCH(O4744,[1]媒体政策预估表!$A$2:$M$2,0),0)</f>
        <v>0.09</v>
      </c>
      <c r="AF4744" s="6">
        <f t="shared" si="722"/>
        <v>0</v>
      </c>
      <c r="AG4744" s="14">
        <v>0</v>
      </c>
      <c r="AH4744" s="65">
        <f t="shared" si="725"/>
        <v>0</v>
      </c>
      <c r="AI4744" s="47"/>
      <c r="AJ4744" s="126" t="e">
        <v>#N/A</v>
      </c>
      <c r="AK4744" s="80">
        <f t="shared" si="729"/>
        <v>0</v>
      </c>
      <c r="AM4744" s="85"/>
    </row>
    <row r="4745" spans="1:39" hidden="1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23"/>
        <v>9000</v>
      </c>
      <c r="X4745" s="6">
        <f t="shared" si="726"/>
        <v>21000</v>
      </c>
      <c r="Y4745" s="13">
        <f t="shared" si="727"/>
        <v>0</v>
      </c>
      <c r="Z4745" s="14">
        <v>0</v>
      </c>
      <c r="AA4745" s="6">
        <v>0</v>
      </c>
      <c r="AB4745" s="4">
        <f t="shared" si="728"/>
        <v>21000</v>
      </c>
      <c r="AC4745" s="4">
        <f t="shared" si="721"/>
        <v>0</v>
      </c>
      <c r="AD4745" s="6">
        <f t="shared" si="724"/>
        <v>21000</v>
      </c>
      <c r="AE4745" s="2">
        <f>VLOOKUP(I4745,[1]媒体政策预估表!A:N,MATCH(O4745,[1]媒体政策预估表!$A$2:$M$2,0),0)</f>
        <v>0.09</v>
      </c>
      <c r="AF4745" s="6">
        <f t="shared" si="722"/>
        <v>1890</v>
      </c>
      <c r="AG4745" s="14">
        <v>0</v>
      </c>
      <c r="AH4745" s="65">
        <f t="shared" si="725"/>
        <v>21000</v>
      </c>
      <c r="AI4745" s="47"/>
      <c r="AJ4745" s="126" t="e">
        <v>#N/A</v>
      </c>
      <c r="AK4745" s="80">
        <f t="shared" si="729"/>
        <v>0</v>
      </c>
      <c r="AM4745" s="85"/>
    </row>
    <row r="4746" spans="1:39" hidden="1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23"/>
        <v>97350.190000000177</v>
      </c>
      <c r="X4746" s="6">
        <f t="shared" si="726"/>
        <v>1157308.1960784316</v>
      </c>
      <c r="Y4746" s="13">
        <f t="shared" si="727"/>
        <v>0</v>
      </c>
      <c r="Z4746" s="14">
        <v>0</v>
      </c>
      <c r="AA4746" s="6">
        <v>0</v>
      </c>
      <c r="AB4746" s="4">
        <f t="shared" si="728"/>
        <v>1157308.1960784316</v>
      </c>
      <c r="AC4746" s="4">
        <f t="shared" si="721"/>
        <v>23146.163921568543</v>
      </c>
      <c r="AD4746" s="6">
        <f t="shared" si="724"/>
        <v>1180454.3600000001</v>
      </c>
      <c r="AE4746" s="2">
        <f>VLOOKUP(I4746,[1]媒体政策预估表!A:N,MATCH(O4746,[1]媒体政策预估表!$A$2:$M$2,0),0)</f>
        <v>0.09</v>
      </c>
      <c r="AF4746" s="6">
        <f t="shared" si="722"/>
        <v>106240.89240000001</v>
      </c>
      <c r="AG4746" s="14">
        <v>0</v>
      </c>
      <c r="AH4746" s="65">
        <f t="shared" si="725"/>
        <v>1180454.3600000001</v>
      </c>
      <c r="AI4746" s="47"/>
      <c r="AJ4746" s="126" t="e">
        <v>#N/A</v>
      </c>
      <c r="AK4746" s="80">
        <f t="shared" si="729"/>
        <v>0</v>
      </c>
      <c r="AM4746" s="85"/>
    </row>
    <row r="4747" spans="1:39" hidden="1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23"/>
        <v>2704895.7399999998</v>
      </c>
      <c r="X4747" s="6">
        <f t="shared" si="726"/>
        <v>705525.54</v>
      </c>
      <c r="Y4747" s="13">
        <f t="shared" si="727"/>
        <v>0</v>
      </c>
      <c r="Z4747" s="14">
        <v>0</v>
      </c>
      <c r="AA4747" s="6">
        <v>0</v>
      </c>
      <c r="AB4747" s="4">
        <f t="shared" si="728"/>
        <v>705525.54</v>
      </c>
      <c r="AC4747" s="4">
        <f t="shared" si="721"/>
        <v>0</v>
      </c>
      <c r="AD4747" s="6">
        <f t="shared" si="724"/>
        <v>705525.54</v>
      </c>
      <c r="AE4747" s="2">
        <f>VLOOKUP(I4747,[1]媒体政策预估表!A:N,MATCH(O4747,[1]媒体政策预估表!$A$2:$M$2,0),0)</f>
        <v>0.09</v>
      </c>
      <c r="AF4747" s="6">
        <f t="shared" si="722"/>
        <v>63497.298600000002</v>
      </c>
      <c r="AG4747" s="14">
        <v>0</v>
      </c>
      <c r="AH4747" s="65">
        <f t="shared" si="725"/>
        <v>705525.54</v>
      </c>
      <c r="AI4747" s="47"/>
      <c r="AJ4747" s="126" t="e">
        <v>#N/A</v>
      </c>
      <c r="AK4747" s="80">
        <f t="shared" si="729"/>
        <v>0</v>
      </c>
      <c r="AM4747" s="85"/>
    </row>
    <row r="4748" spans="1:39" hidden="1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23"/>
        <v>0</v>
      </c>
      <c r="X4748" s="6">
        <f t="shared" si="726"/>
        <v>0</v>
      </c>
      <c r="Y4748" s="13">
        <f t="shared" si="727"/>
        <v>0</v>
      </c>
      <c r="Z4748" s="14">
        <v>0</v>
      </c>
      <c r="AA4748" s="6">
        <v>0</v>
      </c>
      <c r="AB4748" s="4">
        <f t="shared" si="728"/>
        <v>0</v>
      </c>
      <c r="AC4748" s="4">
        <f t="shared" ref="AC4748:AC4811" si="730">IF(P4748="返现",X4748*Q4748,V4748-X4748)</f>
        <v>0</v>
      </c>
      <c r="AD4748" s="6">
        <f t="shared" si="724"/>
        <v>0</v>
      </c>
      <c r="AE4748" s="2">
        <f>VLOOKUP(I4748,[1]媒体政策预估表!A:N,MATCH(O4748,[1]媒体政策预估表!$A$2:$M$2,0),0)</f>
        <v>0.09</v>
      </c>
      <c r="AF4748" s="6">
        <f t="shared" ref="AF4748:AF4811" si="731">AD4748*AE4748</f>
        <v>0</v>
      </c>
      <c r="AG4748" s="14">
        <v>0</v>
      </c>
      <c r="AH4748" s="65">
        <f t="shared" si="725"/>
        <v>0</v>
      </c>
      <c r="AI4748" s="47"/>
      <c r="AJ4748" s="126" t="e">
        <v>#N/A</v>
      </c>
      <c r="AK4748" s="80">
        <f t="shared" si="729"/>
        <v>0</v>
      </c>
      <c r="AM4748" s="85"/>
    </row>
    <row r="4749" spans="1:39" hidden="1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3748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23"/>
        <v>385486.7699999999</v>
      </c>
      <c r="X4749" s="6">
        <f t="shared" si="726"/>
        <v>667689.21782178211</v>
      </c>
      <c r="Y4749" s="13">
        <f t="shared" si="727"/>
        <v>0</v>
      </c>
      <c r="Z4749" s="14">
        <v>0</v>
      </c>
      <c r="AA4749" s="6">
        <v>0</v>
      </c>
      <c r="AB4749" s="4">
        <f t="shared" si="728"/>
        <v>667689.21782178211</v>
      </c>
      <c r="AC4749" s="4">
        <f t="shared" si="730"/>
        <v>6676.8921782178804</v>
      </c>
      <c r="AD4749" s="6">
        <f t="shared" si="724"/>
        <v>674366.11</v>
      </c>
      <c r="AE4749" s="2">
        <f>VLOOKUP(I4749,[1]媒体政策预估表!A:N,MATCH(O4749,[1]媒体政策预估表!$A$2:$M$2,0),0)</f>
        <v>0.09</v>
      </c>
      <c r="AF4749" s="6">
        <f t="shared" si="731"/>
        <v>60692.9499</v>
      </c>
      <c r="AG4749" s="14">
        <v>0</v>
      </c>
      <c r="AH4749" s="65">
        <f t="shared" si="725"/>
        <v>674366.11</v>
      </c>
      <c r="AI4749" s="47"/>
      <c r="AJ4749" s="126" t="e">
        <v>#N/A</v>
      </c>
      <c r="AK4749" s="80">
        <f t="shared" si="729"/>
        <v>0</v>
      </c>
      <c r="AM4749" s="85"/>
    </row>
    <row r="4750" spans="1:39" hidden="1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23"/>
        <v>37659.300000000003</v>
      </c>
      <c r="X4750" s="6">
        <f t="shared" si="726"/>
        <v>56575.784313725489</v>
      </c>
      <c r="Y4750" s="13">
        <f t="shared" si="727"/>
        <v>0</v>
      </c>
      <c r="Z4750" s="14">
        <v>0</v>
      </c>
      <c r="AA4750" s="6">
        <v>0</v>
      </c>
      <c r="AB4750" s="4">
        <f t="shared" si="728"/>
        <v>56575.784313725489</v>
      </c>
      <c r="AC4750" s="4">
        <f t="shared" si="730"/>
        <v>1131.5156862745134</v>
      </c>
      <c r="AD4750" s="6">
        <f t="shared" si="724"/>
        <v>57707.3</v>
      </c>
      <c r="AE4750" s="2">
        <f>VLOOKUP(I4750,[1]媒体政策预估表!A:N,MATCH(O4750,[1]媒体政策预估表!$A$2:$M$2,0),0)</f>
        <v>0.09</v>
      </c>
      <c r="AF4750" s="6">
        <f t="shared" si="731"/>
        <v>5193.6570000000002</v>
      </c>
      <c r="AG4750" s="14">
        <v>0</v>
      </c>
      <c r="AH4750" s="65">
        <f t="shared" si="725"/>
        <v>57707.3</v>
      </c>
      <c r="AI4750" s="47"/>
      <c r="AJ4750" s="126" t="e">
        <v>#N/A</v>
      </c>
      <c r="AK4750" s="80">
        <f t="shared" si="729"/>
        <v>0</v>
      </c>
      <c r="AM4750" s="85"/>
    </row>
    <row r="4751" spans="1:39" hidden="1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23"/>
        <v>0</v>
      </c>
      <c r="X4751" s="6">
        <f t="shared" si="726"/>
        <v>5000</v>
      </c>
      <c r="Y4751" s="13">
        <f t="shared" si="727"/>
        <v>0</v>
      </c>
      <c r="Z4751" s="14">
        <v>0</v>
      </c>
      <c r="AA4751" s="6">
        <v>0</v>
      </c>
      <c r="AB4751" s="4">
        <f t="shared" si="728"/>
        <v>5000</v>
      </c>
      <c r="AC4751" s="4">
        <f t="shared" si="730"/>
        <v>100</v>
      </c>
      <c r="AD4751" s="6">
        <f t="shared" si="724"/>
        <v>5100</v>
      </c>
      <c r="AE4751" s="2">
        <f>VLOOKUP(I4751,[1]媒体政策预估表!A:N,MATCH(O4751,[1]媒体政策预估表!$A$2:$M$2,0),0)</f>
        <v>0.09</v>
      </c>
      <c r="AF4751" s="6">
        <f t="shared" si="731"/>
        <v>459</v>
      </c>
      <c r="AG4751" s="14">
        <v>0</v>
      </c>
      <c r="AH4751" s="65">
        <f t="shared" si="725"/>
        <v>5100</v>
      </c>
      <c r="AI4751" s="47"/>
      <c r="AJ4751" s="126" t="e">
        <v>#N/A</v>
      </c>
      <c r="AK4751" s="80">
        <f t="shared" si="729"/>
        <v>0</v>
      </c>
      <c r="AM4751" s="85"/>
    </row>
    <row r="4752" spans="1:39" hidden="1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23"/>
        <v>35575.64</v>
      </c>
      <c r="X4752" s="6">
        <f t="shared" si="726"/>
        <v>40682.19</v>
      </c>
      <c r="Y4752" s="13">
        <f t="shared" si="727"/>
        <v>0</v>
      </c>
      <c r="Z4752" s="14">
        <v>0</v>
      </c>
      <c r="AA4752" s="6">
        <v>0</v>
      </c>
      <c r="AB4752" s="4">
        <f t="shared" si="728"/>
        <v>40682.19</v>
      </c>
      <c r="AC4752" s="4">
        <f t="shared" si="730"/>
        <v>0</v>
      </c>
      <c r="AD4752" s="6">
        <f t="shared" si="724"/>
        <v>40682.19</v>
      </c>
      <c r="AE4752" s="2">
        <f>VLOOKUP(I4752,[1]媒体政策预估表!A:N,MATCH(O4752,[1]媒体政策预估表!$A$2:$M$2,0),0)</f>
        <v>0.09</v>
      </c>
      <c r="AF4752" s="6">
        <f t="shared" si="731"/>
        <v>3661.3971000000001</v>
      </c>
      <c r="AG4752" s="14">
        <v>0</v>
      </c>
      <c r="AH4752" s="65">
        <f t="shared" si="725"/>
        <v>40682.19</v>
      </c>
      <c r="AI4752" s="47"/>
      <c r="AJ4752" s="126" t="e">
        <v>#N/A</v>
      </c>
      <c r="AK4752" s="80">
        <f t="shared" si="729"/>
        <v>0</v>
      </c>
      <c r="AM4752" s="85"/>
    </row>
    <row r="4753" spans="1:39" hidden="1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23"/>
        <v>763703.9</v>
      </c>
      <c r="X4753" s="6">
        <f t="shared" si="726"/>
        <v>223897.83</v>
      </c>
      <c r="Y4753" s="13">
        <f t="shared" si="727"/>
        <v>0</v>
      </c>
      <c r="Z4753" s="14">
        <v>0</v>
      </c>
      <c r="AA4753" s="6">
        <v>0</v>
      </c>
      <c r="AB4753" s="4">
        <f t="shared" si="728"/>
        <v>223897.83</v>
      </c>
      <c r="AC4753" s="4">
        <f t="shared" si="730"/>
        <v>0</v>
      </c>
      <c r="AD4753" s="6">
        <f t="shared" si="724"/>
        <v>223897.83</v>
      </c>
      <c r="AE4753" s="2">
        <f>VLOOKUP(I4753,[1]媒体政策预估表!A:N,MATCH(O4753,[1]媒体政策预估表!$A$2:$M$2,0),0)</f>
        <v>0.09</v>
      </c>
      <c r="AF4753" s="6">
        <f t="shared" si="731"/>
        <v>20150.804699999997</v>
      </c>
      <c r="AG4753" s="14">
        <v>0</v>
      </c>
      <c r="AH4753" s="65">
        <f t="shared" si="725"/>
        <v>223897.83</v>
      </c>
      <c r="AI4753" s="47"/>
      <c r="AJ4753" s="126" t="e">
        <v>#N/A</v>
      </c>
      <c r="AK4753" s="80">
        <f t="shared" si="729"/>
        <v>0</v>
      </c>
      <c r="AM4753" s="85"/>
    </row>
    <row r="4754" spans="1:39" hidden="1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23"/>
        <v>216907.15000000002</v>
      </c>
      <c r="X4754" s="6">
        <f t="shared" si="726"/>
        <v>105519.25</v>
      </c>
      <c r="Y4754" s="13">
        <f t="shared" si="727"/>
        <v>0</v>
      </c>
      <c r="Z4754" s="14">
        <v>0</v>
      </c>
      <c r="AA4754" s="6">
        <v>0</v>
      </c>
      <c r="AB4754" s="4">
        <f t="shared" si="728"/>
        <v>105519.25</v>
      </c>
      <c r="AC4754" s="4">
        <f t="shared" si="730"/>
        <v>0</v>
      </c>
      <c r="AD4754" s="6">
        <f t="shared" si="724"/>
        <v>105519.25</v>
      </c>
      <c r="AE4754" s="2">
        <f>VLOOKUP(I4754,[1]媒体政策预估表!A:N,MATCH(O4754,[1]媒体政策预估表!$A$2:$M$2,0),0)</f>
        <v>0.09</v>
      </c>
      <c r="AF4754" s="6">
        <f t="shared" si="731"/>
        <v>9496.7325000000001</v>
      </c>
      <c r="AG4754" s="14">
        <v>0</v>
      </c>
      <c r="AH4754" s="65">
        <f t="shared" si="725"/>
        <v>105519.25</v>
      </c>
      <c r="AI4754" s="47"/>
      <c r="AJ4754" s="126" t="e">
        <v>#N/A</v>
      </c>
      <c r="AK4754" s="80">
        <f t="shared" si="729"/>
        <v>0</v>
      </c>
      <c r="AM4754" s="85"/>
    </row>
    <row r="4755" spans="1:39" hidden="1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23"/>
        <v>503633.05999999866</v>
      </c>
      <c r="X4755" s="6">
        <f t="shared" si="726"/>
        <v>8497639.8584905658</v>
      </c>
      <c r="Y4755" s="13">
        <f t="shared" si="727"/>
        <v>0</v>
      </c>
      <c r="Z4755" s="14">
        <v>0</v>
      </c>
      <c r="AA4755" s="6">
        <v>0</v>
      </c>
      <c r="AB4755" s="4">
        <f t="shared" si="728"/>
        <v>8497639.8584905658</v>
      </c>
      <c r="AC4755" s="4">
        <f t="shared" si="730"/>
        <v>509858.39150943421</v>
      </c>
      <c r="AD4755" s="6">
        <f t="shared" si="724"/>
        <v>9007498.25</v>
      </c>
      <c r="AE4755" s="2">
        <f>VLOOKUP(I4755,[1]媒体政策预估表!A:N,MATCH(O4755,[1]媒体政策预估表!$A$2:$M$2,0),0)</f>
        <v>0.09</v>
      </c>
      <c r="AF4755" s="6">
        <f t="shared" si="731"/>
        <v>810674.84250000003</v>
      </c>
      <c r="AG4755" s="14">
        <v>0</v>
      </c>
      <c r="AH4755" s="65">
        <f t="shared" si="725"/>
        <v>9007498.25</v>
      </c>
      <c r="AI4755" s="47"/>
      <c r="AJ4755" s="126" t="e">
        <v>#N/A</v>
      </c>
      <c r="AK4755" s="80">
        <f t="shared" si="729"/>
        <v>0</v>
      </c>
      <c r="AM4755" s="85"/>
    </row>
    <row r="4756" spans="1:39" hidden="1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23"/>
        <v>157858.6399999999</v>
      </c>
      <c r="X4756" s="6">
        <f t="shared" si="726"/>
        <v>1062113.2843137255</v>
      </c>
      <c r="Y4756" s="13">
        <f t="shared" si="727"/>
        <v>0</v>
      </c>
      <c r="Z4756" s="14">
        <v>0</v>
      </c>
      <c r="AA4756" s="6">
        <v>0</v>
      </c>
      <c r="AB4756" s="4">
        <f t="shared" si="728"/>
        <v>1062113.2843137255</v>
      </c>
      <c r="AC4756" s="4">
        <f t="shared" si="730"/>
        <v>21242.265686274506</v>
      </c>
      <c r="AD4756" s="6">
        <f t="shared" si="724"/>
        <v>1083355.55</v>
      </c>
      <c r="AE4756" s="2">
        <f>VLOOKUP(I4756,[1]媒体政策预估表!A:N,MATCH(O4756,[1]媒体政策预估表!$A$2:$M$2,0),0)</f>
        <v>0.09</v>
      </c>
      <c r="AF4756" s="6">
        <f t="shared" si="731"/>
        <v>97501.999500000005</v>
      </c>
      <c r="AG4756" s="14">
        <v>0</v>
      </c>
      <c r="AH4756" s="65">
        <f t="shared" si="725"/>
        <v>1083355.55</v>
      </c>
      <c r="AI4756" s="47"/>
      <c r="AJ4756" s="126" t="e">
        <v>#N/A</v>
      </c>
      <c r="AK4756" s="80">
        <f t="shared" si="729"/>
        <v>0</v>
      </c>
      <c r="AM4756" s="85"/>
    </row>
    <row r="4757" spans="1:39" hidden="1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23"/>
        <v>130278.38999999998</v>
      </c>
      <c r="X4757" s="6">
        <f t="shared" si="726"/>
        <v>218789.04</v>
      </c>
      <c r="Y4757" s="13">
        <f t="shared" si="727"/>
        <v>0</v>
      </c>
      <c r="Z4757" s="14">
        <v>0</v>
      </c>
      <c r="AA4757" s="6">
        <v>0</v>
      </c>
      <c r="AB4757" s="4">
        <f t="shared" si="728"/>
        <v>218789.04</v>
      </c>
      <c r="AC4757" s="4">
        <f t="shared" si="730"/>
        <v>0</v>
      </c>
      <c r="AD4757" s="6">
        <f t="shared" si="724"/>
        <v>218789.04</v>
      </c>
      <c r="AE4757" s="2">
        <f>VLOOKUP(I4757,[1]媒体政策预估表!A:N,MATCH(O4757,[1]媒体政策预估表!$A$2:$M$2,0),0)</f>
        <v>0.09</v>
      </c>
      <c r="AF4757" s="6">
        <f t="shared" si="731"/>
        <v>19691.013599999998</v>
      </c>
      <c r="AG4757" s="14">
        <v>0</v>
      </c>
      <c r="AH4757" s="65">
        <f t="shared" si="725"/>
        <v>218789.04</v>
      </c>
      <c r="AI4757" s="47"/>
      <c r="AJ4757" s="126" t="e">
        <v>#N/A</v>
      </c>
      <c r="AK4757" s="80">
        <f t="shared" si="729"/>
        <v>0</v>
      </c>
      <c r="AM4757" s="85"/>
    </row>
    <row r="4758" spans="1:39" hidden="1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23"/>
        <v>151974.63999999996</v>
      </c>
      <c r="X4758" s="6">
        <f t="shared" si="726"/>
        <v>321666.39</v>
      </c>
      <c r="Y4758" s="13">
        <f t="shared" si="727"/>
        <v>0</v>
      </c>
      <c r="Z4758" s="14">
        <v>0</v>
      </c>
      <c r="AA4758" s="6">
        <v>0</v>
      </c>
      <c r="AB4758" s="4">
        <f t="shared" si="728"/>
        <v>321666.39</v>
      </c>
      <c r="AC4758" s="4">
        <f t="shared" si="730"/>
        <v>0</v>
      </c>
      <c r="AD4758" s="6">
        <f t="shared" si="724"/>
        <v>321666.39</v>
      </c>
      <c r="AE4758" s="2">
        <f>VLOOKUP(I4758,[1]媒体政策预估表!A:N,MATCH(O4758,[1]媒体政策预估表!$A$2:$M$2,0),0)</f>
        <v>0.09</v>
      </c>
      <c r="AF4758" s="6">
        <f t="shared" si="731"/>
        <v>28949.9751</v>
      </c>
      <c r="AG4758" s="14">
        <v>0</v>
      </c>
      <c r="AH4758" s="65">
        <f t="shared" si="725"/>
        <v>321666.39</v>
      </c>
      <c r="AI4758" s="47"/>
      <c r="AJ4758" s="126" t="e">
        <v>#N/A</v>
      </c>
      <c r="AK4758" s="80">
        <f t="shared" si="729"/>
        <v>0</v>
      </c>
      <c r="AM4758" s="85"/>
    </row>
    <row r="4759" spans="1:39" hidden="1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23"/>
        <v>-323406.01000000007</v>
      </c>
      <c r="X4759" s="6">
        <f t="shared" si="726"/>
        <v>309948.31</v>
      </c>
      <c r="Y4759" s="13">
        <f t="shared" si="727"/>
        <v>0</v>
      </c>
      <c r="Z4759" s="14">
        <v>0</v>
      </c>
      <c r="AA4759" s="6">
        <v>0</v>
      </c>
      <c r="AB4759" s="4">
        <f t="shared" si="728"/>
        <v>309948.31</v>
      </c>
      <c r="AC4759" s="4">
        <f t="shared" si="730"/>
        <v>0</v>
      </c>
      <c r="AD4759" s="6">
        <f t="shared" si="724"/>
        <v>309948.31</v>
      </c>
      <c r="AE4759" s="2">
        <f>VLOOKUP(I4759,[1]媒体政策预估表!A:N,MATCH(O4759,[1]媒体政策预估表!$A$2:$M$2,0),0)</f>
        <v>0.09</v>
      </c>
      <c r="AF4759" s="6">
        <f t="shared" si="731"/>
        <v>27895.347899999997</v>
      </c>
      <c r="AG4759" s="14">
        <v>0</v>
      </c>
      <c r="AH4759" s="65">
        <f t="shared" si="725"/>
        <v>309948.31</v>
      </c>
      <c r="AI4759" s="47"/>
      <c r="AJ4759" s="126" t="e">
        <v>#N/A</v>
      </c>
      <c r="AK4759" s="80">
        <f t="shared" si="729"/>
        <v>0</v>
      </c>
      <c r="AM4759" s="85"/>
    </row>
    <row r="4760" spans="1:39" hidden="1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23"/>
        <v>322551.5399999998</v>
      </c>
      <c r="X4760" s="6">
        <f t="shared" si="726"/>
        <v>389841.53</v>
      </c>
      <c r="Y4760" s="13">
        <f t="shared" si="727"/>
        <v>0</v>
      </c>
      <c r="Z4760" s="14">
        <v>0</v>
      </c>
      <c r="AA4760" s="6">
        <v>0</v>
      </c>
      <c r="AB4760" s="4">
        <f t="shared" si="728"/>
        <v>389841.53</v>
      </c>
      <c r="AC4760" s="4">
        <f t="shared" si="730"/>
        <v>0</v>
      </c>
      <c r="AD4760" s="6">
        <f t="shared" si="724"/>
        <v>389841.53</v>
      </c>
      <c r="AE4760" s="2">
        <f>VLOOKUP(I4760,[1]媒体政策预估表!A:N,MATCH(O4760,[1]媒体政策预估表!$A$2:$M$2,0),0)</f>
        <v>0.09</v>
      </c>
      <c r="AF4760" s="6">
        <f t="shared" si="731"/>
        <v>35085.737699999998</v>
      </c>
      <c r="AG4760" s="14">
        <v>0</v>
      </c>
      <c r="AH4760" s="65">
        <f t="shared" si="725"/>
        <v>389841.53</v>
      </c>
      <c r="AI4760" s="47"/>
      <c r="AJ4760" s="126" t="e">
        <v>#N/A</v>
      </c>
      <c r="AK4760" s="80">
        <f t="shared" si="729"/>
        <v>0</v>
      </c>
      <c r="AM4760" s="85"/>
    </row>
    <row r="4761" spans="1:39" hidden="1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23"/>
        <v>12068.559999999998</v>
      </c>
      <c r="X4761" s="6">
        <f t="shared" si="726"/>
        <v>18651.349999999999</v>
      </c>
      <c r="Y4761" s="13">
        <f t="shared" si="727"/>
        <v>0</v>
      </c>
      <c r="Z4761" s="14">
        <v>0</v>
      </c>
      <c r="AA4761" s="6">
        <v>0</v>
      </c>
      <c r="AB4761" s="4">
        <f t="shared" si="728"/>
        <v>18651.349999999999</v>
      </c>
      <c r="AC4761" s="4">
        <f t="shared" si="730"/>
        <v>0</v>
      </c>
      <c r="AD4761" s="6">
        <f t="shared" si="724"/>
        <v>18651.349999999999</v>
      </c>
      <c r="AE4761" s="2">
        <f>VLOOKUP(I4761,[1]媒体政策预估表!A:N,MATCH(O4761,[1]媒体政策预估表!$A$2:$M$2,0),0)</f>
        <v>0.09</v>
      </c>
      <c r="AF4761" s="6">
        <f t="shared" si="731"/>
        <v>1678.6214999999997</v>
      </c>
      <c r="AG4761" s="14">
        <v>0</v>
      </c>
      <c r="AH4761" s="65">
        <f t="shared" si="725"/>
        <v>18651.349999999999</v>
      </c>
      <c r="AI4761" s="47"/>
      <c r="AJ4761" s="126" t="e">
        <v>#N/A</v>
      </c>
      <c r="AK4761" s="80">
        <f t="shared" si="729"/>
        <v>0</v>
      </c>
      <c r="AM4761" s="85"/>
    </row>
    <row r="4762" spans="1:39" hidden="1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23"/>
        <v>146822.56999999989</v>
      </c>
      <c r="X4762" s="6">
        <f t="shared" si="726"/>
        <v>49522.93</v>
      </c>
      <c r="Y4762" s="13">
        <f t="shared" si="727"/>
        <v>0</v>
      </c>
      <c r="Z4762" s="14">
        <v>0</v>
      </c>
      <c r="AA4762" s="6">
        <v>0</v>
      </c>
      <c r="AB4762" s="4">
        <f t="shared" si="728"/>
        <v>49522.93</v>
      </c>
      <c r="AC4762" s="4">
        <f t="shared" si="730"/>
        <v>0</v>
      </c>
      <c r="AD4762" s="6">
        <f t="shared" si="724"/>
        <v>49522.93</v>
      </c>
      <c r="AE4762" s="2">
        <f>VLOOKUP(I4762,[1]媒体政策预估表!A:N,MATCH(O4762,[1]媒体政策预估表!$A$2:$M$2,0),0)</f>
        <v>0.09</v>
      </c>
      <c r="AF4762" s="6">
        <f t="shared" si="731"/>
        <v>4457.0636999999997</v>
      </c>
      <c r="AG4762" s="14">
        <v>0</v>
      </c>
      <c r="AH4762" s="65">
        <f t="shared" si="725"/>
        <v>49522.93</v>
      </c>
      <c r="AI4762" s="47"/>
      <c r="AJ4762" s="126" t="e">
        <v>#N/A</v>
      </c>
      <c r="AK4762" s="80">
        <f t="shared" si="729"/>
        <v>0</v>
      </c>
      <c r="AM4762" s="85"/>
    </row>
    <row r="4763" spans="1:39" hidden="1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23"/>
        <v>24000</v>
      </c>
      <c r="X4763" s="6">
        <f t="shared" si="726"/>
        <v>28000</v>
      </c>
      <c r="Y4763" s="13">
        <f t="shared" si="727"/>
        <v>0</v>
      </c>
      <c r="Z4763" s="14">
        <v>0</v>
      </c>
      <c r="AA4763" s="6">
        <v>0</v>
      </c>
      <c r="AB4763" s="4">
        <f t="shared" si="728"/>
        <v>28000</v>
      </c>
      <c r="AC4763" s="4">
        <f t="shared" si="730"/>
        <v>0</v>
      </c>
      <c r="AD4763" s="6">
        <f t="shared" si="724"/>
        <v>28000</v>
      </c>
      <c r="AE4763" s="2">
        <f>VLOOKUP(I4763,[1]媒体政策预估表!A:N,MATCH(O4763,[1]媒体政策预估表!$A$2:$M$2,0),0)</f>
        <v>0.09</v>
      </c>
      <c r="AF4763" s="6">
        <f t="shared" si="731"/>
        <v>2520</v>
      </c>
      <c r="AG4763" s="14">
        <v>0</v>
      </c>
      <c r="AH4763" s="65">
        <f t="shared" si="725"/>
        <v>28000</v>
      </c>
      <c r="AI4763" s="47"/>
      <c r="AJ4763" s="126" t="e">
        <v>#N/A</v>
      </c>
      <c r="AK4763" s="80">
        <f t="shared" si="729"/>
        <v>0</v>
      </c>
      <c r="AM4763" s="85"/>
    </row>
    <row r="4764" spans="1:39" hidden="1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23"/>
        <v>1161</v>
      </c>
      <c r="X4764" s="6">
        <f t="shared" si="726"/>
        <v>14763</v>
      </c>
      <c r="Y4764" s="13">
        <f t="shared" si="727"/>
        <v>0</v>
      </c>
      <c r="Z4764" s="14">
        <v>0</v>
      </c>
      <c r="AA4764" s="6">
        <v>0</v>
      </c>
      <c r="AB4764" s="4">
        <f t="shared" si="728"/>
        <v>14763</v>
      </c>
      <c r="AC4764" s="4">
        <f t="shared" si="730"/>
        <v>0</v>
      </c>
      <c r="AD4764" s="6">
        <f t="shared" si="724"/>
        <v>14763</v>
      </c>
      <c r="AE4764" s="2">
        <f>VLOOKUP(I4764,[1]媒体政策预估表!A:N,MATCH(O4764,[1]媒体政策预估表!$A$2:$M$2,0),0)</f>
        <v>0.09</v>
      </c>
      <c r="AF4764" s="6">
        <f t="shared" si="731"/>
        <v>1328.6699999999998</v>
      </c>
      <c r="AG4764" s="14">
        <v>0</v>
      </c>
      <c r="AH4764" s="65">
        <f t="shared" si="725"/>
        <v>14763</v>
      </c>
      <c r="AI4764" s="47"/>
      <c r="AJ4764" s="126" t="e">
        <v>#N/A</v>
      </c>
      <c r="AK4764" s="80">
        <f t="shared" si="729"/>
        <v>0</v>
      </c>
      <c r="AM4764" s="85"/>
    </row>
    <row r="4765" spans="1:39" hidden="1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23"/>
        <v>48518.630000000012</v>
      </c>
      <c r="X4765" s="6">
        <f t="shared" si="726"/>
        <v>1984.2685185185185</v>
      </c>
      <c r="Y4765" s="13">
        <f t="shared" si="727"/>
        <v>0</v>
      </c>
      <c r="Z4765" s="14">
        <v>0</v>
      </c>
      <c r="AA4765" s="6">
        <v>0</v>
      </c>
      <c r="AB4765" s="4">
        <f t="shared" si="728"/>
        <v>1984.2685185185185</v>
      </c>
      <c r="AC4765" s="4">
        <f t="shared" si="730"/>
        <v>158.74148148148174</v>
      </c>
      <c r="AD4765" s="6">
        <f t="shared" si="724"/>
        <v>2143.0100000000002</v>
      </c>
      <c r="AE4765" s="2">
        <f>VLOOKUP(I4765,[1]媒体政策预估表!A:N,MATCH(O4765,[1]媒体政策预估表!$A$2:$M$2,0),0)</f>
        <v>0.18</v>
      </c>
      <c r="AF4765" s="6">
        <f t="shared" si="731"/>
        <v>385.74180000000001</v>
      </c>
      <c r="AG4765" s="14">
        <v>0</v>
      </c>
      <c r="AH4765" s="65">
        <f t="shared" si="725"/>
        <v>2143.0100000000002</v>
      </c>
      <c r="AI4765" s="47"/>
      <c r="AJ4765" s="126" t="e">
        <v>#N/A</v>
      </c>
      <c r="AK4765" s="80">
        <f t="shared" si="729"/>
        <v>0</v>
      </c>
      <c r="AM4765" s="85"/>
    </row>
    <row r="4766" spans="1:39" hidden="1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23"/>
        <v>172229.09</v>
      </c>
      <c r="X4766" s="6">
        <f t="shared" si="726"/>
        <v>7770.9100000000035</v>
      </c>
      <c r="Y4766" s="13">
        <f t="shared" si="727"/>
        <v>0</v>
      </c>
      <c r="Z4766" s="14">
        <v>0</v>
      </c>
      <c r="AA4766" s="6">
        <v>0</v>
      </c>
      <c r="AB4766" s="4">
        <f t="shared" si="728"/>
        <v>7770.9100000000035</v>
      </c>
      <c r="AC4766" s="4">
        <f t="shared" si="730"/>
        <v>0</v>
      </c>
      <c r="AD4766" s="6">
        <f t="shared" si="724"/>
        <v>7770.9100000000035</v>
      </c>
      <c r="AE4766" s="2">
        <f>VLOOKUP(I4766,[1]媒体政策预估表!A:N,MATCH(O4766,[1]媒体政策预估表!$A$2:$M$2,0),0)</f>
        <v>0.09</v>
      </c>
      <c r="AF4766" s="6">
        <f t="shared" si="731"/>
        <v>699.38190000000031</v>
      </c>
      <c r="AG4766" s="14">
        <v>0</v>
      </c>
      <c r="AH4766" s="65">
        <f t="shared" si="725"/>
        <v>7770.9100000000035</v>
      </c>
      <c r="AI4766" s="47"/>
      <c r="AJ4766" s="126" t="e">
        <v>#N/A</v>
      </c>
      <c r="AK4766" s="80">
        <f t="shared" si="729"/>
        <v>0</v>
      </c>
      <c r="AM4766" s="85"/>
    </row>
    <row r="4767" spans="1:39" hidden="1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23"/>
        <v>70000</v>
      </c>
      <c r="X4767" s="6">
        <f t="shared" si="726"/>
        <v>0</v>
      </c>
      <c r="Y4767" s="13">
        <f t="shared" si="727"/>
        <v>0</v>
      </c>
      <c r="Z4767" s="14">
        <v>0</v>
      </c>
      <c r="AA4767" s="6">
        <v>0</v>
      </c>
      <c r="AB4767" s="4">
        <f t="shared" si="728"/>
        <v>0</v>
      </c>
      <c r="AC4767" s="4">
        <f t="shared" si="730"/>
        <v>0</v>
      </c>
      <c r="AD4767" s="6">
        <f t="shared" si="724"/>
        <v>0</v>
      </c>
      <c r="AE4767" s="2">
        <f>VLOOKUP(I4767,[1]媒体政策预估表!A:N,MATCH(O4767,[1]媒体政策预估表!$A$2:$M$2,0),0)</f>
        <v>0.09</v>
      </c>
      <c r="AF4767" s="6">
        <f t="shared" si="731"/>
        <v>0</v>
      </c>
      <c r="AG4767" s="14">
        <v>0</v>
      </c>
      <c r="AH4767" s="65">
        <f t="shared" si="725"/>
        <v>0</v>
      </c>
      <c r="AI4767" s="47"/>
      <c r="AJ4767" s="126" t="e">
        <v>#N/A</v>
      </c>
      <c r="AK4767" s="80">
        <f t="shared" si="729"/>
        <v>0</v>
      </c>
      <c r="AM4767" s="85"/>
    </row>
    <row r="4768" spans="1:39" hidden="1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23"/>
        <v>20345.219999999994</v>
      </c>
      <c r="X4768" s="6">
        <f t="shared" si="726"/>
        <v>14605.96</v>
      </c>
      <c r="Y4768" s="13">
        <f t="shared" si="727"/>
        <v>0</v>
      </c>
      <c r="Z4768" s="14">
        <v>0</v>
      </c>
      <c r="AA4768" s="6">
        <v>0</v>
      </c>
      <c r="AB4768" s="4">
        <f t="shared" si="728"/>
        <v>14605.96</v>
      </c>
      <c r="AC4768" s="4">
        <f t="shared" si="730"/>
        <v>0</v>
      </c>
      <c r="AD4768" s="6">
        <f t="shared" si="724"/>
        <v>14605.96</v>
      </c>
      <c r="AE4768" s="2">
        <f>VLOOKUP(I4768,[1]媒体政策预估表!A:N,MATCH(O4768,[1]媒体政策预估表!$A$2:$M$2,0),0)</f>
        <v>0.09</v>
      </c>
      <c r="AF4768" s="6">
        <f t="shared" si="731"/>
        <v>1314.5364</v>
      </c>
      <c r="AG4768" s="14">
        <v>0</v>
      </c>
      <c r="AH4768" s="65">
        <f t="shared" si="725"/>
        <v>14605.96</v>
      </c>
      <c r="AI4768" s="47"/>
      <c r="AJ4768" s="126" t="e">
        <v>#N/A</v>
      </c>
      <c r="AK4768" s="80">
        <f t="shared" si="729"/>
        <v>0</v>
      </c>
      <c r="AM4768" s="85"/>
    </row>
    <row r="4769" spans="1:39" hidden="1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23"/>
        <v>20591.030000000002</v>
      </c>
      <c r="X4769" s="6">
        <f t="shared" si="726"/>
        <v>16958.88</v>
      </c>
      <c r="Y4769" s="13">
        <f t="shared" si="727"/>
        <v>0</v>
      </c>
      <c r="Z4769" s="14">
        <v>0</v>
      </c>
      <c r="AA4769" s="6">
        <v>0</v>
      </c>
      <c r="AB4769" s="4">
        <f t="shared" si="728"/>
        <v>16958.88</v>
      </c>
      <c r="AC4769" s="4">
        <f t="shared" si="730"/>
        <v>0</v>
      </c>
      <c r="AD4769" s="6">
        <f t="shared" si="724"/>
        <v>16958.88</v>
      </c>
      <c r="AE4769" s="2">
        <f>VLOOKUP(I4769,[1]媒体政策预估表!A:N,MATCH(O4769,[1]媒体政策预估表!$A$2:$M$2,0),0)</f>
        <v>0.09</v>
      </c>
      <c r="AF4769" s="6">
        <f t="shared" si="731"/>
        <v>1526.2991999999999</v>
      </c>
      <c r="AG4769" s="14">
        <v>0</v>
      </c>
      <c r="AH4769" s="65">
        <f t="shared" si="725"/>
        <v>16958.88</v>
      </c>
      <c r="AI4769" s="47"/>
      <c r="AJ4769" s="126" t="e">
        <v>#N/A</v>
      </c>
      <c r="AK4769" s="80">
        <f t="shared" si="729"/>
        <v>0</v>
      </c>
      <c r="AM4769" s="85"/>
    </row>
    <row r="4770" spans="1:39" hidden="1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23"/>
        <v>21428</v>
      </c>
      <c r="X4770" s="6">
        <f t="shared" si="726"/>
        <v>54901.960784313727</v>
      </c>
      <c r="Y4770" s="13">
        <f t="shared" si="727"/>
        <v>0</v>
      </c>
      <c r="Z4770" s="14">
        <v>0</v>
      </c>
      <c r="AA4770" s="6">
        <v>0</v>
      </c>
      <c r="AB4770" s="4">
        <f t="shared" si="728"/>
        <v>54901.960784313727</v>
      </c>
      <c r="AC4770" s="4">
        <f t="shared" si="730"/>
        <v>1098.0392156862727</v>
      </c>
      <c r="AD4770" s="6">
        <f t="shared" si="724"/>
        <v>56000</v>
      </c>
      <c r="AE4770" s="2">
        <f>VLOOKUP(I4770,[1]媒体政策预估表!A:N,MATCH(O4770,[1]媒体政策预估表!$A$2:$M$2,0),0)</f>
        <v>0.09</v>
      </c>
      <c r="AF4770" s="6">
        <f t="shared" si="731"/>
        <v>5040</v>
      </c>
      <c r="AG4770" s="14">
        <v>0</v>
      </c>
      <c r="AH4770" s="65">
        <f t="shared" si="725"/>
        <v>56000</v>
      </c>
      <c r="AI4770" s="47"/>
      <c r="AJ4770" s="126" t="e">
        <v>#N/A</v>
      </c>
      <c r="AK4770" s="80">
        <f t="shared" si="729"/>
        <v>0</v>
      </c>
      <c r="AM4770" s="85"/>
    </row>
    <row r="4771" spans="1:39" hidden="1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23"/>
        <v>58938.25</v>
      </c>
      <c r="X4771" s="6">
        <f t="shared" si="726"/>
        <v>93457.75</v>
      </c>
      <c r="Y4771" s="13">
        <f t="shared" si="727"/>
        <v>0</v>
      </c>
      <c r="Z4771" s="14">
        <v>0</v>
      </c>
      <c r="AA4771" s="6">
        <v>0</v>
      </c>
      <c r="AB4771" s="4"/>
      <c r="AC4771" s="4">
        <f t="shared" si="730"/>
        <v>0</v>
      </c>
      <c r="AD4771" s="6">
        <f t="shared" si="724"/>
        <v>93457.75</v>
      </c>
      <c r="AE4771" s="2">
        <f>VLOOKUP(I4771,[1]媒体政策预估表!A:N,MATCH(O4771,[1]媒体政策预估表!$A$2:$M$2,0),0)</f>
        <v>0.09</v>
      </c>
      <c r="AF4771" s="6">
        <f t="shared" si="731"/>
        <v>8411.1975000000002</v>
      </c>
      <c r="AG4771" s="14">
        <v>0</v>
      </c>
      <c r="AH4771" s="65">
        <f t="shared" si="725"/>
        <v>93457.75</v>
      </c>
      <c r="AI4771" s="47"/>
      <c r="AJ4771" s="126">
        <v>109</v>
      </c>
      <c r="AK4771" s="80">
        <f t="shared" si="729"/>
        <v>93457.75</v>
      </c>
      <c r="AM4771" s="85"/>
    </row>
    <row r="4772" spans="1:39" hidden="1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23"/>
        <v>0</v>
      </c>
      <c r="X4772" s="6">
        <f t="shared" si="726"/>
        <v>197322</v>
      </c>
      <c r="Y4772" s="13">
        <f t="shared" si="727"/>
        <v>0</v>
      </c>
      <c r="Z4772" s="14">
        <v>0</v>
      </c>
      <c r="AA4772" s="6">
        <v>0</v>
      </c>
      <c r="AB4772" s="4"/>
      <c r="AC4772" s="4">
        <f t="shared" si="730"/>
        <v>0</v>
      </c>
      <c r="AD4772" s="6">
        <f t="shared" si="724"/>
        <v>197322</v>
      </c>
      <c r="AE4772" s="2">
        <f>VLOOKUP(I4772,[1]媒体政策预估表!A:N,MATCH(O4772,[1]媒体政策预估表!$A$2:$M$2,0),0)</f>
        <v>0.09</v>
      </c>
      <c r="AF4772" s="6">
        <f t="shared" si="731"/>
        <v>17758.98</v>
      </c>
      <c r="AG4772" s="14">
        <v>0</v>
      </c>
      <c r="AH4772" s="65">
        <f t="shared" si="725"/>
        <v>197322</v>
      </c>
      <c r="AI4772" s="47"/>
      <c r="AJ4772" s="126">
        <v>109</v>
      </c>
      <c r="AK4772" s="80">
        <f t="shared" si="729"/>
        <v>197322</v>
      </c>
      <c r="AM4772" s="85"/>
    </row>
    <row r="4773" spans="1:39" hidden="1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23"/>
        <v>86381.26</v>
      </c>
      <c r="X4773" s="6">
        <f t="shared" si="726"/>
        <v>71920.740000000005</v>
      </c>
      <c r="Y4773" s="13">
        <f t="shared" si="727"/>
        <v>0</v>
      </c>
      <c r="Z4773" s="14">
        <v>0</v>
      </c>
      <c r="AA4773" s="6">
        <v>0</v>
      </c>
      <c r="AB4773" s="4"/>
      <c r="AC4773" s="4">
        <f t="shared" si="730"/>
        <v>0</v>
      </c>
      <c r="AD4773" s="6">
        <f t="shared" si="724"/>
        <v>71920.740000000005</v>
      </c>
      <c r="AE4773" s="2">
        <f>VLOOKUP(I4773,[1]媒体政策预估表!A:N,MATCH(O4773,[1]媒体政策预估表!$A$2:$M$2,0),0)</f>
        <v>0.09</v>
      </c>
      <c r="AF4773" s="6">
        <f t="shared" si="731"/>
        <v>6472.8666000000003</v>
      </c>
      <c r="AG4773" s="14">
        <v>0</v>
      </c>
      <c r="AH4773" s="65">
        <f t="shared" si="725"/>
        <v>71920.740000000005</v>
      </c>
      <c r="AI4773" s="47"/>
      <c r="AJ4773" s="126">
        <v>109</v>
      </c>
      <c r="AK4773" s="80">
        <f t="shared" si="729"/>
        <v>71920.740000000005</v>
      </c>
      <c r="AM4773" s="85"/>
    </row>
    <row r="4774" spans="1:39" hidden="1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23"/>
        <v>40000</v>
      </c>
      <c r="X4774" s="6">
        <f t="shared" si="726"/>
        <v>0</v>
      </c>
      <c r="Y4774" s="13">
        <f t="shared" si="727"/>
        <v>0</v>
      </c>
      <c r="Z4774" s="14">
        <v>0</v>
      </c>
      <c r="AA4774" s="6">
        <v>0</v>
      </c>
      <c r="AB4774" s="4"/>
      <c r="AC4774" s="4">
        <f t="shared" si="730"/>
        <v>0</v>
      </c>
      <c r="AD4774" s="6">
        <f t="shared" si="724"/>
        <v>0</v>
      </c>
      <c r="AE4774" s="2">
        <f>VLOOKUP(I4774,[1]媒体政策预估表!A:N,MATCH(O4774,[1]媒体政策预估表!$A$2:$M$2,0),0)</f>
        <v>0.09</v>
      </c>
      <c r="AF4774" s="6">
        <f t="shared" si="731"/>
        <v>0</v>
      </c>
      <c r="AG4774" s="14">
        <v>0</v>
      </c>
      <c r="AH4774" s="65">
        <f t="shared" si="725"/>
        <v>0</v>
      </c>
      <c r="AI4774" s="47"/>
      <c r="AJ4774" s="126">
        <v>109</v>
      </c>
      <c r="AK4774" s="80">
        <f t="shared" si="729"/>
        <v>0</v>
      </c>
      <c r="AM4774" s="85"/>
    </row>
    <row r="4775" spans="1:39" hidden="1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23"/>
        <v>6000</v>
      </c>
      <c r="X4775" s="6">
        <f t="shared" si="726"/>
        <v>0</v>
      </c>
      <c r="Y4775" s="13">
        <f t="shared" si="727"/>
        <v>0</v>
      </c>
      <c r="Z4775" s="14">
        <v>0</v>
      </c>
      <c r="AA4775" s="6">
        <v>0</v>
      </c>
      <c r="AB4775" s="4">
        <f t="shared" si="728"/>
        <v>0</v>
      </c>
      <c r="AC4775" s="4">
        <f t="shared" si="730"/>
        <v>0</v>
      </c>
      <c r="AD4775" s="6">
        <f t="shared" si="724"/>
        <v>0</v>
      </c>
      <c r="AE4775" s="2">
        <f>VLOOKUP(I4775,[1]媒体政策预估表!A:N,MATCH(O4775,[1]媒体政策预估表!$A$2:$M$2,0),0)</f>
        <v>0.09</v>
      </c>
      <c r="AF4775" s="6">
        <f t="shared" si="731"/>
        <v>0</v>
      </c>
      <c r="AG4775" s="14">
        <v>0</v>
      </c>
      <c r="AH4775" s="65">
        <f t="shared" si="725"/>
        <v>0</v>
      </c>
      <c r="AI4775" s="47"/>
      <c r="AJ4775" s="126" t="e">
        <v>#N/A</v>
      </c>
      <c r="AK4775" s="80">
        <f t="shared" si="729"/>
        <v>0</v>
      </c>
      <c r="AM4775" s="85"/>
    </row>
    <row r="4776" spans="1:39" hidden="1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3748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23"/>
        <v>18973.370000000003</v>
      </c>
      <c r="X4776" s="6">
        <f t="shared" si="726"/>
        <v>10618.264705882351</v>
      </c>
      <c r="Y4776" s="13">
        <f t="shared" si="727"/>
        <v>0</v>
      </c>
      <c r="Z4776" s="14">
        <v>0</v>
      </c>
      <c r="AA4776" s="6">
        <v>0</v>
      </c>
      <c r="AB4776" s="4">
        <f t="shared" si="728"/>
        <v>10618.264705882351</v>
      </c>
      <c r="AC4776" s="4">
        <f t="shared" si="730"/>
        <v>212.36529411764786</v>
      </c>
      <c r="AD4776" s="6">
        <f t="shared" si="724"/>
        <v>10830.63</v>
      </c>
      <c r="AE4776" s="2">
        <f>VLOOKUP(I4776,[1]媒体政策预估表!A:N,MATCH(O4776,[1]媒体政策预估表!$A$2:$M$2,0),0)</f>
        <v>0.09</v>
      </c>
      <c r="AF4776" s="6">
        <f t="shared" si="731"/>
        <v>974.75669999999991</v>
      </c>
      <c r="AG4776" s="14">
        <v>0</v>
      </c>
      <c r="AH4776" s="65">
        <f t="shared" si="725"/>
        <v>10830.63</v>
      </c>
      <c r="AI4776" s="47"/>
      <c r="AJ4776" s="126" t="e">
        <v>#N/A</v>
      </c>
      <c r="AK4776" s="80">
        <f t="shared" si="729"/>
        <v>0</v>
      </c>
      <c r="AM4776" s="85"/>
    </row>
    <row r="4777" spans="1:39" hidden="1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23"/>
        <v>38173.87000000001</v>
      </c>
      <c r="X4777" s="6">
        <f t="shared" si="726"/>
        <v>60261.2</v>
      </c>
      <c r="Y4777" s="13">
        <f t="shared" si="727"/>
        <v>0</v>
      </c>
      <c r="Z4777" s="14">
        <v>0</v>
      </c>
      <c r="AA4777" s="6">
        <v>0</v>
      </c>
      <c r="AB4777" s="4">
        <f t="shared" si="728"/>
        <v>60261.2</v>
      </c>
      <c r="AC4777" s="4">
        <f t="shared" si="730"/>
        <v>0</v>
      </c>
      <c r="AD4777" s="6">
        <f t="shared" si="724"/>
        <v>60261.2</v>
      </c>
      <c r="AE4777" s="2">
        <f>VLOOKUP(I4777,[1]媒体政策预估表!A:N,MATCH(O4777,[1]媒体政策预估表!$A$2:$M$2,0),0)</f>
        <v>0.09</v>
      </c>
      <c r="AF4777" s="6">
        <f t="shared" si="731"/>
        <v>5423.5079999999998</v>
      </c>
      <c r="AG4777" s="14">
        <v>0</v>
      </c>
      <c r="AH4777" s="65">
        <f t="shared" si="725"/>
        <v>60261.2</v>
      </c>
      <c r="AI4777" s="47"/>
      <c r="AJ4777" s="126" t="e">
        <v>#N/A</v>
      </c>
      <c r="AK4777" s="80">
        <f t="shared" si="729"/>
        <v>0</v>
      </c>
      <c r="AM4777" s="85"/>
    </row>
    <row r="4778" spans="1:39" hidden="1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23"/>
        <v>609000</v>
      </c>
      <c r="X4778" s="6">
        <f t="shared" si="726"/>
        <v>0</v>
      </c>
      <c r="Y4778" s="13">
        <f t="shared" si="727"/>
        <v>0</v>
      </c>
      <c r="Z4778" s="14">
        <v>0</v>
      </c>
      <c r="AA4778" s="6">
        <v>0</v>
      </c>
      <c r="AB4778" s="4">
        <f t="shared" si="728"/>
        <v>0</v>
      </c>
      <c r="AC4778" s="4">
        <f t="shared" si="730"/>
        <v>0</v>
      </c>
      <c r="AD4778" s="6">
        <f t="shared" si="724"/>
        <v>0</v>
      </c>
      <c r="AE4778" s="2">
        <f>VLOOKUP(I4778,[1]媒体政策预估表!A:N,MATCH(O4778,[1]媒体政策预估表!$A$2:$M$2,0),0)</f>
        <v>0.09</v>
      </c>
      <c r="AF4778" s="6">
        <f t="shared" si="731"/>
        <v>0</v>
      </c>
      <c r="AG4778" s="14">
        <v>0</v>
      </c>
      <c r="AH4778" s="65">
        <f t="shared" si="725"/>
        <v>0</v>
      </c>
      <c r="AI4778" s="47"/>
      <c r="AJ4778" s="126" t="e">
        <v>#N/A</v>
      </c>
      <c r="AK4778" s="80">
        <f t="shared" si="729"/>
        <v>0</v>
      </c>
      <c r="AM4778" s="85"/>
    </row>
    <row r="4779" spans="1:39" hidden="1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23"/>
        <v>2422.38</v>
      </c>
      <c r="X4779" s="6">
        <f t="shared" si="726"/>
        <v>0</v>
      </c>
      <c r="Y4779" s="13">
        <f t="shared" si="727"/>
        <v>0</v>
      </c>
      <c r="Z4779" s="14">
        <v>0</v>
      </c>
      <c r="AA4779" s="6">
        <v>0</v>
      </c>
      <c r="AB4779" s="4">
        <f t="shared" si="728"/>
        <v>0</v>
      </c>
      <c r="AC4779" s="4">
        <f t="shared" si="730"/>
        <v>0</v>
      </c>
      <c r="AD4779" s="6">
        <f t="shared" si="724"/>
        <v>0</v>
      </c>
      <c r="AE4779" s="2">
        <f>VLOOKUP(I4779,[1]媒体政策预估表!A:N,MATCH(O4779,[1]媒体政策预估表!$A$2:$M$2,0),0)</f>
        <v>0.09</v>
      </c>
      <c r="AF4779" s="6">
        <f t="shared" si="731"/>
        <v>0</v>
      </c>
      <c r="AG4779" s="14">
        <v>0</v>
      </c>
      <c r="AH4779" s="65">
        <f t="shared" si="725"/>
        <v>0</v>
      </c>
      <c r="AI4779" s="47"/>
      <c r="AJ4779" s="126" t="e">
        <v>#N/A</v>
      </c>
      <c r="AK4779" s="80">
        <f t="shared" si="729"/>
        <v>0</v>
      </c>
      <c r="AM4779" s="85"/>
    </row>
    <row r="4780" spans="1:39" hidden="1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23"/>
        <v>13963.73</v>
      </c>
      <c r="X4780" s="6">
        <f t="shared" si="726"/>
        <v>5917.9117647058829</v>
      </c>
      <c r="Y4780" s="13">
        <f t="shared" si="727"/>
        <v>0</v>
      </c>
      <c r="Z4780" s="14">
        <v>0</v>
      </c>
      <c r="AA4780" s="6">
        <v>0</v>
      </c>
      <c r="AB4780" s="4">
        <f t="shared" si="728"/>
        <v>5917.9117647058829</v>
      </c>
      <c r="AC4780" s="4">
        <f t="shared" si="730"/>
        <v>118.35823529411755</v>
      </c>
      <c r="AD4780" s="6">
        <f t="shared" si="724"/>
        <v>6036.27</v>
      </c>
      <c r="AE4780" s="2">
        <f>VLOOKUP(I4780,[1]媒体政策预估表!A:N,MATCH(O4780,[1]媒体政策预估表!$A$2:$M$2,0),0)</f>
        <v>0.09</v>
      </c>
      <c r="AF4780" s="6">
        <f t="shared" si="731"/>
        <v>543.26430000000005</v>
      </c>
      <c r="AG4780" s="14">
        <v>0</v>
      </c>
      <c r="AH4780" s="65">
        <f t="shared" si="725"/>
        <v>6036.27</v>
      </c>
      <c r="AI4780" s="47"/>
      <c r="AJ4780" s="126" t="e">
        <v>#N/A</v>
      </c>
      <c r="AK4780" s="80">
        <f t="shared" si="729"/>
        <v>0</v>
      </c>
      <c r="AM4780" s="85"/>
    </row>
    <row r="4781" spans="1:39" hidden="1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26"/>
        <v>337730.45999999973</v>
      </c>
      <c r="Y4781" s="13">
        <f t="shared" si="727"/>
        <v>0</v>
      </c>
      <c r="Z4781" s="14">
        <v>0</v>
      </c>
      <c r="AA4781" s="6">
        <v>0</v>
      </c>
      <c r="AB4781" s="4">
        <f t="shared" si="728"/>
        <v>337730.45999999973</v>
      </c>
      <c r="AC4781" s="4">
        <f t="shared" si="730"/>
        <v>0</v>
      </c>
      <c r="AD4781" s="6">
        <f t="shared" si="724"/>
        <v>337730.45999999973</v>
      </c>
      <c r="AE4781" s="2">
        <f>VLOOKUP(I4781,[1]媒体政策预估表!A:N,MATCH(O4781,[1]媒体政策预估表!$A$2:$M$2,0),0)</f>
        <v>0.09</v>
      </c>
      <c r="AF4781" s="6">
        <f t="shared" si="731"/>
        <v>30395.741399999974</v>
      </c>
      <c r="AG4781" s="14">
        <v>0</v>
      </c>
      <c r="AH4781" s="65">
        <f t="shared" si="725"/>
        <v>337730.45999999973</v>
      </c>
      <c r="AI4781" s="47"/>
      <c r="AJ4781" s="126" t="e">
        <v>#N/A</v>
      </c>
      <c r="AK4781" s="80">
        <f t="shared" si="729"/>
        <v>0</v>
      </c>
      <c r="AM4781" s="85"/>
    </row>
    <row r="4782" spans="1:39" hidden="1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23"/>
        <v>40307.9</v>
      </c>
      <c r="X4782" s="6">
        <f t="shared" si="726"/>
        <v>7108.5</v>
      </c>
      <c r="Y4782" s="13">
        <f t="shared" si="727"/>
        <v>0</v>
      </c>
      <c r="Z4782" s="14">
        <v>0</v>
      </c>
      <c r="AA4782" s="6">
        <v>0</v>
      </c>
      <c r="AB4782" s="4">
        <f t="shared" si="728"/>
        <v>7108.5</v>
      </c>
      <c r="AC4782" s="4">
        <f t="shared" si="730"/>
        <v>0</v>
      </c>
      <c r="AD4782" s="6">
        <f t="shared" si="724"/>
        <v>7108.5</v>
      </c>
      <c r="AE4782" s="2">
        <f>VLOOKUP(I4782,[1]媒体政策预估表!A:N,MATCH(O4782,[1]媒体政策预估表!$A$2:$M$2,0),0)</f>
        <v>0.09</v>
      </c>
      <c r="AF4782" s="6">
        <f t="shared" si="731"/>
        <v>639.76499999999999</v>
      </c>
      <c r="AG4782" s="14">
        <v>0</v>
      </c>
      <c r="AH4782" s="65">
        <f t="shared" si="725"/>
        <v>7108.5</v>
      </c>
      <c r="AI4782" s="47"/>
      <c r="AJ4782" s="126" t="e">
        <v>#N/A</v>
      </c>
      <c r="AK4782" s="80">
        <f t="shared" si="729"/>
        <v>0</v>
      </c>
      <c r="AM4782" s="85"/>
    </row>
    <row r="4783" spans="1:39" hidden="1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32">T4783+U4783-V4783</f>
        <v>2600</v>
      </c>
      <c r="X4783" s="6">
        <f t="shared" si="726"/>
        <v>0</v>
      </c>
      <c r="Y4783" s="13">
        <f t="shared" si="727"/>
        <v>0</v>
      </c>
      <c r="Z4783" s="14">
        <v>0</v>
      </c>
      <c r="AA4783" s="6">
        <v>0</v>
      </c>
      <c r="AB4783" s="4"/>
      <c r="AC4783" s="4">
        <f t="shared" si="730"/>
        <v>0</v>
      </c>
      <c r="AD4783" s="6">
        <f t="shared" ref="AD4783:AD4846" si="733">V4783</f>
        <v>0</v>
      </c>
      <c r="AE4783" s="2">
        <f>VLOOKUP(I4783,[1]媒体政策预估表!A:N,MATCH(O4783,[1]媒体政策预估表!$A$2:$M$2,0),0)</f>
        <v>0.18</v>
      </c>
      <c r="AF4783" s="6">
        <f t="shared" si="731"/>
        <v>0</v>
      </c>
      <c r="AG4783" s="14">
        <v>0</v>
      </c>
      <c r="AH4783" s="65">
        <f t="shared" ref="AH4783:AH4846" si="734">AD4783</f>
        <v>0</v>
      </c>
      <c r="AI4783" s="47"/>
      <c r="AJ4783" s="126">
        <v>96</v>
      </c>
      <c r="AK4783" s="80">
        <f t="shared" si="729"/>
        <v>0</v>
      </c>
      <c r="AM4783" s="85"/>
    </row>
    <row r="4784" spans="1:39" hidden="1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32"/>
        <v>-2600</v>
      </c>
      <c r="X4784" s="6">
        <f t="shared" si="726"/>
        <v>0</v>
      </c>
      <c r="Y4784" s="13">
        <f t="shared" si="727"/>
        <v>0</v>
      </c>
      <c r="Z4784" s="14">
        <v>0</v>
      </c>
      <c r="AA4784" s="6">
        <v>0</v>
      </c>
      <c r="AB4784" s="4"/>
      <c r="AC4784" s="4">
        <f t="shared" si="730"/>
        <v>0</v>
      </c>
      <c r="AD4784" s="6">
        <f t="shared" si="733"/>
        <v>0</v>
      </c>
      <c r="AE4784" s="2">
        <f>VLOOKUP(I4784,[1]媒体政策预估表!A:N,MATCH(O4784,[1]媒体政策预估表!$A$2:$M$2,0),0)</f>
        <v>0.09</v>
      </c>
      <c r="AF4784" s="6">
        <f t="shared" si="731"/>
        <v>0</v>
      </c>
      <c r="AG4784" s="14">
        <v>0</v>
      </c>
      <c r="AH4784" s="65">
        <f t="shared" si="734"/>
        <v>0</v>
      </c>
      <c r="AI4784" s="47"/>
      <c r="AJ4784" s="126">
        <v>96</v>
      </c>
      <c r="AK4784" s="80">
        <f t="shared" si="729"/>
        <v>0</v>
      </c>
      <c r="AM4784" s="85"/>
    </row>
    <row r="4785" spans="1:39" hidden="1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32"/>
        <v>114923.53999999995</v>
      </c>
      <c r="X4785" s="6">
        <f t="shared" si="726"/>
        <v>138613.86138613863</v>
      </c>
      <c r="Y4785" s="13">
        <f t="shared" si="727"/>
        <v>0</v>
      </c>
      <c r="Z4785" s="14">
        <v>0</v>
      </c>
      <c r="AA4785" s="6">
        <v>0</v>
      </c>
      <c r="AB4785" s="4">
        <f t="shared" si="728"/>
        <v>138613.86138613863</v>
      </c>
      <c r="AC4785" s="4">
        <f t="shared" si="730"/>
        <v>1386.1386138613743</v>
      </c>
      <c r="AD4785" s="6">
        <f t="shared" si="733"/>
        <v>140000</v>
      </c>
      <c r="AE4785" s="2">
        <f>VLOOKUP(I4785,[1]媒体政策预估表!A:N,MATCH(O4785,[1]媒体政策预估表!$A$2:$M$2,0),0)</f>
        <v>0.09</v>
      </c>
      <c r="AF4785" s="6">
        <f t="shared" si="731"/>
        <v>12600</v>
      </c>
      <c r="AG4785" s="14">
        <v>0</v>
      </c>
      <c r="AH4785" s="65">
        <f t="shared" si="734"/>
        <v>140000</v>
      </c>
      <c r="AI4785" s="47"/>
      <c r="AJ4785" s="126" t="e">
        <v>#N/A</v>
      </c>
      <c r="AK4785" s="80">
        <f t="shared" si="729"/>
        <v>0</v>
      </c>
      <c r="AM4785" s="85"/>
    </row>
    <row r="4786" spans="1:39" hidden="1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32"/>
        <v>48442.68</v>
      </c>
      <c r="X4786" s="6">
        <f t="shared" si="726"/>
        <v>0</v>
      </c>
      <c r="Y4786" s="13">
        <f t="shared" si="727"/>
        <v>0</v>
      </c>
      <c r="Z4786" s="14">
        <v>0</v>
      </c>
      <c r="AA4786" s="6">
        <v>0</v>
      </c>
      <c r="AB4786" s="4">
        <f t="shared" si="728"/>
        <v>0</v>
      </c>
      <c r="AC4786" s="4">
        <f t="shared" si="730"/>
        <v>0</v>
      </c>
      <c r="AD4786" s="6">
        <f t="shared" si="733"/>
        <v>0</v>
      </c>
      <c r="AE4786" s="2">
        <f>VLOOKUP(I4786,[1]媒体政策预估表!A:N,MATCH(O4786,[1]媒体政策预估表!$A$2:$M$2,0),0)</f>
        <v>0.09</v>
      </c>
      <c r="AF4786" s="6">
        <f t="shared" si="731"/>
        <v>0</v>
      </c>
      <c r="AG4786" s="14">
        <v>0</v>
      </c>
      <c r="AH4786" s="65">
        <f t="shared" si="734"/>
        <v>0</v>
      </c>
      <c r="AI4786" s="47"/>
      <c r="AJ4786" s="126" t="e">
        <v>#N/A</v>
      </c>
      <c r="AK4786" s="80">
        <f t="shared" si="729"/>
        <v>0</v>
      </c>
      <c r="AM4786" s="85"/>
    </row>
    <row r="4787" spans="1:39" hidden="1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32"/>
        <v>-4369624.47</v>
      </c>
      <c r="X4787" s="6">
        <f t="shared" si="726"/>
        <v>141980.71</v>
      </c>
      <c r="Y4787" s="13">
        <f t="shared" si="727"/>
        <v>0</v>
      </c>
      <c r="Z4787" s="14">
        <v>0</v>
      </c>
      <c r="AA4787" s="6">
        <v>0</v>
      </c>
      <c r="AB4787" s="4">
        <f t="shared" si="728"/>
        <v>141980.71</v>
      </c>
      <c r="AC4787" s="4">
        <f t="shared" si="730"/>
        <v>0</v>
      </c>
      <c r="AD4787" s="6">
        <f t="shared" si="733"/>
        <v>141980.71</v>
      </c>
      <c r="AE4787" s="2">
        <f>VLOOKUP(I4787,[1]媒体政策预估表!A:N,MATCH(O4787,[1]媒体政策预估表!$A$2:$M$2,0),0)</f>
        <v>0.18</v>
      </c>
      <c r="AF4787" s="6">
        <f t="shared" si="731"/>
        <v>25556.527799999996</v>
      </c>
      <c r="AG4787" s="14">
        <v>0</v>
      </c>
      <c r="AH4787" s="65">
        <f t="shared" si="734"/>
        <v>141980.71</v>
      </c>
      <c r="AI4787" s="47"/>
      <c r="AJ4787" s="126" t="e">
        <v>#N/A</v>
      </c>
      <c r="AK4787" s="80">
        <f t="shared" si="729"/>
        <v>0</v>
      </c>
      <c r="AM4787" s="85"/>
    </row>
    <row r="4788" spans="1:39" hidden="1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32"/>
        <v>77995.900000000009</v>
      </c>
      <c r="X4788" s="6">
        <f t="shared" si="726"/>
        <v>61173.8</v>
      </c>
      <c r="Y4788" s="13">
        <f t="shared" si="727"/>
        <v>0</v>
      </c>
      <c r="Z4788" s="14">
        <v>0</v>
      </c>
      <c r="AA4788" s="6">
        <v>0</v>
      </c>
      <c r="AB4788" s="4">
        <f t="shared" si="728"/>
        <v>61173.8</v>
      </c>
      <c r="AC4788" s="4">
        <f t="shared" si="730"/>
        <v>0</v>
      </c>
      <c r="AD4788" s="6">
        <f t="shared" si="733"/>
        <v>61173.8</v>
      </c>
      <c r="AE4788" s="2">
        <f>VLOOKUP(I4788,[1]媒体政策预估表!A:N,MATCH(O4788,[1]媒体政策预估表!$A$2:$M$2,0),0)</f>
        <v>0.09</v>
      </c>
      <c r="AF4788" s="6">
        <f t="shared" si="731"/>
        <v>5505.6419999999998</v>
      </c>
      <c r="AG4788" s="14">
        <v>0</v>
      </c>
      <c r="AH4788" s="65">
        <f t="shared" si="734"/>
        <v>61173.8</v>
      </c>
      <c r="AI4788" s="47"/>
      <c r="AJ4788" s="126" t="e">
        <v>#N/A</v>
      </c>
      <c r="AK4788" s="80">
        <f t="shared" si="729"/>
        <v>0</v>
      </c>
      <c r="AM4788" s="85"/>
    </row>
    <row r="4789" spans="1:39" hidden="1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32"/>
        <v>0</v>
      </c>
      <c r="X4789" s="6">
        <f t="shared" si="726"/>
        <v>353089.81000000093</v>
      </c>
      <c r="Y4789" s="13">
        <f t="shared" si="727"/>
        <v>0</v>
      </c>
      <c r="Z4789" s="14">
        <v>0</v>
      </c>
      <c r="AA4789" s="6">
        <v>0</v>
      </c>
      <c r="AB4789" s="4">
        <f t="shared" si="728"/>
        <v>353089.81000000093</v>
      </c>
      <c r="AC4789" s="4">
        <f t="shared" si="730"/>
        <v>0</v>
      </c>
      <c r="AD4789" s="6">
        <f t="shared" si="733"/>
        <v>353089.81000000093</v>
      </c>
      <c r="AE4789" s="2">
        <f>VLOOKUP(I4789,[1]媒体政策预估表!A:N,MATCH(O4789,[1]媒体政策预估表!$A$2:$M$2,0),0)</f>
        <v>0.09</v>
      </c>
      <c r="AF4789" s="6">
        <f t="shared" si="731"/>
        <v>31778.082900000081</v>
      </c>
      <c r="AG4789" s="14">
        <v>0</v>
      </c>
      <c r="AH4789" s="65">
        <f t="shared" si="734"/>
        <v>353089.81000000093</v>
      </c>
      <c r="AI4789" s="47"/>
      <c r="AJ4789" s="126" t="e">
        <v>#N/A</v>
      </c>
      <c r="AK4789" s="80">
        <f t="shared" si="729"/>
        <v>0</v>
      </c>
      <c r="AM4789" s="85"/>
    </row>
    <row r="4790" spans="1:39" hidden="1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32"/>
        <v>29980</v>
      </c>
      <c r="X4790" s="6">
        <f t="shared" si="726"/>
        <v>0</v>
      </c>
      <c r="Y4790" s="13">
        <f t="shared" si="727"/>
        <v>0</v>
      </c>
      <c r="Z4790" s="14">
        <v>0</v>
      </c>
      <c r="AA4790" s="6">
        <v>0</v>
      </c>
      <c r="AB4790" s="4">
        <f t="shared" si="728"/>
        <v>0</v>
      </c>
      <c r="AC4790" s="4">
        <f t="shared" si="730"/>
        <v>0</v>
      </c>
      <c r="AD4790" s="6">
        <f t="shared" si="733"/>
        <v>0</v>
      </c>
      <c r="AE4790" s="2">
        <f>VLOOKUP(I4790,[1]媒体政策预估表!A:N,MATCH(O4790,[1]媒体政策预估表!$A$2:$M$2,0),0)</f>
        <v>0.09</v>
      </c>
      <c r="AF4790" s="6">
        <f t="shared" si="731"/>
        <v>0</v>
      </c>
      <c r="AG4790" s="14">
        <v>0</v>
      </c>
      <c r="AH4790" s="65">
        <f t="shared" si="734"/>
        <v>0</v>
      </c>
      <c r="AI4790" s="47"/>
      <c r="AJ4790" s="126" t="e">
        <v>#N/A</v>
      </c>
      <c r="AK4790" s="80">
        <f t="shared" si="729"/>
        <v>0</v>
      </c>
      <c r="AM4790" s="85"/>
    </row>
    <row r="4791" spans="1:39" hidden="1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32"/>
        <v>5898</v>
      </c>
      <c r="X4791" s="6">
        <f t="shared" si="726"/>
        <v>600</v>
      </c>
      <c r="Y4791" s="13">
        <f t="shared" si="727"/>
        <v>0</v>
      </c>
      <c r="Z4791" s="14">
        <v>0</v>
      </c>
      <c r="AA4791" s="6">
        <v>0</v>
      </c>
      <c r="AB4791" s="4">
        <f t="shared" si="728"/>
        <v>600</v>
      </c>
      <c r="AC4791" s="4">
        <f t="shared" si="730"/>
        <v>0</v>
      </c>
      <c r="AD4791" s="6">
        <f t="shared" si="733"/>
        <v>600</v>
      </c>
      <c r="AE4791" s="2">
        <f>VLOOKUP(I4791,[1]媒体政策预估表!A:N,MATCH(O4791,[1]媒体政策预估表!$A$2:$M$2,0),0)</f>
        <v>0.09</v>
      </c>
      <c r="AF4791" s="6">
        <f t="shared" si="731"/>
        <v>54</v>
      </c>
      <c r="AG4791" s="14">
        <v>0</v>
      </c>
      <c r="AH4791" s="65">
        <f t="shared" si="734"/>
        <v>600</v>
      </c>
      <c r="AI4791" s="47"/>
      <c r="AJ4791" s="126" t="e">
        <v>#N/A</v>
      </c>
      <c r="AK4791" s="80">
        <f t="shared" si="729"/>
        <v>0</v>
      </c>
      <c r="AM4791" s="85"/>
    </row>
    <row r="4792" spans="1:39" hidden="1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32"/>
        <v>11869.1</v>
      </c>
      <c r="X4792" s="6">
        <f t="shared" si="726"/>
        <v>2730.4</v>
      </c>
      <c r="Y4792" s="13">
        <f t="shared" si="727"/>
        <v>0</v>
      </c>
      <c r="Z4792" s="14">
        <v>0</v>
      </c>
      <c r="AA4792" s="6">
        <v>0</v>
      </c>
      <c r="AB4792" s="4"/>
      <c r="AC4792" s="4">
        <f t="shared" si="730"/>
        <v>0</v>
      </c>
      <c r="AD4792" s="6">
        <f t="shared" si="733"/>
        <v>2730.4</v>
      </c>
      <c r="AE4792" s="2">
        <f>VLOOKUP(I4792,[1]媒体政策预估表!A:N,MATCH(O4792,[1]媒体政策预估表!$A$2:$M$2,0),0)</f>
        <v>0.09</v>
      </c>
      <c r="AF4792" s="6">
        <f t="shared" si="731"/>
        <v>245.73599999999999</v>
      </c>
      <c r="AG4792" s="14">
        <v>0</v>
      </c>
      <c r="AH4792" s="65">
        <f t="shared" si="734"/>
        <v>2730.4</v>
      </c>
      <c r="AI4792" s="47"/>
      <c r="AJ4792" s="126">
        <v>119</v>
      </c>
      <c r="AK4792" s="80">
        <f t="shared" si="729"/>
        <v>2730.4</v>
      </c>
      <c r="AM4792" s="85"/>
    </row>
    <row r="4793" spans="1:39" hidden="1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32"/>
        <v>415050.91999999969</v>
      </c>
      <c r="X4793" s="6">
        <f t="shared" si="726"/>
        <v>174803.29</v>
      </c>
      <c r="Y4793" s="13">
        <f t="shared" si="727"/>
        <v>0</v>
      </c>
      <c r="Z4793" s="14">
        <v>0</v>
      </c>
      <c r="AA4793" s="6">
        <v>0</v>
      </c>
      <c r="AB4793" s="4">
        <f t="shared" si="728"/>
        <v>174803.29</v>
      </c>
      <c r="AC4793" s="4">
        <f t="shared" si="730"/>
        <v>0</v>
      </c>
      <c r="AD4793" s="6">
        <f t="shared" si="733"/>
        <v>174803.29</v>
      </c>
      <c r="AE4793" s="2">
        <f>VLOOKUP(I4793,[1]媒体政策预估表!A:N,MATCH(O4793,[1]媒体政策预估表!$A$2:$M$2,0),0)</f>
        <v>0.09</v>
      </c>
      <c r="AF4793" s="6">
        <f t="shared" si="731"/>
        <v>15732.2961</v>
      </c>
      <c r="AG4793" s="14">
        <v>0</v>
      </c>
      <c r="AH4793" s="65">
        <f t="shared" si="734"/>
        <v>174803.29</v>
      </c>
      <c r="AI4793" s="47"/>
      <c r="AJ4793" s="126" t="e">
        <v>#N/A</v>
      </c>
      <c r="AK4793" s="80">
        <f t="shared" si="729"/>
        <v>0</v>
      </c>
      <c r="AM4793" s="85"/>
    </row>
    <row r="4794" spans="1:39" hidden="1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32"/>
        <v>15611.509999999835</v>
      </c>
      <c r="X4794" s="6">
        <f t="shared" si="726"/>
        <v>173399.01477832513</v>
      </c>
      <c r="Y4794" s="13">
        <f t="shared" si="727"/>
        <v>0</v>
      </c>
      <c r="Z4794" s="14">
        <v>0</v>
      </c>
      <c r="AA4794" s="6">
        <v>0</v>
      </c>
      <c r="AB4794" s="4">
        <f t="shared" si="728"/>
        <v>173399.01477832513</v>
      </c>
      <c r="AC4794" s="4">
        <f t="shared" si="730"/>
        <v>2600.9852216748695</v>
      </c>
      <c r="AD4794" s="6">
        <f t="shared" si="733"/>
        <v>176000</v>
      </c>
      <c r="AE4794" s="2">
        <f>VLOOKUP(I4794,[1]媒体政策预估表!A:N,MATCH(O4794,[1]媒体政策预估表!$A$2:$M$2,0),0)</f>
        <v>0.09</v>
      </c>
      <c r="AF4794" s="6">
        <f t="shared" si="731"/>
        <v>15840</v>
      </c>
      <c r="AG4794" s="14">
        <v>0</v>
      </c>
      <c r="AH4794" s="65">
        <f t="shared" si="734"/>
        <v>176000</v>
      </c>
      <c r="AI4794" s="47"/>
      <c r="AJ4794" s="126" t="e">
        <v>#N/A</v>
      </c>
      <c r="AK4794" s="80">
        <f t="shared" si="729"/>
        <v>0</v>
      </c>
      <c r="AM4794" s="85"/>
    </row>
    <row r="4795" spans="1:39" hidden="1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32"/>
        <v>-523192.05</v>
      </c>
      <c r="X4795" s="6">
        <f t="shared" ref="X4795:X4858" si="735">IF(P4795="折扣",V4795*Q4795,IF(P4795="返现",V4795,V4795/(1+Q4795)))</f>
        <v>0</v>
      </c>
      <c r="Y4795" s="13">
        <f t="shared" si="727"/>
        <v>0</v>
      </c>
      <c r="Z4795" s="14">
        <v>0</v>
      </c>
      <c r="AA4795" s="6">
        <v>0</v>
      </c>
      <c r="AB4795" s="4">
        <f t="shared" si="728"/>
        <v>0</v>
      </c>
      <c r="AC4795" s="4">
        <f t="shared" si="730"/>
        <v>0</v>
      </c>
      <c r="AD4795" s="6">
        <f t="shared" si="733"/>
        <v>0</v>
      </c>
      <c r="AE4795" s="2">
        <f>VLOOKUP(I4795,[1]媒体政策预估表!A:N,MATCH(O4795,[1]媒体政策预估表!$A$2:$M$2,0),0)</f>
        <v>0.18</v>
      </c>
      <c r="AF4795" s="6">
        <f t="shared" si="731"/>
        <v>0</v>
      </c>
      <c r="AG4795" s="14">
        <v>0</v>
      </c>
      <c r="AH4795" s="65">
        <f t="shared" si="734"/>
        <v>0</v>
      </c>
      <c r="AI4795" s="47"/>
      <c r="AJ4795" s="126" t="e">
        <v>#N/A</v>
      </c>
      <c r="AK4795" s="80">
        <f t="shared" si="729"/>
        <v>0</v>
      </c>
      <c r="AM4795" s="85"/>
    </row>
    <row r="4796" spans="1:39" hidden="1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32"/>
        <v>559265.08999999985</v>
      </c>
      <c r="X4796" s="6">
        <f t="shared" si="735"/>
        <v>14705.882352941177</v>
      </c>
      <c r="Y4796" s="13">
        <f t="shared" si="727"/>
        <v>0</v>
      </c>
      <c r="Z4796" s="14">
        <v>0</v>
      </c>
      <c r="AA4796" s="6">
        <v>0</v>
      </c>
      <c r="AB4796" s="4">
        <f t="shared" si="728"/>
        <v>14705.882352941177</v>
      </c>
      <c r="AC4796" s="4">
        <f t="shared" si="730"/>
        <v>294.11764705882342</v>
      </c>
      <c r="AD4796" s="6">
        <f t="shared" si="733"/>
        <v>15000</v>
      </c>
      <c r="AE4796" s="2">
        <f>VLOOKUP(I4796,[1]媒体政策预估表!A:N,MATCH(O4796,[1]媒体政策预估表!$A$2:$M$2,0),0)</f>
        <v>0.09</v>
      </c>
      <c r="AF4796" s="6">
        <f t="shared" si="731"/>
        <v>1350</v>
      </c>
      <c r="AG4796" s="14">
        <v>0</v>
      </c>
      <c r="AH4796" s="65">
        <f t="shared" si="734"/>
        <v>15000</v>
      </c>
      <c r="AI4796" s="47"/>
      <c r="AJ4796" s="126" t="e">
        <v>#N/A</v>
      </c>
      <c r="AK4796" s="80">
        <f t="shared" si="729"/>
        <v>0</v>
      </c>
      <c r="AM4796" s="85"/>
    </row>
    <row r="4797" spans="1:39" hidden="1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32"/>
        <v>1529432.7800000005</v>
      </c>
      <c r="X4797" s="6">
        <f t="shared" si="735"/>
        <v>54824.26</v>
      </c>
      <c r="Y4797" s="13">
        <f t="shared" si="727"/>
        <v>0</v>
      </c>
      <c r="Z4797" s="14">
        <v>0</v>
      </c>
      <c r="AA4797" s="6">
        <v>0</v>
      </c>
      <c r="AB4797" s="4">
        <f t="shared" si="728"/>
        <v>54824.26</v>
      </c>
      <c r="AC4797" s="4">
        <f t="shared" si="730"/>
        <v>0</v>
      </c>
      <c r="AD4797" s="6">
        <f t="shared" si="733"/>
        <v>54824.26</v>
      </c>
      <c r="AE4797" s="2">
        <f>VLOOKUP(I4797,[1]媒体政策预估表!A:N,MATCH(O4797,[1]媒体政策预估表!$A$2:$M$2,0),0)</f>
        <v>0.09</v>
      </c>
      <c r="AF4797" s="6">
        <f t="shared" si="731"/>
        <v>4934.1833999999999</v>
      </c>
      <c r="AG4797" s="14">
        <v>0</v>
      </c>
      <c r="AH4797" s="65">
        <f t="shared" si="734"/>
        <v>54824.26</v>
      </c>
      <c r="AI4797" s="47"/>
      <c r="AJ4797" s="126" t="e">
        <v>#N/A</v>
      </c>
      <c r="AK4797" s="80">
        <f t="shared" si="729"/>
        <v>0</v>
      </c>
      <c r="AM4797" s="85"/>
    </row>
    <row r="4798" spans="1:39" hidden="1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32"/>
        <v>2218.7199999999966</v>
      </c>
      <c r="X4798" s="6">
        <f t="shared" si="735"/>
        <v>6790.46</v>
      </c>
      <c r="Y4798" s="13">
        <f t="shared" si="727"/>
        <v>0</v>
      </c>
      <c r="Z4798" s="14">
        <v>0</v>
      </c>
      <c r="AA4798" s="6">
        <v>0</v>
      </c>
      <c r="AB4798" s="4">
        <f t="shared" si="728"/>
        <v>6790.46</v>
      </c>
      <c r="AC4798" s="4">
        <f t="shared" si="730"/>
        <v>0</v>
      </c>
      <c r="AD4798" s="6">
        <f t="shared" si="733"/>
        <v>6790.46</v>
      </c>
      <c r="AE4798" s="2">
        <f>VLOOKUP(I4798,[1]媒体政策预估表!A:N,MATCH(O4798,[1]媒体政策预估表!$A$2:$M$2,0),0)</f>
        <v>0.09</v>
      </c>
      <c r="AF4798" s="6">
        <f t="shared" si="731"/>
        <v>611.14139999999998</v>
      </c>
      <c r="AG4798" s="14">
        <v>0</v>
      </c>
      <c r="AH4798" s="65">
        <f t="shared" si="734"/>
        <v>6790.46</v>
      </c>
      <c r="AI4798" s="47"/>
      <c r="AJ4798" s="126" t="e">
        <v>#N/A</v>
      </c>
      <c r="AK4798" s="80">
        <f t="shared" si="729"/>
        <v>0</v>
      </c>
      <c r="AM4798" s="85"/>
    </row>
    <row r="4799" spans="1:39" hidden="1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32"/>
        <v>44356.23</v>
      </c>
      <c r="X4799" s="6">
        <f t="shared" si="735"/>
        <v>25076.26923076923</v>
      </c>
      <c r="Y4799" s="13">
        <f t="shared" si="727"/>
        <v>0</v>
      </c>
      <c r="Z4799" s="14">
        <v>0</v>
      </c>
      <c r="AA4799" s="6">
        <v>0</v>
      </c>
      <c r="AB4799" s="4">
        <f t="shared" si="728"/>
        <v>25076.26923076923</v>
      </c>
      <c r="AC4799" s="4">
        <f t="shared" si="730"/>
        <v>1003.0507692307692</v>
      </c>
      <c r="AD4799" s="6">
        <f t="shared" si="733"/>
        <v>26079.32</v>
      </c>
      <c r="AE4799" s="2">
        <f>VLOOKUP(I4799,[1]媒体政策预估表!A:N,MATCH(O4799,[1]媒体政策预估表!$A$2:$M$2,0),0)</f>
        <v>0.09</v>
      </c>
      <c r="AF4799" s="6">
        <f t="shared" si="731"/>
        <v>2347.1387999999997</v>
      </c>
      <c r="AG4799" s="14">
        <v>0</v>
      </c>
      <c r="AH4799" s="65">
        <f t="shared" si="734"/>
        <v>26079.32</v>
      </c>
      <c r="AI4799" s="47"/>
      <c r="AJ4799" s="126" t="e">
        <v>#N/A</v>
      </c>
      <c r="AK4799" s="80">
        <f t="shared" si="729"/>
        <v>0</v>
      </c>
      <c r="AM4799" s="85"/>
    </row>
    <row r="4800" spans="1:39" hidden="1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32"/>
        <v>24615.700000000012</v>
      </c>
      <c r="X4800" s="6">
        <f t="shared" si="735"/>
        <v>24509.803921568626</v>
      </c>
      <c r="Y4800" s="13">
        <f t="shared" si="727"/>
        <v>0</v>
      </c>
      <c r="Z4800" s="14">
        <v>0</v>
      </c>
      <c r="AA4800" s="6">
        <v>0</v>
      </c>
      <c r="AB4800" s="4">
        <f t="shared" si="728"/>
        <v>24509.803921568626</v>
      </c>
      <c r="AC4800" s="4">
        <f t="shared" si="730"/>
        <v>490.19607843137419</v>
      </c>
      <c r="AD4800" s="6">
        <f t="shared" si="733"/>
        <v>25000</v>
      </c>
      <c r="AE4800" s="2">
        <f>VLOOKUP(I4800,[1]媒体政策预估表!A:N,MATCH(O4800,[1]媒体政策预估表!$A$2:$M$2,0),0)</f>
        <v>0.09</v>
      </c>
      <c r="AF4800" s="6">
        <f t="shared" si="731"/>
        <v>2250</v>
      </c>
      <c r="AG4800" s="14">
        <v>0</v>
      </c>
      <c r="AH4800" s="65">
        <f t="shared" si="734"/>
        <v>25000</v>
      </c>
      <c r="AI4800" s="47"/>
      <c r="AJ4800" s="126" t="e">
        <v>#N/A</v>
      </c>
      <c r="AK4800" s="80">
        <f t="shared" si="729"/>
        <v>0</v>
      </c>
      <c r="AM4800" s="85"/>
    </row>
    <row r="4801" spans="1:39" hidden="1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32"/>
        <v>-154099.26</v>
      </c>
      <c r="X4801" s="6">
        <f t="shared" si="735"/>
        <v>0</v>
      </c>
      <c r="Y4801" s="13">
        <f t="shared" si="727"/>
        <v>0</v>
      </c>
      <c r="Z4801" s="14">
        <v>0</v>
      </c>
      <c r="AA4801" s="6">
        <v>0</v>
      </c>
      <c r="AB4801" s="4">
        <f t="shared" si="728"/>
        <v>0</v>
      </c>
      <c r="AC4801" s="4">
        <f t="shared" si="730"/>
        <v>0</v>
      </c>
      <c r="AD4801" s="6">
        <f t="shared" si="733"/>
        <v>0</v>
      </c>
      <c r="AE4801" s="2">
        <f>VLOOKUP(I4801,[1]媒体政策预估表!A:N,MATCH(O4801,[1]媒体政策预估表!$A$2:$M$2,0),0)</f>
        <v>0.18</v>
      </c>
      <c r="AF4801" s="6">
        <f t="shared" si="731"/>
        <v>0</v>
      </c>
      <c r="AG4801" s="14">
        <v>0</v>
      </c>
      <c r="AH4801" s="65">
        <f t="shared" si="734"/>
        <v>0</v>
      </c>
      <c r="AI4801" s="47"/>
      <c r="AJ4801" s="126" t="e">
        <v>#N/A</v>
      </c>
      <c r="AK4801" s="80">
        <f t="shared" si="729"/>
        <v>0</v>
      </c>
      <c r="AM4801" s="85"/>
    </row>
    <row r="4802" spans="1:39" hidden="1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32"/>
        <v>469.8</v>
      </c>
      <c r="X4802" s="6">
        <f t="shared" si="735"/>
        <v>0</v>
      </c>
      <c r="Y4802" s="13">
        <f t="shared" si="727"/>
        <v>0</v>
      </c>
      <c r="Z4802" s="14">
        <v>0</v>
      </c>
      <c r="AA4802" s="6">
        <v>0</v>
      </c>
      <c r="AB4802" s="4">
        <f t="shared" si="728"/>
        <v>0</v>
      </c>
      <c r="AC4802" s="4">
        <f t="shared" si="730"/>
        <v>0</v>
      </c>
      <c r="AD4802" s="6">
        <f t="shared" si="733"/>
        <v>0</v>
      </c>
      <c r="AE4802" s="2">
        <f>VLOOKUP(I4802,[1]媒体政策预估表!A:N,MATCH(O4802,[1]媒体政策预估表!$A$2:$M$2,0),0)</f>
        <v>0.18</v>
      </c>
      <c r="AF4802" s="6">
        <f t="shared" si="731"/>
        <v>0</v>
      </c>
      <c r="AG4802" s="14">
        <v>0</v>
      </c>
      <c r="AH4802" s="65">
        <f t="shared" si="734"/>
        <v>0</v>
      </c>
      <c r="AI4802" s="47"/>
      <c r="AJ4802" s="126" t="e">
        <v>#N/A</v>
      </c>
      <c r="AK4802" s="80">
        <f t="shared" si="729"/>
        <v>0</v>
      </c>
      <c r="AM4802" s="85"/>
    </row>
    <row r="4803" spans="1:39" hidden="1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32"/>
        <v>1.18</v>
      </c>
      <c r="X4803" s="6">
        <f t="shared" si="735"/>
        <v>0</v>
      </c>
      <c r="Y4803" s="13">
        <f t="shared" ref="Y4803:Y4866" si="736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37">X4803+AA4803</f>
        <v>0</v>
      </c>
      <c r="AC4803" s="4">
        <f t="shared" si="730"/>
        <v>0</v>
      </c>
      <c r="AD4803" s="6">
        <f t="shared" si="733"/>
        <v>0</v>
      </c>
      <c r="AE4803" s="2">
        <f>VLOOKUP(I4803,[1]媒体政策预估表!A:N,MATCH(O4803,[1]媒体政策预估表!$A$2:$M$2,0),0)</f>
        <v>0.09</v>
      </c>
      <c r="AF4803" s="6">
        <f t="shared" si="731"/>
        <v>0</v>
      </c>
      <c r="AG4803" s="14">
        <v>0</v>
      </c>
      <c r="AH4803" s="65">
        <f t="shared" si="734"/>
        <v>0</v>
      </c>
      <c r="AI4803" s="47"/>
      <c r="AJ4803" s="126" t="e">
        <v>#N/A</v>
      </c>
      <c r="AK4803" s="80">
        <f t="shared" ref="AK4803:AK4866" si="738">X4803+AA4803-AB4803</f>
        <v>0</v>
      </c>
      <c r="AM4803" s="85"/>
    </row>
    <row r="4804" spans="1:39" hidden="1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32"/>
        <v>935756.03</v>
      </c>
      <c r="X4804" s="6">
        <f t="shared" si="735"/>
        <v>0</v>
      </c>
      <c r="Y4804" s="13">
        <f t="shared" si="736"/>
        <v>0</v>
      </c>
      <c r="Z4804" s="14">
        <v>0</v>
      </c>
      <c r="AA4804" s="6">
        <v>0</v>
      </c>
      <c r="AB4804" s="4">
        <f t="shared" si="737"/>
        <v>0</v>
      </c>
      <c r="AC4804" s="4">
        <f t="shared" si="730"/>
        <v>0</v>
      </c>
      <c r="AD4804" s="6">
        <f t="shared" si="733"/>
        <v>0</v>
      </c>
      <c r="AE4804" s="2">
        <f>VLOOKUP(I4804,[1]媒体政策预估表!A:N,MATCH(O4804,[1]媒体政策预估表!$A$2:$M$2,0),0)</f>
        <v>0.09</v>
      </c>
      <c r="AF4804" s="6">
        <f t="shared" si="731"/>
        <v>0</v>
      </c>
      <c r="AG4804" s="14">
        <v>0</v>
      </c>
      <c r="AH4804" s="65">
        <f t="shared" si="734"/>
        <v>0</v>
      </c>
      <c r="AI4804" s="47"/>
      <c r="AJ4804" s="126" t="e">
        <v>#N/A</v>
      </c>
      <c r="AK4804" s="80">
        <f t="shared" si="738"/>
        <v>0</v>
      </c>
      <c r="AM4804" s="85"/>
    </row>
    <row r="4805" spans="1:39" hidden="1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32"/>
        <v>1007.83</v>
      </c>
      <c r="X4805" s="6">
        <f t="shared" si="735"/>
        <v>0</v>
      </c>
      <c r="Y4805" s="13">
        <f t="shared" si="736"/>
        <v>0</v>
      </c>
      <c r="Z4805" s="14">
        <v>0</v>
      </c>
      <c r="AA4805" s="6">
        <v>0</v>
      </c>
      <c r="AB4805" s="4"/>
      <c r="AC4805" s="4">
        <f t="shared" si="730"/>
        <v>0</v>
      </c>
      <c r="AD4805" s="6">
        <f t="shared" si="733"/>
        <v>0</v>
      </c>
      <c r="AE4805" s="2">
        <f>VLOOKUP(I4805,[1]媒体政策预估表!A:N,MATCH(O4805,[1]媒体政策预估表!$A$2:$M$2,0),0)</f>
        <v>0.09</v>
      </c>
      <c r="AF4805" s="6">
        <f t="shared" si="731"/>
        <v>0</v>
      </c>
      <c r="AG4805" s="14">
        <v>0</v>
      </c>
      <c r="AH4805" s="65">
        <f t="shared" si="734"/>
        <v>0</v>
      </c>
      <c r="AI4805" s="47"/>
      <c r="AJ4805" s="126">
        <v>115</v>
      </c>
      <c r="AK4805" s="80">
        <f t="shared" si="738"/>
        <v>0</v>
      </c>
      <c r="AM4805" s="85"/>
    </row>
    <row r="4806" spans="1:39" hidden="1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32"/>
        <v>23526.620000000003</v>
      </c>
      <c r="X4806" s="6">
        <f t="shared" si="735"/>
        <v>0</v>
      </c>
      <c r="Y4806" s="13">
        <f t="shared" si="736"/>
        <v>0</v>
      </c>
      <c r="Z4806" s="14">
        <v>0</v>
      </c>
      <c r="AA4806" s="6">
        <v>0</v>
      </c>
      <c r="AB4806" s="4">
        <f t="shared" si="737"/>
        <v>0</v>
      </c>
      <c r="AC4806" s="4">
        <f t="shared" si="730"/>
        <v>0</v>
      </c>
      <c r="AD4806" s="6">
        <f t="shared" si="733"/>
        <v>0</v>
      </c>
      <c r="AE4806" s="2">
        <f>VLOOKUP(I4806,[1]媒体政策预估表!A:N,MATCH(O4806,[1]媒体政策预估表!$A$2:$M$2,0),0)</f>
        <v>0.09</v>
      </c>
      <c r="AF4806" s="6">
        <f t="shared" si="731"/>
        <v>0</v>
      </c>
      <c r="AG4806" s="14">
        <v>0</v>
      </c>
      <c r="AH4806" s="65">
        <f t="shared" si="734"/>
        <v>0</v>
      </c>
      <c r="AI4806" s="47"/>
      <c r="AJ4806" s="126" t="e">
        <v>#N/A</v>
      </c>
      <c r="AK4806" s="80">
        <f t="shared" si="738"/>
        <v>0</v>
      </c>
      <c r="AM4806" s="85"/>
    </row>
    <row r="4807" spans="1:39" hidden="1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32"/>
        <v>0</v>
      </c>
      <c r="X4807" s="6">
        <f t="shared" si="735"/>
        <v>0</v>
      </c>
      <c r="Y4807" s="13">
        <f t="shared" si="736"/>
        <v>0</v>
      </c>
      <c r="Z4807" s="14">
        <v>0</v>
      </c>
      <c r="AA4807" s="6">
        <v>0</v>
      </c>
      <c r="AB4807" s="4">
        <f t="shared" si="737"/>
        <v>0</v>
      </c>
      <c r="AC4807" s="4">
        <f t="shared" si="730"/>
        <v>0</v>
      </c>
      <c r="AD4807" s="6">
        <f t="shared" si="733"/>
        <v>0</v>
      </c>
      <c r="AE4807" s="2">
        <f>VLOOKUP(I4807,[1]媒体政策预估表!A:N,MATCH(O4807,[1]媒体政策预估表!$A$2:$M$2,0),0)</f>
        <v>0.09</v>
      </c>
      <c r="AF4807" s="6">
        <f t="shared" si="731"/>
        <v>0</v>
      </c>
      <c r="AG4807" s="14">
        <v>0</v>
      </c>
      <c r="AH4807" s="65">
        <f t="shared" si="734"/>
        <v>0</v>
      </c>
      <c r="AI4807" s="47"/>
      <c r="AJ4807" s="126" t="e">
        <v>#N/A</v>
      </c>
      <c r="AK4807" s="80">
        <f t="shared" si="738"/>
        <v>0</v>
      </c>
      <c r="AM4807" s="85"/>
    </row>
    <row r="4808" spans="1:39" hidden="1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32"/>
        <v>1117.1299999999974</v>
      </c>
      <c r="X4808" s="6">
        <f t="shared" si="735"/>
        <v>0</v>
      </c>
      <c r="Y4808" s="13">
        <f t="shared" si="736"/>
        <v>0</v>
      </c>
      <c r="Z4808" s="14">
        <v>0</v>
      </c>
      <c r="AA4808" s="6">
        <v>0</v>
      </c>
      <c r="AB4808" s="4">
        <f t="shared" si="737"/>
        <v>0</v>
      </c>
      <c r="AC4808" s="4">
        <f t="shared" si="730"/>
        <v>0</v>
      </c>
      <c r="AD4808" s="6">
        <f t="shared" si="733"/>
        <v>0</v>
      </c>
      <c r="AE4808" s="2">
        <f>VLOOKUP(I4808,[1]媒体政策预估表!A:N,MATCH(O4808,[1]媒体政策预估表!$A$2:$M$2,0),0)</f>
        <v>0.09</v>
      </c>
      <c r="AF4808" s="6">
        <f t="shared" si="731"/>
        <v>0</v>
      </c>
      <c r="AG4808" s="14">
        <v>0</v>
      </c>
      <c r="AH4808" s="65">
        <f t="shared" si="734"/>
        <v>0</v>
      </c>
      <c r="AI4808" s="47"/>
      <c r="AJ4808" s="126" t="e">
        <v>#N/A</v>
      </c>
      <c r="AK4808" s="80">
        <f t="shared" si="738"/>
        <v>0</v>
      </c>
      <c r="AM4808" s="85"/>
    </row>
    <row r="4809" spans="1:39" hidden="1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32"/>
        <v>1849.3599999999981</v>
      </c>
      <c r="X4809" s="6">
        <f t="shared" si="735"/>
        <v>1947.0686274509803</v>
      </c>
      <c r="Y4809" s="13">
        <f t="shared" si="736"/>
        <v>0</v>
      </c>
      <c r="Z4809" s="14">
        <v>0</v>
      </c>
      <c r="AA4809" s="6">
        <v>0</v>
      </c>
      <c r="AB4809" s="4">
        <f t="shared" si="737"/>
        <v>1947.0686274509803</v>
      </c>
      <c r="AC4809" s="4">
        <f t="shared" si="730"/>
        <v>38.941372549019661</v>
      </c>
      <c r="AD4809" s="6">
        <f t="shared" si="733"/>
        <v>1986.01</v>
      </c>
      <c r="AE4809" s="2">
        <f>VLOOKUP(I4809,[1]媒体政策预估表!A:N,MATCH(O4809,[1]媒体政策预估表!$A$2:$M$2,0),0)</f>
        <v>0.09</v>
      </c>
      <c r="AF4809" s="6">
        <f t="shared" si="731"/>
        <v>178.74089999999998</v>
      </c>
      <c r="AG4809" s="14">
        <v>0</v>
      </c>
      <c r="AH4809" s="65">
        <f t="shared" si="734"/>
        <v>1986.01</v>
      </c>
      <c r="AI4809" s="47"/>
      <c r="AJ4809" s="126" t="e">
        <v>#N/A</v>
      </c>
      <c r="AK4809" s="80">
        <f t="shared" si="738"/>
        <v>0</v>
      </c>
      <c r="AM4809" s="85"/>
    </row>
    <row r="4810" spans="1:39" hidden="1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32"/>
        <v>6932.2199999999903</v>
      </c>
      <c r="X4810" s="6">
        <f t="shared" si="735"/>
        <v>22494.87</v>
      </c>
      <c r="Y4810" s="13">
        <f t="shared" si="736"/>
        <v>0</v>
      </c>
      <c r="Z4810" s="14">
        <v>0</v>
      </c>
      <c r="AA4810" s="6">
        <v>0</v>
      </c>
      <c r="AB4810" s="4">
        <f t="shared" si="737"/>
        <v>22494.87</v>
      </c>
      <c r="AC4810" s="4">
        <f t="shared" si="730"/>
        <v>0</v>
      </c>
      <c r="AD4810" s="6">
        <f t="shared" si="733"/>
        <v>22494.87</v>
      </c>
      <c r="AE4810" s="2">
        <f>VLOOKUP(I4810,[1]媒体政策预估表!A:N,MATCH(O4810,[1]媒体政策预估表!$A$2:$M$2,0),0)</f>
        <v>0.09</v>
      </c>
      <c r="AF4810" s="6">
        <f t="shared" si="731"/>
        <v>2024.5382999999999</v>
      </c>
      <c r="AG4810" s="14">
        <v>0</v>
      </c>
      <c r="AH4810" s="65">
        <f t="shared" si="734"/>
        <v>22494.87</v>
      </c>
      <c r="AI4810" s="47"/>
      <c r="AJ4810" s="126" t="e">
        <v>#N/A</v>
      </c>
      <c r="AK4810" s="80">
        <f t="shared" si="738"/>
        <v>0</v>
      </c>
      <c r="AM4810" s="85"/>
    </row>
    <row r="4811" spans="1:39" hidden="1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32"/>
        <v>42379.929999999993</v>
      </c>
      <c r="X4811" s="6">
        <f t="shared" si="735"/>
        <v>34863.160000000003</v>
      </c>
      <c r="Y4811" s="13">
        <f t="shared" si="736"/>
        <v>0</v>
      </c>
      <c r="Z4811" s="14">
        <v>0</v>
      </c>
      <c r="AA4811" s="6">
        <v>0</v>
      </c>
      <c r="AB4811" s="4">
        <f t="shared" si="737"/>
        <v>34863.160000000003</v>
      </c>
      <c r="AC4811" s="4">
        <f t="shared" si="730"/>
        <v>0</v>
      </c>
      <c r="AD4811" s="6">
        <f t="shared" si="733"/>
        <v>34863.160000000003</v>
      </c>
      <c r="AE4811" s="2">
        <f>VLOOKUP(I4811,[1]媒体政策预估表!A:N,MATCH(O4811,[1]媒体政策预估表!$A$2:$M$2,0),0)</f>
        <v>0.09</v>
      </c>
      <c r="AF4811" s="6">
        <f t="shared" si="731"/>
        <v>3137.6844000000001</v>
      </c>
      <c r="AG4811" s="14">
        <v>0</v>
      </c>
      <c r="AH4811" s="65">
        <f t="shared" si="734"/>
        <v>34863.160000000003</v>
      </c>
      <c r="AI4811" s="47"/>
      <c r="AJ4811" s="126" t="e">
        <v>#N/A</v>
      </c>
      <c r="AK4811" s="80">
        <f t="shared" si="738"/>
        <v>0</v>
      </c>
      <c r="AM4811" s="85"/>
    </row>
    <row r="4812" spans="1:39" hidden="1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32"/>
        <v>8650.2400000001362</v>
      </c>
      <c r="X4812" s="6">
        <f t="shared" si="735"/>
        <v>59891.47</v>
      </c>
      <c r="Y4812" s="13">
        <f t="shared" si="736"/>
        <v>0</v>
      </c>
      <c r="Z4812" s="14">
        <v>0.02</v>
      </c>
      <c r="AA4812" s="6">
        <f t="shared" ref="AA4812:AA4813" si="739">X4812/(1-Z4812)*Z4812</f>
        <v>1222.2748979591838</v>
      </c>
      <c r="AB4812" s="4">
        <f t="shared" si="737"/>
        <v>61113.744897959186</v>
      </c>
      <c r="AC4812" s="4">
        <f t="shared" ref="AC4812:AC4875" si="740">IF(P4812="返现",X4812*Q4812,V4812-X4812)</f>
        <v>0</v>
      </c>
      <c r="AD4812" s="6">
        <f t="shared" si="733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41">AD4812*AE4812</f>
        <v>5390.2322999999997</v>
      </c>
      <c r="AG4812" s="14">
        <v>0</v>
      </c>
      <c r="AH4812" s="65">
        <f t="shared" si="734"/>
        <v>59891.47</v>
      </c>
      <c r="AI4812" s="47"/>
      <c r="AJ4812" s="126" t="e">
        <v>#N/A</v>
      </c>
      <c r="AK4812" s="80">
        <f t="shared" si="738"/>
        <v>0</v>
      </c>
      <c r="AM4812" s="85"/>
    </row>
    <row r="4813" spans="1:39" hidden="1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32"/>
        <v>0</v>
      </c>
      <c r="X4813" s="6">
        <f t="shared" si="735"/>
        <v>21418.36</v>
      </c>
      <c r="Y4813" s="13">
        <f t="shared" si="736"/>
        <v>0</v>
      </c>
      <c r="Z4813" s="14">
        <v>0.02</v>
      </c>
      <c r="AA4813" s="6">
        <f t="shared" si="739"/>
        <v>437.10938775510209</v>
      </c>
      <c r="AB4813" s="4">
        <f t="shared" si="737"/>
        <v>21855.469387755104</v>
      </c>
      <c r="AC4813" s="4">
        <f t="shared" si="740"/>
        <v>0</v>
      </c>
      <c r="AD4813" s="6">
        <f t="shared" si="733"/>
        <v>21418.36</v>
      </c>
      <c r="AE4813" s="2">
        <f>VLOOKUP(I4813,[1]媒体政策预估表!A:N,MATCH(O4813,[1]媒体政策预估表!$A$2:$M$2,0),0)</f>
        <v>0.09</v>
      </c>
      <c r="AF4813" s="6">
        <f t="shared" si="741"/>
        <v>1927.6523999999999</v>
      </c>
      <c r="AG4813" s="14">
        <v>0</v>
      </c>
      <c r="AH4813" s="65">
        <f t="shared" si="734"/>
        <v>21418.36</v>
      </c>
      <c r="AI4813" s="47"/>
      <c r="AJ4813" s="126" t="e">
        <v>#N/A</v>
      </c>
      <c r="AK4813" s="80">
        <f t="shared" si="738"/>
        <v>0</v>
      </c>
      <c r="AM4813" s="85"/>
    </row>
    <row r="4814" spans="1:39" hidden="1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32"/>
        <v>4013.5999999999626</v>
      </c>
      <c r="X4814" s="6">
        <f t="shared" si="735"/>
        <v>0</v>
      </c>
      <c r="Y4814" s="13">
        <f t="shared" si="736"/>
        <v>0</v>
      </c>
      <c r="Z4814" s="14">
        <v>0</v>
      </c>
      <c r="AA4814" s="6">
        <v>0</v>
      </c>
      <c r="AB4814" s="4">
        <f t="shared" si="737"/>
        <v>0</v>
      </c>
      <c r="AC4814" s="4">
        <f t="shared" si="740"/>
        <v>0</v>
      </c>
      <c r="AD4814" s="6">
        <f t="shared" si="733"/>
        <v>0</v>
      </c>
      <c r="AE4814" s="2">
        <f>VLOOKUP(I4814,[1]媒体政策预估表!A:N,MATCH(O4814,[1]媒体政策预估表!$A$2:$M$2,0),0)</f>
        <v>0.09</v>
      </c>
      <c r="AF4814" s="6">
        <f t="shared" si="741"/>
        <v>0</v>
      </c>
      <c r="AG4814" s="14">
        <v>0</v>
      </c>
      <c r="AH4814" s="65">
        <f t="shared" si="734"/>
        <v>0</v>
      </c>
      <c r="AI4814" s="47"/>
      <c r="AJ4814" s="126" t="e">
        <v>#N/A</v>
      </c>
      <c r="AK4814" s="80">
        <f t="shared" si="738"/>
        <v>0</v>
      </c>
      <c r="AM4814" s="85"/>
    </row>
    <row r="4815" spans="1:39" hidden="1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35"/>
        <v>0</v>
      </c>
      <c r="Y4815" s="13">
        <f t="shared" si="736"/>
        <v>0</v>
      </c>
      <c r="Z4815" s="14">
        <v>0</v>
      </c>
      <c r="AA4815" s="6">
        <v>0</v>
      </c>
      <c r="AB4815" s="4">
        <f t="shared" si="737"/>
        <v>0</v>
      </c>
      <c r="AC4815" s="4">
        <f t="shared" si="740"/>
        <v>0</v>
      </c>
      <c r="AD4815" s="6">
        <f t="shared" si="733"/>
        <v>0</v>
      </c>
      <c r="AE4815" s="2">
        <f>VLOOKUP(I4815,[1]媒体政策预估表!A:N,MATCH(O4815,[1]媒体政策预估表!$A$2:$M$2,0),0)</f>
        <v>0.18</v>
      </c>
      <c r="AF4815" s="6">
        <f t="shared" si="741"/>
        <v>0</v>
      </c>
      <c r="AG4815" s="14">
        <v>0</v>
      </c>
      <c r="AH4815" s="65">
        <f t="shared" si="734"/>
        <v>0</v>
      </c>
      <c r="AI4815" s="47"/>
      <c r="AJ4815" s="126" t="e">
        <v>#N/A</v>
      </c>
      <c r="AK4815" s="80">
        <f t="shared" si="738"/>
        <v>0</v>
      </c>
      <c r="AM4815" s="85"/>
    </row>
    <row r="4816" spans="1:39" hidden="1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32"/>
        <v>968239.59000000032</v>
      </c>
      <c r="X4816" s="6">
        <f t="shared" si="735"/>
        <v>79808.173076923078</v>
      </c>
      <c r="Y4816" s="13">
        <f t="shared" si="736"/>
        <v>0</v>
      </c>
      <c r="Z4816" s="14">
        <v>0</v>
      </c>
      <c r="AA4816" s="6">
        <v>0</v>
      </c>
      <c r="AB4816" s="4">
        <f t="shared" si="737"/>
        <v>79808.173076923078</v>
      </c>
      <c r="AC4816" s="4">
        <f t="shared" si="740"/>
        <v>3192.326923076922</v>
      </c>
      <c r="AD4816" s="6">
        <f t="shared" si="733"/>
        <v>83000.5</v>
      </c>
      <c r="AE4816" s="2">
        <f>VLOOKUP(I4816,[1]媒体政策预估表!A:N,MATCH(O4816,[1]媒体政策预估表!$A$2:$M$2,0),0)</f>
        <v>0.09</v>
      </c>
      <c r="AF4816" s="6">
        <f t="shared" si="741"/>
        <v>7470.0450000000001</v>
      </c>
      <c r="AG4816" s="14">
        <v>0</v>
      </c>
      <c r="AH4816" s="65">
        <f t="shared" si="734"/>
        <v>83000.5</v>
      </c>
      <c r="AI4816" s="47"/>
      <c r="AJ4816" s="126" t="e">
        <v>#N/A</v>
      </c>
      <c r="AK4816" s="80">
        <f t="shared" si="738"/>
        <v>0</v>
      </c>
      <c r="AM4816" s="85"/>
    </row>
    <row r="4817" spans="1:39" hidden="1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32"/>
        <v>0</v>
      </c>
      <c r="X4817" s="6">
        <f t="shared" si="735"/>
        <v>292788.48039215687</v>
      </c>
      <c r="Y4817" s="13">
        <f t="shared" si="736"/>
        <v>0</v>
      </c>
      <c r="Z4817" s="14">
        <v>0</v>
      </c>
      <c r="AA4817" s="6">
        <v>0</v>
      </c>
      <c r="AB4817" s="4">
        <f t="shared" si="737"/>
        <v>292788.48039215687</v>
      </c>
      <c r="AC4817" s="4">
        <f t="shared" si="740"/>
        <v>5855.7696078431327</v>
      </c>
      <c r="AD4817" s="6">
        <f t="shared" si="733"/>
        <v>298644.25</v>
      </c>
      <c r="AE4817" s="2">
        <f>VLOOKUP(I4817,[1]媒体政策预估表!A:N,MATCH(O4817,[1]媒体政策预估表!$A$2:$M$2,0),0)</f>
        <v>0.09</v>
      </c>
      <c r="AF4817" s="6">
        <f t="shared" si="741"/>
        <v>26877.982499999998</v>
      </c>
      <c r="AG4817" s="14">
        <v>0</v>
      </c>
      <c r="AH4817" s="65">
        <f t="shared" si="734"/>
        <v>298644.25</v>
      </c>
      <c r="AI4817" s="47"/>
      <c r="AJ4817" s="126" t="e">
        <v>#N/A</v>
      </c>
      <c r="AK4817" s="80">
        <f t="shared" si="738"/>
        <v>0</v>
      </c>
      <c r="AM4817" s="85"/>
    </row>
    <row r="4818" spans="1:39" hidden="1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32"/>
        <v>4073.05</v>
      </c>
      <c r="X4818" s="6">
        <f t="shared" si="735"/>
        <v>0</v>
      </c>
      <c r="Y4818" s="13">
        <f t="shared" si="736"/>
        <v>0</v>
      </c>
      <c r="Z4818" s="14">
        <v>0</v>
      </c>
      <c r="AA4818" s="6">
        <v>0</v>
      </c>
      <c r="AB4818" s="4">
        <f t="shared" si="737"/>
        <v>0</v>
      </c>
      <c r="AC4818" s="4">
        <f t="shared" si="740"/>
        <v>0</v>
      </c>
      <c r="AD4818" s="6">
        <f t="shared" si="733"/>
        <v>0</v>
      </c>
      <c r="AE4818" s="2">
        <f>VLOOKUP(I4818,[1]媒体政策预估表!A:N,MATCH(O4818,[1]媒体政策预估表!$A$2:$M$2,0),0)</f>
        <v>0.09</v>
      </c>
      <c r="AF4818" s="6">
        <f t="shared" si="741"/>
        <v>0</v>
      </c>
      <c r="AG4818" s="14">
        <v>0</v>
      </c>
      <c r="AH4818" s="65">
        <f t="shared" si="734"/>
        <v>0</v>
      </c>
      <c r="AI4818" s="47"/>
      <c r="AJ4818" s="126" t="e">
        <v>#N/A</v>
      </c>
      <c r="AK4818" s="80">
        <f t="shared" si="738"/>
        <v>0</v>
      </c>
      <c r="AM4818" s="85"/>
    </row>
    <row r="4819" spans="1:39" hidden="1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32"/>
        <v>70429.760000000009</v>
      </c>
      <c r="X4819" s="6">
        <f t="shared" si="735"/>
        <v>59656.909999999996</v>
      </c>
      <c r="Y4819" s="13">
        <f t="shared" si="736"/>
        <v>0</v>
      </c>
      <c r="Z4819" s="14">
        <v>0</v>
      </c>
      <c r="AA4819" s="6">
        <v>0</v>
      </c>
      <c r="AB4819" s="4">
        <f t="shared" si="737"/>
        <v>59656.909999999996</v>
      </c>
      <c r="AC4819" s="4">
        <f t="shared" si="740"/>
        <v>0</v>
      </c>
      <c r="AD4819" s="6">
        <f t="shared" si="733"/>
        <v>59656.909999999996</v>
      </c>
      <c r="AE4819" s="2">
        <f>VLOOKUP(I4819,[1]媒体政策预估表!A:N,MATCH(O4819,[1]媒体政策预估表!$A$2:$M$2,0),0)</f>
        <v>0.18</v>
      </c>
      <c r="AF4819" s="6">
        <f t="shared" si="741"/>
        <v>10738.243799999998</v>
      </c>
      <c r="AG4819" s="14">
        <v>0</v>
      </c>
      <c r="AH4819" s="65">
        <f t="shared" si="734"/>
        <v>59656.909999999996</v>
      </c>
      <c r="AI4819" s="47"/>
      <c r="AJ4819" s="126" t="e">
        <v>#N/A</v>
      </c>
      <c r="AK4819" s="80">
        <f t="shared" si="738"/>
        <v>0</v>
      </c>
      <c r="AM4819" s="85"/>
    </row>
    <row r="4820" spans="1:39" hidden="1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32"/>
        <v>29890.9</v>
      </c>
      <c r="X4820" s="6">
        <f t="shared" si="735"/>
        <v>0</v>
      </c>
      <c r="Y4820" s="13">
        <f t="shared" si="736"/>
        <v>0</v>
      </c>
      <c r="Z4820" s="14">
        <v>0</v>
      </c>
      <c r="AA4820" s="6">
        <v>0</v>
      </c>
      <c r="AB4820" s="4">
        <f t="shared" si="737"/>
        <v>0</v>
      </c>
      <c r="AC4820" s="4">
        <f t="shared" si="740"/>
        <v>0</v>
      </c>
      <c r="AD4820" s="6">
        <f t="shared" si="733"/>
        <v>0</v>
      </c>
      <c r="AE4820" s="2">
        <f>VLOOKUP(I4820,[1]媒体政策预估表!A:N,MATCH(O4820,[1]媒体政策预估表!$A$2:$M$2,0),0)</f>
        <v>0.09</v>
      </c>
      <c r="AF4820" s="6">
        <f t="shared" si="741"/>
        <v>0</v>
      </c>
      <c r="AG4820" s="14">
        <v>0</v>
      </c>
      <c r="AH4820" s="65">
        <f t="shared" si="734"/>
        <v>0</v>
      </c>
      <c r="AI4820" s="47"/>
      <c r="AJ4820" s="126" t="e">
        <v>#N/A</v>
      </c>
      <c r="AK4820" s="80">
        <f t="shared" si="738"/>
        <v>0</v>
      </c>
      <c r="AM4820" s="85"/>
    </row>
    <row r="4821" spans="1:39" hidden="1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32"/>
        <v>15548.39</v>
      </c>
      <c r="X4821" s="6">
        <f t="shared" si="735"/>
        <v>0</v>
      </c>
      <c r="Y4821" s="13">
        <f t="shared" si="736"/>
        <v>0</v>
      </c>
      <c r="Z4821" s="14">
        <v>0</v>
      </c>
      <c r="AA4821" s="6">
        <v>0</v>
      </c>
      <c r="AB4821" s="4">
        <f t="shared" si="737"/>
        <v>0</v>
      </c>
      <c r="AC4821" s="4">
        <f t="shared" si="740"/>
        <v>0</v>
      </c>
      <c r="AD4821" s="6">
        <f t="shared" si="733"/>
        <v>0</v>
      </c>
      <c r="AE4821" s="2">
        <f>VLOOKUP(I4821,[1]媒体政策预估表!A:N,MATCH(O4821,[1]媒体政策预估表!$A$2:$M$2,0),0)</f>
        <v>0.09</v>
      </c>
      <c r="AF4821" s="6">
        <f t="shared" si="741"/>
        <v>0</v>
      </c>
      <c r="AG4821" s="14">
        <v>0</v>
      </c>
      <c r="AH4821" s="65">
        <f t="shared" si="734"/>
        <v>0</v>
      </c>
      <c r="AI4821" s="47"/>
      <c r="AJ4821" s="126" t="e">
        <v>#N/A</v>
      </c>
      <c r="AK4821" s="80">
        <f t="shared" si="738"/>
        <v>0</v>
      </c>
      <c r="AM4821" s="85"/>
    </row>
    <row r="4822" spans="1:39" hidden="1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32"/>
        <v>10622.270000000004</v>
      </c>
      <c r="X4822" s="6">
        <f t="shared" si="735"/>
        <v>26997.872549019608</v>
      </c>
      <c r="Y4822" s="13">
        <f t="shared" si="736"/>
        <v>0</v>
      </c>
      <c r="Z4822" s="14">
        <v>0</v>
      </c>
      <c r="AA4822" s="6">
        <v>0</v>
      </c>
      <c r="AB4822" s="4">
        <f t="shared" si="737"/>
        <v>26997.872549019608</v>
      </c>
      <c r="AC4822" s="4">
        <f t="shared" si="740"/>
        <v>539.95745098039333</v>
      </c>
      <c r="AD4822" s="6">
        <f t="shared" si="733"/>
        <v>27537.83</v>
      </c>
      <c r="AE4822" s="2">
        <f>VLOOKUP(I4822,[1]媒体政策预估表!A:N,MATCH(O4822,[1]媒体政策预估表!$A$2:$M$2,0),0)</f>
        <v>0.09</v>
      </c>
      <c r="AF4822" s="6">
        <f t="shared" si="741"/>
        <v>2478.4047</v>
      </c>
      <c r="AG4822" s="14">
        <v>0</v>
      </c>
      <c r="AH4822" s="65">
        <f t="shared" si="734"/>
        <v>27537.83</v>
      </c>
      <c r="AI4822" s="47"/>
      <c r="AJ4822" s="126" t="e">
        <v>#N/A</v>
      </c>
      <c r="AK4822" s="80">
        <f t="shared" si="738"/>
        <v>0</v>
      </c>
      <c r="AM4822" s="85"/>
    </row>
    <row r="4823" spans="1:39" hidden="1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32"/>
        <v>2317.3000000000029</v>
      </c>
      <c r="X4823" s="6">
        <f t="shared" si="735"/>
        <v>7897.0588235294117</v>
      </c>
      <c r="Y4823" s="13">
        <f t="shared" si="736"/>
        <v>0</v>
      </c>
      <c r="Z4823" s="14">
        <v>0</v>
      </c>
      <c r="AA4823" s="6">
        <v>0</v>
      </c>
      <c r="AB4823" s="4">
        <f t="shared" si="737"/>
        <v>7897.0588235294117</v>
      </c>
      <c r="AC4823" s="4">
        <f t="shared" si="740"/>
        <v>157.94117647058829</v>
      </c>
      <c r="AD4823" s="6">
        <f t="shared" si="733"/>
        <v>8055</v>
      </c>
      <c r="AE4823" s="2">
        <f>VLOOKUP(I4823,[1]媒体政策预估表!A:N,MATCH(O4823,[1]媒体政策预估表!$A$2:$M$2,0),0)</f>
        <v>0.09</v>
      </c>
      <c r="AF4823" s="6">
        <f t="shared" si="741"/>
        <v>724.94999999999993</v>
      </c>
      <c r="AG4823" s="14">
        <v>0</v>
      </c>
      <c r="AH4823" s="65">
        <f t="shared" si="734"/>
        <v>8055</v>
      </c>
      <c r="AI4823" s="47"/>
      <c r="AJ4823" s="126" t="e">
        <v>#N/A</v>
      </c>
      <c r="AK4823" s="80">
        <f t="shared" si="738"/>
        <v>0</v>
      </c>
      <c r="AM4823" s="85"/>
    </row>
    <row r="4824" spans="1:39" hidden="1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32"/>
        <v>15479.45</v>
      </c>
      <c r="X4824" s="6">
        <f t="shared" si="735"/>
        <v>41.666666666666664</v>
      </c>
      <c r="Y4824" s="13">
        <f t="shared" si="736"/>
        <v>0</v>
      </c>
      <c r="Z4824" s="14">
        <v>0</v>
      </c>
      <c r="AA4824" s="6">
        <v>0</v>
      </c>
      <c r="AB4824" s="4">
        <f t="shared" si="737"/>
        <v>41.666666666666664</v>
      </c>
      <c r="AC4824" s="4">
        <f t="shared" si="740"/>
        <v>0.8333333333333357</v>
      </c>
      <c r="AD4824" s="6">
        <f t="shared" si="733"/>
        <v>42.5</v>
      </c>
      <c r="AE4824" s="2">
        <f>VLOOKUP(I4824,[1]媒体政策预估表!A:N,MATCH(O4824,[1]媒体政策预估表!$A$2:$M$2,0),0)</f>
        <v>0.09</v>
      </c>
      <c r="AF4824" s="6">
        <f t="shared" si="741"/>
        <v>3.8249999999999997</v>
      </c>
      <c r="AG4824" s="14">
        <v>0</v>
      </c>
      <c r="AH4824" s="65">
        <f t="shared" si="734"/>
        <v>42.5</v>
      </c>
      <c r="AI4824" s="47"/>
      <c r="AJ4824" s="126" t="e">
        <v>#N/A</v>
      </c>
      <c r="AK4824" s="80">
        <f t="shared" si="738"/>
        <v>0</v>
      </c>
      <c r="AM4824" s="85"/>
    </row>
    <row r="4825" spans="1:39" hidden="1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32"/>
        <v>371992.43</v>
      </c>
      <c r="X4825" s="6">
        <f t="shared" si="735"/>
        <v>0</v>
      </c>
      <c r="Y4825" s="13">
        <f t="shared" si="736"/>
        <v>0</v>
      </c>
      <c r="Z4825" s="14">
        <v>0</v>
      </c>
      <c r="AA4825" s="6">
        <v>0</v>
      </c>
      <c r="AB4825" s="4">
        <f t="shared" si="737"/>
        <v>0</v>
      </c>
      <c r="AC4825" s="4">
        <f t="shared" si="740"/>
        <v>0</v>
      </c>
      <c r="AD4825" s="6">
        <f t="shared" si="733"/>
        <v>0</v>
      </c>
      <c r="AE4825" s="2">
        <f>VLOOKUP(I4825,[1]媒体政策预估表!A:N,MATCH(O4825,[1]媒体政策预估表!$A$2:$M$2,0),0)</f>
        <v>0.18</v>
      </c>
      <c r="AF4825" s="6">
        <f t="shared" si="741"/>
        <v>0</v>
      </c>
      <c r="AG4825" s="14">
        <v>0</v>
      </c>
      <c r="AH4825" s="65">
        <f t="shared" si="734"/>
        <v>0</v>
      </c>
      <c r="AI4825" s="47"/>
      <c r="AJ4825" s="126" t="e">
        <v>#N/A</v>
      </c>
      <c r="AK4825" s="80">
        <f t="shared" si="738"/>
        <v>0</v>
      </c>
      <c r="AM4825" s="85"/>
    </row>
    <row r="4826" spans="1:39" hidden="1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32"/>
        <v>25761.950000000012</v>
      </c>
      <c r="X4826" s="6">
        <f t="shared" si="735"/>
        <v>0</v>
      </c>
      <c r="Y4826" s="13">
        <f t="shared" si="736"/>
        <v>0</v>
      </c>
      <c r="Z4826" s="14">
        <v>0</v>
      </c>
      <c r="AA4826" s="6">
        <v>0</v>
      </c>
      <c r="AB4826" s="4">
        <f t="shared" si="737"/>
        <v>0</v>
      </c>
      <c r="AC4826" s="4">
        <f t="shared" si="740"/>
        <v>0</v>
      </c>
      <c r="AD4826" s="6">
        <f t="shared" si="733"/>
        <v>0</v>
      </c>
      <c r="AE4826" s="2">
        <f>VLOOKUP(I4826,[1]媒体政策预估表!A:N,MATCH(O4826,[1]媒体政策预估表!$A$2:$M$2,0),0)</f>
        <v>0.09</v>
      </c>
      <c r="AF4826" s="6">
        <f t="shared" si="741"/>
        <v>0</v>
      </c>
      <c r="AG4826" s="14">
        <v>0</v>
      </c>
      <c r="AH4826" s="65">
        <f t="shared" si="734"/>
        <v>0</v>
      </c>
      <c r="AI4826" s="47"/>
      <c r="AJ4826" s="126" t="e">
        <v>#N/A</v>
      </c>
      <c r="AK4826" s="80">
        <f t="shared" si="738"/>
        <v>0</v>
      </c>
      <c r="AM4826" s="85"/>
    </row>
    <row r="4827" spans="1:39" hidden="1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32"/>
        <v>0</v>
      </c>
      <c r="X4827" s="6">
        <f t="shared" si="735"/>
        <v>2923.5980392156862</v>
      </c>
      <c r="Y4827" s="13">
        <f t="shared" si="736"/>
        <v>0</v>
      </c>
      <c r="Z4827" s="14">
        <v>0</v>
      </c>
      <c r="AA4827" s="6">
        <v>0</v>
      </c>
      <c r="AB4827" s="4">
        <f t="shared" si="737"/>
        <v>2923.5980392156862</v>
      </c>
      <c r="AC4827" s="4">
        <f t="shared" si="740"/>
        <v>58.471960784313978</v>
      </c>
      <c r="AD4827" s="6">
        <f t="shared" si="733"/>
        <v>2982.07</v>
      </c>
      <c r="AE4827" s="2">
        <f>VLOOKUP(I4827,[1]媒体政策预估表!A:N,MATCH(O4827,[1]媒体政策预估表!$A$2:$M$2,0),0)</f>
        <v>0.09</v>
      </c>
      <c r="AF4827" s="6">
        <f t="shared" si="741"/>
        <v>268.38630000000001</v>
      </c>
      <c r="AG4827" s="14">
        <v>0</v>
      </c>
      <c r="AH4827" s="65">
        <f t="shared" si="734"/>
        <v>2982.07</v>
      </c>
      <c r="AI4827" s="47"/>
      <c r="AJ4827" s="126" t="e">
        <v>#N/A</v>
      </c>
      <c r="AK4827" s="80">
        <f t="shared" si="738"/>
        <v>0</v>
      </c>
      <c r="AM4827" s="85"/>
    </row>
    <row r="4828" spans="1:39" hidden="1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32"/>
        <v>259787.84</v>
      </c>
      <c r="X4828" s="6">
        <f t="shared" si="735"/>
        <v>58412.78</v>
      </c>
      <c r="Y4828" s="13">
        <f t="shared" si="736"/>
        <v>0</v>
      </c>
      <c r="Z4828" s="14">
        <v>0.02</v>
      </c>
      <c r="AA4828" s="6">
        <f>X4828/(1-Z4828)*Z4828</f>
        <v>1192.0975510204082</v>
      </c>
      <c r="AB4828" s="4">
        <f t="shared" si="737"/>
        <v>59604.877551020407</v>
      </c>
      <c r="AC4828" s="4">
        <f t="shared" si="740"/>
        <v>0</v>
      </c>
      <c r="AD4828" s="6">
        <f t="shared" si="733"/>
        <v>58412.78</v>
      </c>
      <c r="AE4828" s="2">
        <f>VLOOKUP(I4828,[1]媒体政策预估表!A:N,MATCH(O4828,[1]媒体政策预估表!$A$2:$M$2,0),0)</f>
        <v>0.09</v>
      </c>
      <c r="AF4828" s="6">
        <f t="shared" si="741"/>
        <v>5257.1502</v>
      </c>
      <c r="AG4828" s="14">
        <v>0</v>
      </c>
      <c r="AH4828" s="65">
        <f t="shared" si="734"/>
        <v>58412.78</v>
      </c>
      <c r="AI4828" s="47"/>
      <c r="AJ4828" s="126" t="e">
        <v>#N/A</v>
      </c>
      <c r="AK4828" s="80">
        <f t="shared" si="738"/>
        <v>0</v>
      </c>
      <c r="AM4828" s="85"/>
    </row>
    <row r="4829" spans="1:39" hidden="1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32"/>
        <v>4327.5400000000018</v>
      </c>
      <c r="X4829" s="6">
        <f t="shared" si="735"/>
        <v>3143.12</v>
      </c>
      <c r="Y4829" s="13">
        <f t="shared" si="736"/>
        <v>0</v>
      </c>
      <c r="Z4829" s="14">
        <v>0</v>
      </c>
      <c r="AA4829" s="6">
        <v>0</v>
      </c>
      <c r="AB4829" s="4">
        <f t="shared" si="737"/>
        <v>3143.12</v>
      </c>
      <c r="AC4829" s="4">
        <f t="shared" si="740"/>
        <v>0</v>
      </c>
      <c r="AD4829" s="6">
        <f t="shared" si="733"/>
        <v>3143.12</v>
      </c>
      <c r="AE4829" s="2">
        <f>VLOOKUP(I4829,[1]媒体政策预估表!A:N,MATCH(O4829,[1]媒体政策预估表!$A$2:$M$2,0),0)</f>
        <v>0.09</v>
      </c>
      <c r="AF4829" s="6">
        <f t="shared" si="741"/>
        <v>282.88079999999997</v>
      </c>
      <c r="AG4829" s="14">
        <v>0</v>
      </c>
      <c r="AH4829" s="65">
        <f t="shared" si="734"/>
        <v>3143.12</v>
      </c>
      <c r="AI4829" s="47"/>
      <c r="AJ4829" s="126" t="e">
        <v>#N/A</v>
      </c>
      <c r="AK4829" s="80">
        <f t="shared" si="738"/>
        <v>0</v>
      </c>
      <c r="AM4829" s="85"/>
    </row>
    <row r="4830" spans="1:39" hidden="1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32"/>
        <v>3000</v>
      </c>
      <c r="X4830" s="6">
        <f t="shared" si="735"/>
        <v>0</v>
      </c>
      <c r="Y4830" s="13">
        <f t="shared" si="736"/>
        <v>0</v>
      </c>
      <c r="Z4830" s="14">
        <v>0</v>
      </c>
      <c r="AA4830" s="6">
        <v>0</v>
      </c>
      <c r="AB4830" s="4">
        <f t="shared" si="737"/>
        <v>0</v>
      </c>
      <c r="AC4830" s="4">
        <f t="shared" si="740"/>
        <v>0</v>
      </c>
      <c r="AD4830" s="6">
        <f t="shared" si="733"/>
        <v>0</v>
      </c>
      <c r="AE4830" s="2">
        <f>VLOOKUP(I4830,[1]媒体政策预估表!A:N,MATCH(O4830,[1]媒体政策预估表!$A$2:$M$2,0),0)</f>
        <v>0.09</v>
      </c>
      <c r="AF4830" s="6">
        <f t="shared" si="741"/>
        <v>0</v>
      </c>
      <c r="AG4830" s="14">
        <v>0</v>
      </c>
      <c r="AH4830" s="65">
        <f t="shared" si="734"/>
        <v>0</v>
      </c>
      <c r="AI4830" s="47"/>
      <c r="AJ4830" s="126" t="e">
        <v>#N/A</v>
      </c>
      <c r="AK4830" s="80">
        <f t="shared" si="738"/>
        <v>0</v>
      </c>
      <c r="AM4830" s="85"/>
    </row>
    <row r="4831" spans="1:39" hidden="1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32"/>
        <v>75415.339999999982</v>
      </c>
      <c r="X4831" s="6">
        <f t="shared" si="735"/>
        <v>0</v>
      </c>
      <c r="Y4831" s="13">
        <f t="shared" si="736"/>
        <v>0</v>
      </c>
      <c r="Z4831" s="14">
        <v>0</v>
      </c>
      <c r="AA4831" s="6">
        <v>0</v>
      </c>
      <c r="AB4831" s="4">
        <f t="shared" si="737"/>
        <v>0</v>
      </c>
      <c r="AC4831" s="4">
        <f t="shared" si="740"/>
        <v>0</v>
      </c>
      <c r="AD4831" s="6">
        <f t="shared" si="733"/>
        <v>0</v>
      </c>
      <c r="AE4831" s="2">
        <f>VLOOKUP(I4831,[1]媒体政策预估表!A:N,MATCH(O4831,[1]媒体政策预估表!$A$2:$M$2,0),0)</f>
        <v>0.09</v>
      </c>
      <c r="AF4831" s="6">
        <f t="shared" si="741"/>
        <v>0</v>
      </c>
      <c r="AG4831" s="14">
        <v>0</v>
      </c>
      <c r="AH4831" s="65">
        <f t="shared" si="734"/>
        <v>0</v>
      </c>
      <c r="AI4831" s="47"/>
      <c r="AJ4831" s="126" t="e">
        <v>#N/A</v>
      </c>
      <c r="AK4831" s="80">
        <f t="shared" si="738"/>
        <v>0</v>
      </c>
      <c r="AM4831" s="85"/>
    </row>
    <row r="4832" spans="1:39" hidden="1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32"/>
        <v>1297.6300000000019</v>
      </c>
      <c r="X4832" s="6">
        <f t="shared" si="735"/>
        <v>2757.3529411764707</v>
      </c>
      <c r="Y4832" s="13">
        <f t="shared" si="736"/>
        <v>0</v>
      </c>
      <c r="Z4832" s="14">
        <v>0</v>
      </c>
      <c r="AA4832" s="6">
        <v>0</v>
      </c>
      <c r="AB4832" s="4">
        <f t="shared" si="737"/>
        <v>2757.3529411764707</v>
      </c>
      <c r="AC4832" s="4">
        <f t="shared" si="740"/>
        <v>55.147058823529278</v>
      </c>
      <c r="AD4832" s="6">
        <f t="shared" si="733"/>
        <v>2812.5</v>
      </c>
      <c r="AE4832" s="2">
        <f>VLOOKUP(I4832,[1]媒体政策预估表!A:N,MATCH(O4832,[1]媒体政策预估表!$A$2:$M$2,0),0)</f>
        <v>0.09</v>
      </c>
      <c r="AF4832" s="6">
        <f t="shared" si="741"/>
        <v>253.125</v>
      </c>
      <c r="AG4832" s="14">
        <v>0</v>
      </c>
      <c r="AH4832" s="65">
        <f t="shared" si="734"/>
        <v>2812.5</v>
      </c>
      <c r="AI4832" s="47"/>
      <c r="AJ4832" s="126" t="e">
        <v>#N/A</v>
      </c>
      <c r="AK4832" s="80">
        <f t="shared" si="738"/>
        <v>0</v>
      </c>
      <c r="AM4832" s="85"/>
    </row>
    <row r="4833" spans="1:39" hidden="1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32"/>
        <v>3711.48</v>
      </c>
      <c r="X4833" s="6">
        <f t="shared" si="735"/>
        <v>0</v>
      </c>
      <c r="Y4833" s="13">
        <f t="shared" si="736"/>
        <v>0</v>
      </c>
      <c r="Z4833" s="14">
        <v>0</v>
      </c>
      <c r="AA4833" s="6">
        <v>0</v>
      </c>
      <c r="AB4833" s="4">
        <f t="shared" si="737"/>
        <v>0</v>
      </c>
      <c r="AC4833" s="4">
        <f t="shared" si="740"/>
        <v>0</v>
      </c>
      <c r="AD4833" s="6">
        <f t="shared" si="733"/>
        <v>0</v>
      </c>
      <c r="AE4833" s="2">
        <f>VLOOKUP(I4833,[1]媒体政策预估表!A:N,MATCH(O4833,[1]媒体政策预估表!$A$2:$M$2,0),0)</f>
        <v>0.09</v>
      </c>
      <c r="AF4833" s="6">
        <f t="shared" si="741"/>
        <v>0</v>
      </c>
      <c r="AG4833" s="14">
        <v>0</v>
      </c>
      <c r="AH4833" s="65">
        <f t="shared" si="734"/>
        <v>0</v>
      </c>
      <c r="AI4833" s="47"/>
      <c r="AJ4833" s="126" t="e">
        <v>#N/A</v>
      </c>
      <c r="AK4833" s="80">
        <f t="shared" si="738"/>
        <v>0</v>
      </c>
      <c r="AM4833" s="85"/>
    </row>
    <row r="4834" spans="1:39" hidden="1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32"/>
        <v>100990.47999999998</v>
      </c>
      <c r="X4834" s="6">
        <f t="shared" si="735"/>
        <v>0</v>
      </c>
      <c r="Y4834" s="13">
        <f t="shared" si="736"/>
        <v>0</v>
      </c>
      <c r="Z4834" s="14">
        <v>0</v>
      </c>
      <c r="AA4834" s="6">
        <v>0</v>
      </c>
      <c r="AB4834" s="4">
        <f t="shared" si="737"/>
        <v>0</v>
      </c>
      <c r="AC4834" s="4">
        <f t="shared" si="740"/>
        <v>0</v>
      </c>
      <c r="AD4834" s="6">
        <f t="shared" si="733"/>
        <v>0</v>
      </c>
      <c r="AE4834" s="2">
        <f>VLOOKUP(I4834,[1]媒体政策预估表!A:N,MATCH(O4834,[1]媒体政策预估表!$A$2:$M$2,0),0)</f>
        <v>0.09</v>
      </c>
      <c r="AF4834" s="6">
        <f t="shared" si="741"/>
        <v>0</v>
      </c>
      <c r="AG4834" s="14">
        <v>0</v>
      </c>
      <c r="AH4834" s="65">
        <f t="shared" si="734"/>
        <v>0</v>
      </c>
      <c r="AI4834" s="47"/>
      <c r="AJ4834" s="126" t="e">
        <v>#N/A</v>
      </c>
      <c r="AK4834" s="80">
        <f t="shared" si="738"/>
        <v>0</v>
      </c>
      <c r="AM4834" s="85"/>
    </row>
    <row r="4835" spans="1:39" hidden="1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32"/>
        <v>9071.89</v>
      </c>
      <c r="X4835" s="6">
        <f t="shared" si="735"/>
        <v>0</v>
      </c>
      <c r="Y4835" s="13">
        <f t="shared" si="736"/>
        <v>0</v>
      </c>
      <c r="Z4835" s="14">
        <v>0</v>
      </c>
      <c r="AA4835" s="6">
        <v>0</v>
      </c>
      <c r="AB4835" s="4">
        <f t="shared" si="737"/>
        <v>0</v>
      </c>
      <c r="AC4835" s="4">
        <f t="shared" si="740"/>
        <v>0</v>
      </c>
      <c r="AD4835" s="6">
        <f t="shared" si="733"/>
        <v>0</v>
      </c>
      <c r="AE4835" s="2">
        <f>VLOOKUP(I4835,[1]媒体政策预估表!A:N,MATCH(O4835,[1]媒体政策预估表!$A$2:$M$2,0),0)</f>
        <v>0.09</v>
      </c>
      <c r="AF4835" s="6">
        <f t="shared" si="741"/>
        <v>0</v>
      </c>
      <c r="AG4835" s="14">
        <v>0</v>
      </c>
      <c r="AH4835" s="65">
        <f t="shared" si="734"/>
        <v>0</v>
      </c>
      <c r="AI4835" s="47"/>
      <c r="AJ4835" s="126" t="e">
        <v>#N/A</v>
      </c>
      <c r="AK4835" s="80">
        <f t="shared" si="738"/>
        <v>0</v>
      </c>
      <c r="AM4835" s="85"/>
    </row>
    <row r="4836" spans="1:39" hidden="1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32"/>
        <v>42453.239999999983</v>
      </c>
      <c r="X4836" s="6">
        <f t="shared" si="735"/>
        <v>0</v>
      </c>
      <c r="Y4836" s="13">
        <f t="shared" si="736"/>
        <v>0</v>
      </c>
      <c r="Z4836" s="14">
        <v>0</v>
      </c>
      <c r="AA4836" s="6">
        <v>0</v>
      </c>
      <c r="AB4836" s="4">
        <f t="shared" si="737"/>
        <v>0</v>
      </c>
      <c r="AC4836" s="4">
        <f t="shared" si="740"/>
        <v>0</v>
      </c>
      <c r="AD4836" s="6">
        <f t="shared" si="733"/>
        <v>0</v>
      </c>
      <c r="AE4836" s="2">
        <f>VLOOKUP(I4836,[1]媒体政策预估表!A:N,MATCH(O4836,[1]媒体政策预估表!$A$2:$M$2,0),0)</f>
        <v>0.09</v>
      </c>
      <c r="AF4836" s="6">
        <f t="shared" si="741"/>
        <v>0</v>
      </c>
      <c r="AG4836" s="14">
        <v>0</v>
      </c>
      <c r="AH4836" s="65">
        <f t="shared" si="734"/>
        <v>0</v>
      </c>
      <c r="AI4836" s="47"/>
      <c r="AJ4836" s="126" t="e">
        <v>#N/A</v>
      </c>
      <c r="AK4836" s="80">
        <f t="shared" si="738"/>
        <v>0</v>
      </c>
      <c r="AM4836" s="85"/>
    </row>
    <row r="4837" spans="1:39" hidden="1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32"/>
        <v>43378.239999999998</v>
      </c>
      <c r="X4837" s="6">
        <f t="shared" si="735"/>
        <v>0</v>
      </c>
      <c r="Y4837" s="13">
        <f t="shared" si="736"/>
        <v>0</v>
      </c>
      <c r="Z4837" s="14">
        <v>0</v>
      </c>
      <c r="AA4837" s="6">
        <v>0</v>
      </c>
      <c r="AB4837" s="4">
        <f t="shared" si="737"/>
        <v>0</v>
      </c>
      <c r="AC4837" s="4">
        <f t="shared" si="740"/>
        <v>0</v>
      </c>
      <c r="AD4837" s="6">
        <f t="shared" si="733"/>
        <v>0</v>
      </c>
      <c r="AE4837" s="2">
        <f>VLOOKUP(I4837,[1]媒体政策预估表!A:N,MATCH(O4837,[1]媒体政策预估表!$A$2:$M$2,0),0)</f>
        <v>0.09</v>
      </c>
      <c r="AF4837" s="6">
        <f t="shared" si="741"/>
        <v>0</v>
      </c>
      <c r="AG4837" s="14">
        <v>0</v>
      </c>
      <c r="AH4837" s="65">
        <f t="shared" si="734"/>
        <v>0</v>
      </c>
      <c r="AI4837" s="47"/>
      <c r="AJ4837" s="126" t="e">
        <v>#N/A</v>
      </c>
      <c r="AK4837" s="80">
        <f t="shared" si="738"/>
        <v>0</v>
      </c>
      <c r="AM4837" s="85"/>
    </row>
    <row r="4838" spans="1:39" hidden="1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32"/>
        <v>18.449999999999818</v>
      </c>
      <c r="X4838" s="6">
        <f t="shared" si="735"/>
        <v>0</v>
      </c>
      <c r="Y4838" s="13">
        <f t="shared" si="736"/>
        <v>0</v>
      </c>
      <c r="Z4838" s="14">
        <v>0</v>
      </c>
      <c r="AA4838" s="6">
        <v>0</v>
      </c>
      <c r="AB4838" s="4">
        <f t="shared" si="737"/>
        <v>0</v>
      </c>
      <c r="AC4838" s="4">
        <f t="shared" si="740"/>
        <v>0</v>
      </c>
      <c r="AD4838" s="6">
        <f t="shared" si="733"/>
        <v>0</v>
      </c>
      <c r="AE4838" s="2">
        <f>VLOOKUP(I4838,[1]媒体政策预估表!A:N,MATCH(O4838,[1]媒体政策预估表!$A$2:$M$2,0),0)</f>
        <v>0.09</v>
      </c>
      <c r="AF4838" s="6">
        <f t="shared" si="741"/>
        <v>0</v>
      </c>
      <c r="AG4838" s="14">
        <v>0</v>
      </c>
      <c r="AH4838" s="65">
        <f t="shared" si="734"/>
        <v>0</v>
      </c>
      <c r="AI4838" s="47"/>
      <c r="AJ4838" s="126" t="e">
        <v>#N/A</v>
      </c>
      <c r="AK4838" s="80">
        <f t="shared" si="738"/>
        <v>0</v>
      </c>
      <c r="AM4838" s="85"/>
    </row>
    <row r="4839" spans="1:39" hidden="1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32"/>
        <v>55769.140000000007</v>
      </c>
      <c r="X4839" s="6">
        <f t="shared" si="735"/>
        <v>0</v>
      </c>
      <c r="Y4839" s="13">
        <f t="shared" si="736"/>
        <v>0</v>
      </c>
      <c r="Z4839" s="14">
        <v>0</v>
      </c>
      <c r="AA4839" s="6">
        <v>0</v>
      </c>
      <c r="AB4839" s="4">
        <f t="shared" si="737"/>
        <v>0</v>
      </c>
      <c r="AC4839" s="4">
        <f t="shared" si="740"/>
        <v>0</v>
      </c>
      <c r="AD4839" s="6">
        <f t="shared" si="733"/>
        <v>0</v>
      </c>
      <c r="AE4839" s="2">
        <f>VLOOKUP(I4839,[1]媒体政策预估表!A:N,MATCH(O4839,[1]媒体政策预估表!$A$2:$M$2,0),0)</f>
        <v>0.09</v>
      </c>
      <c r="AF4839" s="6">
        <f t="shared" si="741"/>
        <v>0</v>
      </c>
      <c r="AG4839" s="14">
        <v>0</v>
      </c>
      <c r="AH4839" s="65">
        <f t="shared" si="734"/>
        <v>0</v>
      </c>
      <c r="AI4839" s="47"/>
      <c r="AJ4839" s="126" t="e">
        <v>#N/A</v>
      </c>
      <c r="AK4839" s="80">
        <f t="shared" si="738"/>
        <v>0</v>
      </c>
      <c r="AM4839" s="85"/>
    </row>
    <row r="4840" spans="1:39" hidden="1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32"/>
        <v>-17443.18</v>
      </c>
      <c r="X4840" s="6">
        <f t="shared" si="735"/>
        <v>0</v>
      </c>
      <c r="Y4840" s="13">
        <f t="shared" si="736"/>
        <v>0</v>
      </c>
      <c r="Z4840" s="14">
        <v>0</v>
      </c>
      <c r="AA4840" s="6">
        <v>0</v>
      </c>
      <c r="AB4840" s="4">
        <f t="shared" si="737"/>
        <v>0</v>
      </c>
      <c r="AC4840" s="4">
        <f t="shared" si="740"/>
        <v>0</v>
      </c>
      <c r="AD4840" s="6">
        <f t="shared" si="733"/>
        <v>0</v>
      </c>
      <c r="AE4840" s="2">
        <f>VLOOKUP(I4840,[1]媒体政策预估表!A:N,MATCH(O4840,[1]媒体政策预估表!$A$2:$M$2,0),0)</f>
        <v>0.18</v>
      </c>
      <c r="AF4840" s="6">
        <f t="shared" si="741"/>
        <v>0</v>
      </c>
      <c r="AG4840" s="14">
        <v>0</v>
      </c>
      <c r="AH4840" s="65">
        <f t="shared" si="734"/>
        <v>0</v>
      </c>
      <c r="AI4840" s="47"/>
      <c r="AJ4840" s="126" t="e">
        <v>#N/A</v>
      </c>
      <c r="AK4840" s="80">
        <f t="shared" si="738"/>
        <v>0</v>
      </c>
      <c r="AM4840" s="85"/>
    </row>
    <row r="4841" spans="1:39" hidden="1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32"/>
        <v>-951559.65000000014</v>
      </c>
      <c r="X4841" s="6">
        <f t="shared" si="735"/>
        <v>15736.018518518518</v>
      </c>
      <c r="Y4841" s="13">
        <f t="shared" si="736"/>
        <v>0</v>
      </c>
      <c r="Z4841" s="14">
        <v>0</v>
      </c>
      <c r="AA4841" s="6">
        <v>0</v>
      </c>
      <c r="AB4841" s="4">
        <f t="shared" si="737"/>
        <v>15736.018518518518</v>
      </c>
      <c r="AC4841" s="4">
        <f t="shared" si="740"/>
        <v>1258.8814814814832</v>
      </c>
      <c r="AD4841" s="6">
        <f t="shared" si="733"/>
        <v>16994.900000000001</v>
      </c>
      <c r="AE4841" s="2">
        <f>VLOOKUP(I4841,[1]媒体政策预估表!A:N,MATCH(O4841,[1]媒体政策预估表!$A$2:$M$2,0),0)</f>
        <v>0.18</v>
      </c>
      <c r="AF4841" s="6">
        <f t="shared" si="741"/>
        <v>3059.0820000000003</v>
      </c>
      <c r="AG4841" s="14">
        <v>0</v>
      </c>
      <c r="AH4841" s="65">
        <f t="shared" si="734"/>
        <v>16994.900000000001</v>
      </c>
      <c r="AI4841" s="47"/>
      <c r="AJ4841" s="126" t="e">
        <v>#N/A</v>
      </c>
      <c r="AK4841" s="80">
        <f t="shared" si="738"/>
        <v>0</v>
      </c>
      <c r="AM4841" s="85"/>
    </row>
    <row r="4842" spans="1:39" hidden="1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32"/>
        <v>23558.670000000006</v>
      </c>
      <c r="X4842" s="6">
        <f t="shared" si="735"/>
        <v>0</v>
      </c>
      <c r="Y4842" s="13">
        <f t="shared" si="736"/>
        <v>0</v>
      </c>
      <c r="Z4842" s="14">
        <v>0</v>
      </c>
      <c r="AA4842" s="6">
        <v>0</v>
      </c>
      <c r="AB4842" s="4">
        <f t="shared" si="737"/>
        <v>0</v>
      </c>
      <c r="AC4842" s="4">
        <f t="shared" si="740"/>
        <v>0</v>
      </c>
      <c r="AD4842" s="6">
        <f t="shared" si="733"/>
        <v>0</v>
      </c>
      <c r="AE4842" s="2">
        <f>VLOOKUP(I4842,[1]媒体政策预估表!A:N,MATCH(O4842,[1]媒体政策预估表!$A$2:$M$2,0),0)</f>
        <v>0.09</v>
      </c>
      <c r="AF4842" s="6">
        <f t="shared" si="741"/>
        <v>0</v>
      </c>
      <c r="AG4842" s="14">
        <v>0</v>
      </c>
      <c r="AH4842" s="65">
        <f t="shared" si="734"/>
        <v>0</v>
      </c>
      <c r="AI4842" s="47"/>
      <c r="AJ4842" s="126" t="e">
        <v>#N/A</v>
      </c>
      <c r="AK4842" s="80">
        <f t="shared" si="738"/>
        <v>0</v>
      </c>
      <c r="AM4842" s="85"/>
    </row>
    <row r="4843" spans="1:39" hidden="1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32"/>
        <v>427.65</v>
      </c>
      <c r="X4843" s="6">
        <f t="shared" si="735"/>
        <v>0</v>
      </c>
      <c r="Y4843" s="13">
        <f t="shared" si="736"/>
        <v>0</v>
      </c>
      <c r="Z4843" s="14">
        <v>0</v>
      </c>
      <c r="AA4843" s="6">
        <v>0</v>
      </c>
      <c r="AB4843" s="4">
        <f t="shared" si="737"/>
        <v>0</v>
      </c>
      <c r="AC4843" s="4">
        <f t="shared" si="740"/>
        <v>0</v>
      </c>
      <c r="AD4843" s="6">
        <f t="shared" si="733"/>
        <v>0</v>
      </c>
      <c r="AE4843" s="2">
        <f>VLOOKUP(I4843,[1]媒体政策预估表!A:N,MATCH(O4843,[1]媒体政策预估表!$A$2:$M$2,0),0)</f>
        <v>0.09</v>
      </c>
      <c r="AF4843" s="6">
        <f t="shared" si="741"/>
        <v>0</v>
      </c>
      <c r="AG4843" s="14">
        <v>0</v>
      </c>
      <c r="AH4843" s="65">
        <f t="shared" si="734"/>
        <v>0</v>
      </c>
      <c r="AI4843" s="47"/>
      <c r="AJ4843" s="126" t="e">
        <v>#N/A</v>
      </c>
      <c r="AK4843" s="80">
        <f t="shared" si="738"/>
        <v>0</v>
      </c>
      <c r="AM4843" s="85"/>
    </row>
    <row r="4844" spans="1:39" hidden="1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32"/>
        <v>25000</v>
      </c>
      <c r="X4844" s="6">
        <f t="shared" si="735"/>
        <v>0</v>
      </c>
      <c r="Y4844" s="13">
        <f t="shared" si="736"/>
        <v>0</v>
      </c>
      <c r="Z4844" s="14">
        <v>0</v>
      </c>
      <c r="AA4844" s="6">
        <v>0</v>
      </c>
      <c r="AB4844" s="4">
        <f t="shared" si="737"/>
        <v>0</v>
      </c>
      <c r="AC4844" s="4">
        <f t="shared" si="740"/>
        <v>0</v>
      </c>
      <c r="AD4844" s="6">
        <f t="shared" si="733"/>
        <v>0</v>
      </c>
      <c r="AE4844" s="2">
        <f>VLOOKUP(I4844,[1]媒体政策预估表!A:N,MATCH(O4844,[1]媒体政策预估表!$A$2:$M$2,0),0)</f>
        <v>0.09</v>
      </c>
      <c r="AF4844" s="6">
        <f t="shared" si="741"/>
        <v>0</v>
      </c>
      <c r="AG4844" s="14">
        <v>0</v>
      </c>
      <c r="AH4844" s="65">
        <f t="shared" si="734"/>
        <v>0</v>
      </c>
      <c r="AI4844" s="47"/>
      <c r="AJ4844" s="126" t="e">
        <v>#N/A</v>
      </c>
      <c r="AK4844" s="80">
        <f t="shared" si="738"/>
        <v>0</v>
      </c>
      <c r="AM4844" s="85"/>
    </row>
    <row r="4845" spans="1:39" hidden="1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32"/>
        <v>9500</v>
      </c>
      <c r="X4845" s="6">
        <f t="shared" si="735"/>
        <v>0</v>
      </c>
      <c r="Y4845" s="13">
        <f t="shared" si="736"/>
        <v>0</v>
      </c>
      <c r="Z4845" s="14">
        <v>0</v>
      </c>
      <c r="AA4845" s="6">
        <v>0</v>
      </c>
      <c r="AB4845" s="4">
        <f t="shared" si="737"/>
        <v>0</v>
      </c>
      <c r="AC4845" s="4">
        <f t="shared" si="740"/>
        <v>0</v>
      </c>
      <c r="AD4845" s="6">
        <f t="shared" si="733"/>
        <v>0</v>
      </c>
      <c r="AE4845" s="2">
        <f>VLOOKUP(I4845,[1]媒体政策预估表!A:N,MATCH(O4845,[1]媒体政策预估表!$A$2:$M$2,0),0)</f>
        <v>0.09</v>
      </c>
      <c r="AF4845" s="6">
        <f t="shared" si="741"/>
        <v>0</v>
      </c>
      <c r="AG4845" s="14">
        <v>0</v>
      </c>
      <c r="AH4845" s="65">
        <f t="shared" si="734"/>
        <v>0</v>
      </c>
      <c r="AI4845" s="47"/>
      <c r="AJ4845" s="126" t="e">
        <v>#N/A</v>
      </c>
      <c r="AK4845" s="80">
        <f t="shared" si="738"/>
        <v>0</v>
      </c>
      <c r="AM4845" s="85"/>
    </row>
    <row r="4846" spans="1:39" hidden="1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32"/>
        <v>-1143.1799999999998</v>
      </c>
      <c r="X4846" s="6">
        <f t="shared" si="735"/>
        <v>0</v>
      </c>
      <c r="Y4846" s="13">
        <f t="shared" si="736"/>
        <v>0</v>
      </c>
      <c r="Z4846" s="14">
        <v>0</v>
      </c>
      <c r="AA4846" s="6">
        <v>0</v>
      </c>
      <c r="AB4846" s="4">
        <f t="shared" si="737"/>
        <v>0</v>
      </c>
      <c r="AC4846" s="4">
        <f t="shared" si="740"/>
        <v>0</v>
      </c>
      <c r="AD4846" s="6">
        <f t="shared" si="733"/>
        <v>0</v>
      </c>
      <c r="AE4846" s="2">
        <f>VLOOKUP(I4846,[1]媒体政策预估表!A:N,MATCH(O4846,[1]媒体政策预估表!$A$2:$M$2,0),0)</f>
        <v>0.18</v>
      </c>
      <c r="AF4846" s="6">
        <f t="shared" si="741"/>
        <v>0</v>
      </c>
      <c r="AG4846" s="14">
        <v>0</v>
      </c>
      <c r="AH4846" s="65">
        <f t="shared" si="734"/>
        <v>0</v>
      </c>
      <c r="AI4846" s="47"/>
      <c r="AJ4846" s="126" t="e">
        <v>#N/A</v>
      </c>
      <c r="AK4846" s="80">
        <f t="shared" si="738"/>
        <v>0</v>
      </c>
      <c r="AM4846" s="85"/>
    </row>
    <row r="4847" spans="1:39" hidden="1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42">T4847+U4847-V4847</f>
        <v>2808.2299999999996</v>
      </c>
      <c r="X4847" s="6">
        <f t="shared" si="735"/>
        <v>0</v>
      </c>
      <c r="Y4847" s="13">
        <f t="shared" si="736"/>
        <v>0</v>
      </c>
      <c r="Z4847" s="14">
        <v>0</v>
      </c>
      <c r="AA4847" s="6">
        <v>0</v>
      </c>
      <c r="AB4847" s="4">
        <f t="shared" si="737"/>
        <v>0</v>
      </c>
      <c r="AC4847" s="4">
        <f t="shared" si="740"/>
        <v>0</v>
      </c>
      <c r="AD4847" s="6">
        <f t="shared" ref="AD4847:AD4909" si="743">V4847</f>
        <v>0</v>
      </c>
      <c r="AE4847" s="2">
        <f>VLOOKUP(I4847,[1]媒体政策预估表!A:N,MATCH(O4847,[1]媒体政策预估表!$A$2:$M$2,0),0)</f>
        <v>0.09</v>
      </c>
      <c r="AF4847" s="6">
        <f t="shared" si="741"/>
        <v>0</v>
      </c>
      <c r="AG4847" s="14">
        <v>0</v>
      </c>
      <c r="AH4847" s="65">
        <f t="shared" ref="AH4847:AH4909" si="744">AD4847</f>
        <v>0</v>
      </c>
      <c r="AI4847" s="47"/>
      <c r="AJ4847" s="126" t="e">
        <v>#N/A</v>
      </c>
      <c r="AK4847" s="80">
        <f t="shared" si="738"/>
        <v>0</v>
      </c>
      <c r="AM4847" s="85"/>
    </row>
    <row r="4848" spans="1:39" hidden="1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42"/>
        <v>10079.870000000001</v>
      </c>
      <c r="X4848" s="6">
        <f t="shared" si="735"/>
        <v>0</v>
      </c>
      <c r="Y4848" s="13">
        <f t="shared" si="736"/>
        <v>0</v>
      </c>
      <c r="Z4848" s="14">
        <v>0</v>
      </c>
      <c r="AA4848" s="6">
        <v>0</v>
      </c>
      <c r="AB4848" s="4">
        <f t="shared" si="737"/>
        <v>0</v>
      </c>
      <c r="AC4848" s="4">
        <f t="shared" si="740"/>
        <v>0</v>
      </c>
      <c r="AD4848" s="6">
        <f t="shared" si="743"/>
        <v>0</v>
      </c>
      <c r="AE4848" s="2">
        <f>VLOOKUP(I4848,[1]媒体政策预估表!A:N,MATCH(O4848,[1]媒体政策预估表!$A$2:$M$2,0),0)</f>
        <v>0.09</v>
      </c>
      <c r="AF4848" s="6">
        <f t="shared" si="741"/>
        <v>0</v>
      </c>
      <c r="AG4848" s="14">
        <v>0</v>
      </c>
      <c r="AH4848" s="65">
        <f t="shared" si="744"/>
        <v>0</v>
      </c>
      <c r="AI4848" s="47"/>
      <c r="AJ4848" s="126" t="e">
        <v>#N/A</v>
      </c>
      <c r="AK4848" s="80">
        <f t="shared" si="738"/>
        <v>0</v>
      </c>
      <c r="AM4848" s="85"/>
    </row>
    <row r="4849" spans="1:39" hidden="1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42"/>
        <v>-42822.44</v>
      </c>
      <c r="X4849" s="6">
        <f t="shared" si="735"/>
        <v>2920</v>
      </c>
      <c r="Y4849" s="13">
        <f t="shared" si="736"/>
        <v>0</v>
      </c>
      <c r="Z4849" s="14">
        <v>0</v>
      </c>
      <c r="AA4849" s="6">
        <v>0</v>
      </c>
      <c r="AB4849" s="4">
        <f t="shared" si="737"/>
        <v>2920</v>
      </c>
      <c r="AC4849" s="4">
        <f t="shared" si="740"/>
        <v>0</v>
      </c>
      <c r="AD4849" s="6">
        <f t="shared" si="743"/>
        <v>2920</v>
      </c>
      <c r="AE4849" s="2">
        <f>VLOOKUP(I4849,[1]媒体政策预估表!A:N,MATCH(O4849,[1]媒体政策预估表!$A$2:$M$2,0),0)</f>
        <v>0.18</v>
      </c>
      <c r="AF4849" s="6">
        <f t="shared" si="741"/>
        <v>525.6</v>
      </c>
      <c r="AG4849" s="14">
        <v>0</v>
      </c>
      <c r="AH4849" s="65">
        <f t="shared" si="744"/>
        <v>2920</v>
      </c>
      <c r="AI4849" s="47"/>
      <c r="AJ4849" s="126" t="e">
        <v>#N/A</v>
      </c>
      <c r="AK4849" s="80">
        <f t="shared" si="738"/>
        <v>0</v>
      </c>
      <c r="AM4849" s="85"/>
    </row>
    <row r="4850" spans="1:39" hidden="1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42"/>
        <v>27897.68</v>
      </c>
      <c r="X4850" s="6">
        <f t="shared" si="735"/>
        <v>0</v>
      </c>
      <c r="Y4850" s="13">
        <f t="shared" si="736"/>
        <v>0</v>
      </c>
      <c r="Z4850" s="14">
        <v>0</v>
      </c>
      <c r="AA4850" s="6">
        <v>0</v>
      </c>
      <c r="AB4850" s="4">
        <f t="shared" si="737"/>
        <v>0</v>
      </c>
      <c r="AC4850" s="4">
        <f t="shared" si="740"/>
        <v>0</v>
      </c>
      <c r="AD4850" s="6">
        <f t="shared" si="743"/>
        <v>0</v>
      </c>
      <c r="AE4850" s="2">
        <f>VLOOKUP(I4850,[1]媒体政策预估表!A:N,MATCH(O4850,[1]媒体政策预估表!$A$2:$M$2,0),0)</f>
        <v>0.09</v>
      </c>
      <c r="AF4850" s="6">
        <f t="shared" si="741"/>
        <v>0</v>
      </c>
      <c r="AG4850" s="14">
        <v>0</v>
      </c>
      <c r="AH4850" s="65">
        <f t="shared" si="744"/>
        <v>0</v>
      </c>
      <c r="AI4850" s="47"/>
      <c r="AJ4850" s="126" t="e">
        <v>#N/A</v>
      </c>
      <c r="AK4850" s="80">
        <f t="shared" si="738"/>
        <v>0</v>
      </c>
      <c r="AM4850" s="85"/>
    </row>
    <row r="4851" spans="1:39" hidden="1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42"/>
        <v>4006.75</v>
      </c>
      <c r="X4851" s="6">
        <f t="shared" si="735"/>
        <v>0</v>
      </c>
      <c r="Y4851" s="13">
        <f t="shared" si="736"/>
        <v>0</v>
      </c>
      <c r="Z4851" s="14">
        <v>0</v>
      </c>
      <c r="AA4851" s="6">
        <v>0</v>
      </c>
      <c r="AB4851" s="4">
        <f t="shared" si="737"/>
        <v>0</v>
      </c>
      <c r="AC4851" s="4">
        <f t="shared" si="740"/>
        <v>0</v>
      </c>
      <c r="AD4851" s="6">
        <f t="shared" si="743"/>
        <v>0</v>
      </c>
      <c r="AE4851" s="2">
        <f>VLOOKUP(I4851,[1]媒体政策预估表!A:N,MATCH(O4851,[1]媒体政策预估表!$A$2:$M$2,0),0)</f>
        <v>0.09</v>
      </c>
      <c r="AF4851" s="6">
        <f t="shared" si="741"/>
        <v>0</v>
      </c>
      <c r="AG4851" s="14">
        <v>0</v>
      </c>
      <c r="AH4851" s="65">
        <f t="shared" si="744"/>
        <v>0</v>
      </c>
      <c r="AI4851" s="47"/>
      <c r="AJ4851" s="126" t="e">
        <v>#N/A</v>
      </c>
      <c r="AK4851" s="80">
        <f t="shared" si="738"/>
        <v>0</v>
      </c>
      <c r="AM4851" s="85"/>
    </row>
    <row r="4852" spans="1:39" hidden="1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42"/>
        <v>2238.3000000000002</v>
      </c>
      <c r="X4852" s="6">
        <f t="shared" si="735"/>
        <v>0</v>
      </c>
      <c r="Y4852" s="13">
        <f t="shared" si="736"/>
        <v>0</v>
      </c>
      <c r="Z4852" s="14">
        <v>0</v>
      </c>
      <c r="AA4852" s="6">
        <v>0</v>
      </c>
      <c r="AB4852" s="4">
        <f t="shared" si="737"/>
        <v>0</v>
      </c>
      <c r="AC4852" s="4">
        <f t="shared" si="740"/>
        <v>0</v>
      </c>
      <c r="AD4852" s="6">
        <f t="shared" si="743"/>
        <v>0</v>
      </c>
      <c r="AE4852" s="2">
        <f>VLOOKUP(I4852,[1]媒体政策预估表!A:N,MATCH(O4852,[1]媒体政策预估表!$A$2:$M$2,0),0)</f>
        <v>0.18</v>
      </c>
      <c r="AF4852" s="6">
        <f t="shared" si="741"/>
        <v>0</v>
      </c>
      <c r="AG4852" s="14">
        <v>0</v>
      </c>
      <c r="AH4852" s="65">
        <f t="shared" si="744"/>
        <v>0</v>
      </c>
      <c r="AI4852" s="47"/>
      <c r="AJ4852" s="126" t="e">
        <v>#N/A</v>
      </c>
      <c r="AK4852" s="80">
        <f t="shared" si="738"/>
        <v>0</v>
      </c>
      <c r="AM4852" s="85"/>
    </row>
    <row r="4853" spans="1:39" hidden="1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42"/>
        <v>4257.3999999999996</v>
      </c>
      <c r="X4853" s="6">
        <f t="shared" si="735"/>
        <v>0</v>
      </c>
      <c r="Y4853" s="13">
        <f t="shared" si="736"/>
        <v>0</v>
      </c>
      <c r="Z4853" s="14">
        <v>0</v>
      </c>
      <c r="AA4853" s="6">
        <v>0</v>
      </c>
      <c r="AB4853" s="4">
        <f t="shared" si="737"/>
        <v>0</v>
      </c>
      <c r="AC4853" s="4">
        <f t="shared" si="740"/>
        <v>0</v>
      </c>
      <c r="AD4853" s="6">
        <f t="shared" si="743"/>
        <v>0</v>
      </c>
      <c r="AE4853" s="2">
        <f>VLOOKUP(I4853,[1]媒体政策预估表!A:N,MATCH(O4853,[1]媒体政策预估表!$A$2:$M$2,0),0)</f>
        <v>0.09</v>
      </c>
      <c r="AF4853" s="6">
        <f t="shared" si="741"/>
        <v>0</v>
      </c>
      <c r="AG4853" s="14">
        <v>0</v>
      </c>
      <c r="AH4853" s="65">
        <f t="shared" si="744"/>
        <v>0</v>
      </c>
      <c r="AI4853" s="47"/>
      <c r="AJ4853" s="126" t="e">
        <v>#N/A</v>
      </c>
      <c r="AK4853" s="80">
        <f t="shared" si="738"/>
        <v>0</v>
      </c>
      <c r="AM4853" s="85"/>
    </row>
    <row r="4854" spans="1:39" hidden="1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42"/>
        <v>-2626373.4500000002</v>
      </c>
      <c r="X4854" s="6">
        <f t="shared" si="735"/>
        <v>293456.42000000004</v>
      </c>
      <c r="Y4854" s="13">
        <f t="shared" si="736"/>
        <v>0</v>
      </c>
      <c r="Z4854" s="14">
        <v>0</v>
      </c>
      <c r="AA4854" s="6">
        <v>0</v>
      </c>
      <c r="AB4854" s="4">
        <f t="shared" si="737"/>
        <v>293456.42000000004</v>
      </c>
      <c r="AC4854" s="4">
        <f t="shared" si="740"/>
        <v>0</v>
      </c>
      <c r="AD4854" s="6">
        <f t="shared" si="743"/>
        <v>293456.42000000004</v>
      </c>
      <c r="AE4854" s="2">
        <f>VLOOKUP(I4854,[1]媒体政策预估表!A:N,MATCH(O4854,[1]媒体政策预估表!$A$2:$M$2,0),0)</f>
        <v>0.18</v>
      </c>
      <c r="AF4854" s="6">
        <f t="shared" si="741"/>
        <v>52822.155600000006</v>
      </c>
      <c r="AG4854" s="14">
        <v>0</v>
      </c>
      <c r="AH4854" s="65">
        <f t="shared" si="744"/>
        <v>293456.42000000004</v>
      </c>
      <c r="AI4854" s="47"/>
      <c r="AJ4854" s="126" t="e">
        <v>#N/A</v>
      </c>
      <c r="AK4854" s="80">
        <f t="shared" si="738"/>
        <v>0</v>
      </c>
      <c r="AM4854" s="85"/>
    </row>
    <row r="4855" spans="1:39" hidden="1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42"/>
        <v>33802.089999999997</v>
      </c>
      <c r="X4855" s="6">
        <f t="shared" si="735"/>
        <v>0</v>
      </c>
      <c r="Y4855" s="13">
        <f t="shared" si="736"/>
        <v>0</v>
      </c>
      <c r="Z4855" s="14">
        <v>0</v>
      </c>
      <c r="AA4855" s="6">
        <v>0</v>
      </c>
      <c r="AB4855" s="4">
        <f t="shared" si="737"/>
        <v>0</v>
      </c>
      <c r="AC4855" s="4">
        <f t="shared" si="740"/>
        <v>0</v>
      </c>
      <c r="AD4855" s="6">
        <f t="shared" si="743"/>
        <v>0</v>
      </c>
      <c r="AE4855" s="2">
        <f>VLOOKUP(I4855,[1]媒体政策预估表!A:N,MATCH(O4855,[1]媒体政策预估表!$A$2:$M$2,0),0)</f>
        <v>0.09</v>
      </c>
      <c r="AF4855" s="6">
        <f t="shared" si="741"/>
        <v>0</v>
      </c>
      <c r="AG4855" s="14">
        <v>0</v>
      </c>
      <c r="AH4855" s="65">
        <f t="shared" si="744"/>
        <v>0</v>
      </c>
      <c r="AI4855" s="47"/>
      <c r="AJ4855" s="126" t="e">
        <v>#N/A</v>
      </c>
      <c r="AK4855" s="80">
        <f t="shared" si="738"/>
        <v>0</v>
      </c>
      <c r="AM4855" s="85"/>
    </row>
    <row r="4856" spans="1:39" hidden="1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42"/>
        <v>1153.1199999999999</v>
      </c>
      <c r="X4856" s="6">
        <f t="shared" si="735"/>
        <v>0</v>
      </c>
      <c r="Y4856" s="13">
        <f t="shared" si="736"/>
        <v>0</v>
      </c>
      <c r="Z4856" s="14">
        <v>0</v>
      </c>
      <c r="AA4856" s="6">
        <v>0</v>
      </c>
      <c r="AB4856" s="4"/>
      <c r="AC4856" s="4">
        <f t="shared" si="740"/>
        <v>0</v>
      </c>
      <c r="AD4856" s="6">
        <f t="shared" si="743"/>
        <v>0</v>
      </c>
      <c r="AE4856" s="2">
        <f>VLOOKUP(I4856,[1]媒体政策预估表!A:N,MATCH(O4856,[1]媒体政策预估表!$A$2:$M$2,0),0)</f>
        <v>0.18</v>
      </c>
      <c r="AF4856" s="6">
        <f t="shared" si="741"/>
        <v>0</v>
      </c>
      <c r="AG4856" s="14">
        <v>0</v>
      </c>
      <c r="AH4856" s="65">
        <f t="shared" si="744"/>
        <v>0</v>
      </c>
      <c r="AI4856" s="47"/>
      <c r="AJ4856" s="126">
        <v>25</v>
      </c>
      <c r="AK4856" s="80">
        <f t="shared" si="738"/>
        <v>0</v>
      </c>
      <c r="AM4856" s="85"/>
    </row>
    <row r="4857" spans="1:39" hidden="1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42"/>
        <v>977.7</v>
      </c>
      <c r="X4857" s="6">
        <f t="shared" si="735"/>
        <v>0</v>
      </c>
      <c r="Y4857" s="13">
        <f t="shared" si="736"/>
        <v>0</v>
      </c>
      <c r="Z4857" s="14">
        <v>0</v>
      </c>
      <c r="AA4857" s="6">
        <v>0</v>
      </c>
      <c r="AB4857" s="4">
        <f t="shared" si="737"/>
        <v>0</v>
      </c>
      <c r="AC4857" s="4">
        <f t="shared" si="740"/>
        <v>0</v>
      </c>
      <c r="AD4857" s="6">
        <f t="shared" si="743"/>
        <v>0</v>
      </c>
      <c r="AE4857" s="2">
        <f>VLOOKUP(I4857,[1]媒体政策预估表!A:N,MATCH(O4857,[1]媒体政策预估表!$A$2:$M$2,0),0)</f>
        <v>0.09</v>
      </c>
      <c r="AF4857" s="6">
        <f t="shared" si="741"/>
        <v>0</v>
      </c>
      <c r="AG4857" s="14">
        <v>0</v>
      </c>
      <c r="AH4857" s="65">
        <f t="shared" si="744"/>
        <v>0</v>
      </c>
      <c r="AI4857" s="47"/>
      <c r="AJ4857" s="126" t="e">
        <v>#N/A</v>
      </c>
      <c r="AK4857" s="80">
        <f t="shared" si="738"/>
        <v>0</v>
      </c>
      <c r="AM4857" s="85"/>
    </row>
    <row r="4858" spans="1:39" hidden="1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42"/>
        <v>-732126.01</v>
      </c>
      <c r="X4858" s="6">
        <f t="shared" si="735"/>
        <v>124.36</v>
      </c>
      <c r="Y4858" s="13">
        <f t="shared" si="736"/>
        <v>0</v>
      </c>
      <c r="Z4858" s="14">
        <v>0</v>
      </c>
      <c r="AA4858" s="6">
        <v>0</v>
      </c>
      <c r="AB4858" s="4">
        <f t="shared" si="737"/>
        <v>124.36</v>
      </c>
      <c r="AC4858" s="4">
        <f t="shared" si="740"/>
        <v>0</v>
      </c>
      <c r="AD4858" s="6">
        <f t="shared" si="743"/>
        <v>124.36</v>
      </c>
      <c r="AE4858" s="2">
        <f>VLOOKUP(I4858,[1]媒体政策预估表!A:N,MATCH(O4858,[1]媒体政策预估表!$A$2:$M$2,0),0)</f>
        <v>0.18</v>
      </c>
      <c r="AF4858" s="6">
        <f t="shared" si="741"/>
        <v>22.384799999999998</v>
      </c>
      <c r="AG4858" s="14">
        <v>0</v>
      </c>
      <c r="AH4858" s="65">
        <f t="shared" si="744"/>
        <v>124.36</v>
      </c>
      <c r="AI4858" s="47"/>
      <c r="AJ4858" s="126" t="e">
        <v>#N/A</v>
      </c>
      <c r="AK4858" s="80">
        <f t="shared" si="738"/>
        <v>0</v>
      </c>
      <c r="AM4858" s="85"/>
    </row>
    <row r="4859" spans="1:39" hidden="1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42"/>
        <v>-288203.2</v>
      </c>
      <c r="X4859" s="6">
        <f t="shared" ref="X4859:X4909" si="745">IF(P4859="折扣",V4859*Q4859,IF(P4859="返现",V4859,V4859/(1+Q4859)))</f>
        <v>0</v>
      </c>
      <c r="Y4859" s="13">
        <f t="shared" si="736"/>
        <v>0</v>
      </c>
      <c r="Z4859" s="14">
        <v>0</v>
      </c>
      <c r="AA4859" s="6">
        <v>0</v>
      </c>
      <c r="AB4859" s="4">
        <f t="shared" si="737"/>
        <v>0</v>
      </c>
      <c r="AC4859" s="4">
        <f t="shared" si="740"/>
        <v>0</v>
      </c>
      <c r="AD4859" s="6">
        <f t="shared" si="743"/>
        <v>0</v>
      </c>
      <c r="AE4859" s="2">
        <f>VLOOKUP(I4859,[1]媒体政策预估表!A:N,MATCH(O4859,[1]媒体政策预估表!$A$2:$M$2,0),0)</f>
        <v>0.18</v>
      </c>
      <c r="AF4859" s="6">
        <f t="shared" si="741"/>
        <v>0</v>
      </c>
      <c r="AG4859" s="14">
        <v>0</v>
      </c>
      <c r="AH4859" s="65">
        <f t="shared" si="744"/>
        <v>0</v>
      </c>
      <c r="AI4859" s="47"/>
      <c r="AJ4859" s="126" t="e">
        <v>#N/A</v>
      </c>
      <c r="AK4859" s="80">
        <f t="shared" si="738"/>
        <v>0</v>
      </c>
      <c r="AM4859" s="85"/>
    </row>
    <row r="4860" spans="1:39" hidden="1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42"/>
        <v>4458.1899999999996</v>
      </c>
      <c r="X4860" s="6">
        <f t="shared" si="745"/>
        <v>0</v>
      </c>
      <c r="Y4860" s="13">
        <f t="shared" si="736"/>
        <v>0</v>
      </c>
      <c r="Z4860" s="14">
        <v>0</v>
      </c>
      <c r="AA4860" s="6">
        <v>0</v>
      </c>
      <c r="AB4860" s="4">
        <f t="shared" si="737"/>
        <v>0</v>
      </c>
      <c r="AC4860" s="4">
        <f t="shared" si="740"/>
        <v>0</v>
      </c>
      <c r="AD4860" s="6">
        <f t="shared" si="743"/>
        <v>0</v>
      </c>
      <c r="AE4860" s="2">
        <f>VLOOKUP(I4860,[1]媒体政策预估表!A:N,MATCH(O4860,[1]媒体政策预估表!$A$2:$M$2,0),0)</f>
        <v>0.09</v>
      </c>
      <c r="AF4860" s="6">
        <f t="shared" si="741"/>
        <v>0</v>
      </c>
      <c r="AG4860" s="14">
        <v>0</v>
      </c>
      <c r="AH4860" s="65">
        <f t="shared" si="744"/>
        <v>0</v>
      </c>
      <c r="AI4860" s="47"/>
      <c r="AJ4860" s="126" t="e">
        <v>#N/A</v>
      </c>
      <c r="AK4860" s="80">
        <f t="shared" si="738"/>
        <v>0</v>
      </c>
      <c r="AM4860" s="85"/>
    </row>
    <row r="4861" spans="1:39" hidden="1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42"/>
        <v>69200.62</v>
      </c>
      <c r="X4861" s="6">
        <f t="shared" si="745"/>
        <v>0</v>
      </c>
      <c r="Y4861" s="13">
        <f t="shared" si="736"/>
        <v>0</v>
      </c>
      <c r="Z4861" s="14">
        <v>0</v>
      </c>
      <c r="AA4861" s="6">
        <v>0</v>
      </c>
      <c r="AB4861" s="4">
        <f t="shared" si="737"/>
        <v>0</v>
      </c>
      <c r="AC4861" s="4">
        <f t="shared" si="740"/>
        <v>0</v>
      </c>
      <c r="AD4861" s="6">
        <f t="shared" si="743"/>
        <v>0</v>
      </c>
      <c r="AE4861" s="2">
        <f>VLOOKUP(I4861,[1]媒体政策预估表!A:N,MATCH(O4861,[1]媒体政策预估表!$A$2:$M$2,0),0)</f>
        <v>0.09</v>
      </c>
      <c r="AF4861" s="6">
        <f t="shared" si="741"/>
        <v>0</v>
      </c>
      <c r="AG4861" s="14">
        <v>0</v>
      </c>
      <c r="AH4861" s="65">
        <f t="shared" si="744"/>
        <v>0</v>
      </c>
      <c r="AI4861" s="47"/>
      <c r="AJ4861" s="126" t="e">
        <v>#N/A</v>
      </c>
      <c r="AK4861" s="80">
        <f t="shared" si="738"/>
        <v>0</v>
      </c>
      <c r="AM4861" s="85"/>
    </row>
    <row r="4862" spans="1:39" hidden="1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42"/>
        <v>4331.8599999999997</v>
      </c>
      <c r="X4862" s="6">
        <f t="shared" si="745"/>
        <v>0</v>
      </c>
      <c r="Y4862" s="13">
        <f t="shared" si="736"/>
        <v>0</v>
      </c>
      <c r="Z4862" s="14">
        <v>0</v>
      </c>
      <c r="AA4862" s="6">
        <v>0</v>
      </c>
      <c r="AB4862" s="4">
        <f t="shared" si="737"/>
        <v>0</v>
      </c>
      <c r="AC4862" s="4">
        <f t="shared" si="740"/>
        <v>0</v>
      </c>
      <c r="AD4862" s="6">
        <f t="shared" si="743"/>
        <v>0</v>
      </c>
      <c r="AE4862" s="2">
        <f>VLOOKUP(I4862,[1]媒体政策预估表!A:N,MATCH(O4862,[1]媒体政策预估表!$A$2:$M$2,0),0)</f>
        <v>0.09</v>
      </c>
      <c r="AF4862" s="6">
        <f t="shared" si="741"/>
        <v>0</v>
      </c>
      <c r="AG4862" s="14">
        <v>0</v>
      </c>
      <c r="AH4862" s="65">
        <f t="shared" si="744"/>
        <v>0</v>
      </c>
      <c r="AI4862" s="47"/>
      <c r="AJ4862" s="126" t="e">
        <v>#N/A</v>
      </c>
      <c r="AK4862" s="80">
        <f t="shared" si="738"/>
        <v>0</v>
      </c>
      <c r="AM4862" s="85"/>
    </row>
    <row r="4863" spans="1:39" hidden="1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42"/>
        <v>-5342.56</v>
      </c>
      <c r="X4863" s="6">
        <f t="shared" si="745"/>
        <v>0</v>
      </c>
      <c r="Y4863" s="13">
        <f t="shared" si="736"/>
        <v>0</v>
      </c>
      <c r="Z4863" s="14">
        <v>0</v>
      </c>
      <c r="AA4863" s="6">
        <v>0</v>
      </c>
      <c r="AB4863" s="4">
        <f t="shared" si="737"/>
        <v>0</v>
      </c>
      <c r="AC4863" s="4">
        <f t="shared" si="740"/>
        <v>0</v>
      </c>
      <c r="AD4863" s="6">
        <f t="shared" si="743"/>
        <v>0</v>
      </c>
      <c r="AE4863" s="2">
        <f>VLOOKUP(I4863,[1]媒体政策预估表!A:N,MATCH(O4863,[1]媒体政策预估表!$A$2:$M$2,0),0)</f>
        <v>0.18</v>
      </c>
      <c r="AF4863" s="6">
        <f t="shared" si="741"/>
        <v>0</v>
      </c>
      <c r="AG4863" s="14">
        <v>0</v>
      </c>
      <c r="AH4863" s="65">
        <f t="shared" si="744"/>
        <v>0</v>
      </c>
      <c r="AI4863" s="47"/>
      <c r="AJ4863" s="126" t="e">
        <v>#N/A</v>
      </c>
      <c r="AK4863" s="80">
        <f t="shared" si="738"/>
        <v>0</v>
      </c>
      <c r="AM4863" s="85"/>
    </row>
    <row r="4864" spans="1:39" hidden="1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42"/>
        <v>102479.85</v>
      </c>
      <c r="X4864" s="6">
        <f t="shared" si="745"/>
        <v>0</v>
      </c>
      <c r="Y4864" s="13">
        <f t="shared" si="736"/>
        <v>0</v>
      </c>
      <c r="Z4864" s="14">
        <v>0</v>
      </c>
      <c r="AA4864" s="6">
        <v>0</v>
      </c>
      <c r="AB4864" s="4">
        <f t="shared" si="737"/>
        <v>0</v>
      </c>
      <c r="AC4864" s="4">
        <f t="shared" si="740"/>
        <v>0</v>
      </c>
      <c r="AD4864" s="6">
        <f t="shared" si="743"/>
        <v>0</v>
      </c>
      <c r="AE4864" s="2">
        <f>VLOOKUP(I4864,[1]媒体政策预估表!A:N,MATCH(O4864,[1]媒体政策预估表!$A$2:$M$2,0),0)</f>
        <v>0.09</v>
      </c>
      <c r="AF4864" s="6">
        <f t="shared" si="741"/>
        <v>0</v>
      </c>
      <c r="AG4864" s="14">
        <v>0</v>
      </c>
      <c r="AH4864" s="65">
        <f t="shared" si="744"/>
        <v>0</v>
      </c>
      <c r="AI4864" s="47"/>
      <c r="AJ4864" s="126" t="e">
        <v>#N/A</v>
      </c>
      <c r="AK4864" s="80">
        <f t="shared" si="738"/>
        <v>0</v>
      </c>
      <c r="AM4864" s="85"/>
    </row>
    <row r="4865" spans="1:39" hidden="1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42"/>
        <v>-307236.3</v>
      </c>
      <c r="X4865" s="6">
        <f t="shared" si="745"/>
        <v>0</v>
      </c>
      <c r="Y4865" s="13">
        <f t="shared" si="736"/>
        <v>0</v>
      </c>
      <c r="Z4865" s="14">
        <v>0</v>
      </c>
      <c r="AA4865" s="6">
        <v>0</v>
      </c>
      <c r="AB4865" s="4">
        <f t="shared" si="737"/>
        <v>0</v>
      </c>
      <c r="AC4865" s="4">
        <f t="shared" si="740"/>
        <v>0</v>
      </c>
      <c r="AD4865" s="6">
        <f t="shared" si="743"/>
        <v>0</v>
      </c>
      <c r="AE4865" s="2">
        <f>VLOOKUP(I4865,[1]媒体政策预估表!A:N,MATCH(O4865,[1]媒体政策预估表!$A$2:$M$2,0),0)</f>
        <v>0.18</v>
      </c>
      <c r="AF4865" s="6">
        <f t="shared" si="741"/>
        <v>0</v>
      </c>
      <c r="AG4865" s="14">
        <v>0</v>
      </c>
      <c r="AH4865" s="65">
        <f t="shared" si="744"/>
        <v>0</v>
      </c>
      <c r="AI4865" s="47"/>
      <c r="AJ4865" s="126" t="e">
        <v>#N/A</v>
      </c>
      <c r="AK4865" s="80">
        <f t="shared" si="738"/>
        <v>0</v>
      </c>
      <c r="AM4865" s="85"/>
    </row>
    <row r="4866" spans="1:39" hidden="1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42"/>
        <v>-1416309.59</v>
      </c>
      <c r="X4866" s="6">
        <f t="shared" si="745"/>
        <v>0</v>
      </c>
      <c r="Y4866" s="13">
        <f t="shared" si="736"/>
        <v>0</v>
      </c>
      <c r="Z4866" s="14">
        <v>0</v>
      </c>
      <c r="AA4866" s="6">
        <v>0</v>
      </c>
      <c r="AB4866" s="4">
        <f t="shared" si="737"/>
        <v>0</v>
      </c>
      <c r="AC4866" s="4">
        <f t="shared" si="740"/>
        <v>0</v>
      </c>
      <c r="AD4866" s="6">
        <f t="shared" si="743"/>
        <v>0</v>
      </c>
      <c r="AE4866" s="2">
        <f>VLOOKUP(I4866,[1]媒体政策预估表!A:N,MATCH(O4866,[1]媒体政策预估表!$A$2:$M$2,0),0)</f>
        <v>0.18</v>
      </c>
      <c r="AF4866" s="6">
        <f t="shared" si="741"/>
        <v>0</v>
      </c>
      <c r="AG4866" s="14">
        <v>0</v>
      </c>
      <c r="AH4866" s="65">
        <f t="shared" si="744"/>
        <v>0</v>
      </c>
      <c r="AI4866" s="47"/>
      <c r="AJ4866" s="126" t="e">
        <v>#N/A</v>
      </c>
      <c r="AK4866" s="80">
        <f t="shared" si="738"/>
        <v>0</v>
      </c>
      <c r="AM4866" s="85"/>
    </row>
    <row r="4867" spans="1:39" hidden="1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42"/>
        <v>10000</v>
      </c>
      <c r="X4867" s="6">
        <f t="shared" si="745"/>
        <v>0</v>
      </c>
      <c r="Y4867" s="13">
        <f t="shared" ref="Y4867:Y4930" si="746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47">X4867+AA4867</f>
        <v>0</v>
      </c>
      <c r="AC4867" s="4">
        <f t="shared" si="740"/>
        <v>0</v>
      </c>
      <c r="AD4867" s="6">
        <f t="shared" si="743"/>
        <v>0</v>
      </c>
      <c r="AE4867" s="2">
        <f>VLOOKUP(I4867,[1]媒体政策预估表!A:N,MATCH(O4867,[1]媒体政策预估表!$A$2:$M$2,0),0)</f>
        <v>0.09</v>
      </c>
      <c r="AF4867" s="6">
        <f t="shared" si="741"/>
        <v>0</v>
      </c>
      <c r="AG4867" s="14">
        <v>0</v>
      </c>
      <c r="AH4867" s="65">
        <f t="shared" si="744"/>
        <v>0</v>
      </c>
      <c r="AI4867" s="47"/>
      <c r="AJ4867" s="126" t="e">
        <v>#N/A</v>
      </c>
      <c r="AK4867" s="80">
        <f t="shared" ref="AK4867:AK4930" si="748">X4867+AA4867-AB4867</f>
        <v>0</v>
      </c>
      <c r="AM4867" s="85"/>
    </row>
    <row r="4868" spans="1:39" hidden="1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42"/>
        <v>8478.73</v>
      </c>
      <c r="X4868" s="6">
        <f t="shared" si="745"/>
        <v>0</v>
      </c>
      <c r="Y4868" s="13">
        <f t="shared" si="746"/>
        <v>0</v>
      </c>
      <c r="Z4868" s="14">
        <v>0</v>
      </c>
      <c r="AA4868" s="6">
        <v>0</v>
      </c>
      <c r="AB4868" s="4">
        <f t="shared" si="747"/>
        <v>0</v>
      </c>
      <c r="AC4868" s="4">
        <f t="shared" si="740"/>
        <v>0</v>
      </c>
      <c r="AD4868" s="6">
        <f t="shared" si="743"/>
        <v>0</v>
      </c>
      <c r="AE4868" s="2">
        <f>VLOOKUP(I4868,[1]媒体政策预估表!A:N,MATCH(O4868,[1]媒体政策预估表!$A$2:$M$2,0),0)</f>
        <v>0.09</v>
      </c>
      <c r="AF4868" s="6">
        <f t="shared" si="741"/>
        <v>0</v>
      </c>
      <c r="AG4868" s="14">
        <v>0</v>
      </c>
      <c r="AH4868" s="65">
        <f t="shared" si="744"/>
        <v>0</v>
      </c>
      <c r="AI4868" s="47"/>
      <c r="AJ4868" s="126" t="e">
        <v>#N/A</v>
      </c>
      <c r="AK4868" s="80">
        <f t="shared" si="748"/>
        <v>0</v>
      </c>
      <c r="AM4868" s="85"/>
    </row>
    <row r="4869" spans="1:39" hidden="1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42"/>
        <v>1105.3699999999999</v>
      </c>
      <c r="X4869" s="6">
        <f t="shared" si="745"/>
        <v>0</v>
      </c>
      <c r="Y4869" s="13">
        <f t="shared" si="746"/>
        <v>0</v>
      </c>
      <c r="Z4869" s="14">
        <v>0</v>
      </c>
      <c r="AA4869" s="6">
        <v>0</v>
      </c>
      <c r="AB4869" s="4">
        <f t="shared" si="747"/>
        <v>0</v>
      </c>
      <c r="AC4869" s="4">
        <f t="shared" si="740"/>
        <v>0</v>
      </c>
      <c r="AD4869" s="6">
        <f t="shared" si="743"/>
        <v>0</v>
      </c>
      <c r="AE4869" s="2">
        <f>VLOOKUP(I4869,[1]媒体政策预估表!A:N,MATCH(O4869,[1]媒体政策预估表!$A$2:$M$2,0),0)</f>
        <v>0.09</v>
      </c>
      <c r="AF4869" s="6">
        <f t="shared" si="741"/>
        <v>0</v>
      </c>
      <c r="AG4869" s="14">
        <v>0</v>
      </c>
      <c r="AH4869" s="65">
        <f t="shared" si="744"/>
        <v>0</v>
      </c>
      <c r="AI4869" s="47"/>
      <c r="AJ4869" s="126" t="e">
        <v>#N/A</v>
      </c>
      <c r="AK4869" s="80">
        <f t="shared" si="748"/>
        <v>0</v>
      </c>
      <c r="AM4869" s="85"/>
    </row>
    <row r="4870" spans="1:39" hidden="1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42"/>
        <v>500000</v>
      </c>
      <c r="X4870" s="6">
        <f t="shared" si="745"/>
        <v>0</v>
      </c>
      <c r="Y4870" s="13">
        <f t="shared" si="746"/>
        <v>0</v>
      </c>
      <c r="Z4870" s="14">
        <v>0</v>
      </c>
      <c r="AA4870" s="6">
        <v>0</v>
      </c>
      <c r="AB4870" s="4">
        <f t="shared" si="747"/>
        <v>0</v>
      </c>
      <c r="AC4870" s="4">
        <f t="shared" si="740"/>
        <v>0</v>
      </c>
      <c r="AD4870" s="6">
        <f t="shared" si="743"/>
        <v>0</v>
      </c>
      <c r="AE4870" s="2">
        <f>VLOOKUP(I4870,[1]媒体政策预估表!A:N,MATCH(O4870,[1]媒体政策预估表!$A$2:$M$2,0),0)</f>
        <v>0.09</v>
      </c>
      <c r="AF4870" s="6">
        <f t="shared" si="741"/>
        <v>0</v>
      </c>
      <c r="AG4870" s="14">
        <v>0</v>
      </c>
      <c r="AH4870" s="65">
        <f t="shared" si="744"/>
        <v>0</v>
      </c>
      <c r="AI4870" s="47"/>
      <c r="AJ4870" s="126" t="e">
        <v>#N/A</v>
      </c>
      <c r="AK4870" s="80">
        <f t="shared" si="748"/>
        <v>0</v>
      </c>
      <c r="AM4870" s="85"/>
    </row>
    <row r="4871" spans="1:39" hidden="1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42"/>
        <v>26746.11</v>
      </c>
      <c r="X4871" s="6">
        <f t="shared" si="745"/>
        <v>0</v>
      </c>
      <c r="Y4871" s="13">
        <f t="shared" si="746"/>
        <v>0</v>
      </c>
      <c r="Z4871" s="14">
        <v>0</v>
      </c>
      <c r="AA4871" s="6">
        <v>0</v>
      </c>
      <c r="AB4871" s="4">
        <f t="shared" si="747"/>
        <v>0</v>
      </c>
      <c r="AC4871" s="4">
        <f t="shared" si="740"/>
        <v>0</v>
      </c>
      <c r="AD4871" s="6">
        <f t="shared" si="743"/>
        <v>0</v>
      </c>
      <c r="AE4871" s="2">
        <f>VLOOKUP(I4871,[1]媒体政策预估表!A:N,MATCH(O4871,[1]媒体政策预估表!$A$2:$M$2,0),0)</f>
        <v>0.09</v>
      </c>
      <c r="AF4871" s="6">
        <f t="shared" si="741"/>
        <v>0</v>
      </c>
      <c r="AG4871" s="14">
        <v>0</v>
      </c>
      <c r="AH4871" s="65">
        <f t="shared" si="744"/>
        <v>0</v>
      </c>
      <c r="AI4871" s="47"/>
      <c r="AJ4871" s="126" t="e">
        <v>#N/A</v>
      </c>
      <c r="AK4871" s="80">
        <f t="shared" si="748"/>
        <v>0</v>
      </c>
      <c r="AM4871" s="85"/>
    </row>
    <row r="4872" spans="1:39" hidden="1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42"/>
        <v>1262.4100000000001</v>
      </c>
      <c r="X4872" s="6">
        <f t="shared" si="745"/>
        <v>0</v>
      </c>
      <c r="Y4872" s="13">
        <f t="shared" si="746"/>
        <v>0</v>
      </c>
      <c r="Z4872" s="14">
        <v>0</v>
      </c>
      <c r="AA4872" s="6">
        <v>0</v>
      </c>
      <c r="AB4872" s="4">
        <f t="shared" si="747"/>
        <v>0</v>
      </c>
      <c r="AC4872" s="4">
        <f t="shared" si="740"/>
        <v>0</v>
      </c>
      <c r="AD4872" s="6">
        <f t="shared" si="743"/>
        <v>0</v>
      </c>
      <c r="AE4872" s="2">
        <f>VLOOKUP(I4872,[1]媒体政策预估表!A:N,MATCH(O4872,[1]媒体政策预估表!$A$2:$M$2,0),0)</f>
        <v>0.18</v>
      </c>
      <c r="AF4872" s="6">
        <f t="shared" si="741"/>
        <v>0</v>
      </c>
      <c r="AG4872" s="14">
        <v>0</v>
      </c>
      <c r="AH4872" s="65">
        <f t="shared" si="744"/>
        <v>0</v>
      </c>
      <c r="AI4872" s="47"/>
      <c r="AJ4872" s="126" t="e">
        <v>#N/A</v>
      </c>
      <c r="AK4872" s="80">
        <f t="shared" si="748"/>
        <v>0</v>
      </c>
      <c r="AM4872" s="85"/>
    </row>
    <row r="4873" spans="1:39" hidden="1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42"/>
        <v>7397.8599999999988</v>
      </c>
      <c r="X4873" s="6">
        <f t="shared" si="745"/>
        <v>0</v>
      </c>
      <c r="Y4873" s="13">
        <f t="shared" si="746"/>
        <v>0</v>
      </c>
      <c r="Z4873" s="14">
        <v>0</v>
      </c>
      <c r="AA4873" s="6">
        <v>0</v>
      </c>
      <c r="AB4873" s="4">
        <f t="shared" si="747"/>
        <v>0</v>
      </c>
      <c r="AC4873" s="4">
        <f t="shared" si="740"/>
        <v>0</v>
      </c>
      <c r="AD4873" s="6">
        <f t="shared" si="743"/>
        <v>0</v>
      </c>
      <c r="AE4873" s="2">
        <f>VLOOKUP(I4873,[1]媒体政策预估表!A:N,MATCH(O4873,[1]媒体政策预估表!$A$2:$M$2,0),0)</f>
        <v>0.09</v>
      </c>
      <c r="AF4873" s="6">
        <f t="shared" si="741"/>
        <v>0</v>
      </c>
      <c r="AG4873" s="14">
        <v>0</v>
      </c>
      <c r="AH4873" s="65">
        <f t="shared" si="744"/>
        <v>0</v>
      </c>
      <c r="AI4873" s="47"/>
      <c r="AJ4873" s="126" t="e">
        <v>#N/A</v>
      </c>
      <c r="AK4873" s="80">
        <f t="shared" si="748"/>
        <v>0</v>
      </c>
      <c r="AM4873" s="85"/>
    </row>
    <row r="4874" spans="1:39" hidden="1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42"/>
        <v>-259787.84</v>
      </c>
      <c r="X4874" s="6">
        <f t="shared" si="745"/>
        <v>23640.629999999997</v>
      </c>
      <c r="Y4874" s="13">
        <f t="shared" si="746"/>
        <v>0</v>
      </c>
      <c r="Z4874" s="14">
        <v>0.02</v>
      </c>
      <c r="AA4874" s="6">
        <f>X4874/(1-Z4874)*Z4874</f>
        <v>482.46183673469386</v>
      </c>
      <c r="AB4874" s="4">
        <f t="shared" si="747"/>
        <v>24123.091836734689</v>
      </c>
      <c r="AC4874" s="4">
        <f t="shared" si="740"/>
        <v>0</v>
      </c>
      <c r="AD4874" s="6">
        <f t="shared" si="743"/>
        <v>23640.629999999997</v>
      </c>
      <c r="AE4874" s="2">
        <f>VLOOKUP(I4874,[1]媒体政策预估表!A:N,MATCH(O4874,[1]媒体政策预估表!$A$2:$M$2,0),0)</f>
        <v>0.18</v>
      </c>
      <c r="AF4874" s="6">
        <f t="shared" si="741"/>
        <v>4255.3133999999991</v>
      </c>
      <c r="AG4874" s="14">
        <v>0</v>
      </c>
      <c r="AH4874" s="65">
        <f t="shared" si="744"/>
        <v>23640.629999999997</v>
      </c>
      <c r="AI4874" s="47"/>
      <c r="AJ4874" s="126" t="e">
        <v>#N/A</v>
      </c>
      <c r="AK4874" s="80">
        <f t="shared" si="748"/>
        <v>0</v>
      </c>
      <c r="AM4874" s="85"/>
    </row>
    <row r="4875" spans="1:39" hidden="1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42"/>
        <v>-608863</v>
      </c>
      <c r="X4875" s="6">
        <f t="shared" si="745"/>
        <v>48418.431372549021</v>
      </c>
      <c r="Y4875" s="13">
        <f t="shared" si="746"/>
        <v>0</v>
      </c>
      <c r="Z4875" s="14">
        <v>0</v>
      </c>
      <c r="AA4875" s="6">
        <v>0</v>
      </c>
      <c r="AB4875" s="4">
        <f t="shared" si="747"/>
        <v>48418.431372549021</v>
      </c>
      <c r="AC4875" s="4">
        <f t="shared" si="740"/>
        <v>968.36862745098188</v>
      </c>
      <c r="AD4875" s="6">
        <f t="shared" si="743"/>
        <v>49386.8</v>
      </c>
      <c r="AE4875" s="2">
        <f>VLOOKUP(I4875,[1]媒体政策预估表!A:N,MATCH(O4875,[1]媒体政策预估表!$A$2:$M$2,0),0)</f>
        <v>0.18</v>
      </c>
      <c r="AF4875" s="6">
        <f t="shared" si="741"/>
        <v>8889.6239999999998</v>
      </c>
      <c r="AG4875" s="14">
        <v>0</v>
      </c>
      <c r="AH4875" s="65">
        <f t="shared" si="744"/>
        <v>49386.8</v>
      </c>
      <c r="AI4875" s="47"/>
      <c r="AJ4875" s="126" t="e">
        <v>#N/A</v>
      </c>
      <c r="AK4875" s="80">
        <f t="shared" si="748"/>
        <v>0</v>
      </c>
      <c r="AM4875" s="85"/>
    </row>
    <row r="4876" spans="1:39" hidden="1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42"/>
        <v>650</v>
      </c>
      <c r="X4876" s="6">
        <f t="shared" si="745"/>
        <v>0</v>
      </c>
      <c r="Y4876" s="13">
        <f t="shared" si="746"/>
        <v>0</v>
      </c>
      <c r="Z4876" s="14">
        <v>0</v>
      </c>
      <c r="AA4876" s="6">
        <v>0</v>
      </c>
      <c r="AB4876" s="4"/>
      <c r="AC4876" s="4">
        <f t="shared" ref="AC4876:AC4939" si="749">IF(P4876="返现",X4876*Q4876,V4876-X4876)</f>
        <v>0</v>
      </c>
      <c r="AD4876" s="6">
        <f t="shared" si="743"/>
        <v>0</v>
      </c>
      <c r="AE4876" s="2">
        <f>VLOOKUP(I4876,[1]媒体政策预估表!A:N,MATCH(O4876,[1]媒体政策预估表!$A$2:$M$2,0),0)</f>
        <v>0.09</v>
      </c>
      <c r="AF4876" s="6">
        <f t="shared" ref="AF4876:AF4939" si="750">AD4876*AE4876</f>
        <v>0</v>
      </c>
      <c r="AG4876" s="14">
        <v>0</v>
      </c>
      <c r="AH4876" s="65">
        <f t="shared" si="744"/>
        <v>0</v>
      </c>
      <c r="AI4876" s="47"/>
      <c r="AJ4876" s="126">
        <v>3</v>
      </c>
      <c r="AK4876" s="80">
        <f t="shared" si="748"/>
        <v>0</v>
      </c>
      <c r="AM4876" s="85"/>
    </row>
    <row r="4877" spans="1:39" hidden="1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42"/>
        <v>7337</v>
      </c>
      <c r="X4877" s="6">
        <f t="shared" si="745"/>
        <v>0</v>
      </c>
      <c r="Y4877" s="13">
        <f t="shared" si="746"/>
        <v>0</v>
      </c>
      <c r="Z4877" s="14">
        <v>0</v>
      </c>
      <c r="AA4877" s="6">
        <v>0</v>
      </c>
      <c r="AB4877" s="4">
        <f t="shared" si="747"/>
        <v>0</v>
      </c>
      <c r="AC4877" s="4">
        <f t="shared" si="749"/>
        <v>0</v>
      </c>
      <c r="AD4877" s="6">
        <f t="shared" si="743"/>
        <v>0</v>
      </c>
      <c r="AE4877" s="2">
        <f>VLOOKUP(I4877,[1]媒体政策预估表!A:N,MATCH(O4877,[1]媒体政策预估表!$A$2:$M$2,0),0)</f>
        <v>0.09</v>
      </c>
      <c r="AF4877" s="6">
        <f t="shared" si="750"/>
        <v>0</v>
      </c>
      <c r="AG4877" s="14">
        <v>0</v>
      </c>
      <c r="AH4877" s="65">
        <f t="shared" si="744"/>
        <v>0</v>
      </c>
      <c r="AI4877" s="47"/>
      <c r="AJ4877" s="126" t="e">
        <v>#N/A</v>
      </c>
      <c r="AK4877" s="80">
        <f t="shared" si="748"/>
        <v>0</v>
      </c>
      <c r="AM4877" s="85"/>
    </row>
    <row r="4878" spans="1:39" hidden="1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42"/>
        <v>19864.599999999999</v>
      </c>
      <c r="X4878" s="6">
        <f t="shared" si="745"/>
        <v>0</v>
      </c>
      <c r="Y4878" s="13">
        <f t="shared" si="746"/>
        <v>0</v>
      </c>
      <c r="Z4878" s="14">
        <v>0</v>
      </c>
      <c r="AA4878" s="6">
        <v>0</v>
      </c>
      <c r="AB4878" s="4">
        <f t="shared" si="747"/>
        <v>0</v>
      </c>
      <c r="AC4878" s="4">
        <f t="shared" si="749"/>
        <v>0</v>
      </c>
      <c r="AD4878" s="6">
        <f t="shared" si="743"/>
        <v>0</v>
      </c>
      <c r="AE4878" s="2">
        <f>VLOOKUP(I4878,[1]媒体政策预估表!A:N,MATCH(O4878,[1]媒体政策预估表!$A$2:$M$2,0),0)</f>
        <v>0.09</v>
      </c>
      <c r="AF4878" s="6">
        <f t="shared" si="750"/>
        <v>0</v>
      </c>
      <c r="AG4878" s="14">
        <v>0</v>
      </c>
      <c r="AH4878" s="65">
        <f t="shared" si="744"/>
        <v>0</v>
      </c>
      <c r="AI4878" s="47"/>
      <c r="AJ4878" s="126" t="e">
        <v>#N/A</v>
      </c>
      <c r="AK4878" s="80">
        <f t="shared" si="748"/>
        <v>0</v>
      </c>
      <c r="AM4878" s="85"/>
    </row>
    <row r="4879" spans="1:39" hidden="1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42"/>
        <v>2641</v>
      </c>
      <c r="X4879" s="6">
        <f t="shared" si="745"/>
        <v>0</v>
      </c>
      <c r="Y4879" s="13">
        <f t="shared" si="746"/>
        <v>0</v>
      </c>
      <c r="Z4879" s="14">
        <v>0</v>
      </c>
      <c r="AA4879" s="6">
        <v>0</v>
      </c>
      <c r="AB4879" s="4">
        <f t="shared" si="747"/>
        <v>0</v>
      </c>
      <c r="AC4879" s="4">
        <f t="shared" si="749"/>
        <v>0</v>
      </c>
      <c r="AD4879" s="6">
        <f t="shared" si="743"/>
        <v>0</v>
      </c>
      <c r="AE4879" s="2">
        <f>VLOOKUP(I4879,[1]媒体政策预估表!A:N,MATCH(O4879,[1]媒体政策预估表!$A$2:$M$2,0),0)</f>
        <v>0.09</v>
      </c>
      <c r="AF4879" s="6">
        <f t="shared" si="750"/>
        <v>0</v>
      </c>
      <c r="AG4879" s="14">
        <v>0</v>
      </c>
      <c r="AH4879" s="65">
        <f t="shared" si="744"/>
        <v>0</v>
      </c>
      <c r="AI4879" s="47"/>
      <c r="AJ4879" s="126" t="e">
        <v>#N/A</v>
      </c>
      <c r="AK4879" s="80">
        <f t="shared" si="748"/>
        <v>0</v>
      </c>
      <c r="AM4879" s="85"/>
    </row>
    <row r="4880" spans="1:39" hidden="1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42"/>
        <v>3533.05</v>
      </c>
      <c r="X4880" s="6">
        <f t="shared" si="745"/>
        <v>0</v>
      </c>
      <c r="Y4880" s="13">
        <f t="shared" si="746"/>
        <v>0</v>
      </c>
      <c r="Z4880" s="14">
        <v>0</v>
      </c>
      <c r="AA4880" s="6">
        <v>0</v>
      </c>
      <c r="AB4880" s="4">
        <f t="shared" si="747"/>
        <v>0</v>
      </c>
      <c r="AC4880" s="4">
        <f t="shared" si="749"/>
        <v>0</v>
      </c>
      <c r="AD4880" s="6">
        <f t="shared" si="743"/>
        <v>0</v>
      </c>
      <c r="AE4880" s="2">
        <f>VLOOKUP(I4880,[1]媒体政策预估表!A:N,MATCH(O4880,[1]媒体政策预估表!$A$2:$M$2,0),0)</f>
        <v>0.09</v>
      </c>
      <c r="AF4880" s="6">
        <f t="shared" si="750"/>
        <v>0</v>
      </c>
      <c r="AG4880" s="14">
        <v>0</v>
      </c>
      <c r="AH4880" s="65">
        <f t="shared" si="744"/>
        <v>0</v>
      </c>
      <c r="AI4880" s="47"/>
      <c r="AJ4880" s="126" t="e">
        <v>#N/A</v>
      </c>
      <c r="AK4880" s="80">
        <f t="shared" si="748"/>
        <v>0</v>
      </c>
      <c r="AM4880" s="85"/>
    </row>
    <row r="4881" spans="1:39" hidden="1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42"/>
        <v>-1153.24</v>
      </c>
      <c r="X4881" s="6">
        <f t="shared" si="745"/>
        <v>107.81</v>
      </c>
      <c r="Y4881" s="13">
        <f t="shared" si="746"/>
        <v>0</v>
      </c>
      <c r="Z4881" s="14">
        <v>0</v>
      </c>
      <c r="AA4881" s="6">
        <v>0</v>
      </c>
      <c r="AB4881" s="4">
        <f t="shared" si="747"/>
        <v>107.81</v>
      </c>
      <c r="AC4881" s="4">
        <f t="shared" si="749"/>
        <v>0</v>
      </c>
      <c r="AD4881" s="6">
        <f t="shared" si="743"/>
        <v>107.81</v>
      </c>
      <c r="AE4881" s="2">
        <f>VLOOKUP(I4881,[1]媒体政策预估表!A:N,MATCH(O4881,[1]媒体政策预估表!$A$2:$M$2,0),0)</f>
        <v>0.18</v>
      </c>
      <c r="AF4881" s="6">
        <f t="shared" si="750"/>
        <v>19.405799999999999</v>
      </c>
      <c r="AG4881" s="14">
        <v>0</v>
      </c>
      <c r="AH4881" s="65">
        <f t="shared" si="744"/>
        <v>107.81</v>
      </c>
      <c r="AI4881" s="47"/>
      <c r="AJ4881" s="126" t="e">
        <v>#N/A</v>
      </c>
      <c r="AK4881" s="80">
        <f t="shared" si="748"/>
        <v>0</v>
      </c>
      <c r="AM4881" s="85"/>
    </row>
    <row r="4882" spans="1:39" hidden="1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42"/>
        <v>-67672</v>
      </c>
      <c r="X4882" s="6">
        <f t="shared" si="745"/>
        <v>0</v>
      </c>
      <c r="Y4882" s="13">
        <f t="shared" si="746"/>
        <v>0</v>
      </c>
      <c r="Z4882" s="14">
        <v>0</v>
      </c>
      <c r="AA4882" s="6">
        <v>0</v>
      </c>
      <c r="AB4882" s="4">
        <f t="shared" si="747"/>
        <v>0</v>
      </c>
      <c r="AC4882" s="4">
        <f t="shared" si="749"/>
        <v>0</v>
      </c>
      <c r="AD4882" s="6">
        <f t="shared" si="743"/>
        <v>0</v>
      </c>
      <c r="AE4882" s="2">
        <f>VLOOKUP(I4882,[1]媒体政策预估表!A:N,MATCH(O4882,[1]媒体政策预估表!$A$2:$M$2,0),0)</f>
        <v>0.18</v>
      </c>
      <c r="AF4882" s="6">
        <f t="shared" si="750"/>
        <v>0</v>
      </c>
      <c r="AG4882" s="14">
        <v>0</v>
      </c>
      <c r="AH4882" s="65">
        <f t="shared" si="744"/>
        <v>0</v>
      </c>
      <c r="AI4882" s="47"/>
      <c r="AJ4882" s="126" t="e">
        <v>#N/A</v>
      </c>
      <c r="AK4882" s="80">
        <f t="shared" si="748"/>
        <v>0</v>
      </c>
      <c r="AM4882" s="85"/>
    </row>
    <row r="4883" spans="1:39" hidden="1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42"/>
        <v>7130.130000000001</v>
      </c>
      <c r="X4883" s="6">
        <f t="shared" si="745"/>
        <v>0</v>
      </c>
      <c r="Y4883" s="13">
        <f t="shared" si="746"/>
        <v>0</v>
      </c>
      <c r="Z4883" s="14">
        <v>0</v>
      </c>
      <c r="AA4883" s="6">
        <v>0</v>
      </c>
      <c r="AB4883" s="4">
        <f t="shared" si="747"/>
        <v>0</v>
      </c>
      <c r="AC4883" s="4">
        <f t="shared" si="749"/>
        <v>0</v>
      </c>
      <c r="AD4883" s="6">
        <f t="shared" si="743"/>
        <v>0</v>
      </c>
      <c r="AE4883" s="2">
        <f>VLOOKUP(I4883,[1]媒体政策预估表!A:N,MATCH(O4883,[1]媒体政策预估表!$A$2:$M$2,0),0)</f>
        <v>0.09</v>
      </c>
      <c r="AF4883" s="6">
        <f t="shared" si="750"/>
        <v>0</v>
      </c>
      <c r="AG4883" s="14">
        <v>0</v>
      </c>
      <c r="AH4883" s="65">
        <f t="shared" si="744"/>
        <v>0</v>
      </c>
      <c r="AI4883" s="47"/>
      <c r="AJ4883" s="126" t="e">
        <v>#N/A</v>
      </c>
      <c r="AK4883" s="80">
        <f t="shared" si="748"/>
        <v>0</v>
      </c>
      <c r="AM4883" s="85"/>
    </row>
    <row r="4884" spans="1:39" hidden="1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42"/>
        <v>-41545.46</v>
      </c>
      <c r="X4884" s="6">
        <f t="shared" si="745"/>
        <v>0</v>
      </c>
      <c r="Y4884" s="13">
        <f t="shared" si="746"/>
        <v>0</v>
      </c>
      <c r="Z4884" s="14">
        <v>0</v>
      </c>
      <c r="AA4884" s="6">
        <v>0</v>
      </c>
      <c r="AB4884" s="4">
        <f t="shared" si="747"/>
        <v>0</v>
      </c>
      <c r="AC4884" s="4">
        <f t="shared" si="749"/>
        <v>0</v>
      </c>
      <c r="AD4884" s="6">
        <f t="shared" si="743"/>
        <v>0</v>
      </c>
      <c r="AE4884" s="2">
        <f>VLOOKUP(I4884,[1]媒体政策预估表!A:N,MATCH(O4884,[1]媒体政策预估表!$A$2:$M$2,0),0)</f>
        <v>0.18</v>
      </c>
      <c r="AF4884" s="6">
        <f t="shared" si="750"/>
        <v>0</v>
      </c>
      <c r="AG4884" s="14">
        <v>0</v>
      </c>
      <c r="AH4884" s="65">
        <f t="shared" si="744"/>
        <v>0</v>
      </c>
      <c r="AI4884" s="47"/>
      <c r="AJ4884" s="126" t="e">
        <v>#N/A</v>
      </c>
      <c r="AK4884" s="80">
        <f t="shared" si="748"/>
        <v>0</v>
      </c>
      <c r="AM4884" s="85"/>
    </row>
    <row r="4885" spans="1:39" hidden="1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42"/>
        <v>-10080.1</v>
      </c>
      <c r="X4885" s="6">
        <f t="shared" si="745"/>
        <v>0</v>
      </c>
      <c r="Y4885" s="13">
        <f t="shared" si="746"/>
        <v>0</v>
      </c>
      <c r="Z4885" s="14">
        <v>0</v>
      </c>
      <c r="AA4885" s="6">
        <v>0</v>
      </c>
      <c r="AB4885" s="4">
        <f t="shared" si="747"/>
        <v>0</v>
      </c>
      <c r="AC4885" s="4">
        <f t="shared" si="749"/>
        <v>0</v>
      </c>
      <c r="AD4885" s="6">
        <f t="shared" si="743"/>
        <v>0</v>
      </c>
      <c r="AE4885" s="2">
        <f>VLOOKUP(I4885,[1]媒体政策预估表!A:N,MATCH(O4885,[1]媒体政策预估表!$A$2:$M$2,0),0)</f>
        <v>0.18</v>
      </c>
      <c r="AF4885" s="6">
        <f t="shared" si="750"/>
        <v>0</v>
      </c>
      <c r="AG4885" s="14">
        <v>0</v>
      </c>
      <c r="AH4885" s="65">
        <f t="shared" si="744"/>
        <v>0</v>
      </c>
      <c r="AI4885" s="47"/>
      <c r="AJ4885" s="126" t="e">
        <v>#N/A</v>
      </c>
      <c r="AK4885" s="80">
        <f t="shared" si="748"/>
        <v>0</v>
      </c>
      <c r="AM4885" s="85"/>
    </row>
    <row r="4886" spans="1:39" hidden="1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42"/>
        <v>-365615.88</v>
      </c>
      <c r="X4886" s="6">
        <f t="shared" si="745"/>
        <v>0</v>
      </c>
      <c r="Y4886" s="13">
        <f t="shared" si="746"/>
        <v>0</v>
      </c>
      <c r="Z4886" s="14">
        <v>0</v>
      </c>
      <c r="AA4886" s="6">
        <v>0</v>
      </c>
      <c r="AB4886" s="4">
        <f t="shared" si="747"/>
        <v>0</v>
      </c>
      <c r="AC4886" s="4">
        <f t="shared" si="749"/>
        <v>0</v>
      </c>
      <c r="AD4886" s="6">
        <f t="shared" si="743"/>
        <v>0</v>
      </c>
      <c r="AE4886" s="2">
        <f>VLOOKUP(I4886,[1]媒体政策预估表!A:N,MATCH(O4886,[1]媒体政策预估表!$A$2:$M$2,0),0)</f>
        <v>0.18</v>
      </c>
      <c r="AF4886" s="6">
        <f t="shared" si="750"/>
        <v>0</v>
      </c>
      <c r="AG4886" s="14">
        <v>0</v>
      </c>
      <c r="AH4886" s="65">
        <f t="shared" si="744"/>
        <v>0</v>
      </c>
      <c r="AI4886" s="47"/>
      <c r="AJ4886" s="126" t="e">
        <v>#N/A</v>
      </c>
      <c r="AK4886" s="80">
        <f t="shared" si="748"/>
        <v>0</v>
      </c>
      <c r="AM4886" s="85"/>
    </row>
    <row r="4887" spans="1:39" hidden="1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42"/>
        <v>-168764.61</v>
      </c>
      <c r="X4887" s="6">
        <f t="shared" si="745"/>
        <v>0</v>
      </c>
      <c r="Y4887" s="13">
        <f t="shared" si="746"/>
        <v>0</v>
      </c>
      <c r="Z4887" s="14">
        <v>0</v>
      </c>
      <c r="AA4887" s="6">
        <v>0</v>
      </c>
      <c r="AB4887" s="4">
        <f t="shared" si="747"/>
        <v>0</v>
      </c>
      <c r="AC4887" s="4">
        <f t="shared" si="749"/>
        <v>0</v>
      </c>
      <c r="AD4887" s="6">
        <f t="shared" si="743"/>
        <v>0</v>
      </c>
      <c r="AE4887" s="2">
        <f>VLOOKUP(I4887,[1]媒体政策预估表!A:N,MATCH(O4887,[1]媒体政策预估表!$A$2:$M$2,0),0)</f>
        <v>0.18</v>
      </c>
      <c r="AF4887" s="6">
        <f t="shared" si="750"/>
        <v>0</v>
      </c>
      <c r="AG4887" s="14">
        <v>0</v>
      </c>
      <c r="AH4887" s="65">
        <f t="shared" si="744"/>
        <v>0</v>
      </c>
      <c r="AI4887" s="47"/>
      <c r="AJ4887" s="126" t="e">
        <v>#N/A</v>
      </c>
      <c r="AK4887" s="80">
        <f t="shared" si="748"/>
        <v>0</v>
      </c>
      <c r="AM4887" s="85"/>
    </row>
    <row r="4888" spans="1:39" hidden="1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42"/>
        <v>-51441.16</v>
      </c>
      <c r="X4888" s="6">
        <f t="shared" si="745"/>
        <v>0</v>
      </c>
      <c r="Y4888" s="13">
        <f t="shared" si="746"/>
        <v>0</v>
      </c>
      <c r="Z4888" s="14">
        <v>0</v>
      </c>
      <c r="AA4888" s="6">
        <v>0</v>
      </c>
      <c r="AB4888" s="4">
        <f t="shared" si="747"/>
        <v>0</v>
      </c>
      <c r="AC4888" s="4">
        <f t="shared" si="749"/>
        <v>0</v>
      </c>
      <c r="AD4888" s="6">
        <f t="shared" si="743"/>
        <v>0</v>
      </c>
      <c r="AE4888" s="2">
        <f>VLOOKUP(I4888,[1]媒体政策预估表!A:N,MATCH(O4888,[1]媒体政策预估表!$A$2:$M$2,0),0)</f>
        <v>0.18</v>
      </c>
      <c r="AF4888" s="6">
        <f t="shared" si="750"/>
        <v>0</v>
      </c>
      <c r="AG4888" s="14">
        <v>0</v>
      </c>
      <c r="AH4888" s="65">
        <f t="shared" si="744"/>
        <v>0</v>
      </c>
      <c r="AI4888" s="47"/>
      <c r="AJ4888" s="126" t="e">
        <v>#N/A</v>
      </c>
      <c r="AK4888" s="80">
        <f t="shared" si="748"/>
        <v>0</v>
      </c>
      <c r="AM4888" s="85"/>
    </row>
    <row r="4889" spans="1:39" hidden="1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42"/>
        <v>-145114.81</v>
      </c>
      <c r="X4889" s="6">
        <f t="shared" si="745"/>
        <v>0</v>
      </c>
      <c r="Y4889" s="13">
        <f t="shared" si="746"/>
        <v>0</v>
      </c>
      <c r="Z4889" s="14">
        <v>0</v>
      </c>
      <c r="AA4889" s="6">
        <v>0</v>
      </c>
      <c r="AB4889" s="4">
        <f t="shared" si="747"/>
        <v>0</v>
      </c>
      <c r="AC4889" s="4">
        <f t="shared" si="749"/>
        <v>0</v>
      </c>
      <c r="AD4889" s="6">
        <f t="shared" si="743"/>
        <v>0</v>
      </c>
      <c r="AE4889" s="2">
        <f>VLOOKUP(I4889,[1]媒体政策预估表!A:N,MATCH(O4889,[1]媒体政策预估表!$A$2:$M$2,0),0)</f>
        <v>0.18</v>
      </c>
      <c r="AF4889" s="6">
        <f t="shared" si="750"/>
        <v>0</v>
      </c>
      <c r="AG4889" s="14">
        <v>0</v>
      </c>
      <c r="AH4889" s="65">
        <f t="shared" si="744"/>
        <v>0</v>
      </c>
      <c r="AI4889" s="47"/>
      <c r="AJ4889" s="126" t="e">
        <v>#N/A</v>
      </c>
      <c r="AK4889" s="80">
        <f t="shared" si="748"/>
        <v>0</v>
      </c>
      <c r="AM4889" s="85"/>
    </row>
    <row r="4890" spans="1:39" hidden="1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42"/>
        <v>-6716.95</v>
      </c>
      <c r="X4890" s="6">
        <f t="shared" si="745"/>
        <v>0</v>
      </c>
      <c r="Y4890" s="13">
        <f t="shared" si="746"/>
        <v>0</v>
      </c>
      <c r="Z4890" s="14">
        <v>0</v>
      </c>
      <c r="AA4890" s="6">
        <v>0</v>
      </c>
      <c r="AB4890" s="4">
        <f t="shared" si="747"/>
        <v>0</v>
      </c>
      <c r="AC4890" s="4">
        <f t="shared" si="749"/>
        <v>0</v>
      </c>
      <c r="AD4890" s="6">
        <f t="shared" si="743"/>
        <v>0</v>
      </c>
      <c r="AE4890" s="2">
        <f>VLOOKUP(I4890,[1]媒体政策预估表!A:N,MATCH(O4890,[1]媒体政策预估表!$A$2:$M$2,0),0)</f>
        <v>0.18</v>
      </c>
      <c r="AF4890" s="6">
        <f t="shared" si="750"/>
        <v>0</v>
      </c>
      <c r="AG4890" s="14">
        <v>0</v>
      </c>
      <c r="AH4890" s="65">
        <f t="shared" si="744"/>
        <v>0</v>
      </c>
      <c r="AI4890" s="47"/>
      <c r="AJ4890" s="126" t="e">
        <v>#N/A</v>
      </c>
      <c r="AK4890" s="80">
        <f t="shared" si="748"/>
        <v>0</v>
      </c>
      <c r="AM4890" s="85"/>
    </row>
    <row r="4891" spans="1:39" hidden="1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42"/>
        <v>-3229.28</v>
      </c>
      <c r="X4891" s="6">
        <f t="shared" si="745"/>
        <v>0</v>
      </c>
      <c r="Y4891" s="13">
        <f t="shared" si="746"/>
        <v>0</v>
      </c>
      <c r="Z4891" s="14">
        <v>0</v>
      </c>
      <c r="AA4891" s="6">
        <v>0</v>
      </c>
      <c r="AB4891" s="4">
        <f t="shared" si="747"/>
        <v>0</v>
      </c>
      <c r="AC4891" s="4">
        <f t="shared" si="749"/>
        <v>0</v>
      </c>
      <c r="AD4891" s="6">
        <f t="shared" si="743"/>
        <v>0</v>
      </c>
      <c r="AE4891" s="2">
        <f>VLOOKUP(I4891,[1]媒体政策预估表!A:N,MATCH(O4891,[1]媒体政策预估表!$A$2:$M$2,0),0)</f>
        <v>0.18</v>
      </c>
      <c r="AF4891" s="6">
        <f t="shared" si="750"/>
        <v>0</v>
      </c>
      <c r="AG4891" s="14">
        <v>0</v>
      </c>
      <c r="AH4891" s="65">
        <f t="shared" si="744"/>
        <v>0</v>
      </c>
      <c r="AI4891" s="47"/>
      <c r="AJ4891" s="126" t="e">
        <v>#N/A</v>
      </c>
      <c r="AK4891" s="80">
        <f t="shared" si="748"/>
        <v>0</v>
      </c>
      <c r="AM4891" s="85"/>
    </row>
    <row r="4892" spans="1:39" hidden="1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42"/>
        <v>-70367.600000000006</v>
      </c>
      <c r="X4892" s="6">
        <f t="shared" si="745"/>
        <v>477.07</v>
      </c>
      <c r="Y4892" s="13">
        <f t="shared" si="746"/>
        <v>0</v>
      </c>
      <c r="Z4892" s="14">
        <v>0</v>
      </c>
      <c r="AA4892" s="6">
        <v>0</v>
      </c>
      <c r="AB4892" s="4">
        <f t="shared" si="747"/>
        <v>477.07</v>
      </c>
      <c r="AC4892" s="4">
        <f t="shared" si="749"/>
        <v>0</v>
      </c>
      <c r="AD4892" s="6">
        <f t="shared" si="743"/>
        <v>477.07</v>
      </c>
      <c r="AE4892" s="2">
        <f>VLOOKUP(I4892,[1]媒体政策预估表!A:N,MATCH(O4892,[1]媒体政策预估表!$A$2:$M$2,0),0)</f>
        <v>0.18</v>
      </c>
      <c r="AF4892" s="6">
        <f t="shared" si="750"/>
        <v>85.872599999999991</v>
      </c>
      <c r="AG4892" s="14">
        <v>0</v>
      </c>
      <c r="AH4892" s="65">
        <f t="shared" si="744"/>
        <v>477.07</v>
      </c>
      <c r="AI4892" s="47"/>
      <c r="AJ4892" s="126" t="e">
        <v>#N/A</v>
      </c>
      <c r="AK4892" s="80">
        <f t="shared" si="748"/>
        <v>0</v>
      </c>
      <c r="AM4892" s="85"/>
    </row>
    <row r="4893" spans="1:39" hidden="1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42"/>
        <v>-26</v>
      </c>
      <c r="X4893" s="6">
        <f t="shared" si="745"/>
        <v>0</v>
      </c>
      <c r="Y4893" s="13">
        <f t="shared" si="746"/>
        <v>0</v>
      </c>
      <c r="Z4893" s="14">
        <v>0.02</v>
      </c>
      <c r="AA4893" s="6">
        <f>X4893/(1-Z4893)*Z4893</f>
        <v>0</v>
      </c>
      <c r="AB4893" s="4">
        <f t="shared" si="747"/>
        <v>0</v>
      </c>
      <c r="AC4893" s="4">
        <f t="shared" si="749"/>
        <v>0</v>
      </c>
      <c r="AD4893" s="6">
        <f t="shared" si="743"/>
        <v>0</v>
      </c>
      <c r="AE4893" s="2">
        <f>VLOOKUP(I4893,[1]媒体政策预估表!A:N,MATCH(O4893,[1]媒体政策预估表!$A$2:$M$2,0),0)</f>
        <v>0.18</v>
      </c>
      <c r="AF4893" s="6">
        <f t="shared" si="750"/>
        <v>0</v>
      </c>
      <c r="AG4893" s="14">
        <v>0</v>
      </c>
      <c r="AH4893" s="65">
        <f t="shared" si="744"/>
        <v>0</v>
      </c>
      <c r="AI4893" s="47"/>
      <c r="AJ4893" s="126" t="e">
        <v>#N/A</v>
      </c>
      <c r="AK4893" s="80">
        <f t="shared" si="748"/>
        <v>0</v>
      </c>
      <c r="AM4893" s="85"/>
    </row>
    <row r="4894" spans="1:39" hidden="1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42"/>
        <v>-160375.22</v>
      </c>
      <c r="X4894" s="6">
        <f t="shared" si="745"/>
        <v>0</v>
      </c>
      <c r="Y4894" s="13">
        <f t="shared" si="746"/>
        <v>0</v>
      </c>
      <c r="Z4894" s="14">
        <v>0</v>
      </c>
      <c r="AA4894" s="6">
        <v>0</v>
      </c>
      <c r="AB4894" s="4">
        <f t="shared" si="747"/>
        <v>0</v>
      </c>
      <c r="AC4894" s="4">
        <f t="shared" si="749"/>
        <v>0</v>
      </c>
      <c r="AD4894" s="6">
        <f t="shared" si="743"/>
        <v>0</v>
      </c>
      <c r="AE4894" s="2">
        <f>VLOOKUP(I4894,[1]媒体政策预估表!A:N,MATCH(O4894,[1]媒体政策预估表!$A$2:$M$2,0),0)</f>
        <v>0.18</v>
      </c>
      <c r="AF4894" s="6">
        <f t="shared" si="750"/>
        <v>0</v>
      </c>
      <c r="AG4894" s="14">
        <v>0</v>
      </c>
      <c r="AH4894" s="65">
        <f t="shared" si="744"/>
        <v>0</v>
      </c>
      <c r="AI4894" s="47"/>
      <c r="AJ4894" s="126" t="e">
        <v>#N/A</v>
      </c>
      <c r="AK4894" s="80">
        <f t="shared" si="748"/>
        <v>0</v>
      </c>
      <c r="AM4894" s="85"/>
    </row>
    <row r="4895" spans="1:39" hidden="1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42"/>
        <v>356.31999999999971</v>
      </c>
      <c r="X4895" s="6">
        <f t="shared" si="745"/>
        <v>0</v>
      </c>
      <c r="Y4895" s="13">
        <f t="shared" si="746"/>
        <v>0</v>
      </c>
      <c r="Z4895" s="14">
        <v>0</v>
      </c>
      <c r="AA4895" s="6">
        <v>0</v>
      </c>
      <c r="AB4895" s="4">
        <f t="shared" si="747"/>
        <v>0</v>
      </c>
      <c r="AC4895" s="4">
        <f t="shared" si="749"/>
        <v>0</v>
      </c>
      <c r="AD4895" s="6">
        <f t="shared" si="743"/>
        <v>0</v>
      </c>
      <c r="AE4895" s="2">
        <f>VLOOKUP(I4895,[1]媒体政策预估表!A:N,MATCH(O4895,[1]媒体政策预估表!$A$2:$M$2,0),0)</f>
        <v>0.09</v>
      </c>
      <c r="AF4895" s="6">
        <f t="shared" si="750"/>
        <v>0</v>
      </c>
      <c r="AG4895" s="14">
        <v>0</v>
      </c>
      <c r="AH4895" s="65">
        <f t="shared" si="744"/>
        <v>0</v>
      </c>
      <c r="AI4895" s="47"/>
      <c r="AJ4895" s="126" t="e">
        <v>#N/A</v>
      </c>
      <c r="AK4895" s="80">
        <f t="shared" si="748"/>
        <v>0</v>
      </c>
      <c r="AM4895" s="85"/>
    </row>
    <row r="4896" spans="1:39" hidden="1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42"/>
        <v>-48518.63</v>
      </c>
      <c r="X4896" s="6">
        <f t="shared" si="745"/>
        <v>0</v>
      </c>
      <c r="Y4896" s="13">
        <f t="shared" si="746"/>
        <v>0</v>
      </c>
      <c r="Z4896" s="14">
        <v>0</v>
      </c>
      <c r="AA4896" s="6">
        <v>0</v>
      </c>
      <c r="AB4896" s="4">
        <f t="shared" si="747"/>
        <v>0</v>
      </c>
      <c r="AC4896" s="4">
        <f t="shared" si="749"/>
        <v>0</v>
      </c>
      <c r="AD4896" s="6">
        <f t="shared" si="743"/>
        <v>0</v>
      </c>
      <c r="AE4896" s="2">
        <f>VLOOKUP(I4896,[1]媒体政策预估表!A:N,MATCH(O4896,[1]媒体政策预估表!$A$2:$M$2,0),0)</f>
        <v>0.09</v>
      </c>
      <c r="AF4896" s="6">
        <f t="shared" si="750"/>
        <v>0</v>
      </c>
      <c r="AG4896" s="14">
        <v>0</v>
      </c>
      <c r="AH4896" s="65">
        <f t="shared" si="744"/>
        <v>0</v>
      </c>
      <c r="AI4896" s="47"/>
      <c r="AJ4896" s="126" t="e">
        <v>#N/A</v>
      </c>
      <c r="AK4896" s="80">
        <f t="shared" si="748"/>
        <v>0</v>
      </c>
      <c r="AM4896" s="85"/>
    </row>
    <row r="4897" spans="1:39" hidden="1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42"/>
        <v>-293.76</v>
      </c>
      <c r="X4897" s="6">
        <f t="shared" si="745"/>
        <v>0</v>
      </c>
      <c r="Y4897" s="13">
        <f t="shared" si="746"/>
        <v>0</v>
      </c>
      <c r="Z4897" s="14">
        <v>0</v>
      </c>
      <c r="AA4897" s="6">
        <v>0</v>
      </c>
      <c r="AB4897" s="4">
        <f t="shared" si="747"/>
        <v>0</v>
      </c>
      <c r="AC4897" s="4">
        <f t="shared" si="749"/>
        <v>0</v>
      </c>
      <c r="AD4897" s="6">
        <f t="shared" si="743"/>
        <v>0</v>
      </c>
      <c r="AE4897" s="2">
        <f>VLOOKUP(I4897,[1]媒体政策预估表!A:N,MATCH(O4897,[1]媒体政策预估表!$A$2:$M$2,0),0)</f>
        <v>0.18</v>
      </c>
      <c r="AF4897" s="6">
        <f t="shared" si="750"/>
        <v>0</v>
      </c>
      <c r="AG4897" s="14">
        <v>0</v>
      </c>
      <c r="AH4897" s="65">
        <f t="shared" si="744"/>
        <v>0</v>
      </c>
      <c r="AI4897" s="47"/>
      <c r="AJ4897" s="126" t="e">
        <v>#N/A</v>
      </c>
      <c r="AK4897" s="80">
        <f t="shared" si="748"/>
        <v>0</v>
      </c>
      <c r="AM4897" s="85"/>
    </row>
    <row r="4898" spans="1:39" hidden="1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42"/>
        <v>-935756.02</v>
      </c>
      <c r="X4898" s="6">
        <f t="shared" si="745"/>
        <v>0</v>
      </c>
      <c r="Y4898" s="13">
        <f t="shared" si="746"/>
        <v>0</v>
      </c>
      <c r="Z4898" s="14">
        <v>0</v>
      </c>
      <c r="AA4898" s="6">
        <v>0</v>
      </c>
      <c r="AB4898" s="4">
        <f t="shared" si="747"/>
        <v>0</v>
      </c>
      <c r="AC4898" s="4">
        <f t="shared" si="749"/>
        <v>0</v>
      </c>
      <c r="AD4898" s="6">
        <f t="shared" si="743"/>
        <v>0</v>
      </c>
      <c r="AE4898" s="2">
        <f>VLOOKUP(I4898,[1]媒体政策预估表!A:N,MATCH(O4898,[1]媒体政策预估表!$A$2:$M$2,0),0)</f>
        <v>0.18</v>
      </c>
      <c r="AF4898" s="6">
        <f t="shared" si="750"/>
        <v>0</v>
      </c>
      <c r="AG4898" s="14">
        <v>0</v>
      </c>
      <c r="AH4898" s="65">
        <f t="shared" si="744"/>
        <v>0</v>
      </c>
      <c r="AI4898" s="47"/>
      <c r="AJ4898" s="126" t="e">
        <v>#N/A</v>
      </c>
      <c r="AK4898" s="80">
        <f t="shared" si="748"/>
        <v>0</v>
      </c>
      <c r="AM4898" s="85"/>
    </row>
    <row r="4899" spans="1:39" hidden="1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42"/>
        <v>-1300426.6600000001</v>
      </c>
      <c r="X4899" s="6">
        <f t="shared" si="745"/>
        <v>836405.9134615385</v>
      </c>
      <c r="Y4899" s="13">
        <f t="shared" si="746"/>
        <v>0</v>
      </c>
      <c r="Z4899" s="14">
        <v>0</v>
      </c>
      <c r="AA4899" s="6">
        <v>0</v>
      </c>
      <c r="AB4899" s="4">
        <f t="shared" si="747"/>
        <v>836405.9134615385</v>
      </c>
      <c r="AC4899" s="4">
        <f t="shared" si="749"/>
        <v>33456.236538461526</v>
      </c>
      <c r="AD4899" s="6">
        <f t="shared" si="743"/>
        <v>869862.15</v>
      </c>
      <c r="AE4899" s="2">
        <f>VLOOKUP(I4899,[1]媒体政策预估表!A:N,MATCH(O4899,[1]媒体政策预估表!$A$2:$M$2,0),0)</f>
        <v>0.18</v>
      </c>
      <c r="AF4899" s="6">
        <f t="shared" si="750"/>
        <v>156575.18700000001</v>
      </c>
      <c r="AG4899" s="14">
        <v>0</v>
      </c>
      <c r="AH4899" s="65">
        <f t="shared" si="744"/>
        <v>869862.15</v>
      </c>
      <c r="AI4899" s="47"/>
      <c r="AJ4899" s="126" t="e">
        <v>#N/A</v>
      </c>
      <c r="AK4899" s="80">
        <f t="shared" si="748"/>
        <v>0</v>
      </c>
      <c r="AM4899" s="85"/>
    </row>
    <row r="4900" spans="1:39" hidden="1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42"/>
        <v>-23601.200000000001</v>
      </c>
      <c r="X4900" s="6">
        <f t="shared" si="745"/>
        <v>0</v>
      </c>
      <c r="Y4900" s="13">
        <f t="shared" si="746"/>
        <v>0</v>
      </c>
      <c r="Z4900" s="14">
        <v>0</v>
      </c>
      <c r="AA4900" s="6">
        <v>0</v>
      </c>
      <c r="AB4900" s="4">
        <f t="shared" si="747"/>
        <v>0</v>
      </c>
      <c r="AC4900" s="4">
        <f t="shared" si="749"/>
        <v>0</v>
      </c>
      <c r="AD4900" s="6">
        <f t="shared" si="743"/>
        <v>0</v>
      </c>
      <c r="AE4900" s="2">
        <f>VLOOKUP(I4900,[1]媒体政策预估表!A:N,MATCH(O4900,[1]媒体政策预估表!$A$2:$M$2,0),0)</f>
        <v>0.18</v>
      </c>
      <c r="AF4900" s="6">
        <f t="shared" si="750"/>
        <v>0</v>
      </c>
      <c r="AG4900" s="14">
        <v>0</v>
      </c>
      <c r="AH4900" s="65">
        <f t="shared" si="744"/>
        <v>0</v>
      </c>
      <c r="AI4900" s="47"/>
      <c r="AJ4900" s="126" t="e">
        <v>#N/A</v>
      </c>
      <c r="AK4900" s="80">
        <f t="shared" si="748"/>
        <v>0</v>
      </c>
      <c r="AM4900" s="85"/>
    </row>
    <row r="4901" spans="1:39" hidden="1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42"/>
        <v>-87350.13</v>
      </c>
      <c r="X4901" s="6">
        <f t="shared" si="745"/>
        <v>27577.307692307691</v>
      </c>
      <c r="Y4901" s="13">
        <f t="shared" si="746"/>
        <v>0</v>
      </c>
      <c r="Z4901" s="14">
        <v>0</v>
      </c>
      <c r="AA4901" s="6">
        <v>0</v>
      </c>
      <c r="AB4901" s="4">
        <f t="shared" si="747"/>
        <v>27577.307692307691</v>
      </c>
      <c r="AC4901" s="4">
        <f t="shared" si="749"/>
        <v>1103.09230769231</v>
      </c>
      <c r="AD4901" s="6">
        <f t="shared" si="743"/>
        <v>28680.400000000001</v>
      </c>
      <c r="AE4901" s="2">
        <f>VLOOKUP(I4901,[1]媒体政策预估表!A:N,MATCH(O4901,[1]媒体政策预估表!$A$2:$M$2,0),0)</f>
        <v>0.18</v>
      </c>
      <c r="AF4901" s="6">
        <f t="shared" si="750"/>
        <v>5162.4719999999998</v>
      </c>
      <c r="AG4901" s="14">
        <v>0</v>
      </c>
      <c r="AH4901" s="65">
        <f t="shared" si="744"/>
        <v>28680.400000000001</v>
      </c>
      <c r="AI4901" s="47"/>
      <c r="AJ4901" s="126" t="e">
        <v>#N/A</v>
      </c>
      <c r="AK4901" s="80">
        <f t="shared" si="748"/>
        <v>0</v>
      </c>
      <c r="AM4901" s="85"/>
    </row>
    <row r="4902" spans="1:39" hidden="1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42"/>
        <v>-75624.570000000007</v>
      </c>
      <c r="X4902" s="6">
        <f t="shared" si="745"/>
        <v>0</v>
      </c>
      <c r="Y4902" s="13">
        <f t="shared" si="746"/>
        <v>0</v>
      </c>
      <c r="Z4902" s="14">
        <v>0</v>
      </c>
      <c r="AA4902" s="6">
        <v>0</v>
      </c>
      <c r="AB4902" s="4">
        <f t="shared" si="747"/>
        <v>0</v>
      </c>
      <c r="AC4902" s="4">
        <f t="shared" si="749"/>
        <v>0</v>
      </c>
      <c r="AD4902" s="6">
        <f t="shared" si="743"/>
        <v>0</v>
      </c>
      <c r="AE4902" s="2">
        <f>VLOOKUP(I4902,[1]媒体政策预估表!A:N,MATCH(O4902,[1]媒体政策预估表!$A$2:$M$2,0),0)</f>
        <v>0.18</v>
      </c>
      <c r="AF4902" s="6">
        <f t="shared" si="750"/>
        <v>0</v>
      </c>
      <c r="AG4902" s="14">
        <v>0</v>
      </c>
      <c r="AH4902" s="65">
        <f t="shared" si="744"/>
        <v>0</v>
      </c>
      <c r="AI4902" s="47"/>
      <c r="AJ4902" s="126" t="e">
        <v>#N/A</v>
      </c>
      <c r="AK4902" s="80">
        <f t="shared" si="748"/>
        <v>0</v>
      </c>
      <c r="AM4902" s="85"/>
    </row>
    <row r="4903" spans="1:39" hidden="1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42"/>
        <v>-1922073.01</v>
      </c>
      <c r="X4903" s="6">
        <f t="shared" si="745"/>
        <v>996107.82857142854</v>
      </c>
      <c r="Y4903" s="13">
        <f t="shared" si="746"/>
        <v>0</v>
      </c>
      <c r="Z4903" s="14">
        <v>0</v>
      </c>
      <c r="AA4903" s="6">
        <v>0</v>
      </c>
      <c r="AB4903" s="4">
        <f t="shared" si="747"/>
        <v>996107.82857142854</v>
      </c>
      <c r="AC4903" s="4">
        <f t="shared" si="749"/>
        <v>49805.391428571427</v>
      </c>
      <c r="AD4903" s="6">
        <f t="shared" si="743"/>
        <v>1045913.22</v>
      </c>
      <c r="AE4903" s="2">
        <f>VLOOKUP(I4903,[1]媒体政策预估表!A:N,MATCH(O4903,[1]媒体政策预估表!$A$2:$M$2,0),0)</f>
        <v>0.18</v>
      </c>
      <c r="AF4903" s="6">
        <f t="shared" si="750"/>
        <v>188264.37959999999</v>
      </c>
      <c r="AG4903" s="14">
        <v>0</v>
      </c>
      <c r="AH4903" s="65">
        <f t="shared" si="744"/>
        <v>1045913.22</v>
      </c>
      <c r="AI4903" s="47"/>
      <c r="AJ4903" s="126" t="e">
        <v>#N/A</v>
      </c>
      <c r="AK4903" s="80">
        <f t="shared" si="748"/>
        <v>0</v>
      </c>
      <c r="AM4903" s="85"/>
    </row>
    <row r="4904" spans="1:39" hidden="1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42"/>
        <v>-11543.85</v>
      </c>
      <c r="X4904" s="6">
        <f t="shared" si="745"/>
        <v>10890.424528301886</v>
      </c>
      <c r="Y4904" s="13">
        <f t="shared" si="746"/>
        <v>0</v>
      </c>
      <c r="Z4904" s="14">
        <v>0</v>
      </c>
      <c r="AA4904" s="6">
        <v>0</v>
      </c>
      <c r="AB4904" s="4">
        <f t="shared" si="747"/>
        <v>10890.424528301886</v>
      </c>
      <c r="AC4904" s="4">
        <f t="shared" si="749"/>
        <v>653.42547169811405</v>
      </c>
      <c r="AD4904" s="6">
        <f t="shared" si="743"/>
        <v>11543.85</v>
      </c>
      <c r="AE4904" s="2">
        <f>VLOOKUP(I4904,[1]媒体政策预估表!A:N,MATCH(O4904,[1]媒体政策预估表!$A$2:$M$2,0),0)</f>
        <v>0.18</v>
      </c>
      <c r="AF4904" s="6">
        <f t="shared" si="750"/>
        <v>2077.893</v>
      </c>
      <c r="AG4904" s="14">
        <v>0</v>
      </c>
      <c r="AH4904" s="65">
        <f t="shared" si="744"/>
        <v>11543.85</v>
      </c>
      <c r="AI4904" s="47"/>
      <c r="AJ4904" s="126" t="e">
        <v>#N/A</v>
      </c>
      <c r="AK4904" s="80">
        <f t="shared" si="748"/>
        <v>0</v>
      </c>
      <c r="AM4904" s="85"/>
    </row>
    <row r="4905" spans="1:39" hidden="1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42"/>
        <v>-608.1</v>
      </c>
      <c r="X4905" s="6">
        <f t="shared" si="745"/>
        <v>0</v>
      </c>
      <c r="Y4905" s="13">
        <f t="shared" si="746"/>
        <v>0</v>
      </c>
      <c r="Z4905" s="14">
        <v>0</v>
      </c>
      <c r="AA4905" s="6">
        <v>0</v>
      </c>
      <c r="AB4905" s="4">
        <f t="shared" si="747"/>
        <v>0</v>
      </c>
      <c r="AC4905" s="4">
        <f t="shared" si="749"/>
        <v>0</v>
      </c>
      <c r="AD4905" s="6">
        <f t="shared" si="743"/>
        <v>0</v>
      </c>
      <c r="AE4905" s="2">
        <f>VLOOKUP(I4905,[1]媒体政策预估表!A:N,MATCH(O4905,[1]媒体政策预估表!$A$2:$M$2,0),0)</f>
        <v>0.18</v>
      </c>
      <c r="AF4905" s="6">
        <f t="shared" si="750"/>
        <v>0</v>
      </c>
      <c r="AG4905" s="14">
        <v>0</v>
      </c>
      <c r="AH4905" s="65">
        <f t="shared" si="744"/>
        <v>0</v>
      </c>
      <c r="AI4905" s="47"/>
      <c r="AJ4905" s="126" t="e">
        <v>#N/A</v>
      </c>
      <c r="AK4905" s="80">
        <f t="shared" si="748"/>
        <v>0</v>
      </c>
      <c r="AM4905" s="85"/>
    </row>
    <row r="4906" spans="1:39" hidden="1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42"/>
        <v>-1600.9</v>
      </c>
      <c r="X4906" s="6">
        <f t="shared" si="745"/>
        <v>200.9</v>
      </c>
      <c r="Y4906" s="13">
        <f t="shared" si="746"/>
        <v>0</v>
      </c>
      <c r="Z4906" s="14">
        <v>0</v>
      </c>
      <c r="AA4906" s="6">
        <v>0</v>
      </c>
      <c r="AB4906" s="4">
        <f t="shared" si="747"/>
        <v>200.9</v>
      </c>
      <c r="AC4906" s="4">
        <f t="shared" si="749"/>
        <v>0</v>
      </c>
      <c r="AD4906" s="6">
        <f t="shared" si="743"/>
        <v>200.9</v>
      </c>
      <c r="AE4906" s="2">
        <f>VLOOKUP(I4906,[1]媒体政策预估表!A:N,MATCH(O4906,[1]媒体政策预估表!$A$2:$M$2,0),0)</f>
        <v>0.18</v>
      </c>
      <c r="AF4906" s="6">
        <f t="shared" si="750"/>
        <v>36.161999999999999</v>
      </c>
      <c r="AG4906" s="14">
        <v>0</v>
      </c>
      <c r="AH4906" s="65">
        <f t="shared" si="744"/>
        <v>200.9</v>
      </c>
      <c r="AI4906" s="47"/>
      <c r="AJ4906" s="126" t="e">
        <v>#N/A</v>
      </c>
      <c r="AK4906" s="80">
        <f t="shared" si="748"/>
        <v>0</v>
      </c>
      <c r="AM4906" s="85"/>
    </row>
    <row r="4907" spans="1:39" hidden="1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42"/>
        <v>-1117.1300000000001</v>
      </c>
      <c r="X4907" s="6">
        <f t="shared" si="745"/>
        <v>0</v>
      </c>
      <c r="Y4907" s="13">
        <f t="shared" si="746"/>
        <v>0</v>
      </c>
      <c r="Z4907" s="14">
        <v>0</v>
      </c>
      <c r="AA4907" s="6">
        <v>0</v>
      </c>
      <c r="AB4907" s="4">
        <f t="shared" si="747"/>
        <v>0</v>
      </c>
      <c r="AC4907" s="4">
        <f t="shared" si="749"/>
        <v>0</v>
      </c>
      <c r="AD4907" s="6">
        <f t="shared" si="743"/>
        <v>0</v>
      </c>
      <c r="AE4907" s="2">
        <f>VLOOKUP(I4907,[1]媒体政策预估表!A:N,MATCH(O4907,[1]媒体政策预估表!$A$2:$M$2,0),0)</f>
        <v>0.18</v>
      </c>
      <c r="AF4907" s="6">
        <f t="shared" si="750"/>
        <v>0</v>
      </c>
      <c r="AG4907" s="14">
        <v>0</v>
      </c>
      <c r="AH4907" s="65">
        <f t="shared" si="744"/>
        <v>0</v>
      </c>
      <c r="AI4907" s="47"/>
      <c r="AJ4907" s="126" t="e">
        <v>#N/A</v>
      </c>
      <c r="AK4907" s="80">
        <f t="shared" si="748"/>
        <v>0</v>
      </c>
      <c r="AM4907" s="85"/>
    </row>
    <row r="4908" spans="1:39" hidden="1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42"/>
        <v>-64409.9</v>
      </c>
      <c r="X4908" s="6">
        <f t="shared" si="745"/>
        <v>41486.57</v>
      </c>
      <c r="Y4908" s="13">
        <f t="shared" si="746"/>
        <v>0</v>
      </c>
      <c r="Z4908" s="14">
        <v>0</v>
      </c>
      <c r="AA4908" s="6">
        <v>0</v>
      </c>
      <c r="AB4908" s="4">
        <f t="shared" si="747"/>
        <v>41486.57</v>
      </c>
      <c r="AC4908" s="4">
        <f t="shared" si="749"/>
        <v>0</v>
      </c>
      <c r="AD4908" s="6">
        <f t="shared" si="743"/>
        <v>41486.57</v>
      </c>
      <c r="AE4908" s="2">
        <f>VLOOKUP(I4908,[1]媒体政策预估表!A:N,MATCH(O4908,[1]媒体政策预估表!$A$2:$M$2,0),0)</f>
        <v>0.18</v>
      </c>
      <c r="AF4908" s="6">
        <f t="shared" si="750"/>
        <v>7467.5825999999997</v>
      </c>
      <c r="AG4908" s="14">
        <v>0</v>
      </c>
      <c r="AH4908" s="65">
        <f t="shared" si="744"/>
        <v>41486.57</v>
      </c>
      <c r="AI4908" s="47"/>
      <c r="AJ4908" s="126" t="e">
        <v>#N/A</v>
      </c>
      <c r="AK4908" s="80">
        <f t="shared" si="748"/>
        <v>0</v>
      </c>
      <c r="AM4908" s="85"/>
    </row>
    <row r="4909" spans="1:39" hidden="1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45"/>
        <v>1312.7549019607843</v>
      </c>
      <c r="Y4909" s="13">
        <f t="shared" si="746"/>
        <v>0</v>
      </c>
      <c r="Z4909" s="14">
        <v>0</v>
      </c>
      <c r="AA4909" s="6">
        <v>0</v>
      </c>
      <c r="AB4909" s="4"/>
      <c r="AC4909" s="4">
        <f t="shared" si="749"/>
        <v>26.255098039215682</v>
      </c>
      <c r="AD4909" s="6">
        <f t="shared" si="743"/>
        <v>1339.01</v>
      </c>
      <c r="AE4909" s="2">
        <f>VLOOKUP(I4909,[1]媒体政策预估表!A:N,MATCH(O4909,[1]媒体政策预估表!$A$2:$M$2,0),0)</f>
        <v>0.18</v>
      </c>
      <c r="AF4909" s="6">
        <f t="shared" si="750"/>
        <v>241.02179999999998</v>
      </c>
      <c r="AG4909" s="14">
        <v>0</v>
      </c>
      <c r="AH4909" s="65">
        <f t="shared" si="744"/>
        <v>1339.01</v>
      </c>
      <c r="AI4909" s="47"/>
      <c r="AJ4909" s="126">
        <v>117</v>
      </c>
      <c r="AK4909" s="80">
        <f t="shared" si="748"/>
        <v>1312.7549019607843</v>
      </c>
      <c r="AM4909" s="85"/>
    </row>
    <row r="4910" spans="1:39" hidden="1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">
        <v>3712</v>
      </c>
      <c r="L4910" s="1" t="s">
        <v>35</v>
      </c>
      <c r="M4910" s="86"/>
      <c r="N4910" s="86" t="s">
        <v>3712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46"/>
        <v>0</v>
      </c>
      <c r="Z4910" s="14"/>
      <c r="AA4910" s="6">
        <v>123906.96</v>
      </c>
      <c r="AB4910" s="4">
        <f t="shared" si="747"/>
        <v>123906.96</v>
      </c>
      <c r="AC4910" s="4">
        <f t="shared" si="749"/>
        <v>0</v>
      </c>
      <c r="AD4910" s="6"/>
      <c r="AE4910" s="2">
        <v>0.06</v>
      </c>
      <c r="AF4910" s="6">
        <f t="shared" si="750"/>
        <v>0</v>
      </c>
      <c r="AG4910" s="14">
        <v>0</v>
      </c>
      <c r="AH4910" s="65"/>
      <c r="AI4910" s="47"/>
      <c r="AJ4910" s="126" t="e">
        <v>#N/A</v>
      </c>
      <c r="AK4910" s="80">
        <f t="shared" si="748"/>
        <v>0</v>
      </c>
      <c r="AM4910" s="85"/>
    </row>
    <row r="4911" spans="1:39" hidden="1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46"/>
        <v>0</v>
      </c>
      <c r="Z4911" s="14">
        <v>0</v>
      </c>
      <c r="AA4911" s="6">
        <v>47982.59</v>
      </c>
      <c r="AB4911" s="4">
        <f t="shared" si="747"/>
        <v>47982.59</v>
      </c>
      <c r="AC4911" s="4">
        <f t="shared" si="749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50"/>
        <v>0</v>
      </c>
      <c r="AG4911" s="14">
        <v>0</v>
      </c>
      <c r="AH4911" s="65"/>
      <c r="AI4911" s="47"/>
      <c r="AJ4911" s="126" t="e">
        <v>#N/A</v>
      </c>
      <c r="AK4911" s="80">
        <f t="shared" si="748"/>
        <v>0</v>
      </c>
      <c r="AM4911" s="85"/>
    </row>
    <row r="4912" spans="1:39" hidden="1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46"/>
        <v>0</v>
      </c>
      <c r="Z4912" s="14">
        <v>0</v>
      </c>
      <c r="AA4912" s="6">
        <v>104023.67</v>
      </c>
      <c r="AB4912" s="4">
        <f t="shared" si="747"/>
        <v>104023.67</v>
      </c>
      <c r="AC4912" s="4">
        <f t="shared" si="749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50"/>
        <v>0</v>
      </c>
      <c r="AG4912" s="14">
        <v>0</v>
      </c>
      <c r="AH4912" s="65"/>
      <c r="AI4912" s="47"/>
      <c r="AJ4912" s="126" t="e">
        <v>#N/A</v>
      </c>
      <c r="AK4912" s="80">
        <f t="shared" si="748"/>
        <v>0</v>
      </c>
      <c r="AM4912" s="85"/>
    </row>
    <row r="4913" spans="1:39" hidden="1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46"/>
        <v>0</v>
      </c>
      <c r="Z4913" s="14"/>
      <c r="AA4913" s="6">
        <f>258954.91-1000</f>
        <v>257954.91</v>
      </c>
      <c r="AB4913" s="4">
        <f t="shared" si="747"/>
        <v>257954.91</v>
      </c>
      <c r="AC4913" s="4">
        <f t="shared" si="749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50"/>
        <v>0</v>
      </c>
      <c r="AG4913" s="14">
        <v>0</v>
      </c>
      <c r="AH4913" s="65"/>
      <c r="AI4913" s="47"/>
      <c r="AJ4913" s="126" t="e">
        <v>#N/A</v>
      </c>
      <c r="AK4913" s="80">
        <f t="shared" si="748"/>
        <v>0</v>
      </c>
      <c r="AM4913" s="85"/>
    </row>
    <row r="4914" spans="1:39" hidden="1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46"/>
        <v>0</v>
      </c>
      <c r="Z4914" s="14"/>
      <c r="AA4914" s="6">
        <v>1315.54</v>
      </c>
      <c r="AB4914" s="4">
        <f t="shared" si="747"/>
        <v>1315.54</v>
      </c>
      <c r="AC4914" s="4">
        <f t="shared" si="749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50"/>
        <v>0</v>
      </c>
      <c r="AG4914" s="14">
        <v>0</v>
      </c>
      <c r="AH4914" s="65"/>
      <c r="AI4914" s="47"/>
      <c r="AJ4914" s="126" t="e">
        <v>#N/A</v>
      </c>
      <c r="AK4914" s="80">
        <f t="shared" si="748"/>
        <v>0</v>
      </c>
      <c r="AM4914" s="85"/>
    </row>
    <row r="4915" spans="1:39" hidden="1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">
        <v>3712</v>
      </c>
      <c r="L4915" s="1" t="s">
        <v>35</v>
      </c>
      <c r="M4915" s="86"/>
      <c r="N4915" s="86" t="s">
        <v>3712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46"/>
        <v>0</v>
      </c>
      <c r="Z4915" s="14"/>
      <c r="AA4915" s="6">
        <v>1001344.72</v>
      </c>
      <c r="AB4915" s="4">
        <f t="shared" si="747"/>
        <v>1001344.72</v>
      </c>
      <c r="AC4915" s="4">
        <f t="shared" si="749"/>
        <v>0</v>
      </c>
      <c r="AD4915" s="6"/>
      <c r="AE4915" s="2">
        <v>0.06</v>
      </c>
      <c r="AF4915" s="6">
        <f t="shared" si="750"/>
        <v>0</v>
      </c>
      <c r="AG4915" s="14">
        <v>0</v>
      </c>
      <c r="AH4915" s="65"/>
      <c r="AI4915" s="47"/>
      <c r="AJ4915" s="126" t="e">
        <v>#N/A</v>
      </c>
      <c r="AK4915" s="80">
        <f t="shared" si="748"/>
        <v>0</v>
      </c>
      <c r="AM4915" s="85"/>
    </row>
    <row r="4916" spans="1:39" hidden="1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46"/>
        <v>0</v>
      </c>
      <c r="Z4916" s="14"/>
      <c r="AA4916" s="6">
        <v>4338.46</v>
      </c>
      <c r="AB4916" s="4">
        <f t="shared" si="747"/>
        <v>4338.46</v>
      </c>
      <c r="AC4916" s="4">
        <f t="shared" si="749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50"/>
        <v>0</v>
      </c>
      <c r="AG4916" s="14">
        <v>0</v>
      </c>
      <c r="AH4916" s="65"/>
      <c r="AI4916" s="47"/>
      <c r="AJ4916" s="126" t="e">
        <v>#N/A</v>
      </c>
      <c r="AK4916" s="80">
        <f t="shared" si="748"/>
        <v>0</v>
      </c>
      <c r="AM4916" s="85"/>
    </row>
    <row r="4917" spans="1:39" hidden="1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46"/>
        <v>0</v>
      </c>
      <c r="Z4917" s="14"/>
      <c r="AA4917" s="6">
        <v>34185.21</v>
      </c>
      <c r="AB4917" s="4">
        <f t="shared" si="747"/>
        <v>34185.21</v>
      </c>
      <c r="AC4917" s="4">
        <f t="shared" si="749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50"/>
        <v>0</v>
      </c>
      <c r="AG4917" s="14">
        <v>0</v>
      </c>
      <c r="AH4917" s="65"/>
      <c r="AI4917" s="47"/>
      <c r="AJ4917" s="126" t="e">
        <v>#N/A</v>
      </c>
      <c r="AK4917" s="80">
        <f t="shared" si="748"/>
        <v>0</v>
      </c>
      <c r="AM4917" s="85"/>
    </row>
    <row r="4918" spans="1:39" hidden="1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">
        <v>3712</v>
      </c>
      <c r="L4918" s="1" t="s">
        <v>35</v>
      </c>
      <c r="M4918" s="86"/>
      <c r="N4918" s="86" t="s">
        <v>3712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46"/>
        <v>0</v>
      </c>
      <c r="Z4918" s="14"/>
      <c r="AA4918" s="6">
        <v>2058710.32</v>
      </c>
      <c r="AB4918" s="4">
        <f t="shared" si="747"/>
        <v>2058710.32</v>
      </c>
      <c r="AC4918" s="4">
        <f t="shared" si="749"/>
        <v>0</v>
      </c>
      <c r="AD4918" s="6"/>
      <c r="AE4918" s="2">
        <v>0.06</v>
      </c>
      <c r="AF4918" s="6">
        <f t="shared" si="750"/>
        <v>0</v>
      </c>
      <c r="AG4918" s="14">
        <v>0</v>
      </c>
      <c r="AH4918" s="65"/>
      <c r="AI4918" s="47"/>
      <c r="AJ4918" s="126" t="e">
        <v>#N/A</v>
      </c>
      <c r="AK4918" s="80">
        <f t="shared" si="748"/>
        <v>0</v>
      </c>
      <c r="AM4918" s="85"/>
    </row>
    <row r="4919" spans="1:39" hidden="1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">
        <v>3712</v>
      </c>
      <c r="L4919" s="1" t="s">
        <v>35</v>
      </c>
      <c r="M4919" s="86"/>
      <c r="N4919" s="86" t="s">
        <v>3712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46"/>
        <v>0</v>
      </c>
      <c r="Z4919" s="14"/>
      <c r="AA4919" s="6">
        <v>1510510.2999999998</v>
      </c>
      <c r="AB4919" s="4">
        <f t="shared" si="747"/>
        <v>1510510.2999999998</v>
      </c>
      <c r="AC4919" s="4">
        <f t="shared" si="749"/>
        <v>0</v>
      </c>
      <c r="AD4919" s="6"/>
      <c r="AE4919" s="2">
        <v>0.06</v>
      </c>
      <c r="AF4919" s="6">
        <f t="shared" si="750"/>
        <v>0</v>
      </c>
      <c r="AG4919" s="14">
        <v>0</v>
      </c>
      <c r="AH4919" s="65"/>
      <c r="AI4919" s="47"/>
      <c r="AJ4919" s="126" t="e">
        <v>#N/A</v>
      </c>
      <c r="AK4919" s="80">
        <f t="shared" si="748"/>
        <v>0</v>
      </c>
      <c r="AM4919" s="85"/>
    </row>
    <row r="4920" spans="1:39" hidden="1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">
        <v>3712</v>
      </c>
      <c r="L4920" s="1" t="s">
        <v>35</v>
      </c>
      <c r="M4920" s="86"/>
      <c r="N4920" s="86" t="s">
        <v>3712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46"/>
        <v>0</v>
      </c>
      <c r="Z4920" s="14"/>
      <c r="AA4920" s="6">
        <v>1200967.9099999999</v>
      </c>
      <c r="AB4920" s="4">
        <f t="shared" si="747"/>
        <v>1200967.9099999999</v>
      </c>
      <c r="AC4920" s="4">
        <f t="shared" si="749"/>
        <v>0</v>
      </c>
      <c r="AD4920" s="6"/>
      <c r="AE4920" s="2">
        <v>0.06</v>
      </c>
      <c r="AF4920" s="6">
        <f t="shared" si="750"/>
        <v>0</v>
      </c>
      <c r="AG4920" s="14">
        <v>0</v>
      </c>
      <c r="AH4920" s="65"/>
      <c r="AI4920" s="47"/>
      <c r="AJ4920" s="126" t="e">
        <v>#N/A</v>
      </c>
      <c r="AK4920" s="80">
        <f t="shared" si="748"/>
        <v>0</v>
      </c>
      <c r="AM4920" s="85"/>
    </row>
    <row r="4921" spans="1:39" hidden="1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">
        <v>3712</v>
      </c>
      <c r="L4921" s="1" t="s">
        <v>35</v>
      </c>
      <c r="M4921" s="86"/>
      <c r="N4921" s="86" t="s">
        <v>3712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46"/>
        <v>0</v>
      </c>
      <c r="Z4921" s="14"/>
      <c r="AA4921" s="6">
        <v>2754.93</v>
      </c>
      <c r="AB4921" s="4">
        <f t="shared" si="747"/>
        <v>2754.93</v>
      </c>
      <c r="AC4921" s="4">
        <f t="shared" si="749"/>
        <v>0</v>
      </c>
      <c r="AD4921" s="6"/>
      <c r="AE4921" s="2">
        <v>0.06</v>
      </c>
      <c r="AF4921" s="6">
        <f t="shared" si="750"/>
        <v>0</v>
      </c>
      <c r="AG4921" s="14">
        <v>0</v>
      </c>
      <c r="AH4921" s="65"/>
      <c r="AI4921" s="47"/>
      <c r="AJ4921" s="126" t="e">
        <v>#N/A</v>
      </c>
      <c r="AK4921" s="80">
        <f t="shared" si="748"/>
        <v>0</v>
      </c>
      <c r="AM4921" s="85"/>
    </row>
    <row r="4922" spans="1:39" hidden="1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46"/>
        <v>0</v>
      </c>
      <c r="Z4922" s="14">
        <v>0</v>
      </c>
      <c r="AA4922" s="6">
        <v>13921.87</v>
      </c>
      <c r="AB4922" s="4">
        <f t="shared" si="747"/>
        <v>13921.87</v>
      </c>
      <c r="AC4922" s="4">
        <f t="shared" si="749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50"/>
        <v>0</v>
      </c>
      <c r="AG4922" s="14">
        <v>0</v>
      </c>
      <c r="AH4922" s="65"/>
      <c r="AI4922" s="47"/>
      <c r="AJ4922" s="126" t="e">
        <v>#N/A</v>
      </c>
      <c r="AK4922" s="80">
        <f t="shared" si="748"/>
        <v>0</v>
      </c>
      <c r="AM4922" s="85"/>
    </row>
    <row r="4923" spans="1:39" hidden="1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">
        <v>3712</v>
      </c>
      <c r="L4923" s="1" t="s">
        <v>35</v>
      </c>
      <c r="M4923" s="86"/>
      <c r="N4923" s="86" t="s">
        <v>3712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46"/>
        <v>0</v>
      </c>
      <c r="Z4923" s="14">
        <v>0</v>
      </c>
      <c r="AA4923" s="6">
        <v>0</v>
      </c>
      <c r="AB4923" s="4">
        <f t="shared" si="747"/>
        <v>0</v>
      </c>
      <c r="AC4923" s="4">
        <f t="shared" si="749"/>
        <v>0</v>
      </c>
      <c r="AD4923" s="6">
        <f>V4923</f>
        <v>0</v>
      </c>
      <c r="AE4923" s="2">
        <v>0.06</v>
      </c>
      <c r="AF4923" s="6">
        <f t="shared" si="750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48"/>
        <v>0</v>
      </c>
      <c r="AM4923" s="85"/>
    </row>
    <row r="4924" spans="1:39" hidden="1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">
        <v>3707</v>
      </c>
      <c r="L4924" s="1" t="s">
        <v>35</v>
      </c>
      <c r="M4924" s="86"/>
      <c r="N4924" s="86" t="s">
        <v>3707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51">T4924+U4924-V4924</f>
        <v>1886321.0099999993</v>
      </c>
      <c r="X4924" s="6">
        <f t="shared" ref="X4924:X4987" si="752">IF(P4924="折扣",V4924*Q4924,IF(P4924="返现",V4924,V4924/(1+Q4924)))</f>
        <v>591056.46</v>
      </c>
      <c r="Y4924" s="13">
        <f t="shared" si="746"/>
        <v>0</v>
      </c>
      <c r="Z4924" s="14">
        <v>0</v>
      </c>
      <c r="AA4924" s="6">
        <v>0</v>
      </c>
      <c r="AB4924" s="4">
        <f t="shared" si="747"/>
        <v>591056.46</v>
      </c>
      <c r="AC4924" s="4">
        <f t="shared" si="749"/>
        <v>35463.387599999995</v>
      </c>
      <c r="AD4924" s="6">
        <f t="shared" ref="AD4924:AD4987" si="753">V4924</f>
        <v>591056.46</v>
      </c>
      <c r="AE4924" s="2">
        <v>0.06</v>
      </c>
      <c r="AF4924" s="6">
        <f t="shared" si="750"/>
        <v>35463.387599999995</v>
      </c>
      <c r="AG4924" s="14">
        <v>0</v>
      </c>
      <c r="AH4924" s="64">
        <f t="shared" ref="AH4924:AH4987" si="754">V4924</f>
        <v>591056.46</v>
      </c>
      <c r="AI4924" s="47"/>
      <c r="AJ4924" s="126" t="e">
        <v>#N/A</v>
      </c>
      <c r="AK4924" s="80">
        <f t="shared" si="748"/>
        <v>0</v>
      </c>
      <c r="AM4924" s="85"/>
    </row>
    <row r="4925" spans="1:39" hidden="1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">
        <v>3712</v>
      </c>
      <c r="L4925" s="1" t="s">
        <v>35</v>
      </c>
      <c r="M4925" s="86"/>
      <c r="N4925" s="86" t="s">
        <v>3712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51"/>
        <v>193189.94000000012</v>
      </c>
      <c r="X4925" s="6">
        <f t="shared" si="752"/>
        <v>446504.06000000011</v>
      </c>
      <c r="Y4925" s="13">
        <f t="shared" si="746"/>
        <v>0</v>
      </c>
      <c r="Z4925" s="14">
        <v>0</v>
      </c>
      <c r="AA4925" s="6">
        <v>0</v>
      </c>
      <c r="AB4925" s="4">
        <f t="shared" si="747"/>
        <v>446504.06000000011</v>
      </c>
      <c r="AC4925" s="4">
        <f t="shared" si="749"/>
        <v>26790.243600000005</v>
      </c>
      <c r="AD4925" s="6">
        <f t="shared" si="753"/>
        <v>446504.06000000011</v>
      </c>
      <c r="AE4925" s="2">
        <v>0.06</v>
      </c>
      <c r="AF4925" s="6">
        <f t="shared" si="750"/>
        <v>26790.243600000005</v>
      </c>
      <c r="AG4925" s="14">
        <v>0</v>
      </c>
      <c r="AH4925" s="64">
        <f t="shared" si="754"/>
        <v>446504.06000000011</v>
      </c>
      <c r="AI4925" s="47"/>
      <c r="AJ4925" s="126" t="e">
        <v>#N/A</v>
      </c>
      <c r="AK4925" s="80">
        <f t="shared" si="748"/>
        <v>0</v>
      </c>
      <c r="AM4925" s="85"/>
    </row>
    <row r="4926" spans="1:39" hidden="1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">
        <v>3712</v>
      </c>
      <c r="L4926" s="1" t="s">
        <v>35</v>
      </c>
      <c r="M4926" s="86"/>
      <c r="N4926" s="86" t="s">
        <v>3735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51"/>
        <v>12877004.090000004</v>
      </c>
      <c r="X4926" s="6">
        <f t="shared" si="752"/>
        <v>5901816.6999999993</v>
      </c>
      <c r="Y4926" s="13">
        <f t="shared" si="746"/>
        <v>0</v>
      </c>
      <c r="Z4926" s="14">
        <v>0</v>
      </c>
      <c r="AA4926" s="6">
        <v>0</v>
      </c>
      <c r="AB4926" s="4">
        <f t="shared" si="747"/>
        <v>5901816.6999999993</v>
      </c>
      <c r="AC4926" s="4">
        <f t="shared" si="749"/>
        <v>354109.00199999992</v>
      </c>
      <c r="AD4926" s="6">
        <f t="shared" si="753"/>
        <v>5901816.6999999993</v>
      </c>
      <c r="AE4926" s="2">
        <v>0.06</v>
      </c>
      <c r="AF4926" s="6">
        <f t="shared" si="750"/>
        <v>354109.00199999992</v>
      </c>
      <c r="AG4926" s="14">
        <v>0</v>
      </c>
      <c r="AH4926" s="64">
        <f t="shared" si="754"/>
        <v>5901816.6999999993</v>
      </c>
      <c r="AI4926" s="47"/>
      <c r="AJ4926" s="126" t="e">
        <v>#N/A</v>
      </c>
      <c r="AK4926" s="80">
        <f t="shared" si="748"/>
        <v>0</v>
      </c>
      <c r="AM4926" s="85"/>
    </row>
    <row r="4927" spans="1:39" hidden="1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51"/>
        <v>2345560.1599999974</v>
      </c>
      <c r="X4927" s="6">
        <f t="shared" si="752"/>
        <v>4114247.4716981114</v>
      </c>
      <c r="Y4927" s="13">
        <f t="shared" si="746"/>
        <v>0</v>
      </c>
      <c r="Z4927" s="14">
        <v>0</v>
      </c>
      <c r="AA4927" s="6">
        <v>0</v>
      </c>
      <c r="AB4927" s="4">
        <f t="shared" si="747"/>
        <v>4114247.4716981114</v>
      </c>
      <c r="AC4927" s="4">
        <f t="shared" si="749"/>
        <v>246854.84830188705</v>
      </c>
      <c r="AD4927" s="6">
        <f t="shared" si="753"/>
        <v>4361102.3199999984</v>
      </c>
      <c r="AE4927" s="2">
        <v>0.06</v>
      </c>
      <c r="AF4927" s="6">
        <f t="shared" si="750"/>
        <v>261666.13919999989</v>
      </c>
      <c r="AG4927" s="14">
        <v>0</v>
      </c>
      <c r="AH4927" s="64">
        <f t="shared" si="754"/>
        <v>4361102.3199999984</v>
      </c>
      <c r="AI4927" s="47"/>
      <c r="AJ4927" s="126" t="e">
        <v>#N/A</v>
      </c>
      <c r="AK4927" s="80">
        <f t="shared" si="748"/>
        <v>0</v>
      </c>
      <c r="AM4927" s="85"/>
    </row>
    <row r="4928" spans="1:39" hidden="1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">
        <v>3710</v>
      </c>
      <c r="L4928" s="1" t="s">
        <v>35</v>
      </c>
      <c r="M4928" s="86"/>
      <c r="N4928" s="86" t="s">
        <v>3730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51"/>
        <v>3043867.4300000006</v>
      </c>
      <c r="X4928" s="6">
        <f t="shared" si="752"/>
        <v>74173.009999999995</v>
      </c>
      <c r="Y4928" s="13">
        <f t="shared" si="746"/>
        <v>0</v>
      </c>
      <c r="Z4928" s="14">
        <v>0</v>
      </c>
      <c r="AA4928" s="6">
        <v>0</v>
      </c>
      <c r="AB4928" s="4">
        <f t="shared" si="747"/>
        <v>74173.009999999995</v>
      </c>
      <c r="AC4928" s="4">
        <f t="shared" si="749"/>
        <v>4450.3805999999995</v>
      </c>
      <c r="AD4928" s="6">
        <f t="shared" si="753"/>
        <v>74173.009999999995</v>
      </c>
      <c r="AE4928" s="2">
        <v>0.06</v>
      </c>
      <c r="AF4928" s="6">
        <f t="shared" si="750"/>
        <v>4450.3805999999995</v>
      </c>
      <c r="AG4928" s="14">
        <v>0</v>
      </c>
      <c r="AH4928" s="64">
        <f t="shared" si="754"/>
        <v>74173.009999999995</v>
      </c>
      <c r="AI4928" s="47"/>
      <c r="AJ4928" s="126" t="e">
        <v>#N/A</v>
      </c>
      <c r="AK4928" s="80">
        <f t="shared" si="748"/>
        <v>0</v>
      </c>
      <c r="AM4928" s="85"/>
    </row>
    <row r="4929" spans="1:39" hidden="1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">
        <v>3707</v>
      </c>
      <c r="L4929" s="1" t="s">
        <v>35</v>
      </c>
      <c r="M4929" s="86"/>
      <c r="N4929" s="86" t="s">
        <v>3707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51"/>
        <v>5602079.520000007</v>
      </c>
      <c r="X4929" s="6">
        <f>IF(P4929="折扣",V4929*Q4929,IF(P4929="返现",V4929,V4929/(1+Q4929)))+9392.54</f>
        <v>17195994.089999992</v>
      </c>
      <c r="Y4929" s="13">
        <f t="shared" si="746"/>
        <v>0</v>
      </c>
      <c r="Z4929" s="14">
        <v>0</v>
      </c>
      <c r="AA4929" s="6">
        <v>0</v>
      </c>
      <c r="AB4929" s="4">
        <f t="shared" si="747"/>
        <v>17195994.089999992</v>
      </c>
      <c r="AC4929" s="4">
        <f t="shared" si="749"/>
        <v>1031759.6453999995</v>
      </c>
      <c r="AD4929" s="6">
        <f t="shared" si="753"/>
        <v>17186601.549999993</v>
      </c>
      <c r="AE4929" s="2">
        <v>0.06</v>
      </c>
      <c r="AF4929" s="6">
        <f t="shared" si="750"/>
        <v>1031196.0929999995</v>
      </c>
      <c r="AG4929" s="14">
        <v>0</v>
      </c>
      <c r="AH4929" s="64">
        <f t="shared" si="754"/>
        <v>17186601.549999993</v>
      </c>
      <c r="AI4929" s="47"/>
      <c r="AJ4929" s="126" t="e">
        <v>#N/A</v>
      </c>
      <c r="AK4929" s="80">
        <f t="shared" si="748"/>
        <v>0</v>
      </c>
      <c r="AM4929" s="85"/>
    </row>
    <row r="4930" spans="1:39" hidden="1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">
        <v>3707</v>
      </c>
      <c r="L4930" s="1" t="s">
        <v>35</v>
      </c>
      <c r="M4930" s="86"/>
      <c r="N4930" s="86" t="s">
        <v>3707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51"/>
        <v>4705748.2500000019</v>
      </c>
      <c r="X4930" s="6">
        <f t="shared" si="752"/>
        <v>8963739.620000001</v>
      </c>
      <c r="Y4930" s="13">
        <f t="shared" si="746"/>
        <v>0</v>
      </c>
      <c r="Z4930" s="14">
        <v>0</v>
      </c>
      <c r="AA4930" s="6">
        <v>0</v>
      </c>
      <c r="AB4930" s="4">
        <f t="shared" si="747"/>
        <v>8963739.620000001</v>
      </c>
      <c r="AC4930" s="4">
        <f t="shared" si="749"/>
        <v>537824.37719999999</v>
      </c>
      <c r="AD4930" s="6">
        <f t="shared" si="753"/>
        <v>8963739.620000001</v>
      </c>
      <c r="AE4930" s="2">
        <v>0.06</v>
      </c>
      <c r="AF4930" s="6">
        <f t="shared" si="750"/>
        <v>537824.37719999999</v>
      </c>
      <c r="AG4930" s="14">
        <v>0</v>
      </c>
      <c r="AH4930" s="64">
        <f t="shared" si="754"/>
        <v>8963739.620000001</v>
      </c>
      <c r="AI4930" s="47"/>
      <c r="AJ4930" s="126" t="e">
        <v>#N/A</v>
      </c>
      <c r="AK4930" s="80">
        <f t="shared" si="748"/>
        <v>0</v>
      </c>
      <c r="AM4930" s="85"/>
    </row>
    <row r="4931" spans="1:39" hidden="1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">
        <v>3712</v>
      </c>
      <c r="L4931" s="1" t="s">
        <v>35</v>
      </c>
      <c r="M4931" s="86"/>
      <c r="N4931" s="86" t="s">
        <v>3712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51"/>
        <v>0</v>
      </c>
      <c r="X4931" s="6">
        <f t="shared" si="752"/>
        <v>0</v>
      </c>
      <c r="Y4931" s="13">
        <f t="shared" ref="Y4931:Y4994" si="755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756">X4931+AA4931</f>
        <v>0</v>
      </c>
      <c r="AC4931" s="4">
        <f t="shared" si="749"/>
        <v>0</v>
      </c>
      <c r="AD4931" s="6">
        <f t="shared" si="753"/>
        <v>0</v>
      </c>
      <c r="AE4931" s="2">
        <v>0.06</v>
      </c>
      <c r="AF4931" s="6">
        <f t="shared" si="750"/>
        <v>0</v>
      </c>
      <c r="AG4931" s="14">
        <v>0</v>
      </c>
      <c r="AH4931" s="64">
        <f t="shared" si="754"/>
        <v>0</v>
      </c>
      <c r="AI4931" s="47"/>
      <c r="AJ4931" s="126" t="e">
        <v>#N/A</v>
      </c>
      <c r="AK4931" s="80">
        <f t="shared" ref="AK4931:AK4994" si="757">X4931+AA4931-AB4931</f>
        <v>0</v>
      </c>
      <c r="AM4931" s="85"/>
    </row>
    <row r="4932" spans="1:39" hidden="1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">
        <v>3712</v>
      </c>
      <c r="L4932" s="1" t="s">
        <v>35</v>
      </c>
      <c r="M4932" s="86"/>
      <c r="N4932" s="86" t="s">
        <v>3735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51"/>
        <v>3463216.3000000007</v>
      </c>
      <c r="X4932" s="6">
        <f t="shared" si="752"/>
        <v>252670.95238095237</v>
      </c>
      <c r="Y4932" s="13">
        <f t="shared" si="755"/>
        <v>0</v>
      </c>
      <c r="Z4932" s="14">
        <v>0</v>
      </c>
      <c r="AA4932" s="6">
        <v>0</v>
      </c>
      <c r="AB4932" s="4">
        <f t="shared" si="756"/>
        <v>252670.95238095237</v>
      </c>
      <c r="AC4932" s="4">
        <f t="shared" si="749"/>
        <v>12633.547619047633</v>
      </c>
      <c r="AD4932" s="6">
        <f t="shared" si="753"/>
        <v>265304.5</v>
      </c>
      <c r="AE4932" s="2">
        <v>0.06</v>
      </c>
      <c r="AF4932" s="6">
        <f t="shared" si="750"/>
        <v>15918.269999999999</v>
      </c>
      <c r="AG4932" s="14">
        <v>0</v>
      </c>
      <c r="AH4932" s="64">
        <f t="shared" si="754"/>
        <v>265304.5</v>
      </c>
      <c r="AI4932" s="47"/>
      <c r="AJ4932" s="126" t="e">
        <v>#N/A</v>
      </c>
      <c r="AK4932" s="80">
        <f t="shared" si="757"/>
        <v>0</v>
      </c>
      <c r="AM4932" s="85"/>
    </row>
    <row r="4933" spans="1:39" hidden="1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">
        <v>3712</v>
      </c>
      <c r="L4933" s="1" t="s">
        <v>35</v>
      </c>
      <c r="M4933" s="86"/>
      <c r="N4933" s="86" t="s">
        <v>3712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51"/>
        <v>24437.200000000004</v>
      </c>
      <c r="X4933" s="6">
        <v>0</v>
      </c>
      <c r="Y4933" s="13">
        <f t="shared" si="755"/>
        <v>0</v>
      </c>
      <c r="Z4933" s="14">
        <v>0</v>
      </c>
      <c r="AA4933" s="6">
        <v>0</v>
      </c>
      <c r="AB4933" s="4">
        <f t="shared" si="756"/>
        <v>0</v>
      </c>
      <c r="AC4933" s="4">
        <f t="shared" si="749"/>
        <v>50440.229999999989</v>
      </c>
      <c r="AD4933" s="6">
        <f t="shared" si="753"/>
        <v>50440.229999999989</v>
      </c>
      <c r="AE4933" s="2">
        <v>0.06</v>
      </c>
      <c r="AF4933" s="6">
        <f t="shared" si="750"/>
        <v>3026.4137999999994</v>
      </c>
      <c r="AG4933" s="14">
        <v>0</v>
      </c>
      <c r="AH4933" s="64">
        <f t="shared" si="754"/>
        <v>50440.229999999989</v>
      </c>
      <c r="AI4933" s="47"/>
      <c r="AJ4933" s="126" t="e">
        <v>#N/A</v>
      </c>
      <c r="AK4933" s="80">
        <f t="shared" si="757"/>
        <v>0</v>
      </c>
      <c r="AM4933" s="85"/>
    </row>
    <row r="4934" spans="1:39" hidden="1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">
        <v>3712</v>
      </c>
      <c r="L4934" s="1" t="s">
        <v>35</v>
      </c>
      <c r="M4934" s="86"/>
      <c r="N4934" s="86" t="s">
        <v>3712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51"/>
        <v>2810000</v>
      </c>
      <c r="X4934" s="6">
        <f t="shared" si="752"/>
        <v>0</v>
      </c>
      <c r="Y4934" s="13">
        <f t="shared" si="755"/>
        <v>0</v>
      </c>
      <c r="Z4934" s="14">
        <v>0</v>
      </c>
      <c r="AA4934" s="6">
        <v>0</v>
      </c>
      <c r="AB4934" s="4">
        <f t="shared" si="756"/>
        <v>0</v>
      </c>
      <c r="AC4934" s="4">
        <f t="shared" si="749"/>
        <v>0</v>
      </c>
      <c r="AD4934" s="6">
        <f t="shared" si="753"/>
        <v>0</v>
      </c>
      <c r="AE4934" s="2">
        <v>0.06</v>
      </c>
      <c r="AF4934" s="6">
        <f t="shared" si="750"/>
        <v>0</v>
      </c>
      <c r="AG4934" s="14">
        <v>0</v>
      </c>
      <c r="AH4934" s="64">
        <f t="shared" si="754"/>
        <v>0</v>
      </c>
      <c r="AI4934" s="47"/>
      <c r="AJ4934" s="126" t="e">
        <v>#N/A</v>
      </c>
      <c r="AK4934" s="80">
        <f t="shared" si="757"/>
        <v>0</v>
      </c>
      <c r="AM4934" s="85"/>
    </row>
    <row r="4935" spans="1:39" hidden="1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1" t="s">
        <v>3718</v>
      </c>
      <c r="L4935" s="1" t="s">
        <v>35</v>
      </c>
      <c r="M4935" s="86"/>
      <c r="N4935" s="86" t="s">
        <v>3718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51"/>
        <v>4889890.2800000012</v>
      </c>
      <c r="X4935" s="6">
        <f t="shared" si="752"/>
        <v>7405406.9318181807</v>
      </c>
      <c r="Y4935" s="13">
        <f t="shared" si="755"/>
        <v>0</v>
      </c>
      <c r="Z4935" s="14">
        <v>0</v>
      </c>
      <c r="AA4935" s="6">
        <v>0</v>
      </c>
      <c r="AB4935" s="4">
        <f t="shared" si="756"/>
        <v>7405406.9318181807</v>
      </c>
      <c r="AC4935" s="4">
        <f t="shared" si="749"/>
        <v>414702.78818181809</v>
      </c>
      <c r="AD4935" s="6">
        <f t="shared" si="753"/>
        <v>7820109.7199999988</v>
      </c>
      <c r="AE4935" s="2">
        <v>0.06</v>
      </c>
      <c r="AF4935" s="6">
        <f t="shared" si="750"/>
        <v>469206.58319999994</v>
      </c>
      <c r="AG4935" s="14">
        <v>0</v>
      </c>
      <c r="AH4935" s="64">
        <f t="shared" si="754"/>
        <v>7820109.7199999988</v>
      </c>
      <c r="AI4935" s="47"/>
      <c r="AJ4935" s="126" t="e">
        <v>#N/A</v>
      </c>
      <c r="AK4935" s="80">
        <f t="shared" si="757"/>
        <v>0</v>
      </c>
      <c r="AM4935" s="85"/>
    </row>
    <row r="4936" spans="1:39" hidden="1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1" t="s">
        <v>3718</v>
      </c>
      <c r="L4936" s="1" t="s">
        <v>35</v>
      </c>
      <c r="M4936" s="86"/>
      <c r="N4936" s="86" t="s">
        <v>3718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51"/>
        <v>4135155.3199999835</v>
      </c>
      <c r="X4936" s="6">
        <f t="shared" si="752"/>
        <v>11215040.799999999</v>
      </c>
      <c r="Y4936" s="13">
        <f t="shared" si="755"/>
        <v>0</v>
      </c>
      <c r="Z4936" s="14">
        <v>0</v>
      </c>
      <c r="AA4936" s="6">
        <v>0</v>
      </c>
      <c r="AB4936" s="4">
        <f t="shared" si="756"/>
        <v>11215040.799999999</v>
      </c>
      <c r="AC4936" s="4">
        <f t="shared" si="749"/>
        <v>0</v>
      </c>
      <c r="AD4936" s="6">
        <f t="shared" si="753"/>
        <v>11215040.799999999</v>
      </c>
      <c r="AE4936" s="2">
        <v>0.06</v>
      </c>
      <c r="AF4936" s="6">
        <f t="shared" si="750"/>
        <v>672902.44799999986</v>
      </c>
      <c r="AG4936" s="14">
        <v>0</v>
      </c>
      <c r="AH4936" s="64">
        <f t="shared" si="754"/>
        <v>11215040.799999999</v>
      </c>
      <c r="AI4936" s="47"/>
      <c r="AJ4936" s="126" t="e">
        <v>#N/A</v>
      </c>
      <c r="AK4936" s="80">
        <f t="shared" si="757"/>
        <v>0</v>
      </c>
      <c r="AM4936" s="85"/>
    </row>
    <row r="4937" spans="1:39" hidden="1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1" t="s">
        <v>3718</v>
      </c>
      <c r="L4937" s="1" t="s">
        <v>35</v>
      </c>
      <c r="M4937" s="86"/>
      <c r="N4937" s="86" t="s">
        <v>3718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51"/>
        <v>411161.52</v>
      </c>
      <c r="X4937" s="6">
        <f t="shared" si="752"/>
        <v>110642.5</v>
      </c>
      <c r="Y4937" s="13">
        <f t="shared" si="755"/>
        <v>0</v>
      </c>
      <c r="Z4937" s="14">
        <v>0</v>
      </c>
      <c r="AA4937" s="6">
        <v>0</v>
      </c>
      <c r="AB4937" s="4">
        <f t="shared" si="756"/>
        <v>110642.5</v>
      </c>
      <c r="AC4937" s="4">
        <f t="shared" si="749"/>
        <v>6195.9800000000105</v>
      </c>
      <c r="AD4937" s="6">
        <f t="shared" si="753"/>
        <v>116838.48000000001</v>
      </c>
      <c r="AE4937" s="2">
        <v>0.06</v>
      </c>
      <c r="AF4937" s="6">
        <f t="shared" si="750"/>
        <v>7010.3088000000007</v>
      </c>
      <c r="AG4937" s="14">
        <v>0</v>
      </c>
      <c r="AH4937" s="64">
        <f t="shared" si="754"/>
        <v>116838.48000000001</v>
      </c>
      <c r="AI4937" s="47"/>
      <c r="AJ4937" s="126" t="e">
        <v>#N/A</v>
      </c>
      <c r="AK4937" s="80">
        <f t="shared" si="757"/>
        <v>0</v>
      </c>
      <c r="AM4937" s="85"/>
    </row>
    <row r="4938" spans="1:39" hidden="1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">
        <v>3707</v>
      </c>
      <c r="L4938" s="1" t="s">
        <v>35</v>
      </c>
      <c r="M4938" s="86"/>
      <c r="N4938" s="86" t="s">
        <v>3707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51"/>
        <v>818370.47000000067</v>
      </c>
      <c r="X4938" s="6">
        <f t="shared" si="752"/>
        <v>1376604.25</v>
      </c>
      <c r="Y4938" s="13">
        <f t="shared" si="755"/>
        <v>0</v>
      </c>
      <c r="Z4938" s="14">
        <v>0</v>
      </c>
      <c r="AA4938" s="6">
        <v>0</v>
      </c>
      <c r="AB4938" s="4">
        <f t="shared" si="756"/>
        <v>1376604.25</v>
      </c>
      <c r="AC4938" s="4">
        <f t="shared" si="749"/>
        <v>0</v>
      </c>
      <c r="AD4938" s="6">
        <f t="shared" si="753"/>
        <v>1376604.25</v>
      </c>
      <c r="AE4938" s="2">
        <v>0.06</v>
      </c>
      <c r="AF4938" s="6">
        <f t="shared" si="750"/>
        <v>82596.25499999999</v>
      </c>
      <c r="AG4938" s="14">
        <v>0</v>
      </c>
      <c r="AH4938" s="64">
        <f t="shared" si="754"/>
        <v>1376604.25</v>
      </c>
      <c r="AI4938" s="47"/>
      <c r="AJ4938" s="126" t="e">
        <v>#N/A</v>
      </c>
      <c r="AK4938" s="80">
        <f t="shared" si="757"/>
        <v>0</v>
      </c>
      <c r="AM4938" s="85"/>
    </row>
    <row r="4939" spans="1:39" hidden="1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">
        <v>3712</v>
      </c>
      <c r="L4939" s="1" t="s">
        <v>35</v>
      </c>
      <c r="M4939" s="86"/>
      <c r="N4939" s="86" t="s">
        <v>3712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51"/>
        <v>1093059.1399999994</v>
      </c>
      <c r="X4939" s="6">
        <f t="shared" si="752"/>
        <v>1008988.1300000001</v>
      </c>
      <c r="Y4939" s="13">
        <f t="shared" si="755"/>
        <v>0</v>
      </c>
      <c r="Z4939" s="14">
        <v>0</v>
      </c>
      <c r="AA4939" s="6">
        <v>39300</v>
      </c>
      <c r="AB4939" s="4">
        <f t="shared" si="756"/>
        <v>1048288.1300000001</v>
      </c>
      <c r="AC4939" s="4">
        <f t="shared" si="749"/>
        <v>0</v>
      </c>
      <c r="AD4939" s="6">
        <f t="shared" si="753"/>
        <v>1008988.1300000001</v>
      </c>
      <c r="AE4939" s="2">
        <v>0.06</v>
      </c>
      <c r="AF4939" s="6">
        <f t="shared" si="750"/>
        <v>60539.287800000006</v>
      </c>
      <c r="AG4939" s="14">
        <v>0</v>
      </c>
      <c r="AH4939" s="64">
        <f t="shared" si="754"/>
        <v>1008988.1300000001</v>
      </c>
      <c r="AI4939" s="47"/>
      <c r="AJ4939" s="126" t="e">
        <v>#N/A</v>
      </c>
      <c r="AK4939" s="80">
        <f t="shared" si="757"/>
        <v>0</v>
      </c>
      <c r="AM4939" s="85"/>
    </row>
    <row r="4940" spans="1:39" hidden="1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1" t="s">
        <v>3718</v>
      </c>
      <c r="L4940" s="1" t="s">
        <v>35</v>
      </c>
      <c r="M4940" s="86"/>
      <c r="N4940" s="86" t="s">
        <v>3718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51"/>
        <v>3420755.6099999957</v>
      </c>
      <c r="X4940" s="6">
        <f t="shared" si="752"/>
        <v>7368755.2699999996</v>
      </c>
      <c r="Y4940" s="13">
        <f t="shared" si="755"/>
        <v>0</v>
      </c>
      <c r="Z4940" s="14">
        <v>0</v>
      </c>
      <c r="AA4940" s="6">
        <v>0</v>
      </c>
      <c r="AB4940" s="4">
        <f t="shared" si="756"/>
        <v>7368755.2699999996</v>
      </c>
      <c r="AC4940" s="4">
        <f t="shared" ref="AC4940:AC5003" si="758">IF(P4940="返现",X4940*Q4940,V4940-X4940)</f>
        <v>0</v>
      </c>
      <c r="AD4940" s="6">
        <f t="shared" si="753"/>
        <v>7368755.2699999996</v>
      </c>
      <c r="AE4940" s="2">
        <v>0.06</v>
      </c>
      <c r="AF4940" s="6">
        <f t="shared" ref="AF4940:AF5003" si="759">AD4940*AE4940</f>
        <v>442125.31619999994</v>
      </c>
      <c r="AG4940" s="14">
        <v>0</v>
      </c>
      <c r="AH4940" s="64">
        <f t="shared" si="754"/>
        <v>7368755.2699999996</v>
      </c>
      <c r="AI4940" s="47"/>
      <c r="AJ4940" s="126" t="e">
        <v>#N/A</v>
      </c>
      <c r="AK4940" s="80">
        <f t="shared" si="757"/>
        <v>0</v>
      </c>
      <c r="AM4940" s="85"/>
    </row>
    <row r="4941" spans="1:39" hidden="1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1" t="s">
        <v>3718</v>
      </c>
      <c r="L4941" s="1" t="s">
        <v>35</v>
      </c>
      <c r="M4941" s="86"/>
      <c r="N4941" s="86" t="s">
        <v>3718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51"/>
        <v>-205138.01000000036</v>
      </c>
      <c r="X4941" s="6">
        <f t="shared" si="752"/>
        <v>806399.83000000007</v>
      </c>
      <c r="Y4941" s="13">
        <f t="shared" si="755"/>
        <v>0</v>
      </c>
      <c r="Z4941" s="14">
        <v>0</v>
      </c>
      <c r="AA4941" s="6">
        <v>0</v>
      </c>
      <c r="AB4941" s="4">
        <f t="shared" si="756"/>
        <v>806399.83000000007</v>
      </c>
      <c r="AC4941" s="4">
        <f t="shared" si="758"/>
        <v>0</v>
      </c>
      <c r="AD4941" s="6">
        <f t="shared" si="753"/>
        <v>806399.83000000007</v>
      </c>
      <c r="AE4941" s="2">
        <v>0.06</v>
      </c>
      <c r="AF4941" s="6">
        <f t="shared" si="759"/>
        <v>48383.989800000003</v>
      </c>
      <c r="AG4941" s="14">
        <v>0</v>
      </c>
      <c r="AH4941" s="64">
        <f t="shared" si="754"/>
        <v>806399.83000000007</v>
      </c>
      <c r="AI4941" s="47"/>
      <c r="AJ4941" s="126" t="e">
        <v>#N/A</v>
      </c>
      <c r="AK4941" s="80">
        <f t="shared" si="757"/>
        <v>0</v>
      </c>
      <c r="AM4941" s="85"/>
    </row>
    <row r="4942" spans="1:39" hidden="1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">
        <v>3712</v>
      </c>
      <c r="L4942" s="1" t="s">
        <v>35</v>
      </c>
      <c r="M4942" s="86"/>
      <c r="N4942" s="86" t="s">
        <v>3712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51"/>
        <v>760786.9099999998</v>
      </c>
      <c r="X4942" s="6">
        <f t="shared" si="752"/>
        <v>862313.81000000017</v>
      </c>
      <c r="Y4942" s="13">
        <f t="shared" si="755"/>
        <v>0</v>
      </c>
      <c r="Z4942" s="14">
        <v>0</v>
      </c>
      <c r="AA4942" s="6">
        <v>0</v>
      </c>
      <c r="AB4942" s="4">
        <f t="shared" si="756"/>
        <v>862313.81000000017</v>
      </c>
      <c r="AC4942" s="4">
        <f t="shared" si="758"/>
        <v>0</v>
      </c>
      <c r="AD4942" s="6">
        <f t="shared" si="753"/>
        <v>862313.81000000017</v>
      </c>
      <c r="AE4942" s="2">
        <v>0.06</v>
      </c>
      <c r="AF4942" s="6">
        <f t="shared" si="759"/>
        <v>51738.828600000008</v>
      </c>
      <c r="AG4942" s="14">
        <v>0</v>
      </c>
      <c r="AH4942" s="64">
        <f t="shared" si="754"/>
        <v>862313.81000000017</v>
      </c>
      <c r="AI4942" s="47"/>
      <c r="AJ4942" s="126" t="e">
        <v>#N/A</v>
      </c>
      <c r="AK4942" s="80">
        <f t="shared" si="757"/>
        <v>0</v>
      </c>
      <c r="AM4942" s="85"/>
    </row>
    <row r="4943" spans="1:39" hidden="1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">
        <v>3712</v>
      </c>
      <c r="L4943" s="1" t="s">
        <v>35</v>
      </c>
      <c r="M4943" s="86"/>
      <c r="N4943" s="86" t="s">
        <v>3712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51"/>
        <v>65363.549999999988</v>
      </c>
      <c r="X4943" s="6">
        <f t="shared" si="752"/>
        <v>137221.43</v>
      </c>
      <c r="Y4943" s="13">
        <f t="shared" si="755"/>
        <v>0</v>
      </c>
      <c r="Z4943" s="14">
        <v>0</v>
      </c>
      <c r="AA4943" s="6">
        <v>0</v>
      </c>
      <c r="AB4943" s="4">
        <f t="shared" si="756"/>
        <v>137221.43</v>
      </c>
      <c r="AC4943" s="4">
        <f t="shared" si="758"/>
        <v>0</v>
      </c>
      <c r="AD4943" s="6">
        <f t="shared" si="753"/>
        <v>137221.43</v>
      </c>
      <c r="AE4943" s="2">
        <v>0.06</v>
      </c>
      <c r="AF4943" s="6">
        <f t="shared" si="759"/>
        <v>8233.2857999999997</v>
      </c>
      <c r="AG4943" s="14">
        <v>0</v>
      </c>
      <c r="AH4943" s="64">
        <f t="shared" si="754"/>
        <v>137221.43</v>
      </c>
      <c r="AI4943" s="47"/>
      <c r="AJ4943" s="126" t="e">
        <v>#N/A</v>
      </c>
      <c r="AK4943" s="80">
        <f t="shared" si="757"/>
        <v>0</v>
      </c>
      <c r="AM4943" s="85"/>
    </row>
    <row r="4944" spans="1:39" hidden="1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">
        <v>3712</v>
      </c>
      <c r="L4944" s="1" t="s">
        <v>35</v>
      </c>
      <c r="M4944" s="86"/>
      <c r="N4944" s="86" t="s">
        <v>3712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51"/>
        <v>56626.600000000006</v>
      </c>
      <c r="X4944" s="6">
        <f t="shared" si="752"/>
        <v>122907.4</v>
      </c>
      <c r="Y4944" s="13">
        <f t="shared" si="755"/>
        <v>0</v>
      </c>
      <c r="Z4944" s="14">
        <v>0</v>
      </c>
      <c r="AA4944" s="6">
        <v>0</v>
      </c>
      <c r="AB4944" s="4">
        <f t="shared" si="756"/>
        <v>122907.4</v>
      </c>
      <c r="AC4944" s="4">
        <f t="shared" si="758"/>
        <v>0</v>
      </c>
      <c r="AD4944" s="6">
        <f t="shared" si="753"/>
        <v>122907.4</v>
      </c>
      <c r="AE4944" s="2">
        <v>0.06</v>
      </c>
      <c r="AF4944" s="6">
        <f t="shared" si="759"/>
        <v>7374.4439999999995</v>
      </c>
      <c r="AG4944" s="14">
        <v>0</v>
      </c>
      <c r="AH4944" s="64">
        <f t="shared" si="754"/>
        <v>122907.4</v>
      </c>
      <c r="AI4944" s="47"/>
      <c r="AJ4944" s="126" t="e">
        <v>#N/A</v>
      </c>
      <c r="AK4944" s="80">
        <f t="shared" si="757"/>
        <v>0</v>
      </c>
      <c r="AM4944" s="85"/>
    </row>
    <row r="4945" spans="1:39" hidden="1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">
        <v>3712</v>
      </c>
      <c r="L4945" s="1" t="s">
        <v>35</v>
      </c>
      <c r="M4945" s="86"/>
      <c r="N4945" s="86" t="s">
        <v>3712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51"/>
        <v>273772.90000000002</v>
      </c>
      <c r="X4945" s="6">
        <f t="shared" si="752"/>
        <v>91743.754901960783</v>
      </c>
      <c r="Y4945" s="13">
        <f t="shared" si="755"/>
        <v>0</v>
      </c>
      <c r="Z4945" s="14">
        <v>0</v>
      </c>
      <c r="AA4945" s="6">
        <v>0</v>
      </c>
      <c r="AB4945" s="4">
        <f t="shared" si="756"/>
        <v>91743.754901960783</v>
      </c>
      <c r="AC4945" s="4">
        <f t="shared" si="758"/>
        <v>1834.8750980392215</v>
      </c>
      <c r="AD4945" s="6">
        <f t="shared" si="753"/>
        <v>93578.63</v>
      </c>
      <c r="AE4945" s="2">
        <v>0.06</v>
      </c>
      <c r="AF4945" s="6">
        <f t="shared" si="759"/>
        <v>5614.7178000000004</v>
      </c>
      <c r="AG4945" s="14">
        <v>0</v>
      </c>
      <c r="AH4945" s="64">
        <f t="shared" si="754"/>
        <v>93578.63</v>
      </c>
      <c r="AI4945" s="47"/>
      <c r="AJ4945" s="126" t="e">
        <v>#N/A</v>
      </c>
      <c r="AK4945" s="80">
        <f t="shared" si="757"/>
        <v>0</v>
      </c>
      <c r="AM4945" s="85"/>
    </row>
    <row r="4946" spans="1:39" hidden="1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">
        <v>3712</v>
      </c>
      <c r="L4946" s="1" t="s">
        <v>35</v>
      </c>
      <c r="M4946" s="86"/>
      <c r="N4946" s="86" t="s">
        <v>3712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51"/>
        <v>241653.52000000014</v>
      </c>
      <c r="X4946" s="6">
        <f t="shared" si="752"/>
        <v>353320.65</v>
      </c>
      <c r="Y4946" s="13">
        <f t="shared" si="755"/>
        <v>0</v>
      </c>
      <c r="Z4946" s="14">
        <v>0</v>
      </c>
      <c r="AA4946" s="6">
        <v>0</v>
      </c>
      <c r="AB4946" s="4">
        <f t="shared" si="756"/>
        <v>353320.65</v>
      </c>
      <c r="AC4946" s="4">
        <f t="shared" si="758"/>
        <v>0</v>
      </c>
      <c r="AD4946" s="6">
        <f t="shared" si="753"/>
        <v>353320.65</v>
      </c>
      <c r="AE4946" s="2">
        <v>0.06</v>
      </c>
      <c r="AF4946" s="6">
        <f t="shared" si="759"/>
        <v>21199.239000000001</v>
      </c>
      <c r="AG4946" s="14">
        <v>0</v>
      </c>
      <c r="AH4946" s="64">
        <f t="shared" si="754"/>
        <v>353320.65</v>
      </c>
      <c r="AI4946" s="47"/>
      <c r="AJ4946" s="126" t="e">
        <v>#N/A</v>
      </c>
      <c r="AK4946" s="80">
        <f t="shared" si="757"/>
        <v>0</v>
      </c>
      <c r="AM4946" s="85"/>
    </row>
    <row r="4947" spans="1:39" hidden="1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51"/>
        <v>265.52000000003318</v>
      </c>
      <c r="X4947" s="6">
        <f t="shared" si="752"/>
        <v>51726.547169811318</v>
      </c>
      <c r="Y4947" s="13">
        <f t="shared" si="755"/>
        <v>0</v>
      </c>
      <c r="Z4947" s="14">
        <v>0</v>
      </c>
      <c r="AA4947" s="6">
        <v>0</v>
      </c>
      <c r="AB4947" s="4">
        <f t="shared" si="756"/>
        <v>51726.547169811318</v>
      </c>
      <c r="AC4947" s="4">
        <f t="shared" si="758"/>
        <v>3103.5928301886815</v>
      </c>
      <c r="AD4947" s="6">
        <f t="shared" si="753"/>
        <v>54830.14</v>
      </c>
      <c r="AE4947" s="2">
        <v>0.06</v>
      </c>
      <c r="AF4947" s="6">
        <f t="shared" si="759"/>
        <v>3289.8083999999999</v>
      </c>
      <c r="AG4947" s="14">
        <v>0</v>
      </c>
      <c r="AH4947" s="64">
        <f t="shared" si="754"/>
        <v>54830.14</v>
      </c>
      <c r="AI4947" s="47"/>
      <c r="AJ4947" s="126" t="e">
        <v>#N/A</v>
      </c>
      <c r="AK4947" s="80">
        <f t="shared" si="757"/>
        <v>0</v>
      </c>
      <c r="AM4947" s="85"/>
    </row>
    <row r="4948" spans="1:39" hidden="1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">
        <v>3712</v>
      </c>
      <c r="L4948" s="1" t="s">
        <v>35</v>
      </c>
      <c r="M4948" s="86"/>
      <c r="N4948" s="86" t="s">
        <v>3712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51"/>
        <v>164197.99999999983</v>
      </c>
      <c r="X4948" s="6">
        <f t="shared" si="752"/>
        <v>361553.20000000013</v>
      </c>
      <c r="Y4948" s="13">
        <f t="shared" si="755"/>
        <v>0</v>
      </c>
      <c r="Z4948" s="14">
        <v>0</v>
      </c>
      <c r="AA4948" s="6">
        <v>0</v>
      </c>
      <c r="AB4948" s="4">
        <f t="shared" si="756"/>
        <v>361553.20000000013</v>
      </c>
      <c r="AC4948" s="4">
        <f t="shared" si="758"/>
        <v>0</v>
      </c>
      <c r="AD4948" s="6">
        <f t="shared" si="753"/>
        <v>361553.20000000013</v>
      </c>
      <c r="AE4948" s="2">
        <v>0.06</v>
      </c>
      <c r="AF4948" s="6">
        <f t="shared" si="759"/>
        <v>21693.192000000006</v>
      </c>
      <c r="AG4948" s="14">
        <v>0</v>
      </c>
      <c r="AH4948" s="64">
        <f t="shared" si="754"/>
        <v>361553.20000000013</v>
      </c>
      <c r="AI4948" s="47"/>
      <c r="AJ4948" s="126" t="e">
        <v>#N/A</v>
      </c>
      <c r="AK4948" s="80">
        <f t="shared" si="757"/>
        <v>0</v>
      </c>
      <c r="AM4948" s="85"/>
    </row>
    <row r="4949" spans="1:39" hidden="1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">
        <v>3707</v>
      </c>
      <c r="L4949" s="1" t="s">
        <v>35</v>
      </c>
      <c r="M4949" s="86"/>
      <c r="N4949" s="86" t="s">
        <v>3707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51"/>
        <v>3392440.5399999972</v>
      </c>
      <c r="X4949" s="6">
        <f t="shared" si="752"/>
        <v>12890884.038834954</v>
      </c>
      <c r="Y4949" s="13">
        <f t="shared" si="755"/>
        <v>0</v>
      </c>
      <c r="Z4949" s="14">
        <v>0</v>
      </c>
      <c r="AA4949" s="6">
        <v>0</v>
      </c>
      <c r="AB4949" s="4">
        <f t="shared" si="756"/>
        <v>12890884.038834954</v>
      </c>
      <c r="AC4949" s="4">
        <f t="shared" si="758"/>
        <v>386726.5211650487</v>
      </c>
      <c r="AD4949" s="6">
        <f t="shared" si="753"/>
        <v>13277610.560000002</v>
      </c>
      <c r="AE4949" s="2">
        <v>0.06</v>
      </c>
      <c r="AF4949" s="6">
        <f t="shared" si="759"/>
        <v>796656.63360000006</v>
      </c>
      <c r="AG4949" s="14">
        <v>0</v>
      </c>
      <c r="AH4949" s="64">
        <f t="shared" si="754"/>
        <v>13277610.560000002</v>
      </c>
      <c r="AI4949" s="47"/>
      <c r="AJ4949" s="126" t="e">
        <v>#N/A</v>
      </c>
      <c r="AK4949" s="80">
        <f t="shared" si="757"/>
        <v>0</v>
      </c>
      <c r="AM4949" s="85"/>
    </row>
    <row r="4950" spans="1:39" hidden="1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">
        <v>3712</v>
      </c>
      <c r="L4950" s="1" t="s">
        <v>35</v>
      </c>
      <c r="M4950" s="86"/>
      <c r="N4950" s="86" t="s">
        <v>3712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51"/>
        <v>-2.255546860396862E-10</v>
      </c>
      <c r="X4950" s="6">
        <f t="shared" si="752"/>
        <v>0</v>
      </c>
      <c r="Y4950" s="13">
        <f t="shared" si="755"/>
        <v>0</v>
      </c>
      <c r="Z4950" s="14">
        <v>0</v>
      </c>
      <c r="AA4950" s="6">
        <v>0</v>
      </c>
      <c r="AB4950" s="4">
        <f t="shared" si="756"/>
        <v>0</v>
      </c>
      <c r="AC4950" s="4">
        <f t="shared" si="758"/>
        <v>0</v>
      </c>
      <c r="AD4950" s="6">
        <f t="shared" si="753"/>
        <v>0</v>
      </c>
      <c r="AE4950" s="2">
        <v>0.06</v>
      </c>
      <c r="AF4950" s="6">
        <f t="shared" si="759"/>
        <v>0</v>
      </c>
      <c r="AG4950" s="14">
        <v>0</v>
      </c>
      <c r="AH4950" s="64">
        <f t="shared" si="754"/>
        <v>0</v>
      </c>
      <c r="AI4950" s="47"/>
      <c r="AJ4950" s="126" t="e">
        <v>#N/A</v>
      </c>
      <c r="AK4950" s="80">
        <f t="shared" si="757"/>
        <v>0</v>
      </c>
      <c r="AM4950" s="85"/>
    </row>
    <row r="4951" spans="1:39" hidden="1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">
        <v>3707</v>
      </c>
      <c r="L4951" s="1" t="s">
        <v>35</v>
      </c>
      <c r="M4951" s="86"/>
      <c r="N4951" s="86" t="s">
        <v>3707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51"/>
        <v>-1.1641532182693481E-10</v>
      </c>
      <c r="X4951" s="6">
        <f t="shared" si="752"/>
        <v>0</v>
      </c>
      <c r="Y4951" s="13">
        <f t="shared" si="755"/>
        <v>0</v>
      </c>
      <c r="Z4951" s="14">
        <v>0</v>
      </c>
      <c r="AA4951" s="6">
        <v>0</v>
      </c>
      <c r="AB4951" s="4">
        <f t="shared" si="756"/>
        <v>0</v>
      </c>
      <c r="AC4951" s="4">
        <f t="shared" si="758"/>
        <v>0</v>
      </c>
      <c r="AD4951" s="6">
        <f t="shared" si="753"/>
        <v>0</v>
      </c>
      <c r="AE4951" s="2">
        <v>0.06</v>
      </c>
      <c r="AF4951" s="6">
        <f t="shared" si="759"/>
        <v>0</v>
      </c>
      <c r="AG4951" s="14">
        <v>0</v>
      </c>
      <c r="AH4951" s="64">
        <f t="shared" si="754"/>
        <v>0</v>
      </c>
      <c r="AI4951" s="47"/>
      <c r="AJ4951" s="126" t="e">
        <v>#N/A</v>
      </c>
      <c r="AK4951" s="80">
        <f t="shared" si="757"/>
        <v>0</v>
      </c>
      <c r="AM4951" s="85"/>
    </row>
    <row r="4952" spans="1:39" hidden="1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">
        <v>3707</v>
      </c>
      <c r="L4952" s="1" t="s">
        <v>35</v>
      </c>
      <c r="M4952" s="86"/>
      <c r="N4952" s="86" t="s">
        <v>3707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51"/>
        <v>1060554.7100000002</v>
      </c>
      <c r="X4952" s="6">
        <f>IF(P4952="折扣",V4952*Q4952,IF(P4952="返现",V4952,V4952/(1+Q4952)))-100</f>
        <v>528847.53</v>
      </c>
      <c r="Y4952" s="13">
        <f t="shared" si="755"/>
        <v>0</v>
      </c>
      <c r="Z4952" s="14">
        <v>0</v>
      </c>
      <c r="AA4952" s="6">
        <v>0</v>
      </c>
      <c r="AB4952" s="4">
        <f t="shared" si="756"/>
        <v>528847.53</v>
      </c>
      <c r="AC4952" s="4">
        <f t="shared" si="758"/>
        <v>100</v>
      </c>
      <c r="AD4952" s="6">
        <f t="shared" si="753"/>
        <v>528947.53</v>
      </c>
      <c r="AE4952" s="2">
        <v>0.06</v>
      </c>
      <c r="AF4952" s="6">
        <f t="shared" si="759"/>
        <v>31736.8518</v>
      </c>
      <c r="AG4952" s="14">
        <v>0</v>
      </c>
      <c r="AH4952" s="64">
        <f t="shared" si="754"/>
        <v>528947.53</v>
      </c>
      <c r="AI4952" s="47"/>
      <c r="AJ4952" s="126" t="e">
        <v>#N/A</v>
      </c>
      <c r="AK4952" s="80">
        <f t="shared" si="757"/>
        <v>0</v>
      </c>
      <c r="AM4952" s="85"/>
    </row>
    <row r="4953" spans="1:39" hidden="1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">
        <v>3712</v>
      </c>
      <c r="L4953" s="1" t="s">
        <v>35</v>
      </c>
      <c r="M4953" s="86"/>
      <c r="N4953" s="86" t="s">
        <v>3712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51"/>
        <v>0</v>
      </c>
      <c r="X4953" s="6">
        <f t="shared" si="752"/>
        <v>0</v>
      </c>
      <c r="Y4953" s="13">
        <f t="shared" si="755"/>
        <v>0</v>
      </c>
      <c r="Z4953" s="14">
        <v>0</v>
      </c>
      <c r="AA4953" s="6">
        <v>0</v>
      </c>
      <c r="AB4953" s="4">
        <f t="shared" si="756"/>
        <v>0</v>
      </c>
      <c r="AC4953" s="4">
        <f t="shared" si="758"/>
        <v>0</v>
      </c>
      <c r="AD4953" s="6">
        <f t="shared" si="753"/>
        <v>0</v>
      </c>
      <c r="AE4953" s="2">
        <v>0.06</v>
      </c>
      <c r="AF4953" s="6">
        <f t="shared" si="759"/>
        <v>0</v>
      </c>
      <c r="AG4953" s="14">
        <v>0</v>
      </c>
      <c r="AH4953" s="64">
        <f t="shared" si="754"/>
        <v>0</v>
      </c>
      <c r="AI4953" s="47"/>
      <c r="AJ4953" s="126" t="e">
        <v>#N/A</v>
      </c>
      <c r="AK4953" s="80">
        <f t="shared" si="757"/>
        <v>0</v>
      </c>
      <c r="AM4953" s="85"/>
    </row>
    <row r="4954" spans="1:39" hidden="1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">
        <v>3712</v>
      </c>
      <c r="L4954" s="1" t="s">
        <v>35</v>
      </c>
      <c r="M4954" s="86"/>
      <c r="N4954" s="86" t="s">
        <v>3712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52"/>
        <v>0</v>
      </c>
      <c r="Y4954" s="13">
        <f t="shared" si="755"/>
        <v>0</v>
      </c>
      <c r="Z4954" s="14">
        <v>0</v>
      </c>
      <c r="AA4954" s="6">
        <v>0</v>
      </c>
      <c r="AB4954" s="4">
        <f t="shared" si="756"/>
        <v>0</v>
      </c>
      <c r="AC4954" s="4">
        <f t="shared" si="758"/>
        <v>0</v>
      </c>
      <c r="AD4954" s="6">
        <f t="shared" si="753"/>
        <v>0</v>
      </c>
      <c r="AE4954" s="2">
        <v>0.06</v>
      </c>
      <c r="AF4954" s="6">
        <f t="shared" si="759"/>
        <v>0</v>
      </c>
      <c r="AG4954" s="14">
        <v>0</v>
      </c>
      <c r="AH4954" s="64">
        <f t="shared" si="754"/>
        <v>0</v>
      </c>
      <c r="AI4954" s="47"/>
      <c r="AJ4954" s="126" t="e">
        <v>#N/A</v>
      </c>
      <c r="AK4954" s="80">
        <f t="shared" si="757"/>
        <v>0</v>
      </c>
      <c r="AM4954" s="85"/>
    </row>
    <row r="4955" spans="1:39" hidden="1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">
        <v>3710</v>
      </c>
      <c r="L4955" s="1" t="s">
        <v>35</v>
      </c>
      <c r="M4955" s="86"/>
      <c r="N4955" s="86" t="s">
        <v>3710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51"/>
        <v>18524.310000000114</v>
      </c>
      <c r="X4955" s="6">
        <f t="shared" si="752"/>
        <v>133467.63207547157</v>
      </c>
      <c r="Y4955" s="13">
        <f t="shared" si="755"/>
        <v>0</v>
      </c>
      <c r="Z4955" s="14">
        <v>0</v>
      </c>
      <c r="AA4955" s="6">
        <v>0</v>
      </c>
      <c r="AB4955" s="4">
        <f t="shared" si="756"/>
        <v>133467.63207547157</v>
      </c>
      <c r="AC4955" s="4">
        <f t="shared" si="758"/>
        <v>8008.0579245283152</v>
      </c>
      <c r="AD4955" s="6">
        <f t="shared" si="753"/>
        <v>141475.68999999989</v>
      </c>
      <c r="AE4955" s="2">
        <v>0.06</v>
      </c>
      <c r="AF4955" s="6">
        <f t="shared" si="759"/>
        <v>8488.5413999999928</v>
      </c>
      <c r="AG4955" s="14">
        <v>0</v>
      </c>
      <c r="AH4955" s="64">
        <f t="shared" si="754"/>
        <v>141475.68999999989</v>
      </c>
      <c r="AI4955" s="47"/>
      <c r="AJ4955" s="126" t="e">
        <v>#N/A</v>
      </c>
      <c r="AK4955" s="80">
        <f t="shared" si="757"/>
        <v>0</v>
      </c>
      <c r="AM4955" s="85"/>
    </row>
    <row r="4956" spans="1:39" hidden="1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">
        <v>3712</v>
      </c>
      <c r="L4956" s="1" t="s">
        <v>35</v>
      </c>
      <c r="M4956" s="86"/>
      <c r="N4956" s="86" t="s">
        <v>3712</v>
      </c>
      <c r="O4956" s="47" t="s">
        <v>45</v>
      </c>
      <c r="P4956" s="47" t="s">
        <v>3748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51"/>
        <v>18240.89</v>
      </c>
      <c r="X4956" s="6">
        <f t="shared" si="752"/>
        <v>261.91509433962261</v>
      </c>
      <c r="Y4956" s="13">
        <f t="shared" si="755"/>
        <v>0</v>
      </c>
      <c r="Z4956" s="14">
        <v>0</v>
      </c>
      <c r="AA4956" s="6">
        <v>0</v>
      </c>
      <c r="AB4956" s="4">
        <f t="shared" si="756"/>
        <v>261.91509433962261</v>
      </c>
      <c r="AC4956" s="4">
        <f t="shared" si="758"/>
        <v>15.714905660377383</v>
      </c>
      <c r="AD4956" s="6">
        <f t="shared" si="753"/>
        <v>277.63</v>
      </c>
      <c r="AE4956" s="2">
        <v>0.06</v>
      </c>
      <c r="AF4956" s="6">
        <f t="shared" si="759"/>
        <v>16.657799999999998</v>
      </c>
      <c r="AG4956" s="14">
        <v>0</v>
      </c>
      <c r="AH4956" s="64">
        <f t="shared" si="754"/>
        <v>277.63</v>
      </c>
      <c r="AI4956" s="47"/>
      <c r="AJ4956" s="126" t="e">
        <v>#N/A</v>
      </c>
      <c r="AK4956" s="80">
        <f t="shared" si="757"/>
        <v>0</v>
      </c>
      <c r="AM4956" s="85"/>
    </row>
    <row r="4957" spans="1:39" hidden="1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">
        <v>3710</v>
      </c>
      <c r="L4957" s="1" t="s">
        <v>35</v>
      </c>
      <c r="M4957" s="86"/>
      <c r="N4957" s="86" t="s">
        <v>3710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51"/>
        <v>2353639.3700000015</v>
      </c>
      <c r="X4957" s="6">
        <f t="shared" si="752"/>
        <v>3594746.0199999991</v>
      </c>
      <c r="Y4957" s="13">
        <f t="shared" si="755"/>
        <v>0</v>
      </c>
      <c r="Z4957" s="14">
        <v>0</v>
      </c>
      <c r="AA4957" s="6">
        <v>0</v>
      </c>
      <c r="AB4957" s="4">
        <f t="shared" si="756"/>
        <v>3594746.0199999991</v>
      </c>
      <c r="AC4957" s="4">
        <f t="shared" si="758"/>
        <v>0</v>
      </c>
      <c r="AD4957" s="6">
        <f t="shared" si="753"/>
        <v>3594746.0199999991</v>
      </c>
      <c r="AE4957" s="2">
        <v>0.06</v>
      </c>
      <c r="AF4957" s="6">
        <f t="shared" si="759"/>
        <v>215684.76119999995</v>
      </c>
      <c r="AG4957" s="14">
        <v>0</v>
      </c>
      <c r="AH4957" s="64">
        <f t="shared" si="754"/>
        <v>3594746.0199999991</v>
      </c>
      <c r="AI4957" s="47"/>
      <c r="AJ4957" s="126" t="e">
        <v>#N/A</v>
      </c>
      <c r="AK4957" s="80">
        <f t="shared" si="757"/>
        <v>0</v>
      </c>
      <c r="AM4957" s="85"/>
    </row>
    <row r="4958" spans="1:39" hidden="1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">
        <v>3710</v>
      </c>
      <c r="L4958" s="1" t="s">
        <v>35</v>
      </c>
      <c r="M4958" s="86"/>
      <c r="N4958" s="86" t="s">
        <v>3710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51"/>
        <v>2891502.8000000035</v>
      </c>
      <c r="X4958" s="6">
        <f t="shared" si="752"/>
        <v>2451663.2645999999</v>
      </c>
      <c r="Y4958" s="13">
        <f t="shared" si="755"/>
        <v>0</v>
      </c>
      <c r="Z4958" s="14">
        <v>0</v>
      </c>
      <c r="AA4958" s="6">
        <v>0</v>
      </c>
      <c r="AB4958" s="4">
        <f t="shared" si="756"/>
        <v>2451663.2645999999</v>
      </c>
      <c r="AC4958" s="4">
        <f t="shared" si="758"/>
        <v>24764.275400000159</v>
      </c>
      <c r="AD4958" s="6">
        <f t="shared" si="753"/>
        <v>2476427.54</v>
      </c>
      <c r="AE4958" s="2">
        <v>0.06</v>
      </c>
      <c r="AF4958" s="6">
        <f t="shared" si="759"/>
        <v>148585.65239999999</v>
      </c>
      <c r="AG4958" s="14">
        <v>0</v>
      </c>
      <c r="AH4958" s="64">
        <f t="shared" si="754"/>
        <v>2476427.54</v>
      </c>
      <c r="AI4958" s="47"/>
      <c r="AJ4958" s="126" t="e">
        <v>#N/A</v>
      </c>
      <c r="AK4958" s="80">
        <f t="shared" si="757"/>
        <v>0</v>
      </c>
      <c r="AM4958" s="85"/>
    </row>
    <row r="4959" spans="1:39" hidden="1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">
        <v>3712</v>
      </c>
      <c r="L4959" s="1" t="s">
        <v>35</v>
      </c>
      <c r="M4959" s="86"/>
      <c r="N4959" s="86" t="s">
        <v>3712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51"/>
        <v>35194.040000004694</v>
      </c>
      <c r="X4959" s="6">
        <f t="shared" si="752"/>
        <v>0</v>
      </c>
      <c r="Y4959" s="13">
        <f t="shared" si="755"/>
        <v>0</v>
      </c>
      <c r="Z4959" s="14">
        <v>0</v>
      </c>
      <c r="AA4959" s="6">
        <v>0</v>
      </c>
      <c r="AB4959" s="4">
        <f t="shared" si="756"/>
        <v>0</v>
      </c>
      <c r="AC4959" s="4">
        <f t="shared" si="758"/>
        <v>0</v>
      </c>
      <c r="AD4959" s="6">
        <f t="shared" si="753"/>
        <v>0</v>
      </c>
      <c r="AE4959" s="2">
        <v>0.06</v>
      </c>
      <c r="AF4959" s="6">
        <f t="shared" si="759"/>
        <v>0</v>
      </c>
      <c r="AG4959" s="14">
        <v>0</v>
      </c>
      <c r="AH4959" s="64">
        <f t="shared" si="754"/>
        <v>0</v>
      </c>
      <c r="AI4959" s="47"/>
      <c r="AJ4959" s="126" t="e">
        <v>#N/A</v>
      </c>
      <c r="AK4959" s="80">
        <f t="shared" si="757"/>
        <v>0</v>
      </c>
      <c r="AM4959" s="85"/>
    </row>
    <row r="4960" spans="1:39" hidden="1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">
        <v>3712</v>
      </c>
      <c r="L4960" s="1" t="s">
        <v>35</v>
      </c>
      <c r="M4960" s="86"/>
      <c r="N4960" s="86" t="s">
        <v>3712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51"/>
        <v>-3.2596290111541748E-9</v>
      </c>
      <c r="X4960" s="6">
        <f t="shared" si="752"/>
        <v>0</v>
      </c>
      <c r="Y4960" s="13">
        <f t="shared" si="755"/>
        <v>0</v>
      </c>
      <c r="Z4960" s="14">
        <v>0</v>
      </c>
      <c r="AA4960" s="6">
        <v>0</v>
      </c>
      <c r="AB4960" s="4">
        <f t="shared" si="756"/>
        <v>0</v>
      </c>
      <c r="AC4960" s="4">
        <f t="shared" si="758"/>
        <v>0</v>
      </c>
      <c r="AD4960" s="6">
        <f t="shared" si="753"/>
        <v>0</v>
      </c>
      <c r="AE4960" s="2">
        <v>0.06</v>
      </c>
      <c r="AF4960" s="6">
        <f t="shared" si="759"/>
        <v>0</v>
      </c>
      <c r="AG4960" s="14">
        <v>0</v>
      </c>
      <c r="AH4960" s="64">
        <f t="shared" si="754"/>
        <v>0</v>
      </c>
      <c r="AI4960" s="47"/>
      <c r="AJ4960" s="126" t="e">
        <v>#N/A</v>
      </c>
      <c r="AK4960" s="80">
        <f t="shared" si="757"/>
        <v>0</v>
      </c>
      <c r="AM4960" s="85"/>
    </row>
    <row r="4961" spans="1:39" hidden="1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1" t="s">
        <v>3718</v>
      </c>
      <c r="L4961" s="1" t="s">
        <v>35</v>
      </c>
      <c r="M4961" s="86"/>
      <c r="N4961" s="86" t="s">
        <v>3718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51"/>
        <v>10209.099999999627</v>
      </c>
      <c r="X4961" s="6">
        <f t="shared" si="752"/>
        <v>627780.19999999995</v>
      </c>
      <c r="Y4961" s="13">
        <f t="shared" si="755"/>
        <v>0</v>
      </c>
      <c r="Z4961" s="14">
        <v>0</v>
      </c>
      <c r="AA4961" s="6">
        <v>0</v>
      </c>
      <c r="AB4961" s="4">
        <f t="shared" si="756"/>
        <v>627780.19999999995</v>
      </c>
      <c r="AC4961" s="4">
        <f t="shared" si="758"/>
        <v>0</v>
      </c>
      <c r="AD4961" s="6">
        <f t="shared" si="753"/>
        <v>627780.19999999995</v>
      </c>
      <c r="AE4961" s="2">
        <v>0.06</v>
      </c>
      <c r="AF4961" s="6">
        <f t="shared" si="759"/>
        <v>37666.811999999998</v>
      </c>
      <c r="AG4961" s="14">
        <v>0</v>
      </c>
      <c r="AH4961" s="64">
        <f t="shared" si="754"/>
        <v>627780.19999999995</v>
      </c>
      <c r="AI4961" s="47"/>
      <c r="AJ4961" s="126" t="e">
        <v>#N/A</v>
      </c>
      <c r="AK4961" s="80">
        <f t="shared" si="757"/>
        <v>0</v>
      </c>
      <c r="AM4961" s="85"/>
    </row>
    <row r="4962" spans="1:39" hidden="1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">
        <v>3707</v>
      </c>
      <c r="L4962" s="1" t="s">
        <v>35</v>
      </c>
      <c r="M4962" s="86"/>
      <c r="N4962" s="86" t="s">
        <v>3707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51"/>
        <v>5070883.620000001</v>
      </c>
      <c r="X4962" s="6">
        <f t="shared" si="752"/>
        <v>5556789.9901477834</v>
      </c>
      <c r="Y4962" s="13">
        <f t="shared" si="755"/>
        <v>0</v>
      </c>
      <c r="Z4962" s="14">
        <v>0</v>
      </c>
      <c r="AA4962" s="6">
        <v>0</v>
      </c>
      <c r="AB4962" s="4">
        <f t="shared" si="756"/>
        <v>5556789.9901477834</v>
      </c>
      <c r="AC4962" s="4">
        <f t="shared" si="758"/>
        <v>83351.84985221643</v>
      </c>
      <c r="AD4962" s="6">
        <f t="shared" si="753"/>
        <v>5640141.8399999999</v>
      </c>
      <c r="AE4962" s="2">
        <v>0.06</v>
      </c>
      <c r="AF4962" s="6">
        <f t="shared" si="759"/>
        <v>338408.51039999997</v>
      </c>
      <c r="AG4962" s="14">
        <v>0</v>
      </c>
      <c r="AH4962" s="64">
        <f t="shared" si="754"/>
        <v>5640141.8399999999</v>
      </c>
      <c r="AI4962" s="47"/>
      <c r="AJ4962" s="126" t="e">
        <v>#N/A</v>
      </c>
      <c r="AK4962" s="80">
        <f t="shared" si="757"/>
        <v>0</v>
      </c>
      <c r="AM4962" s="85"/>
    </row>
    <row r="4963" spans="1:39" hidden="1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">
        <v>3707</v>
      </c>
      <c r="L4963" s="1" t="s">
        <v>35</v>
      </c>
      <c r="M4963" s="86"/>
      <c r="N4963" s="86" t="s">
        <v>3707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51"/>
        <v>33728.27999999997</v>
      </c>
      <c r="X4963" s="6">
        <f t="shared" si="752"/>
        <v>290412.43</v>
      </c>
      <c r="Y4963" s="13">
        <f t="shared" si="755"/>
        <v>0</v>
      </c>
      <c r="Z4963" s="14">
        <v>0</v>
      </c>
      <c r="AA4963" s="6">
        <v>0</v>
      </c>
      <c r="AB4963" s="4">
        <f t="shared" si="756"/>
        <v>290412.43</v>
      </c>
      <c r="AC4963" s="4">
        <f t="shared" si="758"/>
        <v>0</v>
      </c>
      <c r="AD4963" s="6">
        <f t="shared" si="753"/>
        <v>290412.43</v>
      </c>
      <c r="AE4963" s="2">
        <v>0.06</v>
      </c>
      <c r="AF4963" s="6">
        <f t="shared" si="759"/>
        <v>17424.745800000001</v>
      </c>
      <c r="AG4963" s="14">
        <v>0</v>
      </c>
      <c r="AH4963" s="64">
        <f t="shared" si="754"/>
        <v>290412.43</v>
      </c>
      <c r="AI4963" s="47"/>
      <c r="AJ4963" s="126" t="e">
        <v>#N/A</v>
      </c>
      <c r="AK4963" s="80">
        <f t="shared" si="757"/>
        <v>0</v>
      </c>
      <c r="AM4963" s="85"/>
    </row>
    <row r="4964" spans="1:39" hidden="1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">
        <v>3712</v>
      </c>
      <c r="L4964" s="1" t="s">
        <v>35</v>
      </c>
      <c r="M4964" s="86"/>
      <c r="N4964" s="86" t="s">
        <v>3712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51"/>
        <v>241663.07</v>
      </c>
      <c r="X4964" s="6">
        <f t="shared" si="752"/>
        <v>152276.60999999999</v>
      </c>
      <c r="Y4964" s="13">
        <f t="shared" si="755"/>
        <v>0</v>
      </c>
      <c r="Z4964" s="14">
        <v>0</v>
      </c>
      <c r="AA4964" s="6">
        <v>0</v>
      </c>
      <c r="AB4964" s="4">
        <f t="shared" si="756"/>
        <v>152276.60999999999</v>
      </c>
      <c r="AC4964" s="4">
        <f t="shared" si="758"/>
        <v>0</v>
      </c>
      <c r="AD4964" s="6">
        <f t="shared" si="753"/>
        <v>152276.60999999999</v>
      </c>
      <c r="AE4964" s="2">
        <v>0.06</v>
      </c>
      <c r="AF4964" s="6">
        <f t="shared" si="759"/>
        <v>9136.5965999999989</v>
      </c>
      <c r="AG4964" s="14">
        <v>0</v>
      </c>
      <c r="AH4964" s="64">
        <f t="shared" si="754"/>
        <v>152276.60999999999</v>
      </c>
      <c r="AI4964" s="47"/>
      <c r="AJ4964" s="126" t="e">
        <v>#N/A</v>
      </c>
      <c r="AK4964" s="80">
        <f t="shared" si="757"/>
        <v>0</v>
      </c>
      <c r="AM4964" s="85"/>
    </row>
    <row r="4965" spans="1:39" hidden="1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">
        <v>3707</v>
      </c>
      <c r="L4965" s="1" t="s">
        <v>35</v>
      </c>
      <c r="M4965" s="86"/>
      <c r="N4965" s="86" t="s">
        <v>3707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51"/>
        <v>5075111.6399999969</v>
      </c>
      <c r="X4965" s="6">
        <f t="shared" si="752"/>
        <v>5009011.42</v>
      </c>
      <c r="Y4965" s="13">
        <f t="shared" si="755"/>
        <v>0</v>
      </c>
      <c r="Z4965" s="14">
        <v>0</v>
      </c>
      <c r="AA4965" s="6">
        <v>0</v>
      </c>
      <c r="AB4965" s="4">
        <f t="shared" si="756"/>
        <v>5009011.42</v>
      </c>
      <c r="AC4965" s="4">
        <f t="shared" si="758"/>
        <v>0</v>
      </c>
      <c r="AD4965" s="6">
        <f t="shared" si="753"/>
        <v>5009011.42</v>
      </c>
      <c r="AE4965" s="2">
        <v>0.06</v>
      </c>
      <c r="AF4965" s="6">
        <f t="shared" si="759"/>
        <v>300540.68520000001</v>
      </c>
      <c r="AG4965" s="14">
        <v>0</v>
      </c>
      <c r="AH4965" s="64">
        <f t="shared" si="754"/>
        <v>5009011.42</v>
      </c>
      <c r="AI4965" s="47"/>
      <c r="AJ4965" s="126" t="e">
        <v>#N/A</v>
      </c>
      <c r="AK4965" s="80">
        <f t="shared" si="757"/>
        <v>0</v>
      </c>
      <c r="AM4965" s="85"/>
    </row>
    <row r="4966" spans="1:39" hidden="1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">
        <v>3712</v>
      </c>
      <c r="L4966" s="1" t="s">
        <v>35</v>
      </c>
      <c r="M4966" s="86"/>
      <c r="N4966" s="86" t="s">
        <v>3712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51"/>
        <v>1200001.9799999902</v>
      </c>
      <c r="X4966" s="6">
        <f t="shared" si="752"/>
        <v>0</v>
      </c>
      <c r="Y4966" s="13">
        <f t="shared" si="755"/>
        <v>0</v>
      </c>
      <c r="Z4966" s="14">
        <v>0</v>
      </c>
      <c r="AA4966" s="6">
        <v>0</v>
      </c>
      <c r="AB4966" s="4">
        <f t="shared" si="756"/>
        <v>0</v>
      </c>
      <c r="AC4966" s="4">
        <f t="shared" si="758"/>
        <v>0</v>
      </c>
      <c r="AD4966" s="6">
        <f t="shared" si="753"/>
        <v>0</v>
      </c>
      <c r="AE4966" s="2">
        <v>0.06</v>
      </c>
      <c r="AF4966" s="6">
        <f t="shared" si="759"/>
        <v>0</v>
      </c>
      <c r="AG4966" s="14">
        <v>0</v>
      </c>
      <c r="AH4966" s="64">
        <f t="shared" si="754"/>
        <v>0</v>
      </c>
      <c r="AI4966" s="47"/>
      <c r="AJ4966" s="126" t="e">
        <v>#N/A</v>
      </c>
      <c r="AK4966" s="80">
        <f t="shared" si="757"/>
        <v>0</v>
      </c>
      <c r="AM4966" s="85"/>
    </row>
    <row r="4967" spans="1:39" hidden="1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">
        <v>3710</v>
      </c>
      <c r="L4967" s="1" t="s">
        <v>35</v>
      </c>
      <c r="M4967" s="86"/>
      <c r="N4967" s="86" t="s">
        <v>3738</v>
      </c>
      <c r="O4967" s="47" t="s">
        <v>45</v>
      </c>
      <c r="P4967" s="1" t="s">
        <v>3753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51"/>
        <v>5236121.8999999752</v>
      </c>
      <c r="X4967" s="6">
        <f t="shared" si="752"/>
        <v>26688.643564356436</v>
      </c>
      <c r="Y4967" s="13">
        <f t="shared" si="755"/>
        <v>0</v>
      </c>
      <c r="Z4967" s="14">
        <v>0</v>
      </c>
      <c r="AA4967" s="6">
        <v>0</v>
      </c>
      <c r="AB4967" s="4">
        <f t="shared" si="756"/>
        <v>26688.643564356436</v>
      </c>
      <c r="AC4967" s="4">
        <f t="shared" si="758"/>
        <v>266.88643564356607</v>
      </c>
      <c r="AD4967" s="6">
        <f t="shared" si="753"/>
        <v>26955.530000000002</v>
      </c>
      <c r="AE4967" s="2">
        <v>0.06</v>
      </c>
      <c r="AF4967" s="6">
        <f t="shared" si="759"/>
        <v>1617.3318000000002</v>
      </c>
      <c r="AG4967" s="14">
        <v>0</v>
      </c>
      <c r="AH4967" s="64">
        <f t="shared" si="754"/>
        <v>26955.530000000002</v>
      </c>
      <c r="AI4967" s="47"/>
      <c r="AJ4967" s="126" t="e">
        <v>#N/A</v>
      </c>
      <c r="AK4967" s="80">
        <f t="shared" si="757"/>
        <v>0</v>
      </c>
      <c r="AM4967" s="85"/>
    </row>
    <row r="4968" spans="1:39" hidden="1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">
        <v>3712</v>
      </c>
      <c r="L4968" s="1" t="s">
        <v>35</v>
      </c>
      <c r="M4968" s="86"/>
      <c r="N4968" s="86" t="s">
        <v>3712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51"/>
        <v>956688.85000000009</v>
      </c>
      <c r="X4968" s="6">
        <f t="shared" si="752"/>
        <v>2477429.6599999997</v>
      </c>
      <c r="Y4968" s="13">
        <f t="shared" si="755"/>
        <v>0</v>
      </c>
      <c r="Z4968" s="14">
        <v>0</v>
      </c>
      <c r="AA4968" s="6">
        <v>0</v>
      </c>
      <c r="AB4968" s="4">
        <f t="shared" si="756"/>
        <v>2477429.6599999997</v>
      </c>
      <c r="AC4968" s="4">
        <f t="shared" si="758"/>
        <v>0</v>
      </c>
      <c r="AD4968" s="6">
        <f t="shared" si="753"/>
        <v>2477429.6599999997</v>
      </c>
      <c r="AE4968" s="2">
        <v>0.06</v>
      </c>
      <c r="AF4968" s="6">
        <f t="shared" si="759"/>
        <v>148645.77959999998</v>
      </c>
      <c r="AG4968" s="14">
        <v>0</v>
      </c>
      <c r="AH4968" s="64">
        <f t="shared" si="754"/>
        <v>2477429.6599999997</v>
      </c>
      <c r="AI4968" s="47"/>
      <c r="AJ4968" s="126" t="e">
        <v>#N/A</v>
      </c>
      <c r="AK4968" s="80">
        <f t="shared" si="757"/>
        <v>0</v>
      </c>
      <c r="AM4968" s="85"/>
    </row>
    <row r="4969" spans="1:39" hidden="1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">
        <v>3712</v>
      </c>
      <c r="L4969" s="1" t="s">
        <v>35</v>
      </c>
      <c r="M4969" s="86"/>
      <c r="N4969" s="86" t="s">
        <v>3712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51"/>
        <v>8775.6799999996874</v>
      </c>
      <c r="X4969" s="6">
        <f t="shared" si="752"/>
        <v>0</v>
      </c>
      <c r="Y4969" s="13">
        <f t="shared" si="755"/>
        <v>0</v>
      </c>
      <c r="Z4969" s="14">
        <v>0</v>
      </c>
      <c r="AA4969" s="6">
        <v>0</v>
      </c>
      <c r="AB4969" s="4">
        <f t="shared" si="756"/>
        <v>0</v>
      </c>
      <c r="AC4969" s="4">
        <f t="shared" si="758"/>
        <v>0</v>
      </c>
      <c r="AD4969" s="6">
        <f t="shared" si="753"/>
        <v>0</v>
      </c>
      <c r="AE4969" s="2">
        <v>0.06</v>
      </c>
      <c r="AF4969" s="6">
        <f t="shared" si="759"/>
        <v>0</v>
      </c>
      <c r="AG4969" s="14">
        <v>0</v>
      </c>
      <c r="AH4969" s="64">
        <f t="shared" si="754"/>
        <v>0</v>
      </c>
      <c r="AI4969" s="47"/>
      <c r="AJ4969" s="126" t="e">
        <v>#N/A</v>
      </c>
      <c r="AK4969" s="80">
        <f t="shared" si="757"/>
        <v>0</v>
      </c>
      <c r="AM4969" s="85"/>
    </row>
    <row r="4970" spans="1:39" hidden="1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">
        <v>3707</v>
      </c>
      <c r="L4970" s="1" t="s">
        <v>35</v>
      </c>
      <c r="M4970" s="86"/>
      <c r="N4970" s="86" t="s">
        <v>3707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51"/>
        <v>275813.86</v>
      </c>
      <c r="X4970" s="6">
        <f t="shared" si="752"/>
        <v>44186.14</v>
      </c>
      <c r="Y4970" s="13">
        <f t="shared" si="755"/>
        <v>0</v>
      </c>
      <c r="Z4970" s="14">
        <v>0</v>
      </c>
      <c r="AA4970" s="6">
        <v>0</v>
      </c>
      <c r="AB4970" s="4">
        <f t="shared" si="756"/>
        <v>44186.14</v>
      </c>
      <c r="AC4970" s="4">
        <f t="shared" si="758"/>
        <v>0</v>
      </c>
      <c r="AD4970" s="6">
        <f t="shared" si="753"/>
        <v>44186.14</v>
      </c>
      <c r="AE4970" s="2">
        <v>0.06</v>
      </c>
      <c r="AF4970" s="6">
        <f t="shared" si="759"/>
        <v>2651.1684</v>
      </c>
      <c r="AG4970" s="14">
        <v>0</v>
      </c>
      <c r="AH4970" s="64">
        <f t="shared" si="754"/>
        <v>44186.14</v>
      </c>
      <c r="AI4970" s="47"/>
      <c r="AJ4970" s="126" t="e">
        <v>#N/A</v>
      </c>
      <c r="AK4970" s="80">
        <f t="shared" si="757"/>
        <v>0</v>
      </c>
      <c r="AM4970" s="85"/>
    </row>
    <row r="4971" spans="1:39" hidden="1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">
        <v>3707</v>
      </c>
      <c r="L4971" s="1" t="s">
        <v>35</v>
      </c>
      <c r="M4971" s="86"/>
      <c r="N4971" s="86" t="s">
        <v>3707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51"/>
        <v>2662308.4400000023</v>
      </c>
      <c r="X4971" s="6">
        <f t="shared" si="752"/>
        <v>5558700.0799999991</v>
      </c>
      <c r="Y4971" s="13">
        <f t="shared" si="755"/>
        <v>0</v>
      </c>
      <c r="Z4971" s="14">
        <v>0</v>
      </c>
      <c r="AA4971" s="6">
        <v>0</v>
      </c>
      <c r="AB4971" s="4">
        <f t="shared" si="756"/>
        <v>5558700.0799999991</v>
      </c>
      <c r="AC4971" s="4">
        <f t="shared" si="758"/>
        <v>0</v>
      </c>
      <c r="AD4971" s="6">
        <f t="shared" si="753"/>
        <v>5558700.0799999991</v>
      </c>
      <c r="AE4971" s="2">
        <v>0.06</v>
      </c>
      <c r="AF4971" s="6">
        <f t="shared" si="759"/>
        <v>333522.00479999994</v>
      </c>
      <c r="AG4971" s="14">
        <v>0</v>
      </c>
      <c r="AH4971" s="64">
        <f t="shared" si="754"/>
        <v>5558700.0799999991</v>
      </c>
      <c r="AI4971" s="47"/>
      <c r="AJ4971" s="126" t="e">
        <v>#N/A</v>
      </c>
      <c r="AK4971" s="80">
        <f t="shared" si="757"/>
        <v>0</v>
      </c>
      <c r="AM4971" s="85"/>
    </row>
    <row r="4972" spans="1:39" hidden="1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">
        <v>3712</v>
      </c>
      <c r="L4972" s="1" t="s">
        <v>35</v>
      </c>
      <c r="M4972" s="86"/>
      <c r="N4972" s="86" t="s">
        <v>3712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51"/>
        <v>6945785.9699999988</v>
      </c>
      <c r="X4972" s="6">
        <f t="shared" si="752"/>
        <v>10282298.07</v>
      </c>
      <c r="Y4972" s="13">
        <f t="shared" si="755"/>
        <v>0</v>
      </c>
      <c r="Z4972" s="14">
        <v>0</v>
      </c>
      <c r="AA4972" s="6">
        <v>0</v>
      </c>
      <c r="AB4972" s="4">
        <f t="shared" si="756"/>
        <v>10282298.07</v>
      </c>
      <c r="AC4972" s="4">
        <f t="shared" si="758"/>
        <v>0</v>
      </c>
      <c r="AD4972" s="6">
        <f t="shared" si="753"/>
        <v>10282298.07</v>
      </c>
      <c r="AE4972" s="2">
        <v>0.06</v>
      </c>
      <c r="AF4972" s="6">
        <f t="shared" si="759"/>
        <v>616937.88419999997</v>
      </c>
      <c r="AG4972" s="14">
        <v>0</v>
      </c>
      <c r="AH4972" s="64">
        <f t="shared" si="754"/>
        <v>10282298.07</v>
      </c>
      <c r="AI4972" s="47"/>
      <c r="AJ4972" s="126" t="e">
        <v>#N/A</v>
      </c>
      <c r="AK4972" s="80">
        <f t="shared" si="757"/>
        <v>0</v>
      </c>
      <c r="AM4972" s="85"/>
    </row>
    <row r="4973" spans="1:39" hidden="1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">
        <v>3710</v>
      </c>
      <c r="L4973" s="1" t="s">
        <v>35</v>
      </c>
      <c r="M4973" s="86"/>
      <c r="N4973" s="86" t="s">
        <v>3710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51"/>
        <v>207892.65999999997</v>
      </c>
      <c r="X4973" s="6">
        <f t="shared" si="752"/>
        <v>294056.14285714278</v>
      </c>
      <c r="Y4973" s="13">
        <f t="shared" si="755"/>
        <v>0</v>
      </c>
      <c r="Z4973" s="14">
        <v>0</v>
      </c>
      <c r="AA4973" s="6">
        <v>0</v>
      </c>
      <c r="AB4973" s="4">
        <f t="shared" si="756"/>
        <v>294056.14285714278</v>
      </c>
      <c r="AC4973" s="4">
        <f t="shared" si="758"/>
        <v>14702.807142857171</v>
      </c>
      <c r="AD4973" s="6">
        <f t="shared" si="753"/>
        <v>308758.94999999995</v>
      </c>
      <c r="AE4973" s="2">
        <v>0.06</v>
      </c>
      <c r="AF4973" s="6">
        <f t="shared" si="759"/>
        <v>18525.536999999997</v>
      </c>
      <c r="AG4973" s="14">
        <v>0</v>
      </c>
      <c r="AH4973" s="64">
        <f t="shared" si="754"/>
        <v>308758.94999999995</v>
      </c>
      <c r="AI4973" s="47"/>
      <c r="AJ4973" s="126" t="e">
        <v>#N/A</v>
      </c>
      <c r="AK4973" s="80">
        <f t="shared" si="757"/>
        <v>0</v>
      </c>
      <c r="AM4973" s="85"/>
    </row>
    <row r="4974" spans="1:39" hidden="1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">
        <v>3712</v>
      </c>
      <c r="L4974" s="1" t="s">
        <v>35</v>
      </c>
      <c r="M4974" s="86"/>
      <c r="N4974" s="86" t="s">
        <v>3712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51"/>
        <v>721225.55000000075</v>
      </c>
      <c r="X4974" s="6">
        <f t="shared" si="752"/>
        <v>3574025.4799999995</v>
      </c>
      <c r="Y4974" s="13">
        <f t="shared" si="755"/>
        <v>0</v>
      </c>
      <c r="Z4974" s="14">
        <v>0</v>
      </c>
      <c r="AA4974" s="6">
        <v>0</v>
      </c>
      <c r="AB4974" s="4">
        <f t="shared" si="756"/>
        <v>3574025.4799999995</v>
      </c>
      <c r="AC4974" s="4">
        <f t="shared" si="758"/>
        <v>0</v>
      </c>
      <c r="AD4974" s="6">
        <f t="shared" si="753"/>
        <v>3574025.4799999995</v>
      </c>
      <c r="AE4974" s="2">
        <v>0.06</v>
      </c>
      <c r="AF4974" s="6">
        <f t="shared" si="759"/>
        <v>214441.52879999997</v>
      </c>
      <c r="AG4974" s="14">
        <v>0</v>
      </c>
      <c r="AH4974" s="64">
        <f t="shared" si="754"/>
        <v>3574025.4799999995</v>
      </c>
      <c r="AI4974" s="47"/>
      <c r="AJ4974" s="126" t="e">
        <v>#N/A</v>
      </c>
      <c r="AK4974" s="80">
        <f t="shared" si="757"/>
        <v>0</v>
      </c>
      <c r="AM4974" s="85"/>
    </row>
    <row r="4975" spans="1:39" hidden="1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">
        <v>3712</v>
      </c>
      <c r="L4975" s="1" t="s">
        <v>35</v>
      </c>
      <c r="M4975" s="86"/>
      <c r="N4975" s="86" t="s">
        <v>3712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51"/>
        <v>1862271.1500000022</v>
      </c>
      <c r="X4975" s="6">
        <f t="shared" si="752"/>
        <v>4012820.92</v>
      </c>
      <c r="Y4975" s="13">
        <f t="shared" si="755"/>
        <v>0</v>
      </c>
      <c r="Z4975" s="14">
        <v>0</v>
      </c>
      <c r="AA4975" s="6">
        <v>0</v>
      </c>
      <c r="AB4975" s="4">
        <f t="shared" si="756"/>
        <v>4012820.92</v>
      </c>
      <c r="AC4975" s="4">
        <f t="shared" si="758"/>
        <v>0</v>
      </c>
      <c r="AD4975" s="6">
        <f t="shared" si="753"/>
        <v>4012820.92</v>
      </c>
      <c r="AE4975" s="2">
        <v>0.06</v>
      </c>
      <c r="AF4975" s="6">
        <f t="shared" si="759"/>
        <v>240769.25519999999</v>
      </c>
      <c r="AG4975" s="14">
        <v>0</v>
      </c>
      <c r="AH4975" s="64">
        <f t="shared" si="754"/>
        <v>4012820.92</v>
      </c>
      <c r="AI4975" s="47"/>
      <c r="AJ4975" s="126" t="e">
        <v>#N/A</v>
      </c>
      <c r="AK4975" s="80">
        <f t="shared" si="757"/>
        <v>0</v>
      </c>
      <c r="AM4975" s="85"/>
    </row>
    <row r="4976" spans="1:39" hidden="1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">
        <v>3707</v>
      </c>
      <c r="L4976" s="1" t="s">
        <v>35</v>
      </c>
      <c r="M4976" s="86"/>
      <c r="N4976" s="86" t="s">
        <v>3707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51"/>
        <v>129772.34999999995</v>
      </c>
      <c r="X4976" s="6">
        <f t="shared" si="752"/>
        <v>229751.43000000008</v>
      </c>
      <c r="Y4976" s="13">
        <f t="shared" si="755"/>
        <v>0</v>
      </c>
      <c r="Z4976" s="14">
        <v>0</v>
      </c>
      <c r="AA4976" s="6">
        <v>0</v>
      </c>
      <c r="AB4976" s="4">
        <f t="shared" si="756"/>
        <v>229751.43000000008</v>
      </c>
      <c r="AC4976" s="4">
        <f t="shared" si="758"/>
        <v>0</v>
      </c>
      <c r="AD4976" s="6">
        <f t="shared" si="753"/>
        <v>229751.43000000008</v>
      </c>
      <c r="AE4976" s="2">
        <v>0.06</v>
      </c>
      <c r="AF4976" s="6">
        <f t="shared" si="759"/>
        <v>13785.085800000004</v>
      </c>
      <c r="AG4976" s="14">
        <v>0</v>
      </c>
      <c r="AH4976" s="64">
        <f t="shared" si="754"/>
        <v>229751.43000000008</v>
      </c>
      <c r="AI4976" s="47"/>
      <c r="AJ4976" s="126" t="e">
        <v>#N/A</v>
      </c>
      <c r="AK4976" s="80">
        <f t="shared" si="757"/>
        <v>0</v>
      </c>
      <c r="AM4976" s="85"/>
    </row>
    <row r="4977" spans="1:39" hidden="1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">
        <v>3712</v>
      </c>
      <c r="L4977" s="1" t="s">
        <v>35</v>
      </c>
      <c r="M4977" s="86"/>
      <c r="N4977" s="86" t="s">
        <v>3712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51"/>
        <v>4089559.810000001</v>
      </c>
      <c r="X4977" s="6">
        <f t="shared" si="752"/>
        <v>3277537.399999999</v>
      </c>
      <c r="Y4977" s="13">
        <f t="shared" si="755"/>
        <v>0</v>
      </c>
      <c r="Z4977" s="14">
        <v>0</v>
      </c>
      <c r="AA4977" s="6">
        <v>0</v>
      </c>
      <c r="AB4977" s="4">
        <f t="shared" si="756"/>
        <v>3277537.399999999</v>
      </c>
      <c r="AC4977" s="4">
        <f t="shared" si="758"/>
        <v>0</v>
      </c>
      <c r="AD4977" s="6">
        <f t="shared" si="753"/>
        <v>3277537.399999999</v>
      </c>
      <c r="AE4977" s="2">
        <v>0.06</v>
      </c>
      <c r="AF4977" s="6">
        <f t="shared" si="759"/>
        <v>196652.24399999992</v>
      </c>
      <c r="AG4977" s="14">
        <v>0</v>
      </c>
      <c r="AH4977" s="64">
        <f t="shared" si="754"/>
        <v>3277537.399999999</v>
      </c>
      <c r="AI4977" s="47"/>
      <c r="AJ4977" s="126" t="e">
        <v>#N/A</v>
      </c>
      <c r="AK4977" s="80">
        <f t="shared" si="757"/>
        <v>0</v>
      </c>
      <c r="AM4977" s="85"/>
    </row>
    <row r="4978" spans="1:39" hidden="1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">
        <v>3710</v>
      </c>
      <c r="L4978" s="1" t="s">
        <v>35</v>
      </c>
      <c r="M4978" s="86"/>
      <c r="N4978" s="86" t="s">
        <v>3710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51"/>
        <v>419833.01999999897</v>
      </c>
      <c r="X4978" s="6">
        <f t="shared" si="752"/>
        <v>52134.22</v>
      </c>
      <c r="Y4978" s="13">
        <f t="shared" si="755"/>
        <v>0</v>
      </c>
      <c r="Z4978" s="14">
        <v>0</v>
      </c>
      <c r="AA4978" s="6">
        <v>0</v>
      </c>
      <c r="AB4978" s="4">
        <f t="shared" si="756"/>
        <v>52134.22</v>
      </c>
      <c r="AC4978" s="4">
        <f t="shared" si="758"/>
        <v>0</v>
      </c>
      <c r="AD4978" s="6">
        <f t="shared" si="753"/>
        <v>52134.22</v>
      </c>
      <c r="AE4978" s="2">
        <v>0.06</v>
      </c>
      <c r="AF4978" s="6">
        <f t="shared" si="759"/>
        <v>3128.0531999999998</v>
      </c>
      <c r="AG4978" s="14">
        <v>0</v>
      </c>
      <c r="AH4978" s="64">
        <f t="shared" si="754"/>
        <v>52134.22</v>
      </c>
      <c r="AI4978" s="47"/>
      <c r="AJ4978" s="126" t="e">
        <v>#N/A</v>
      </c>
      <c r="AK4978" s="80">
        <f t="shared" si="757"/>
        <v>0</v>
      </c>
      <c r="AM4978" s="85"/>
    </row>
    <row r="4979" spans="1:39" hidden="1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">
        <v>3710</v>
      </c>
      <c r="L4979" s="1" t="s">
        <v>35</v>
      </c>
      <c r="M4979" s="86"/>
      <c r="N4979" s="86" t="s">
        <v>3710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51"/>
        <v>71722.78</v>
      </c>
      <c r="X4979" s="6">
        <f t="shared" si="752"/>
        <v>51581.461538461539</v>
      </c>
      <c r="Y4979" s="13">
        <f t="shared" si="755"/>
        <v>0</v>
      </c>
      <c r="Z4979" s="14">
        <v>0</v>
      </c>
      <c r="AA4979" s="6">
        <v>0</v>
      </c>
      <c r="AB4979" s="4">
        <f t="shared" si="756"/>
        <v>51581.461538461539</v>
      </c>
      <c r="AC4979" s="4">
        <f t="shared" si="758"/>
        <v>2063.2584615384621</v>
      </c>
      <c r="AD4979" s="6">
        <f t="shared" si="753"/>
        <v>53644.72</v>
      </c>
      <c r="AE4979" s="2">
        <v>0.06</v>
      </c>
      <c r="AF4979" s="6">
        <f t="shared" si="759"/>
        <v>3218.6831999999999</v>
      </c>
      <c r="AG4979" s="14">
        <v>0</v>
      </c>
      <c r="AH4979" s="64">
        <f t="shared" si="754"/>
        <v>53644.72</v>
      </c>
      <c r="AI4979" s="47"/>
      <c r="AJ4979" s="126" t="e">
        <v>#N/A</v>
      </c>
      <c r="AK4979" s="80">
        <f t="shared" si="757"/>
        <v>0</v>
      </c>
      <c r="AM4979" s="85"/>
    </row>
    <row r="4980" spans="1:39" hidden="1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">
        <v>3707</v>
      </c>
      <c r="L4980" s="1" t="s">
        <v>35</v>
      </c>
      <c r="M4980" s="86"/>
      <c r="N4980" s="86" t="s">
        <v>3707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51"/>
        <v>126319.22</v>
      </c>
      <c r="X4980" s="6">
        <f t="shared" si="752"/>
        <v>73680.78</v>
      </c>
      <c r="Y4980" s="13">
        <f t="shared" si="755"/>
        <v>0</v>
      </c>
      <c r="Z4980" s="14">
        <v>0</v>
      </c>
      <c r="AA4980" s="6">
        <v>0</v>
      </c>
      <c r="AB4980" s="4">
        <f t="shared" si="756"/>
        <v>73680.78</v>
      </c>
      <c r="AC4980" s="4">
        <f t="shared" si="758"/>
        <v>0</v>
      </c>
      <c r="AD4980" s="6">
        <f t="shared" si="753"/>
        <v>73680.78</v>
      </c>
      <c r="AE4980" s="2">
        <v>0.06</v>
      </c>
      <c r="AF4980" s="6">
        <f t="shared" si="759"/>
        <v>4420.8467999999993</v>
      </c>
      <c r="AG4980" s="14">
        <v>0</v>
      </c>
      <c r="AH4980" s="64">
        <f t="shared" si="754"/>
        <v>73680.78</v>
      </c>
      <c r="AI4980" s="47"/>
      <c r="AJ4980" s="126" t="e">
        <v>#N/A</v>
      </c>
      <c r="AK4980" s="80">
        <f t="shared" si="757"/>
        <v>0</v>
      </c>
      <c r="AM4980" s="85"/>
    </row>
    <row r="4981" spans="1:39" hidden="1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">
        <v>3710</v>
      </c>
      <c r="L4981" s="1" t="s">
        <v>35</v>
      </c>
      <c r="M4981" s="86"/>
      <c r="N4981" s="86" t="s">
        <v>3710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51"/>
        <v>2641.6100000001898</v>
      </c>
      <c r="X4981" s="6">
        <f t="shared" si="752"/>
        <v>95641.25</v>
      </c>
      <c r="Y4981" s="13">
        <f t="shared" si="755"/>
        <v>0</v>
      </c>
      <c r="Z4981" s="14">
        <v>0</v>
      </c>
      <c r="AA4981" s="6">
        <v>0</v>
      </c>
      <c r="AB4981" s="4">
        <f t="shared" si="756"/>
        <v>95641.25</v>
      </c>
      <c r="AC4981" s="4">
        <f t="shared" si="758"/>
        <v>0</v>
      </c>
      <c r="AD4981" s="6">
        <f t="shared" si="753"/>
        <v>95641.25</v>
      </c>
      <c r="AE4981" s="2">
        <v>0.06</v>
      </c>
      <c r="AF4981" s="6">
        <f t="shared" si="759"/>
        <v>5738.4749999999995</v>
      </c>
      <c r="AG4981" s="14">
        <v>0</v>
      </c>
      <c r="AH4981" s="64">
        <f t="shared" si="754"/>
        <v>95641.25</v>
      </c>
      <c r="AI4981" s="47"/>
      <c r="AJ4981" s="126" t="e">
        <v>#N/A</v>
      </c>
      <c r="AK4981" s="80">
        <f t="shared" si="757"/>
        <v>0</v>
      </c>
      <c r="AM4981" s="85"/>
    </row>
    <row r="4982" spans="1:39" hidden="1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">
        <v>3710</v>
      </c>
      <c r="L4982" s="1" t="s">
        <v>35</v>
      </c>
      <c r="M4982" s="86"/>
      <c r="N4982" s="86" t="s">
        <v>3710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51"/>
        <v>3762593.6599999825</v>
      </c>
      <c r="X4982" s="6">
        <f t="shared" si="752"/>
        <v>5728685.5100000007</v>
      </c>
      <c r="Y4982" s="13">
        <f t="shared" si="755"/>
        <v>0</v>
      </c>
      <c r="Z4982" s="14">
        <v>0</v>
      </c>
      <c r="AA4982" s="6">
        <v>0</v>
      </c>
      <c r="AB4982" s="4">
        <f t="shared" si="756"/>
        <v>5728685.5100000007</v>
      </c>
      <c r="AC4982" s="4">
        <f t="shared" si="758"/>
        <v>343721.13060000003</v>
      </c>
      <c r="AD4982" s="6">
        <f t="shared" si="753"/>
        <v>5728685.5100000007</v>
      </c>
      <c r="AE4982" s="2">
        <v>0.06</v>
      </c>
      <c r="AF4982" s="6">
        <f t="shared" si="759"/>
        <v>343721.13060000003</v>
      </c>
      <c r="AG4982" s="14">
        <v>0</v>
      </c>
      <c r="AH4982" s="64">
        <f t="shared" si="754"/>
        <v>5728685.5100000007</v>
      </c>
      <c r="AI4982" s="47"/>
      <c r="AJ4982" s="126" t="e">
        <v>#N/A</v>
      </c>
      <c r="AK4982" s="80">
        <f t="shared" si="757"/>
        <v>0</v>
      </c>
      <c r="AM4982" s="85"/>
    </row>
    <row r="4983" spans="1:39" hidden="1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">
        <v>3710</v>
      </c>
      <c r="L4983" s="1" t="s">
        <v>35</v>
      </c>
      <c r="M4983" s="86"/>
      <c r="N4983" s="86" t="s">
        <v>3710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51"/>
        <v>910341.3999999892</v>
      </c>
      <c r="X4983" s="6">
        <f>IF(P4983="折扣",V4983*Q4983,IF(P4983="返现",V4983,V4983/(1+Q4983)))-106415.53</f>
        <v>3261628.8699999996</v>
      </c>
      <c r="Y4983" s="13">
        <f t="shared" si="755"/>
        <v>0</v>
      </c>
      <c r="Z4983" s="14">
        <v>0</v>
      </c>
      <c r="AA4983" s="6">
        <v>0</v>
      </c>
      <c r="AB4983" s="4">
        <f t="shared" si="756"/>
        <v>3261628.8699999996</v>
      </c>
      <c r="AC4983" s="4">
        <f t="shared" si="758"/>
        <v>195697.73219999997</v>
      </c>
      <c r="AD4983" s="6">
        <f t="shared" si="753"/>
        <v>3368044.3999999994</v>
      </c>
      <c r="AE4983" s="2">
        <v>0.06</v>
      </c>
      <c r="AF4983" s="6">
        <f t="shared" si="759"/>
        <v>202082.66399999996</v>
      </c>
      <c r="AG4983" s="14">
        <v>0</v>
      </c>
      <c r="AH4983" s="64">
        <f t="shared" si="754"/>
        <v>3368044.3999999994</v>
      </c>
      <c r="AI4983" s="47"/>
      <c r="AJ4983" s="126" t="e">
        <v>#N/A</v>
      </c>
      <c r="AK4983" s="80">
        <f t="shared" si="757"/>
        <v>0</v>
      </c>
      <c r="AM4983" s="85"/>
    </row>
    <row r="4984" spans="1:39" hidden="1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">
        <v>3710</v>
      </c>
      <c r="L4984" s="1" t="s">
        <v>35</v>
      </c>
      <c r="M4984" s="86"/>
      <c r="N4984" s="86" t="s">
        <v>3710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51"/>
        <v>2040681.1799999923</v>
      </c>
      <c r="X4984" s="6">
        <f t="shared" si="752"/>
        <v>1363948.8137254892</v>
      </c>
      <c r="Y4984" s="13">
        <f t="shared" si="755"/>
        <v>0</v>
      </c>
      <c r="Z4984" s="14">
        <v>0</v>
      </c>
      <c r="AA4984" s="6">
        <v>0</v>
      </c>
      <c r="AB4984" s="4">
        <f t="shared" si="756"/>
        <v>1363948.8137254892</v>
      </c>
      <c r="AC4984" s="4">
        <f t="shared" si="758"/>
        <v>27278.976274509914</v>
      </c>
      <c r="AD4984" s="6">
        <f t="shared" si="753"/>
        <v>1391227.7899999991</v>
      </c>
      <c r="AE4984" s="2">
        <v>0.06</v>
      </c>
      <c r="AF4984" s="6">
        <f t="shared" si="759"/>
        <v>83473.667399999948</v>
      </c>
      <c r="AG4984" s="14">
        <v>0</v>
      </c>
      <c r="AH4984" s="64">
        <f t="shared" si="754"/>
        <v>1391227.7899999991</v>
      </c>
      <c r="AI4984" s="47"/>
      <c r="AJ4984" s="126" t="e">
        <v>#N/A</v>
      </c>
      <c r="AK4984" s="80">
        <f t="shared" si="757"/>
        <v>0</v>
      </c>
      <c r="AM4984" s="85"/>
    </row>
    <row r="4985" spans="1:39" hidden="1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">
        <v>3710</v>
      </c>
      <c r="L4985" s="1" t="s">
        <v>35</v>
      </c>
      <c r="M4985" s="86"/>
      <c r="N4985" s="86" t="s">
        <v>3710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51"/>
        <v>3498959.1100000003</v>
      </c>
      <c r="X4985" s="6">
        <f t="shared" si="752"/>
        <v>0</v>
      </c>
      <c r="Y4985" s="13">
        <f t="shared" si="755"/>
        <v>0</v>
      </c>
      <c r="Z4985" s="14">
        <v>0</v>
      </c>
      <c r="AA4985" s="6">
        <v>0</v>
      </c>
      <c r="AB4985" s="4">
        <f t="shared" si="756"/>
        <v>0</v>
      </c>
      <c r="AC4985" s="4">
        <f t="shared" si="758"/>
        <v>0</v>
      </c>
      <c r="AD4985" s="6">
        <f t="shared" si="753"/>
        <v>0</v>
      </c>
      <c r="AE4985" s="2">
        <v>0.06</v>
      </c>
      <c r="AF4985" s="6">
        <f t="shared" si="759"/>
        <v>0</v>
      </c>
      <c r="AG4985" s="14">
        <v>0</v>
      </c>
      <c r="AH4985" s="64">
        <f t="shared" si="754"/>
        <v>0</v>
      </c>
      <c r="AI4985" s="47"/>
      <c r="AJ4985" s="126" t="e">
        <v>#N/A</v>
      </c>
      <c r="AK4985" s="80">
        <f t="shared" si="757"/>
        <v>0</v>
      </c>
      <c r="AM4985" s="85"/>
    </row>
    <row r="4986" spans="1:39" hidden="1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">
        <v>3707</v>
      </c>
      <c r="L4986" s="1" t="s">
        <v>35</v>
      </c>
      <c r="M4986" s="86"/>
      <c r="N4986" s="86" t="s">
        <v>3707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51"/>
        <v>221460.03000000009</v>
      </c>
      <c r="X4986" s="6">
        <f t="shared" si="752"/>
        <v>378539.96999999991</v>
      </c>
      <c r="Y4986" s="13">
        <f t="shared" si="755"/>
        <v>0</v>
      </c>
      <c r="Z4986" s="14">
        <v>0</v>
      </c>
      <c r="AA4986" s="6">
        <v>0</v>
      </c>
      <c r="AB4986" s="4">
        <f t="shared" si="756"/>
        <v>378539.96999999991</v>
      </c>
      <c r="AC4986" s="4">
        <f t="shared" si="758"/>
        <v>0</v>
      </c>
      <c r="AD4986" s="6">
        <f t="shared" si="753"/>
        <v>378539.96999999991</v>
      </c>
      <c r="AE4986" s="2">
        <v>0.06</v>
      </c>
      <c r="AF4986" s="6">
        <f t="shared" si="759"/>
        <v>22712.398199999992</v>
      </c>
      <c r="AG4986" s="14">
        <v>0</v>
      </c>
      <c r="AH4986" s="64">
        <f t="shared" si="754"/>
        <v>378539.96999999991</v>
      </c>
      <c r="AI4986" s="47"/>
      <c r="AJ4986" s="126" t="e">
        <v>#N/A</v>
      </c>
      <c r="AK4986" s="80">
        <f t="shared" si="757"/>
        <v>0</v>
      </c>
      <c r="AM4986" s="85"/>
    </row>
    <row r="4987" spans="1:39" hidden="1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">
        <v>3707</v>
      </c>
      <c r="L4987" s="1" t="s">
        <v>35</v>
      </c>
      <c r="M4987" s="86"/>
      <c r="N4987" s="86" t="s">
        <v>3707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51"/>
        <v>319900.67000000004</v>
      </c>
      <c r="X4987" s="6">
        <f t="shared" si="752"/>
        <v>176567.97058823524</v>
      </c>
      <c r="Y4987" s="13">
        <f t="shared" si="755"/>
        <v>0</v>
      </c>
      <c r="Z4987" s="14">
        <v>0</v>
      </c>
      <c r="AA4987" s="6">
        <v>0</v>
      </c>
      <c r="AB4987" s="4">
        <f t="shared" si="756"/>
        <v>176567.97058823524</v>
      </c>
      <c r="AC4987" s="4">
        <f t="shared" si="758"/>
        <v>3531.3594117647153</v>
      </c>
      <c r="AD4987" s="6">
        <f t="shared" si="753"/>
        <v>180099.32999999996</v>
      </c>
      <c r="AE4987" s="2">
        <v>0.06</v>
      </c>
      <c r="AF4987" s="6">
        <f t="shared" si="759"/>
        <v>10805.959799999997</v>
      </c>
      <c r="AG4987" s="14">
        <v>0</v>
      </c>
      <c r="AH4987" s="64">
        <f t="shared" si="754"/>
        <v>180099.32999999996</v>
      </c>
      <c r="AI4987" s="47"/>
      <c r="AJ4987" s="126" t="e">
        <v>#N/A</v>
      </c>
      <c r="AK4987" s="80">
        <f t="shared" si="757"/>
        <v>0</v>
      </c>
      <c r="AM4987" s="85"/>
    </row>
    <row r="4988" spans="1:39" hidden="1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">
        <v>3712</v>
      </c>
      <c r="L4988" s="1" t="s">
        <v>35</v>
      </c>
      <c r="M4988" s="86"/>
      <c r="N4988" s="86" t="s">
        <v>3712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760">T4988+U4988-V4988</f>
        <v>108680.88</v>
      </c>
      <c r="X4988" s="6">
        <f t="shared" ref="X4988:X5051" si="761">IF(P4988="折扣",V4988*Q4988,IF(P4988="返现",V4988,V4988/(1+Q4988)))</f>
        <v>43450.117647058818</v>
      </c>
      <c r="Y4988" s="13">
        <f t="shared" si="755"/>
        <v>0</v>
      </c>
      <c r="Z4988" s="14">
        <v>0</v>
      </c>
      <c r="AA4988" s="6">
        <v>0</v>
      </c>
      <c r="AB4988" s="4">
        <f t="shared" si="756"/>
        <v>43450.117647058818</v>
      </c>
      <c r="AC4988" s="4">
        <f t="shared" si="758"/>
        <v>869.00235294117738</v>
      </c>
      <c r="AD4988" s="6">
        <f t="shared" ref="AD4988:AD5051" si="762">V4988</f>
        <v>44319.119999999995</v>
      </c>
      <c r="AE4988" s="2">
        <v>0.06</v>
      </c>
      <c r="AF4988" s="6">
        <f t="shared" si="759"/>
        <v>2659.1471999999994</v>
      </c>
      <c r="AG4988" s="14">
        <v>0</v>
      </c>
      <c r="AH4988" s="64">
        <f t="shared" ref="AH4988:AH5051" si="763">V4988</f>
        <v>44319.119999999995</v>
      </c>
      <c r="AI4988" s="47"/>
      <c r="AJ4988" s="126" t="e">
        <v>#N/A</v>
      </c>
      <c r="AK4988" s="80">
        <f t="shared" si="757"/>
        <v>0</v>
      </c>
      <c r="AM4988" s="85"/>
    </row>
    <row r="4989" spans="1:39" hidden="1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760"/>
        <v>4330.8199999999852</v>
      </c>
      <c r="X4989" s="6">
        <f t="shared" si="761"/>
        <v>37733.859999999993</v>
      </c>
      <c r="Y4989" s="13">
        <f t="shared" si="755"/>
        <v>0</v>
      </c>
      <c r="Z4989" s="14">
        <v>0</v>
      </c>
      <c r="AA4989" s="6">
        <v>0</v>
      </c>
      <c r="AB4989" s="4">
        <f t="shared" si="756"/>
        <v>37733.859999999993</v>
      </c>
      <c r="AC4989" s="4">
        <f t="shared" si="758"/>
        <v>0</v>
      </c>
      <c r="AD4989" s="6">
        <f t="shared" si="762"/>
        <v>37733.859999999993</v>
      </c>
      <c r="AE4989" s="2">
        <v>0.06</v>
      </c>
      <c r="AF4989" s="6">
        <f t="shared" si="759"/>
        <v>2264.0315999999993</v>
      </c>
      <c r="AG4989" s="14">
        <v>0</v>
      </c>
      <c r="AH4989" s="64">
        <f t="shared" si="763"/>
        <v>37733.859999999993</v>
      </c>
      <c r="AI4989" s="47"/>
      <c r="AJ4989" s="126" t="e">
        <v>#N/A</v>
      </c>
      <c r="AK4989" s="80">
        <f t="shared" si="757"/>
        <v>0</v>
      </c>
      <c r="AM4989" s="85"/>
    </row>
    <row r="4990" spans="1:39" hidden="1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760"/>
        <v>-684291.13000000268</v>
      </c>
      <c r="X4990" s="6">
        <f t="shared" si="761"/>
        <v>2225412.1456310684</v>
      </c>
      <c r="Y4990" s="13">
        <f t="shared" si="755"/>
        <v>0</v>
      </c>
      <c r="Z4990" s="14">
        <v>0</v>
      </c>
      <c r="AA4990" s="6">
        <v>0</v>
      </c>
      <c r="AB4990" s="4">
        <f t="shared" si="756"/>
        <v>2225412.1456310684</v>
      </c>
      <c r="AC4990" s="4">
        <f t="shared" si="758"/>
        <v>66762.364368932322</v>
      </c>
      <c r="AD4990" s="6">
        <f t="shared" si="762"/>
        <v>2292174.5100000007</v>
      </c>
      <c r="AE4990" s="2">
        <v>0.06</v>
      </c>
      <c r="AF4990" s="6">
        <f t="shared" si="759"/>
        <v>137530.47060000003</v>
      </c>
      <c r="AG4990" s="14">
        <v>0</v>
      </c>
      <c r="AH4990" s="64">
        <f t="shared" si="763"/>
        <v>2292174.5100000007</v>
      </c>
      <c r="AI4990" s="47"/>
      <c r="AJ4990" s="126" t="e">
        <v>#N/A</v>
      </c>
      <c r="AK4990" s="80">
        <f t="shared" si="757"/>
        <v>0</v>
      </c>
      <c r="AM4990" s="85"/>
    </row>
    <row r="4991" spans="1:39" hidden="1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">
        <v>3712</v>
      </c>
      <c r="L4991" s="1" t="s">
        <v>35</v>
      </c>
      <c r="M4991" s="86"/>
      <c r="N4991" s="86" t="s">
        <v>3712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760"/>
        <v>-98239.039999999921</v>
      </c>
      <c r="X4991" s="6">
        <f t="shared" si="761"/>
        <v>0</v>
      </c>
      <c r="Y4991" s="13">
        <f t="shared" si="755"/>
        <v>0</v>
      </c>
      <c r="Z4991" s="14">
        <v>0</v>
      </c>
      <c r="AA4991" s="6">
        <v>0</v>
      </c>
      <c r="AB4991" s="4">
        <f t="shared" si="756"/>
        <v>0</v>
      </c>
      <c r="AC4991" s="4">
        <f t="shared" si="758"/>
        <v>0</v>
      </c>
      <c r="AD4991" s="6">
        <f t="shared" si="762"/>
        <v>0</v>
      </c>
      <c r="AE4991" s="2">
        <v>0.06</v>
      </c>
      <c r="AF4991" s="6">
        <f t="shared" si="759"/>
        <v>0</v>
      </c>
      <c r="AG4991" s="14">
        <v>0</v>
      </c>
      <c r="AH4991" s="64">
        <f t="shared" si="763"/>
        <v>0</v>
      </c>
      <c r="AI4991" s="47"/>
      <c r="AJ4991" s="126" t="e">
        <v>#N/A</v>
      </c>
      <c r="AK4991" s="80">
        <f t="shared" si="757"/>
        <v>0</v>
      </c>
      <c r="AM4991" s="85"/>
    </row>
    <row r="4992" spans="1:39" hidden="1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">
        <v>3712</v>
      </c>
      <c r="L4992" s="1" t="s">
        <v>35</v>
      </c>
      <c r="M4992" s="86"/>
      <c r="N4992" s="86" t="s">
        <v>3712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760"/>
        <v>323309.33999999997</v>
      </c>
      <c r="X4992" s="6">
        <f t="shared" si="761"/>
        <v>218900.99999999997</v>
      </c>
      <c r="Y4992" s="13">
        <f t="shared" si="755"/>
        <v>0</v>
      </c>
      <c r="Z4992" s="14">
        <v>0</v>
      </c>
      <c r="AA4992" s="6">
        <v>0</v>
      </c>
      <c r="AB4992" s="4">
        <f t="shared" si="756"/>
        <v>218900.99999999997</v>
      </c>
      <c r="AC4992" s="4">
        <f t="shared" si="758"/>
        <v>2189.0100000000093</v>
      </c>
      <c r="AD4992" s="6">
        <f t="shared" si="762"/>
        <v>221090.00999999998</v>
      </c>
      <c r="AE4992" s="2">
        <v>0.06</v>
      </c>
      <c r="AF4992" s="6">
        <f t="shared" si="759"/>
        <v>13265.400599999999</v>
      </c>
      <c r="AG4992" s="14">
        <v>0</v>
      </c>
      <c r="AH4992" s="64">
        <f t="shared" si="763"/>
        <v>221090.00999999998</v>
      </c>
      <c r="AI4992" s="47"/>
      <c r="AJ4992" s="126" t="e">
        <v>#N/A</v>
      </c>
      <c r="AK4992" s="80">
        <f t="shared" si="757"/>
        <v>0</v>
      </c>
      <c r="AM4992" s="85"/>
    </row>
    <row r="4993" spans="1:39" hidden="1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760"/>
        <v>372128.71999999974</v>
      </c>
      <c r="X4993" s="6">
        <f t="shared" si="761"/>
        <v>130109.56</v>
      </c>
      <c r="Y4993" s="13">
        <f t="shared" si="755"/>
        <v>0</v>
      </c>
      <c r="Z4993" s="14">
        <v>0</v>
      </c>
      <c r="AA4993" s="6">
        <v>0</v>
      </c>
      <c r="AB4993" s="4">
        <f t="shared" si="756"/>
        <v>130109.56</v>
      </c>
      <c r="AC4993" s="4">
        <f t="shared" si="758"/>
        <v>0</v>
      </c>
      <c r="AD4993" s="6">
        <f t="shared" si="762"/>
        <v>130109.56</v>
      </c>
      <c r="AE4993" s="2">
        <v>0.06</v>
      </c>
      <c r="AF4993" s="6">
        <f t="shared" si="759"/>
        <v>7806.5735999999997</v>
      </c>
      <c r="AG4993" s="14">
        <v>0</v>
      </c>
      <c r="AH4993" s="64">
        <f t="shared" si="763"/>
        <v>130109.56</v>
      </c>
      <c r="AI4993" s="47"/>
      <c r="AJ4993" s="126" t="e">
        <v>#N/A</v>
      </c>
      <c r="AK4993" s="80">
        <f t="shared" si="757"/>
        <v>0</v>
      </c>
      <c r="AM4993" s="85"/>
    </row>
    <row r="4994" spans="1:39" hidden="1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">
        <v>3712</v>
      </c>
      <c r="L4994" s="1" t="s">
        <v>35</v>
      </c>
      <c r="M4994" s="86"/>
      <c r="N4994" s="86" t="s">
        <v>3712</v>
      </c>
      <c r="O4994" s="47" t="s">
        <v>45</v>
      </c>
      <c r="P4994" s="1" t="s">
        <v>3753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760"/>
        <v>6897831.5900000017</v>
      </c>
      <c r="X4994" s="6">
        <f t="shared" si="761"/>
        <v>16520882.762376236</v>
      </c>
      <c r="Y4994" s="13">
        <f t="shared" si="755"/>
        <v>0</v>
      </c>
      <c r="Z4994" s="14">
        <v>0</v>
      </c>
      <c r="AA4994" s="6">
        <v>0</v>
      </c>
      <c r="AB4994" s="4">
        <f t="shared" si="756"/>
        <v>16520882.762376236</v>
      </c>
      <c r="AC4994" s="4">
        <f t="shared" si="758"/>
        <v>165208.82762376219</v>
      </c>
      <c r="AD4994" s="6">
        <f t="shared" si="762"/>
        <v>16686091.589999998</v>
      </c>
      <c r="AE4994" s="2">
        <v>0.06</v>
      </c>
      <c r="AF4994" s="6">
        <f t="shared" si="759"/>
        <v>1001165.4953999999</v>
      </c>
      <c r="AG4994" s="14">
        <v>0</v>
      </c>
      <c r="AH4994" s="64">
        <f t="shared" si="763"/>
        <v>16686091.589999998</v>
      </c>
      <c r="AI4994" s="47"/>
      <c r="AJ4994" s="126" t="e">
        <v>#N/A</v>
      </c>
      <c r="AK4994" s="80">
        <f t="shared" si="757"/>
        <v>0</v>
      </c>
      <c r="AM4994" s="85"/>
    </row>
    <row r="4995" spans="1:39" hidden="1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760"/>
        <v>693940.94000000053</v>
      </c>
      <c r="X4995" s="6">
        <f t="shared" si="761"/>
        <v>877118.04854368931</v>
      </c>
      <c r="Y4995" s="13">
        <f t="shared" ref="Y4995:Y5058" si="764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765">X4995+AA4995</f>
        <v>877118.04854368931</v>
      </c>
      <c r="AC4995" s="4">
        <f t="shared" si="758"/>
        <v>26313.541456310661</v>
      </c>
      <c r="AD4995" s="6">
        <f t="shared" si="762"/>
        <v>903431.59</v>
      </c>
      <c r="AE4995" s="2">
        <v>0.06</v>
      </c>
      <c r="AF4995" s="6">
        <f t="shared" si="759"/>
        <v>54205.895399999994</v>
      </c>
      <c r="AG4995" s="14">
        <v>0</v>
      </c>
      <c r="AH4995" s="64">
        <f t="shared" si="763"/>
        <v>903431.59</v>
      </c>
      <c r="AI4995" s="47"/>
      <c r="AJ4995" s="126" t="e">
        <v>#N/A</v>
      </c>
      <c r="AK4995" s="80">
        <f t="shared" ref="AK4995:AK5058" si="766">X4995+AA4995-AB4995</f>
        <v>0</v>
      </c>
      <c r="AM4995" s="85"/>
    </row>
    <row r="4996" spans="1:39" hidden="1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760"/>
        <v>298869.83999999997</v>
      </c>
      <c r="X4996" s="6">
        <f t="shared" si="761"/>
        <v>462018.03773584904</v>
      </c>
      <c r="Y4996" s="13">
        <f t="shared" si="764"/>
        <v>0</v>
      </c>
      <c r="Z4996" s="14">
        <v>0</v>
      </c>
      <c r="AA4996" s="6">
        <v>0</v>
      </c>
      <c r="AB4996" s="4">
        <f t="shared" si="765"/>
        <v>462018.03773584904</v>
      </c>
      <c r="AC4996" s="4">
        <f t="shared" si="758"/>
        <v>27721.082264150959</v>
      </c>
      <c r="AD4996" s="6">
        <f t="shared" si="762"/>
        <v>489739.12</v>
      </c>
      <c r="AE4996" s="2">
        <v>0.06</v>
      </c>
      <c r="AF4996" s="6">
        <f t="shared" si="759"/>
        <v>29384.3472</v>
      </c>
      <c r="AG4996" s="14">
        <v>0</v>
      </c>
      <c r="AH4996" s="64">
        <f t="shared" si="763"/>
        <v>489739.12</v>
      </c>
      <c r="AI4996" s="47"/>
      <c r="AJ4996" s="126" t="e">
        <v>#N/A</v>
      </c>
      <c r="AK4996" s="80">
        <f t="shared" si="766"/>
        <v>0</v>
      </c>
      <c r="AM4996" s="85"/>
    </row>
    <row r="4997" spans="1:39" hidden="1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760"/>
        <v>12231574.519999981</v>
      </c>
      <c r="X4997" s="6">
        <f t="shared" si="761"/>
        <v>14610508.632075479</v>
      </c>
      <c r="Y4997" s="13">
        <f t="shared" si="764"/>
        <v>0</v>
      </c>
      <c r="Z4997" s="14">
        <v>0</v>
      </c>
      <c r="AA4997" s="6">
        <v>0</v>
      </c>
      <c r="AB4997" s="4">
        <f t="shared" si="765"/>
        <v>14610508.632075479</v>
      </c>
      <c r="AC4997" s="4">
        <f t="shared" si="758"/>
        <v>876630.51792453043</v>
      </c>
      <c r="AD4997" s="6">
        <f t="shared" si="762"/>
        <v>15487139.15000001</v>
      </c>
      <c r="AE4997" s="2">
        <v>0.06</v>
      </c>
      <c r="AF4997" s="6">
        <f t="shared" si="759"/>
        <v>929228.34900000051</v>
      </c>
      <c r="AG4997" s="14">
        <v>0</v>
      </c>
      <c r="AH4997" s="64">
        <f t="shared" si="763"/>
        <v>15487139.15000001</v>
      </c>
      <c r="AI4997" s="47"/>
      <c r="AJ4997" s="126" t="e">
        <v>#N/A</v>
      </c>
      <c r="AK4997" s="80">
        <f t="shared" si="766"/>
        <v>0</v>
      </c>
      <c r="AM4997" s="85"/>
    </row>
    <row r="4998" spans="1:39" hidden="1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760"/>
        <v>943576.8200000003</v>
      </c>
      <c r="X4998" s="6">
        <f t="shared" si="761"/>
        <v>3324223.6634615376</v>
      </c>
      <c r="Y4998" s="13">
        <f t="shared" si="764"/>
        <v>0</v>
      </c>
      <c r="Z4998" s="14">
        <v>0</v>
      </c>
      <c r="AA4998" s="6">
        <v>0</v>
      </c>
      <c r="AB4998" s="4">
        <f t="shared" si="765"/>
        <v>3324223.6634615376</v>
      </c>
      <c r="AC4998" s="4">
        <f t="shared" si="758"/>
        <v>132968.94653846184</v>
      </c>
      <c r="AD4998" s="6">
        <f t="shared" si="762"/>
        <v>3457192.6099999994</v>
      </c>
      <c r="AE4998" s="2">
        <v>0.06</v>
      </c>
      <c r="AF4998" s="6">
        <f t="shared" si="759"/>
        <v>207431.55659999995</v>
      </c>
      <c r="AG4998" s="14">
        <v>0</v>
      </c>
      <c r="AH4998" s="64">
        <f t="shared" si="763"/>
        <v>3457192.6099999994</v>
      </c>
      <c r="AI4998" s="47"/>
      <c r="AJ4998" s="126" t="e">
        <v>#N/A</v>
      </c>
      <c r="AK4998" s="80">
        <f t="shared" si="766"/>
        <v>0</v>
      </c>
      <c r="AM4998" s="85"/>
    </row>
    <row r="4999" spans="1:39" hidden="1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">
        <v>3712</v>
      </c>
      <c r="L4999" s="1" t="s">
        <v>35</v>
      </c>
      <c r="M4999" s="86"/>
      <c r="N4999" s="86" t="s">
        <v>3712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760"/>
        <v>0</v>
      </c>
      <c r="X4999" s="6">
        <f t="shared" si="761"/>
        <v>0</v>
      </c>
      <c r="Y4999" s="13">
        <f t="shared" si="764"/>
        <v>0</v>
      </c>
      <c r="Z4999" s="14">
        <v>0</v>
      </c>
      <c r="AA4999" s="6">
        <v>0</v>
      </c>
      <c r="AB4999" s="4">
        <f t="shared" si="765"/>
        <v>0</v>
      </c>
      <c r="AC4999" s="4">
        <f t="shared" si="758"/>
        <v>0</v>
      </c>
      <c r="AD4999" s="6">
        <f t="shared" si="762"/>
        <v>0</v>
      </c>
      <c r="AE4999" s="2">
        <v>0.06</v>
      </c>
      <c r="AF4999" s="6">
        <f t="shared" si="759"/>
        <v>0</v>
      </c>
      <c r="AG4999" s="14">
        <v>0</v>
      </c>
      <c r="AH4999" s="64">
        <f t="shared" si="763"/>
        <v>0</v>
      </c>
      <c r="AI4999" s="47"/>
      <c r="AJ4999" s="126" t="e">
        <v>#N/A</v>
      </c>
      <c r="AK4999" s="80">
        <f t="shared" si="766"/>
        <v>0</v>
      </c>
      <c r="AM4999" s="85"/>
    </row>
    <row r="5000" spans="1:39" hidden="1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760"/>
        <v>43.870000005699694</v>
      </c>
      <c r="X5000" s="6">
        <f t="shared" si="761"/>
        <v>1254069.4368932035</v>
      </c>
      <c r="Y5000" s="13">
        <f t="shared" si="764"/>
        <v>0</v>
      </c>
      <c r="Z5000" s="14">
        <v>0</v>
      </c>
      <c r="AA5000" s="6">
        <v>0</v>
      </c>
      <c r="AB5000" s="4">
        <f t="shared" si="765"/>
        <v>1254069.4368932035</v>
      </c>
      <c r="AC5000" s="4">
        <f t="shared" si="758"/>
        <v>37622.083106796024</v>
      </c>
      <c r="AD5000" s="6">
        <f t="shared" si="762"/>
        <v>1291691.5199999996</v>
      </c>
      <c r="AE5000" s="2">
        <v>0.06</v>
      </c>
      <c r="AF5000" s="6">
        <f t="shared" si="759"/>
        <v>77501.491199999975</v>
      </c>
      <c r="AG5000" s="14">
        <v>0</v>
      </c>
      <c r="AH5000" s="64">
        <f t="shared" si="763"/>
        <v>1291691.5199999996</v>
      </c>
      <c r="AI5000" s="47"/>
      <c r="AJ5000" s="126" t="e">
        <v>#N/A</v>
      </c>
      <c r="AK5000" s="80">
        <f t="shared" si="766"/>
        <v>0</v>
      </c>
      <c r="AM5000" s="85"/>
    </row>
    <row r="5001" spans="1:39" hidden="1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">
        <v>3712</v>
      </c>
      <c r="L5001" s="1" t="s">
        <v>35</v>
      </c>
      <c r="M5001" s="86"/>
      <c r="N5001" s="86" t="s">
        <v>3712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761"/>
        <v>0</v>
      </c>
      <c r="Y5001" s="13">
        <f t="shared" si="764"/>
        <v>0</v>
      </c>
      <c r="Z5001" s="14">
        <v>0</v>
      </c>
      <c r="AA5001" s="6">
        <v>0</v>
      </c>
      <c r="AB5001" s="4">
        <f t="shared" si="765"/>
        <v>0</v>
      </c>
      <c r="AC5001" s="4">
        <f t="shared" si="758"/>
        <v>0</v>
      </c>
      <c r="AD5001" s="6">
        <f t="shared" si="762"/>
        <v>0</v>
      </c>
      <c r="AE5001" s="2">
        <v>0.06</v>
      </c>
      <c r="AF5001" s="6">
        <f t="shared" si="759"/>
        <v>0</v>
      </c>
      <c r="AG5001" s="14">
        <v>0</v>
      </c>
      <c r="AH5001" s="64">
        <f t="shared" si="763"/>
        <v>0</v>
      </c>
      <c r="AI5001" s="47"/>
      <c r="AJ5001" s="126" t="e">
        <v>#N/A</v>
      </c>
      <c r="AK5001" s="80">
        <f t="shared" si="766"/>
        <v>0</v>
      </c>
      <c r="AM5001" s="85"/>
    </row>
    <row r="5002" spans="1:39" hidden="1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">
        <v>3712</v>
      </c>
      <c r="L5002" s="1" t="s">
        <v>35</v>
      </c>
      <c r="M5002" s="86"/>
      <c r="N5002" s="86" t="s">
        <v>3712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760"/>
        <v>0</v>
      </c>
      <c r="X5002" s="6">
        <f t="shared" si="761"/>
        <v>0</v>
      </c>
      <c r="Y5002" s="13">
        <f t="shared" si="764"/>
        <v>0</v>
      </c>
      <c r="Z5002" s="14">
        <v>0</v>
      </c>
      <c r="AA5002" s="6">
        <v>0</v>
      </c>
      <c r="AB5002" s="4">
        <f t="shared" si="765"/>
        <v>0</v>
      </c>
      <c r="AC5002" s="4">
        <f t="shared" si="758"/>
        <v>0</v>
      </c>
      <c r="AD5002" s="6">
        <f t="shared" si="762"/>
        <v>0</v>
      </c>
      <c r="AE5002" s="2">
        <v>0.06</v>
      </c>
      <c r="AF5002" s="6">
        <f t="shared" si="759"/>
        <v>0</v>
      </c>
      <c r="AG5002" s="14">
        <v>0</v>
      </c>
      <c r="AH5002" s="64">
        <f t="shared" si="763"/>
        <v>0</v>
      </c>
      <c r="AI5002" s="47"/>
      <c r="AJ5002" s="126" t="e">
        <v>#N/A</v>
      </c>
      <c r="AK5002" s="80">
        <f t="shared" si="766"/>
        <v>0</v>
      </c>
      <c r="AM5002" s="85"/>
    </row>
    <row r="5003" spans="1:39" hidden="1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760"/>
        <v>85598.839999999618</v>
      </c>
      <c r="X5003" s="6">
        <f t="shared" si="761"/>
        <v>437019.75</v>
      </c>
      <c r="Y5003" s="13">
        <f t="shared" si="764"/>
        <v>0</v>
      </c>
      <c r="Z5003" s="14">
        <v>0</v>
      </c>
      <c r="AA5003" s="6">
        <v>0</v>
      </c>
      <c r="AB5003" s="4">
        <f t="shared" si="765"/>
        <v>437019.75</v>
      </c>
      <c r="AC5003" s="4">
        <f t="shared" si="758"/>
        <v>0</v>
      </c>
      <c r="AD5003" s="6">
        <f t="shared" si="762"/>
        <v>437019.75</v>
      </c>
      <c r="AE5003" s="2">
        <v>0.06</v>
      </c>
      <c r="AF5003" s="6">
        <f t="shared" si="759"/>
        <v>26221.184999999998</v>
      </c>
      <c r="AG5003" s="14">
        <v>0</v>
      </c>
      <c r="AH5003" s="64">
        <f t="shared" si="763"/>
        <v>437019.75</v>
      </c>
      <c r="AI5003" s="47"/>
      <c r="AJ5003" s="126" t="e">
        <v>#N/A</v>
      </c>
      <c r="AK5003" s="80">
        <f t="shared" si="766"/>
        <v>0</v>
      </c>
      <c r="AM5003" s="85"/>
    </row>
    <row r="5004" spans="1:39" hidden="1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760"/>
        <v>935253.32999999076</v>
      </c>
      <c r="X5004" s="6">
        <f>(V5004-22000)/(1+Q5004)</f>
        <v>1520717.6274509896</v>
      </c>
      <c r="Y5004" s="13">
        <f t="shared" si="764"/>
        <v>0</v>
      </c>
      <c r="Z5004" s="14">
        <v>0</v>
      </c>
      <c r="AA5004" s="6">
        <v>0</v>
      </c>
      <c r="AB5004" s="4">
        <f t="shared" si="765"/>
        <v>1520717.6274509896</v>
      </c>
      <c r="AC5004" s="4">
        <f t="shared" ref="AC5004:AC5067" si="767">IF(P5004="返现",X5004*Q5004,V5004-X5004)</f>
        <v>52414.352549019735</v>
      </c>
      <c r="AD5004" s="6">
        <f t="shared" si="762"/>
        <v>1573131.9800000093</v>
      </c>
      <c r="AE5004" s="2">
        <v>0.06</v>
      </c>
      <c r="AF5004" s="6">
        <f t="shared" ref="AF5004:AF5067" si="768">AD5004*AE5004</f>
        <v>94387.918800000552</v>
      </c>
      <c r="AG5004" s="14">
        <v>0</v>
      </c>
      <c r="AH5004" s="64">
        <f t="shared" si="763"/>
        <v>1573131.9800000093</v>
      </c>
      <c r="AI5004" s="47"/>
      <c r="AJ5004" s="126" t="e">
        <v>#N/A</v>
      </c>
      <c r="AK5004" s="80">
        <f t="shared" si="766"/>
        <v>0</v>
      </c>
      <c r="AM5004" s="85"/>
    </row>
    <row r="5005" spans="1:39" hidden="1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760"/>
        <v>750552.33999999927</v>
      </c>
      <c r="X5005" s="6">
        <f t="shared" si="761"/>
        <v>346449.61538461538</v>
      </c>
      <c r="Y5005" s="13">
        <f t="shared" si="764"/>
        <v>0</v>
      </c>
      <c r="Z5005" s="14">
        <v>0</v>
      </c>
      <c r="AA5005" s="6">
        <v>0</v>
      </c>
      <c r="AB5005" s="4">
        <f t="shared" si="765"/>
        <v>346449.61538461538</v>
      </c>
      <c r="AC5005" s="4">
        <f t="shared" si="767"/>
        <v>13857.984615384601</v>
      </c>
      <c r="AD5005" s="6">
        <f t="shared" si="762"/>
        <v>360307.6</v>
      </c>
      <c r="AE5005" s="2">
        <v>0.06</v>
      </c>
      <c r="AF5005" s="6">
        <f t="shared" si="768"/>
        <v>21618.455999999998</v>
      </c>
      <c r="AG5005" s="14">
        <v>0</v>
      </c>
      <c r="AH5005" s="64">
        <f t="shared" si="763"/>
        <v>360307.6</v>
      </c>
      <c r="AI5005" s="47"/>
      <c r="AJ5005" s="126" t="e">
        <v>#N/A</v>
      </c>
      <c r="AK5005" s="80">
        <f t="shared" si="766"/>
        <v>0</v>
      </c>
      <c r="AM5005" s="85"/>
    </row>
    <row r="5006" spans="1:39" hidden="1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760"/>
        <v>1547118.4000000115</v>
      </c>
      <c r="X5006" s="6">
        <f t="shared" si="761"/>
        <v>0</v>
      </c>
      <c r="Y5006" s="13">
        <f t="shared" si="764"/>
        <v>0</v>
      </c>
      <c r="Z5006" s="14">
        <v>0</v>
      </c>
      <c r="AA5006" s="6">
        <v>0</v>
      </c>
      <c r="AB5006" s="4">
        <f t="shared" si="765"/>
        <v>0</v>
      </c>
      <c r="AC5006" s="4">
        <f t="shared" si="767"/>
        <v>0</v>
      </c>
      <c r="AD5006" s="6">
        <f t="shared" si="762"/>
        <v>0</v>
      </c>
      <c r="AE5006" s="2">
        <v>0.06</v>
      </c>
      <c r="AF5006" s="6">
        <f t="shared" si="768"/>
        <v>0</v>
      </c>
      <c r="AG5006" s="14">
        <v>0</v>
      </c>
      <c r="AH5006" s="64">
        <f t="shared" si="763"/>
        <v>0</v>
      </c>
      <c r="AI5006" s="47"/>
      <c r="AJ5006" s="126" t="e">
        <v>#N/A</v>
      </c>
      <c r="AK5006" s="80">
        <f t="shared" si="766"/>
        <v>0</v>
      </c>
      <c r="AM5006" s="85"/>
    </row>
    <row r="5007" spans="1:39" hidden="1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760"/>
        <v>1011685.4400000006</v>
      </c>
      <c r="X5007" s="6">
        <f t="shared" si="761"/>
        <v>1870627.8099999998</v>
      </c>
      <c r="Y5007" s="13">
        <f t="shared" si="764"/>
        <v>0</v>
      </c>
      <c r="Z5007" s="14">
        <v>0</v>
      </c>
      <c r="AA5007" s="6">
        <v>0</v>
      </c>
      <c r="AB5007" s="4">
        <f t="shared" si="765"/>
        <v>1870627.8099999998</v>
      </c>
      <c r="AC5007" s="4">
        <f t="shared" si="767"/>
        <v>0</v>
      </c>
      <c r="AD5007" s="6">
        <f t="shared" si="762"/>
        <v>1870627.8099999998</v>
      </c>
      <c r="AE5007" s="2">
        <v>0.06</v>
      </c>
      <c r="AF5007" s="6">
        <f t="shared" si="768"/>
        <v>112237.66859999999</v>
      </c>
      <c r="AG5007" s="14">
        <v>0</v>
      </c>
      <c r="AH5007" s="64">
        <f t="shared" si="763"/>
        <v>1870627.8099999998</v>
      </c>
      <c r="AI5007" s="47"/>
      <c r="AJ5007" s="126" t="e">
        <v>#N/A</v>
      </c>
      <c r="AK5007" s="80">
        <f t="shared" si="766"/>
        <v>0</v>
      </c>
      <c r="AM5007" s="85"/>
    </row>
    <row r="5008" spans="1:39" hidden="1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760"/>
        <v>-15278.339999999982</v>
      </c>
      <c r="X5008" s="6">
        <f t="shared" si="761"/>
        <v>66278.339999999982</v>
      </c>
      <c r="Y5008" s="13">
        <f t="shared" si="764"/>
        <v>0</v>
      </c>
      <c r="Z5008" s="14">
        <v>0</v>
      </c>
      <c r="AA5008" s="6">
        <v>0</v>
      </c>
      <c r="AB5008" s="4">
        <f t="shared" si="765"/>
        <v>66278.339999999982</v>
      </c>
      <c r="AC5008" s="4">
        <f t="shared" si="767"/>
        <v>0</v>
      </c>
      <c r="AD5008" s="6">
        <f t="shared" si="762"/>
        <v>66278.339999999982</v>
      </c>
      <c r="AE5008" s="2">
        <v>0.06</v>
      </c>
      <c r="AF5008" s="6">
        <f t="shared" si="768"/>
        <v>3976.7003999999988</v>
      </c>
      <c r="AG5008" s="14">
        <v>0</v>
      </c>
      <c r="AH5008" s="64">
        <f t="shared" si="763"/>
        <v>66278.339999999982</v>
      </c>
      <c r="AI5008" s="47"/>
      <c r="AJ5008" s="126" t="e">
        <v>#N/A</v>
      </c>
      <c r="AK5008" s="80">
        <f t="shared" si="766"/>
        <v>0</v>
      </c>
      <c r="AM5008" s="85"/>
    </row>
    <row r="5009" spans="1:39" hidden="1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760"/>
        <v>0</v>
      </c>
      <c r="X5009" s="6">
        <f t="shared" si="761"/>
        <v>-25173.796116504833</v>
      </c>
      <c r="Y5009" s="13">
        <f t="shared" si="764"/>
        <v>755.21388349514746</v>
      </c>
      <c r="Z5009" s="14">
        <v>0</v>
      </c>
      <c r="AA5009" s="6">
        <v>0</v>
      </c>
      <c r="AB5009" s="4">
        <f t="shared" si="765"/>
        <v>-25173.796116504833</v>
      </c>
      <c r="AC5009" s="4">
        <f t="shared" si="767"/>
        <v>-755.21388349514746</v>
      </c>
      <c r="AD5009" s="6">
        <f t="shared" si="762"/>
        <v>-25929.00999999998</v>
      </c>
      <c r="AE5009" s="2">
        <v>0.06</v>
      </c>
      <c r="AF5009" s="6">
        <f t="shared" si="768"/>
        <v>-1555.7405999999987</v>
      </c>
      <c r="AG5009" s="14">
        <v>0</v>
      </c>
      <c r="AH5009" s="64">
        <f t="shared" si="763"/>
        <v>-25929.00999999998</v>
      </c>
      <c r="AI5009" s="47"/>
      <c r="AJ5009" s="126" t="e">
        <v>#N/A</v>
      </c>
      <c r="AK5009" s="80">
        <f t="shared" si="766"/>
        <v>0</v>
      </c>
      <c r="AM5009" s="85"/>
    </row>
    <row r="5010" spans="1:39" hidden="1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760"/>
        <v>256800.93999999997</v>
      </c>
      <c r="X5010" s="6">
        <f t="shared" si="761"/>
        <v>69291.155339805802</v>
      </c>
      <c r="Y5010" s="13">
        <f t="shared" si="764"/>
        <v>0</v>
      </c>
      <c r="Z5010" s="14">
        <v>0</v>
      </c>
      <c r="AA5010" s="6">
        <v>0</v>
      </c>
      <c r="AB5010" s="4">
        <f t="shared" si="765"/>
        <v>69291.155339805802</v>
      </c>
      <c r="AC5010" s="4">
        <f t="shared" si="767"/>
        <v>2078.7346601941827</v>
      </c>
      <c r="AD5010" s="6">
        <f t="shared" si="762"/>
        <v>71369.889999999985</v>
      </c>
      <c r="AE5010" s="2">
        <v>0.06</v>
      </c>
      <c r="AF5010" s="6">
        <f t="shared" si="768"/>
        <v>4282.1933999999992</v>
      </c>
      <c r="AG5010" s="14">
        <v>0</v>
      </c>
      <c r="AH5010" s="64">
        <f t="shared" si="763"/>
        <v>71369.889999999985</v>
      </c>
      <c r="AI5010" s="47"/>
      <c r="AJ5010" s="126" t="e">
        <v>#N/A</v>
      </c>
      <c r="AK5010" s="80">
        <f t="shared" si="766"/>
        <v>0</v>
      </c>
      <c r="AM5010" s="85"/>
    </row>
    <row r="5011" spans="1:39" hidden="1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760"/>
        <v>1337434.8300000168</v>
      </c>
      <c r="X5011" s="6">
        <f t="shared" si="761"/>
        <v>4771010.1400000006</v>
      </c>
      <c r="Y5011" s="13">
        <f t="shared" si="764"/>
        <v>0</v>
      </c>
      <c r="Z5011" s="14">
        <v>0</v>
      </c>
      <c r="AA5011" s="6">
        <v>0</v>
      </c>
      <c r="AB5011" s="4">
        <f t="shared" si="765"/>
        <v>4771010.1400000006</v>
      </c>
      <c r="AC5011" s="4">
        <f t="shared" si="767"/>
        <v>0</v>
      </c>
      <c r="AD5011" s="6">
        <f t="shared" si="762"/>
        <v>4771010.1400000006</v>
      </c>
      <c r="AE5011" s="2">
        <v>0.06</v>
      </c>
      <c r="AF5011" s="6">
        <f t="shared" si="768"/>
        <v>286260.60840000003</v>
      </c>
      <c r="AG5011" s="14">
        <v>0</v>
      </c>
      <c r="AH5011" s="64">
        <f t="shared" si="763"/>
        <v>4771010.1400000006</v>
      </c>
      <c r="AI5011" s="47"/>
      <c r="AJ5011" s="126" t="e">
        <v>#N/A</v>
      </c>
      <c r="AK5011" s="80">
        <f t="shared" si="766"/>
        <v>0</v>
      </c>
      <c r="AM5011" s="85"/>
    </row>
    <row r="5012" spans="1:39" hidden="1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760"/>
        <v>316493.08999999991</v>
      </c>
      <c r="X5012" s="6">
        <f t="shared" si="761"/>
        <v>401421.61320754723</v>
      </c>
      <c r="Y5012" s="13">
        <f t="shared" si="764"/>
        <v>0</v>
      </c>
      <c r="Z5012" s="14">
        <v>0</v>
      </c>
      <c r="AA5012" s="6">
        <v>0</v>
      </c>
      <c r="AB5012" s="4">
        <f t="shared" si="765"/>
        <v>401421.61320754723</v>
      </c>
      <c r="AC5012" s="4">
        <f t="shared" si="767"/>
        <v>24085.296792452864</v>
      </c>
      <c r="AD5012" s="6">
        <f t="shared" si="762"/>
        <v>425506.91000000009</v>
      </c>
      <c r="AE5012" s="2">
        <v>0.06</v>
      </c>
      <c r="AF5012" s="6">
        <f t="shared" si="768"/>
        <v>25530.414600000004</v>
      </c>
      <c r="AG5012" s="14">
        <v>0</v>
      </c>
      <c r="AH5012" s="64">
        <f t="shared" si="763"/>
        <v>425506.91000000009</v>
      </c>
      <c r="AI5012" s="47"/>
      <c r="AJ5012" s="126" t="e">
        <v>#N/A</v>
      </c>
      <c r="AK5012" s="80">
        <f t="shared" si="766"/>
        <v>0</v>
      </c>
      <c r="AM5012" s="85"/>
    </row>
    <row r="5013" spans="1:39" hidden="1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760"/>
        <v>294632.21999999986</v>
      </c>
      <c r="X5013" s="6">
        <f t="shared" si="761"/>
        <v>532030.67961165064</v>
      </c>
      <c r="Y5013" s="13">
        <f t="shared" si="764"/>
        <v>0</v>
      </c>
      <c r="Z5013" s="14">
        <v>0</v>
      </c>
      <c r="AA5013" s="6">
        <v>0</v>
      </c>
      <c r="AB5013" s="4">
        <f t="shared" si="765"/>
        <v>532030.67961165064</v>
      </c>
      <c r="AC5013" s="4">
        <f t="shared" si="767"/>
        <v>15960.920388349565</v>
      </c>
      <c r="AD5013" s="6">
        <f t="shared" si="762"/>
        <v>547991.60000000021</v>
      </c>
      <c r="AE5013" s="2">
        <v>0.06</v>
      </c>
      <c r="AF5013" s="6">
        <f t="shared" si="768"/>
        <v>32879.496000000014</v>
      </c>
      <c r="AG5013" s="14">
        <v>0</v>
      </c>
      <c r="AH5013" s="64">
        <f t="shared" si="763"/>
        <v>547991.60000000021</v>
      </c>
      <c r="AI5013" s="47"/>
      <c r="AJ5013" s="126" t="e">
        <v>#N/A</v>
      </c>
      <c r="AK5013" s="80">
        <f t="shared" si="766"/>
        <v>0</v>
      </c>
      <c r="AM5013" s="85"/>
    </row>
    <row r="5014" spans="1:39" hidden="1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760"/>
        <v>0</v>
      </c>
      <c r="X5014" s="6">
        <f t="shared" si="761"/>
        <v>10519.352380952379</v>
      </c>
      <c r="Y5014" s="13">
        <f t="shared" si="764"/>
        <v>0</v>
      </c>
      <c r="Z5014" s="14">
        <v>0</v>
      </c>
      <c r="AA5014" s="6">
        <v>0</v>
      </c>
      <c r="AB5014" s="4">
        <f t="shared" si="765"/>
        <v>10519.352380952379</v>
      </c>
      <c r="AC5014" s="4">
        <f t="shared" si="767"/>
        <v>525.96761904762025</v>
      </c>
      <c r="AD5014" s="6">
        <f t="shared" si="762"/>
        <v>11045.32</v>
      </c>
      <c r="AE5014" s="2">
        <v>0.06</v>
      </c>
      <c r="AF5014" s="6">
        <f t="shared" si="768"/>
        <v>662.7192</v>
      </c>
      <c r="AG5014" s="14">
        <v>0</v>
      </c>
      <c r="AH5014" s="64">
        <f t="shared" si="763"/>
        <v>11045.32</v>
      </c>
      <c r="AI5014" s="47"/>
      <c r="AJ5014" s="126" t="e">
        <v>#N/A</v>
      </c>
      <c r="AK5014" s="80">
        <f t="shared" si="766"/>
        <v>0</v>
      </c>
      <c r="AM5014" s="85"/>
    </row>
    <row r="5015" spans="1:39" hidden="1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760"/>
        <v>-1.862645149230957E-9</v>
      </c>
      <c r="X5015" s="6">
        <f t="shared" si="761"/>
        <v>0</v>
      </c>
      <c r="Y5015" s="13">
        <f t="shared" si="764"/>
        <v>0</v>
      </c>
      <c r="Z5015" s="14">
        <v>0</v>
      </c>
      <c r="AA5015" s="6">
        <v>0</v>
      </c>
      <c r="AB5015" s="4">
        <f t="shared" si="765"/>
        <v>0</v>
      </c>
      <c r="AC5015" s="4">
        <f t="shared" si="767"/>
        <v>0</v>
      </c>
      <c r="AD5015" s="6">
        <f t="shared" si="762"/>
        <v>0</v>
      </c>
      <c r="AE5015" s="2">
        <v>0.06</v>
      </c>
      <c r="AF5015" s="6">
        <f t="shared" si="768"/>
        <v>0</v>
      </c>
      <c r="AG5015" s="14">
        <v>0</v>
      </c>
      <c r="AH5015" s="64">
        <f t="shared" si="763"/>
        <v>0</v>
      </c>
      <c r="AI5015" s="47"/>
      <c r="AJ5015" s="126" t="e">
        <v>#N/A</v>
      </c>
      <c r="AK5015" s="80">
        <f t="shared" si="766"/>
        <v>0</v>
      </c>
      <c r="AM5015" s="85"/>
    </row>
    <row r="5016" spans="1:39" hidden="1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761"/>
        <v>450766.88461538462</v>
      </c>
      <c r="Y5016" s="13">
        <f t="shared" si="764"/>
        <v>0</v>
      </c>
      <c r="Z5016" s="14">
        <v>0</v>
      </c>
      <c r="AA5016" s="6">
        <v>0</v>
      </c>
      <c r="AB5016" s="4">
        <f t="shared" si="765"/>
        <v>450766.88461538462</v>
      </c>
      <c r="AC5016" s="4">
        <f t="shared" si="767"/>
        <v>18030.675384615373</v>
      </c>
      <c r="AD5016" s="6">
        <f t="shared" si="762"/>
        <v>468797.56</v>
      </c>
      <c r="AE5016" s="2">
        <v>0.06</v>
      </c>
      <c r="AF5016" s="6">
        <f t="shared" si="768"/>
        <v>28127.853599999999</v>
      </c>
      <c r="AG5016" s="14">
        <v>0</v>
      </c>
      <c r="AH5016" s="64">
        <f t="shared" si="763"/>
        <v>468797.56</v>
      </c>
      <c r="AI5016" s="47"/>
      <c r="AJ5016" s="126" t="e">
        <v>#N/A</v>
      </c>
      <c r="AK5016" s="80">
        <f t="shared" si="766"/>
        <v>0</v>
      </c>
      <c r="AM5016" s="85"/>
    </row>
    <row r="5017" spans="1:39" hidden="1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760"/>
        <v>1037392.1499999999</v>
      </c>
      <c r="X5017" s="6">
        <f t="shared" si="761"/>
        <v>31188.480769230788</v>
      </c>
      <c r="Y5017" s="13">
        <f t="shared" si="764"/>
        <v>0</v>
      </c>
      <c r="Z5017" s="14">
        <v>0</v>
      </c>
      <c r="AA5017" s="6">
        <v>0</v>
      </c>
      <c r="AB5017" s="4">
        <f t="shared" si="765"/>
        <v>31188.480769230788</v>
      </c>
      <c r="AC5017" s="4">
        <f t="shared" si="767"/>
        <v>1247.5392307692309</v>
      </c>
      <c r="AD5017" s="6">
        <f t="shared" si="762"/>
        <v>32436.020000000019</v>
      </c>
      <c r="AE5017" s="2">
        <v>0.06</v>
      </c>
      <c r="AF5017" s="6">
        <f t="shared" si="768"/>
        <v>1946.1612000000011</v>
      </c>
      <c r="AG5017" s="14">
        <v>0</v>
      </c>
      <c r="AH5017" s="64">
        <f t="shared" si="763"/>
        <v>32436.020000000019</v>
      </c>
      <c r="AI5017" s="47"/>
      <c r="AJ5017" s="126" t="e">
        <v>#N/A</v>
      </c>
      <c r="AK5017" s="80">
        <f t="shared" si="766"/>
        <v>0</v>
      </c>
      <c r="AM5017" s="85"/>
    </row>
    <row r="5018" spans="1:39" hidden="1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760"/>
        <v>329816.90999999782</v>
      </c>
      <c r="X5018" s="6">
        <f t="shared" si="761"/>
        <v>2639192.4519230775</v>
      </c>
      <c r="Y5018" s="13">
        <f t="shared" si="764"/>
        <v>0</v>
      </c>
      <c r="Z5018" s="14">
        <v>0</v>
      </c>
      <c r="AA5018" s="6">
        <v>0</v>
      </c>
      <c r="AB5018" s="4">
        <f t="shared" si="765"/>
        <v>2639192.4519230775</v>
      </c>
      <c r="AC5018" s="4">
        <f t="shared" si="767"/>
        <v>105567.69807692338</v>
      </c>
      <c r="AD5018" s="6">
        <f t="shared" si="762"/>
        <v>2744760.1500000008</v>
      </c>
      <c r="AE5018" s="2">
        <v>0.06</v>
      </c>
      <c r="AF5018" s="6">
        <f t="shared" si="768"/>
        <v>164685.60900000005</v>
      </c>
      <c r="AG5018" s="14">
        <v>0</v>
      </c>
      <c r="AH5018" s="64">
        <f t="shared" si="763"/>
        <v>2744760.1500000008</v>
      </c>
      <c r="AI5018" s="47"/>
      <c r="AJ5018" s="126" t="e">
        <v>#N/A</v>
      </c>
      <c r="AK5018" s="80">
        <f t="shared" si="766"/>
        <v>0</v>
      </c>
      <c r="AM5018" s="85"/>
    </row>
    <row r="5019" spans="1:39" hidden="1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760"/>
        <v>5300</v>
      </c>
      <c r="X5019" s="6">
        <f t="shared" si="761"/>
        <v>0</v>
      </c>
      <c r="Y5019" s="13">
        <f t="shared" si="764"/>
        <v>0</v>
      </c>
      <c r="Z5019" s="14">
        <v>0</v>
      </c>
      <c r="AA5019" s="6">
        <v>0</v>
      </c>
      <c r="AB5019" s="4">
        <f t="shared" si="765"/>
        <v>0</v>
      </c>
      <c r="AC5019" s="4">
        <f t="shared" si="767"/>
        <v>0</v>
      </c>
      <c r="AD5019" s="6">
        <f t="shared" si="762"/>
        <v>0</v>
      </c>
      <c r="AE5019" s="2">
        <v>0.06</v>
      </c>
      <c r="AF5019" s="6">
        <f t="shared" si="768"/>
        <v>0</v>
      </c>
      <c r="AG5019" s="14">
        <v>0</v>
      </c>
      <c r="AH5019" s="64">
        <f t="shared" si="763"/>
        <v>0</v>
      </c>
      <c r="AI5019" s="47"/>
      <c r="AJ5019" s="126" t="e">
        <v>#N/A</v>
      </c>
      <c r="AK5019" s="80">
        <f t="shared" si="766"/>
        <v>0</v>
      </c>
      <c r="AM5019" s="85"/>
    </row>
    <row r="5020" spans="1:39" hidden="1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760"/>
        <v>89212.05</v>
      </c>
      <c r="X5020" s="6">
        <f t="shared" si="761"/>
        <v>30022.280000000002</v>
      </c>
      <c r="Y5020" s="13">
        <f t="shared" si="764"/>
        <v>0</v>
      </c>
      <c r="Z5020" s="14">
        <v>0</v>
      </c>
      <c r="AA5020" s="6">
        <v>0</v>
      </c>
      <c r="AB5020" s="4">
        <f t="shared" si="765"/>
        <v>30022.280000000002</v>
      </c>
      <c r="AC5020" s="4">
        <f t="shared" si="767"/>
        <v>0</v>
      </c>
      <c r="AD5020" s="6">
        <f t="shared" si="762"/>
        <v>30022.280000000002</v>
      </c>
      <c r="AE5020" s="2">
        <v>0.06</v>
      </c>
      <c r="AF5020" s="6">
        <f t="shared" si="768"/>
        <v>1801.3368</v>
      </c>
      <c r="AG5020" s="14">
        <v>0</v>
      </c>
      <c r="AH5020" s="64">
        <f t="shared" si="763"/>
        <v>30022.280000000002</v>
      </c>
      <c r="AI5020" s="47"/>
      <c r="AJ5020" s="126" t="e">
        <v>#N/A</v>
      </c>
      <c r="AK5020" s="80">
        <f t="shared" si="766"/>
        <v>0</v>
      </c>
      <c r="AM5020" s="85"/>
    </row>
    <row r="5021" spans="1:39" hidden="1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760"/>
        <v>1101003.799999997</v>
      </c>
      <c r="X5021" s="6">
        <f t="shared" si="761"/>
        <v>2875773.2500000033</v>
      </c>
      <c r="Y5021" s="13">
        <f t="shared" si="764"/>
        <v>0</v>
      </c>
      <c r="Z5021" s="14">
        <v>0</v>
      </c>
      <c r="AA5021" s="6">
        <v>0</v>
      </c>
      <c r="AB5021" s="4">
        <f t="shared" si="765"/>
        <v>2875773.2500000033</v>
      </c>
      <c r="AC5021" s="4">
        <f t="shared" si="767"/>
        <v>115030.93000000017</v>
      </c>
      <c r="AD5021" s="6">
        <f t="shared" si="762"/>
        <v>2990804.1800000034</v>
      </c>
      <c r="AE5021" s="2">
        <v>0.06</v>
      </c>
      <c r="AF5021" s="6">
        <f t="shared" si="768"/>
        <v>179448.25080000021</v>
      </c>
      <c r="AG5021" s="14">
        <v>0</v>
      </c>
      <c r="AH5021" s="64">
        <f t="shared" si="763"/>
        <v>2990804.1800000034</v>
      </c>
      <c r="AI5021" s="47"/>
      <c r="AJ5021" s="126" t="e">
        <v>#N/A</v>
      </c>
      <c r="AK5021" s="80">
        <f t="shared" si="766"/>
        <v>0</v>
      </c>
      <c r="AM5021" s="85"/>
    </row>
    <row r="5022" spans="1:39" hidden="1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760"/>
        <v>93610.49</v>
      </c>
      <c r="X5022" s="6">
        <f t="shared" si="761"/>
        <v>109116.02912621359</v>
      </c>
      <c r="Y5022" s="13">
        <f t="shared" si="764"/>
        <v>0</v>
      </c>
      <c r="Z5022" s="14">
        <v>0</v>
      </c>
      <c r="AA5022" s="6">
        <v>0</v>
      </c>
      <c r="AB5022" s="4">
        <f t="shared" si="765"/>
        <v>109116.02912621359</v>
      </c>
      <c r="AC5022" s="4">
        <f t="shared" si="767"/>
        <v>3273.4808737864078</v>
      </c>
      <c r="AD5022" s="6">
        <f t="shared" si="762"/>
        <v>112389.51</v>
      </c>
      <c r="AE5022" s="2">
        <v>0.06</v>
      </c>
      <c r="AF5022" s="6">
        <f t="shared" si="768"/>
        <v>6743.3705999999993</v>
      </c>
      <c r="AG5022" s="14">
        <v>0</v>
      </c>
      <c r="AH5022" s="64">
        <f t="shared" si="763"/>
        <v>112389.51</v>
      </c>
      <c r="AI5022" s="47"/>
      <c r="AJ5022" s="126" t="e">
        <v>#N/A</v>
      </c>
      <c r="AK5022" s="80">
        <f t="shared" si="766"/>
        <v>0</v>
      </c>
      <c r="AM5022" s="85"/>
    </row>
    <row r="5023" spans="1:39" hidden="1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">
        <v>3712</v>
      </c>
      <c r="L5023" s="1" t="s">
        <v>35</v>
      </c>
      <c r="M5023" s="86"/>
      <c r="N5023" s="86" t="s">
        <v>3712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760"/>
        <v>0</v>
      </c>
      <c r="X5023" s="6">
        <f t="shared" si="761"/>
        <v>0</v>
      </c>
      <c r="Y5023" s="13">
        <f t="shared" si="764"/>
        <v>0</v>
      </c>
      <c r="Z5023" s="14">
        <v>0</v>
      </c>
      <c r="AA5023" s="6">
        <v>0</v>
      </c>
      <c r="AB5023" s="4">
        <f t="shared" si="765"/>
        <v>0</v>
      </c>
      <c r="AC5023" s="4">
        <f t="shared" si="767"/>
        <v>0</v>
      </c>
      <c r="AD5023" s="6">
        <f t="shared" si="762"/>
        <v>0</v>
      </c>
      <c r="AE5023" s="2">
        <v>0.06</v>
      </c>
      <c r="AF5023" s="6">
        <f t="shared" si="768"/>
        <v>0</v>
      </c>
      <c r="AG5023" s="14">
        <v>0</v>
      </c>
      <c r="AH5023" s="64">
        <f t="shared" si="763"/>
        <v>0</v>
      </c>
      <c r="AI5023" s="47"/>
      <c r="AJ5023" s="126" t="e">
        <v>#N/A</v>
      </c>
      <c r="AK5023" s="80">
        <f t="shared" si="766"/>
        <v>0</v>
      </c>
      <c r="AM5023" s="85"/>
    </row>
    <row r="5024" spans="1:39" hidden="1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760"/>
        <v>169503.75</v>
      </c>
      <c r="X5024" s="6">
        <f t="shared" si="761"/>
        <v>10090.801886792453</v>
      </c>
      <c r="Y5024" s="13">
        <f t="shared" si="764"/>
        <v>0</v>
      </c>
      <c r="Z5024" s="14">
        <v>0</v>
      </c>
      <c r="AA5024" s="6">
        <v>0</v>
      </c>
      <c r="AB5024" s="4">
        <f t="shared" si="765"/>
        <v>10090.801886792453</v>
      </c>
      <c r="AC5024" s="4">
        <f t="shared" si="767"/>
        <v>605.44811320754707</v>
      </c>
      <c r="AD5024" s="6">
        <f t="shared" si="762"/>
        <v>10696.25</v>
      </c>
      <c r="AE5024" s="2">
        <v>0.06</v>
      </c>
      <c r="AF5024" s="6">
        <f t="shared" si="768"/>
        <v>641.77499999999998</v>
      </c>
      <c r="AG5024" s="14">
        <v>0</v>
      </c>
      <c r="AH5024" s="64">
        <f t="shared" si="763"/>
        <v>10696.25</v>
      </c>
      <c r="AI5024" s="47"/>
      <c r="AJ5024" s="126" t="e">
        <v>#N/A</v>
      </c>
      <c r="AK5024" s="80">
        <f t="shared" si="766"/>
        <v>0</v>
      </c>
      <c r="AM5024" s="85"/>
    </row>
    <row r="5025" spans="1:39" hidden="1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760"/>
        <v>0</v>
      </c>
      <c r="X5025" s="6">
        <f t="shared" si="761"/>
        <v>143175.31</v>
      </c>
      <c r="Y5025" s="13">
        <f t="shared" si="764"/>
        <v>0</v>
      </c>
      <c r="Z5025" s="14">
        <v>0</v>
      </c>
      <c r="AA5025" s="6">
        <v>0</v>
      </c>
      <c r="AB5025" s="4">
        <f t="shared" si="765"/>
        <v>143175.31</v>
      </c>
      <c r="AC5025" s="4">
        <f t="shared" si="767"/>
        <v>0</v>
      </c>
      <c r="AD5025" s="6">
        <f t="shared" si="762"/>
        <v>143175.31</v>
      </c>
      <c r="AE5025" s="2">
        <v>0.06</v>
      </c>
      <c r="AF5025" s="6">
        <f t="shared" si="768"/>
        <v>8590.5185999999994</v>
      </c>
      <c r="AG5025" s="14">
        <v>0</v>
      </c>
      <c r="AH5025" s="64">
        <f t="shared" si="763"/>
        <v>143175.31</v>
      </c>
      <c r="AI5025" s="47"/>
      <c r="AJ5025" s="126" t="e">
        <v>#N/A</v>
      </c>
      <c r="AK5025" s="80">
        <f t="shared" si="766"/>
        <v>0</v>
      </c>
      <c r="AM5025" s="85"/>
    </row>
    <row r="5026" spans="1:39" hidden="1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760"/>
        <v>587.92999999993481</v>
      </c>
      <c r="X5026" s="6">
        <f t="shared" si="761"/>
        <v>2090124.01</v>
      </c>
      <c r="Y5026" s="13">
        <f t="shared" si="764"/>
        <v>0</v>
      </c>
      <c r="Z5026" s="14">
        <v>0</v>
      </c>
      <c r="AA5026" s="6">
        <v>0</v>
      </c>
      <c r="AB5026" s="4">
        <f t="shared" si="765"/>
        <v>2090124.01</v>
      </c>
      <c r="AC5026" s="4">
        <f t="shared" si="767"/>
        <v>0</v>
      </c>
      <c r="AD5026" s="6">
        <f t="shared" si="762"/>
        <v>2090124.01</v>
      </c>
      <c r="AE5026" s="2">
        <v>0.06</v>
      </c>
      <c r="AF5026" s="6">
        <f t="shared" si="768"/>
        <v>125407.4406</v>
      </c>
      <c r="AG5026" s="14">
        <v>0</v>
      </c>
      <c r="AH5026" s="64">
        <f t="shared" si="763"/>
        <v>2090124.01</v>
      </c>
      <c r="AI5026" s="47"/>
      <c r="AJ5026" s="126" t="e">
        <v>#N/A</v>
      </c>
      <c r="AK5026" s="80">
        <f t="shared" si="766"/>
        <v>0</v>
      </c>
      <c r="AM5026" s="85"/>
    </row>
    <row r="5027" spans="1:39" hidden="1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1" t="s">
        <v>3718</v>
      </c>
      <c r="L5027" s="1" t="s">
        <v>35</v>
      </c>
      <c r="M5027" s="86"/>
      <c r="N5027" s="86" t="s">
        <v>3736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760"/>
        <v>0</v>
      </c>
      <c r="X5027" s="6">
        <f t="shared" si="761"/>
        <v>4748.1121495327197</v>
      </c>
      <c r="Y5027" s="13">
        <f t="shared" si="764"/>
        <v>0</v>
      </c>
      <c r="Z5027" s="14">
        <v>0</v>
      </c>
      <c r="AA5027" s="6">
        <v>0</v>
      </c>
      <c r="AB5027" s="4">
        <f t="shared" si="765"/>
        <v>4748.1121495327197</v>
      </c>
      <c r="AC5027" s="4">
        <f t="shared" si="767"/>
        <v>332.36785046729074</v>
      </c>
      <c r="AD5027" s="6">
        <f t="shared" si="762"/>
        <v>5080.4800000000105</v>
      </c>
      <c r="AE5027" s="2">
        <v>0.06</v>
      </c>
      <c r="AF5027" s="6">
        <f t="shared" si="768"/>
        <v>304.82880000000063</v>
      </c>
      <c r="AG5027" s="14">
        <v>0</v>
      </c>
      <c r="AH5027" s="64">
        <f t="shared" si="763"/>
        <v>5080.4800000000105</v>
      </c>
      <c r="AI5027" s="47"/>
      <c r="AJ5027" s="126" t="e">
        <v>#N/A</v>
      </c>
      <c r="AK5027" s="80">
        <f t="shared" si="766"/>
        <v>0</v>
      </c>
      <c r="AM5027" s="85"/>
    </row>
    <row r="5028" spans="1:39" hidden="1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">
        <v>3712</v>
      </c>
      <c r="L5028" s="1" t="s">
        <v>35</v>
      </c>
      <c r="M5028" s="86"/>
      <c r="N5028" s="86" t="s">
        <v>3712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760"/>
        <v>3774.0399999991059</v>
      </c>
      <c r="X5028" s="6">
        <f t="shared" si="761"/>
        <v>0</v>
      </c>
      <c r="Y5028" s="13">
        <f t="shared" si="764"/>
        <v>0</v>
      </c>
      <c r="Z5028" s="14">
        <v>0</v>
      </c>
      <c r="AA5028" s="6">
        <v>0</v>
      </c>
      <c r="AB5028" s="4">
        <f t="shared" si="765"/>
        <v>0</v>
      </c>
      <c r="AC5028" s="4">
        <f t="shared" si="767"/>
        <v>0</v>
      </c>
      <c r="AD5028" s="6">
        <f t="shared" si="762"/>
        <v>0</v>
      </c>
      <c r="AE5028" s="2">
        <v>0.06</v>
      </c>
      <c r="AF5028" s="6">
        <f t="shared" si="768"/>
        <v>0</v>
      </c>
      <c r="AG5028" s="14">
        <v>0</v>
      </c>
      <c r="AH5028" s="64">
        <f t="shared" si="763"/>
        <v>0</v>
      </c>
      <c r="AI5028" s="47"/>
      <c r="AJ5028" s="126" t="e">
        <v>#N/A</v>
      </c>
      <c r="AK5028" s="80">
        <f t="shared" si="766"/>
        <v>0</v>
      </c>
      <c r="AM5028" s="85"/>
    </row>
    <row r="5029" spans="1:39" hidden="1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">
        <v>3707</v>
      </c>
      <c r="L5029" s="1" t="s">
        <v>35</v>
      </c>
      <c r="M5029" s="86"/>
      <c r="N5029" s="86" t="s">
        <v>3707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760"/>
        <v>1415513.27</v>
      </c>
      <c r="X5029" s="6">
        <f t="shared" si="761"/>
        <v>534363.81999999995</v>
      </c>
      <c r="Y5029" s="13">
        <f t="shared" si="764"/>
        <v>0</v>
      </c>
      <c r="Z5029" s="14">
        <v>0</v>
      </c>
      <c r="AA5029" s="6">
        <v>0</v>
      </c>
      <c r="AB5029" s="4">
        <f t="shared" si="765"/>
        <v>534363.81999999995</v>
      </c>
      <c r="AC5029" s="4">
        <f t="shared" si="767"/>
        <v>0</v>
      </c>
      <c r="AD5029" s="6">
        <f t="shared" si="762"/>
        <v>534363.81999999995</v>
      </c>
      <c r="AE5029" s="2">
        <v>0.06</v>
      </c>
      <c r="AF5029" s="6">
        <f t="shared" si="768"/>
        <v>32061.829199999996</v>
      </c>
      <c r="AG5029" s="14">
        <v>0</v>
      </c>
      <c r="AH5029" s="64">
        <f t="shared" si="763"/>
        <v>534363.81999999995</v>
      </c>
      <c r="AI5029" s="47"/>
      <c r="AJ5029" s="126" t="e">
        <v>#N/A</v>
      </c>
      <c r="AK5029" s="80">
        <f t="shared" si="766"/>
        <v>0</v>
      </c>
      <c r="AM5029" s="85"/>
    </row>
    <row r="5030" spans="1:39" hidden="1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1" t="s">
        <v>3718</v>
      </c>
      <c r="L5030" s="1" t="s">
        <v>35</v>
      </c>
      <c r="M5030" s="86"/>
      <c r="N5030" s="86" t="s">
        <v>3718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760"/>
        <v>3.0195224098861217E-10</v>
      </c>
      <c r="X5030" s="6">
        <f t="shared" si="761"/>
        <v>0</v>
      </c>
      <c r="Y5030" s="13">
        <f t="shared" si="764"/>
        <v>0</v>
      </c>
      <c r="Z5030" s="14">
        <v>0</v>
      </c>
      <c r="AA5030" s="6">
        <v>0</v>
      </c>
      <c r="AB5030" s="4">
        <f t="shared" si="765"/>
        <v>0</v>
      </c>
      <c r="AC5030" s="4">
        <f t="shared" si="767"/>
        <v>0</v>
      </c>
      <c r="AD5030" s="6">
        <f t="shared" si="762"/>
        <v>0</v>
      </c>
      <c r="AE5030" s="2">
        <v>0.06</v>
      </c>
      <c r="AF5030" s="6">
        <f t="shared" si="768"/>
        <v>0</v>
      </c>
      <c r="AG5030" s="14">
        <v>0</v>
      </c>
      <c r="AH5030" s="64">
        <f t="shared" si="763"/>
        <v>0</v>
      </c>
      <c r="AI5030" s="47"/>
      <c r="AJ5030" s="126" t="e">
        <v>#N/A</v>
      </c>
      <c r="AK5030" s="80">
        <f t="shared" si="766"/>
        <v>0</v>
      </c>
      <c r="AM5030" s="85"/>
    </row>
    <row r="5031" spans="1:39" hidden="1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1" t="s">
        <v>3718</v>
      </c>
      <c r="L5031" s="1" t="s">
        <v>35</v>
      </c>
      <c r="M5031" s="86"/>
      <c r="N5031" s="86" t="s">
        <v>3718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760"/>
        <v>-481501.5</v>
      </c>
      <c r="X5031" s="6">
        <f t="shared" si="761"/>
        <v>417935.77</v>
      </c>
      <c r="Y5031" s="13">
        <f t="shared" si="764"/>
        <v>0</v>
      </c>
      <c r="Z5031" s="14">
        <v>0</v>
      </c>
      <c r="AA5031" s="6">
        <v>0</v>
      </c>
      <c r="AB5031" s="4">
        <f t="shared" si="765"/>
        <v>417935.77</v>
      </c>
      <c r="AC5031" s="4">
        <f t="shared" si="767"/>
        <v>0</v>
      </c>
      <c r="AD5031" s="6">
        <f t="shared" si="762"/>
        <v>417935.77</v>
      </c>
      <c r="AE5031" s="2">
        <v>0.06</v>
      </c>
      <c r="AF5031" s="6">
        <f t="shared" si="768"/>
        <v>25076.146199999999</v>
      </c>
      <c r="AG5031" s="14">
        <v>0</v>
      </c>
      <c r="AH5031" s="64">
        <f t="shared" si="763"/>
        <v>417935.77</v>
      </c>
      <c r="AI5031" s="47"/>
      <c r="AJ5031" s="126" t="e">
        <v>#N/A</v>
      </c>
      <c r="AK5031" s="80">
        <f t="shared" si="766"/>
        <v>0</v>
      </c>
      <c r="AM5031" s="85"/>
    </row>
    <row r="5032" spans="1:39" hidden="1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">
        <v>3710</v>
      </c>
      <c r="L5032" s="1" t="s">
        <v>35</v>
      </c>
      <c r="M5032" s="86"/>
      <c r="N5032" s="86" t="s">
        <v>3710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761"/>
        <v>0</v>
      </c>
      <c r="Y5032" s="13">
        <f t="shared" si="764"/>
        <v>0</v>
      </c>
      <c r="Z5032" s="14">
        <v>0</v>
      </c>
      <c r="AA5032" s="6">
        <v>0</v>
      </c>
      <c r="AB5032" s="4">
        <f t="shared" si="765"/>
        <v>0</v>
      </c>
      <c r="AC5032" s="4">
        <f t="shared" si="767"/>
        <v>0</v>
      </c>
      <c r="AD5032" s="6">
        <f t="shared" si="762"/>
        <v>0</v>
      </c>
      <c r="AE5032" s="2">
        <v>0.06</v>
      </c>
      <c r="AF5032" s="6">
        <f t="shared" si="768"/>
        <v>0</v>
      </c>
      <c r="AG5032" s="14">
        <v>0</v>
      </c>
      <c r="AH5032" s="64">
        <f t="shared" si="763"/>
        <v>0</v>
      </c>
      <c r="AI5032" s="47"/>
      <c r="AJ5032" s="126" t="e">
        <v>#N/A</v>
      </c>
      <c r="AK5032" s="80">
        <f t="shared" si="766"/>
        <v>0</v>
      </c>
      <c r="AM5032" s="85"/>
    </row>
    <row r="5033" spans="1:39" hidden="1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">
        <v>3712</v>
      </c>
      <c r="L5033" s="1" t="s">
        <v>35</v>
      </c>
      <c r="M5033" s="86"/>
      <c r="N5033" s="86" t="s">
        <v>3712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760"/>
        <v>100000</v>
      </c>
      <c r="X5033" s="6">
        <f t="shared" si="761"/>
        <v>0</v>
      </c>
      <c r="Y5033" s="13">
        <f t="shared" si="764"/>
        <v>0</v>
      </c>
      <c r="Z5033" s="14">
        <v>0</v>
      </c>
      <c r="AA5033" s="6">
        <v>0</v>
      </c>
      <c r="AB5033" s="4">
        <f t="shared" si="765"/>
        <v>0</v>
      </c>
      <c r="AC5033" s="4">
        <f t="shared" si="767"/>
        <v>0</v>
      </c>
      <c r="AD5033" s="6">
        <f t="shared" si="762"/>
        <v>0</v>
      </c>
      <c r="AE5033" s="2">
        <v>0.06</v>
      </c>
      <c r="AF5033" s="6">
        <f t="shared" si="768"/>
        <v>0</v>
      </c>
      <c r="AG5033" s="14">
        <v>0</v>
      </c>
      <c r="AH5033" s="64">
        <f t="shared" si="763"/>
        <v>0</v>
      </c>
      <c r="AI5033" s="47"/>
      <c r="AJ5033" s="126" t="e">
        <v>#N/A</v>
      </c>
      <c r="AK5033" s="80">
        <f t="shared" si="766"/>
        <v>0</v>
      </c>
      <c r="AM5033" s="85"/>
    </row>
    <row r="5034" spans="1:39" hidden="1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">
        <v>3712</v>
      </c>
      <c r="L5034" s="1" t="s">
        <v>35</v>
      </c>
      <c r="M5034" s="86"/>
      <c r="N5034" s="86" t="s">
        <v>3712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760"/>
        <v>42219.16</v>
      </c>
      <c r="X5034" s="6">
        <f t="shared" si="761"/>
        <v>0</v>
      </c>
      <c r="Y5034" s="13">
        <f t="shared" si="764"/>
        <v>0</v>
      </c>
      <c r="Z5034" s="14">
        <v>0</v>
      </c>
      <c r="AA5034" s="6">
        <v>0</v>
      </c>
      <c r="AB5034" s="4">
        <f t="shared" si="765"/>
        <v>0</v>
      </c>
      <c r="AC5034" s="4">
        <f t="shared" si="767"/>
        <v>0</v>
      </c>
      <c r="AD5034" s="6">
        <f t="shared" si="762"/>
        <v>0</v>
      </c>
      <c r="AE5034" s="2">
        <v>0.06</v>
      </c>
      <c r="AF5034" s="6">
        <f t="shared" si="768"/>
        <v>0</v>
      </c>
      <c r="AG5034" s="14">
        <v>0</v>
      </c>
      <c r="AH5034" s="64">
        <f t="shared" si="763"/>
        <v>0</v>
      </c>
      <c r="AI5034" s="47"/>
      <c r="AJ5034" s="126" t="e">
        <v>#N/A</v>
      </c>
      <c r="AK5034" s="80">
        <f t="shared" si="766"/>
        <v>0</v>
      </c>
      <c r="AM5034" s="85"/>
    </row>
    <row r="5035" spans="1:39" hidden="1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">
        <v>3712</v>
      </c>
      <c r="L5035" s="1" t="s">
        <v>35</v>
      </c>
      <c r="M5035" s="86"/>
      <c r="N5035" s="86" t="s">
        <v>3712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760"/>
        <v>69393.119999999908</v>
      </c>
      <c r="X5035" s="6">
        <f t="shared" si="761"/>
        <v>0</v>
      </c>
      <c r="Y5035" s="13">
        <f t="shared" si="764"/>
        <v>0</v>
      </c>
      <c r="Z5035" s="14">
        <v>0</v>
      </c>
      <c r="AA5035" s="6">
        <v>0</v>
      </c>
      <c r="AB5035" s="4">
        <f t="shared" si="765"/>
        <v>0</v>
      </c>
      <c r="AC5035" s="4">
        <f t="shared" si="767"/>
        <v>0</v>
      </c>
      <c r="AD5035" s="6">
        <f t="shared" si="762"/>
        <v>0</v>
      </c>
      <c r="AE5035" s="2">
        <v>0.06</v>
      </c>
      <c r="AF5035" s="6">
        <f t="shared" si="768"/>
        <v>0</v>
      </c>
      <c r="AG5035" s="14">
        <v>0</v>
      </c>
      <c r="AH5035" s="64">
        <f t="shared" si="763"/>
        <v>0</v>
      </c>
      <c r="AI5035" s="47"/>
      <c r="AJ5035" s="126" t="e">
        <v>#N/A</v>
      </c>
      <c r="AK5035" s="80">
        <f t="shared" si="766"/>
        <v>0</v>
      </c>
      <c r="AM5035" s="85"/>
    </row>
    <row r="5036" spans="1:39" hidden="1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760"/>
        <v>3196977.4600000018</v>
      </c>
      <c r="X5036" s="6">
        <f t="shared" si="761"/>
        <v>0</v>
      </c>
      <c r="Y5036" s="13">
        <f t="shared" si="764"/>
        <v>0</v>
      </c>
      <c r="Z5036" s="14">
        <v>0</v>
      </c>
      <c r="AA5036" s="6">
        <v>0</v>
      </c>
      <c r="AB5036" s="4">
        <f t="shared" si="765"/>
        <v>0</v>
      </c>
      <c r="AC5036" s="4">
        <f t="shared" si="767"/>
        <v>0</v>
      </c>
      <c r="AD5036" s="6">
        <f t="shared" si="762"/>
        <v>0</v>
      </c>
      <c r="AE5036" s="2">
        <v>0.06</v>
      </c>
      <c r="AF5036" s="6">
        <f t="shared" si="768"/>
        <v>0</v>
      </c>
      <c r="AG5036" s="14">
        <v>0</v>
      </c>
      <c r="AH5036" s="64">
        <f t="shared" si="763"/>
        <v>0</v>
      </c>
      <c r="AI5036" s="47"/>
      <c r="AJ5036" s="126" t="e">
        <v>#N/A</v>
      </c>
      <c r="AK5036" s="80">
        <f t="shared" si="766"/>
        <v>0</v>
      </c>
      <c r="AM5036" s="85"/>
    </row>
    <row r="5037" spans="1:39" hidden="1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">
        <v>3712</v>
      </c>
      <c r="L5037" s="1" t="s">
        <v>35</v>
      </c>
      <c r="M5037" s="86"/>
      <c r="N5037" s="86" t="s">
        <v>3712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760"/>
        <v>87737.87999999999</v>
      </c>
      <c r="X5037" s="6">
        <f t="shared" si="761"/>
        <v>0</v>
      </c>
      <c r="Y5037" s="13">
        <f t="shared" si="764"/>
        <v>0</v>
      </c>
      <c r="Z5037" s="14">
        <v>0</v>
      </c>
      <c r="AA5037" s="6">
        <v>0</v>
      </c>
      <c r="AB5037" s="4">
        <f t="shared" si="765"/>
        <v>0</v>
      </c>
      <c r="AC5037" s="4">
        <f t="shared" si="767"/>
        <v>0</v>
      </c>
      <c r="AD5037" s="6">
        <f t="shared" si="762"/>
        <v>0</v>
      </c>
      <c r="AE5037" s="2">
        <v>0.06</v>
      </c>
      <c r="AF5037" s="6">
        <f t="shared" si="768"/>
        <v>0</v>
      </c>
      <c r="AG5037" s="14">
        <v>0</v>
      </c>
      <c r="AH5037" s="64">
        <f t="shared" si="763"/>
        <v>0</v>
      </c>
      <c r="AI5037" s="47"/>
      <c r="AJ5037" s="126" t="e">
        <v>#N/A</v>
      </c>
      <c r="AK5037" s="80">
        <f t="shared" si="766"/>
        <v>0</v>
      </c>
      <c r="AM5037" s="85"/>
    </row>
    <row r="5038" spans="1:39" hidden="1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760"/>
        <v>8000000</v>
      </c>
      <c r="X5038" s="6">
        <f t="shared" si="761"/>
        <v>0</v>
      </c>
      <c r="Y5038" s="13">
        <f t="shared" si="764"/>
        <v>0</v>
      </c>
      <c r="Z5038" s="14">
        <v>0</v>
      </c>
      <c r="AA5038" s="6">
        <v>0</v>
      </c>
      <c r="AB5038" s="4">
        <f t="shared" si="765"/>
        <v>0</v>
      </c>
      <c r="AC5038" s="4">
        <f t="shared" si="767"/>
        <v>0</v>
      </c>
      <c r="AD5038" s="6">
        <f t="shared" si="762"/>
        <v>0</v>
      </c>
      <c r="AE5038" s="2">
        <v>0.06</v>
      </c>
      <c r="AF5038" s="6">
        <f t="shared" si="768"/>
        <v>0</v>
      </c>
      <c r="AG5038" s="14">
        <v>0</v>
      </c>
      <c r="AH5038" s="64">
        <f t="shared" si="763"/>
        <v>0</v>
      </c>
      <c r="AI5038" s="47"/>
      <c r="AJ5038" s="126" t="e">
        <v>#N/A</v>
      </c>
      <c r="AK5038" s="80">
        <f t="shared" si="766"/>
        <v>0</v>
      </c>
      <c r="AM5038" s="85"/>
    </row>
    <row r="5039" spans="1:39" hidden="1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760"/>
        <v>0</v>
      </c>
      <c r="X5039" s="6">
        <f t="shared" si="761"/>
        <v>1877420.9499999909</v>
      </c>
      <c r="Y5039" s="13">
        <f t="shared" si="764"/>
        <v>0</v>
      </c>
      <c r="Z5039" s="14">
        <v>0</v>
      </c>
      <c r="AA5039" s="6">
        <v>0</v>
      </c>
      <c r="AB5039" s="4">
        <f t="shared" si="765"/>
        <v>1877420.9499999909</v>
      </c>
      <c r="AC5039" s="4">
        <f t="shared" si="767"/>
        <v>0</v>
      </c>
      <c r="AD5039" s="6">
        <f t="shared" si="762"/>
        <v>1877420.9499999909</v>
      </c>
      <c r="AE5039" s="2">
        <v>0.06</v>
      </c>
      <c r="AF5039" s="6">
        <f t="shared" si="768"/>
        <v>112645.25699999944</v>
      </c>
      <c r="AG5039" s="14">
        <v>0</v>
      </c>
      <c r="AH5039" s="64">
        <f t="shared" si="763"/>
        <v>1877420.9499999909</v>
      </c>
      <c r="AI5039" s="47"/>
      <c r="AJ5039" s="126" t="e">
        <v>#N/A</v>
      </c>
      <c r="AK5039" s="80">
        <f t="shared" si="766"/>
        <v>0</v>
      </c>
      <c r="AM5039" s="85"/>
    </row>
    <row r="5040" spans="1:39" hidden="1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760"/>
        <v>446083.05999999918</v>
      </c>
      <c r="X5040" s="6">
        <f t="shared" si="761"/>
        <v>351400.33</v>
      </c>
      <c r="Y5040" s="13">
        <f t="shared" si="764"/>
        <v>0</v>
      </c>
      <c r="Z5040" s="14">
        <v>0</v>
      </c>
      <c r="AA5040" s="6">
        <v>0</v>
      </c>
      <c r="AB5040" s="4">
        <f t="shared" si="765"/>
        <v>351400.33</v>
      </c>
      <c r="AC5040" s="4">
        <f t="shared" si="767"/>
        <v>0</v>
      </c>
      <c r="AD5040" s="6">
        <f t="shared" si="762"/>
        <v>351400.33</v>
      </c>
      <c r="AE5040" s="2">
        <v>0.06</v>
      </c>
      <c r="AF5040" s="6">
        <f t="shared" si="768"/>
        <v>21084.019800000002</v>
      </c>
      <c r="AG5040" s="14">
        <v>0</v>
      </c>
      <c r="AH5040" s="64">
        <f t="shared" si="763"/>
        <v>351400.33</v>
      </c>
      <c r="AI5040" s="47"/>
      <c r="AJ5040" s="126" t="e">
        <v>#N/A</v>
      </c>
      <c r="AK5040" s="80">
        <f t="shared" si="766"/>
        <v>0</v>
      </c>
      <c r="AM5040" s="85"/>
    </row>
    <row r="5041" spans="1:39" hidden="1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760"/>
        <v>22910.700000005891</v>
      </c>
      <c r="X5041" s="6">
        <f t="shared" si="761"/>
        <v>177089.29999999411</v>
      </c>
      <c r="Y5041" s="13">
        <f t="shared" si="764"/>
        <v>0</v>
      </c>
      <c r="Z5041" s="14">
        <v>0</v>
      </c>
      <c r="AA5041" s="6">
        <v>0</v>
      </c>
      <c r="AB5041" s="4">
        <f t="shared" si="765"/>
        <v>177089.29999999411</v>
      </c>
      <c r="AC5041" s="4">
        <f t="shared" si="767"/>
        <v>0</v>
      </c>
      <c r="AD5041" s="6">
        <f t="shared" si="762"/>
        <v>177089.29999999411</v>
      </c>
      <c r="AE5041" s="2">
        <v>0.06</v>
      </c>
      <c r="AF5041" s="6">
        <f t="shared" si="768"/>
        <v>10625.357999999645</v>
      </c>
      <c r="AG5041" s="14">
        <v>0</v>
      </c>
      <c r="AH5041" s="64">
        <f t="shared" si="763"/>
        <v>177089.29999999411</v>
      </c>
      <c r="AI5041" s="47"/>
      <c r="AJ5041" s="126" t="s">
        <v>4218</v>
      </c>
      <c r="AK5041" s="80">
        <f t="shared" si="766"/>
        <v>0</v>
      </c>
      <c r="AL5041" s="150"/>
      <c r="AM5041" s="85"/>
    </row>
    <row r="5042" spans="1:39" hidden="1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760"/>
        <v>257739.59000000008</v>
      </c>
      <c r="X5042" s="6">
        <f t="shared" si="761"/>
        <v>3762.14</v>
      </c>
      <c r="Y5042" s="13">
        <f t="shared" si="764"/>
        <v>0</v>
      </c>
      <c r="Z5042" s="14">
        <v>0</v>
      </c>
      <c r="AA5042" s="6">
        <v>0</v>
      </c>
      <c r="AB5042" s="4">
        <f t="shared" si="765"/>
        <v>3762.14</v>
      </c>
      <c r="AC5042" s="4">
        <f t="shared" si="767"/>
        <v>0</v>
      </c>
      <c r="AD5042" s="6">
        <f t="shared" si="762"/>
        <v>3762.14</v>
      </c>
      <c r="AE5042" s="2">
        <v>0.06</v>
      </c>
      <c r="AF5042" s="6">
        <f t="shared" si="768"/>
        <v>225.72839999999999</v>
      </c>
      <c r="AG5042" s="14">
        <v>0</v>
      </c>
      <c r="AH5042" s="64">
        <f t="shared" si="763"/>
        <v>3762.14</v>
      </c>
      <c r="AI5042" s="47"/>
      <c r="AJ5042" s="126" t="e">
        <v>#N/A</v>
      </c>
      <c r="AK5042" s="80">
        <f t="shared" si="766"/>
        <v>0</v>
      </c>
      <c r="AM5042" s="85"/>
    </row>
    <row r="5043" spans="1:39" hidden="1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">
        <v>3712</v>
      </c>
      <c r="L5043" s="1" t="s">
        <v>35</v>
      </c>
      <c r="M5043" s="86"/>
      <c r="N5043" s="86" t="s">
        <v>3712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760"/>
        <v>9989.83</v>
      </c>
      <c r="X5043" s="6">
        <f t="shared" si="761"/>
        <v>0</v>
      </c>
      <c r="Y5043" s="13">
        <f t="shared" si="764"/>
        <v>0</v>
      </c>
      <c r="Z5043" s="14">
        <v>0</v>
      </c>
      <c r="AA5043" s="6">
        <v>0</v>
      </c>
      <c r="AB5043" s="4">
        <f t="shared" si="765"/>
        <v>0</v>
      </c>
      <c r="AC5043" s="4">
        <f t="shared" si="767"/>
        <v>0</v>
      </c>
      <c r="AD5043" s="6">
        <f t="shared" si="762"/>
        <v>0</v>
      </c>
      <c r="AE5043" s="2">
        <v>0.06</v>
      </c>
      <c r="AF5043" s="6">
        <f t="shared" si="768"/>
        <v>0</v>
      </c>
      <c r="AG5043" s="14">
        <v>0</v>
      </c>
      <c r="AH5043" s="64">
        <f t="shared" si="763"/>
        <v>0</v>
      </c>
      <c r="AI5043" s="47"/>
      <c r="AJ5043" s="126" t="e">
        <v>#N/A</v>
      </c>
      <c r="AK5043" s="80">
        <f t="shared" si="766"/>
        <v>0</v>
      </c>
      <c r="AM5043" s="85"/>
    </row>
    <row r="5044" spans="1:39" hidden="1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1" t="s">
        <v>3718</v>
      </c>
      <c r="L5044" s="1" t="s">
        <v>35</v>
      </c>
      <c r="M5044" s="86"/>
      <c r="N5044" s="86" t="s">
        <v>3736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760"/>
        <v>44793.439999999988</v>
      </c>
      <c r="X5044" s="6">
        <f t="shared" si="761"/>
        <v>20727.588900000002</v>
      </c>
      <c r="Y5044" s="13">
        <f t="shared" si="764"/>
        <v>0</v>
      </c>
      <c r="Z5044" s="14">
        <v>0</v>
      </c>
      <c r="AA5044" s="6">
        <v>0</v>
      </c>
      <c r="AB5044" s="4">
        <f t="shared" si="765"/>
        <v>20727.588900000002</v>
      </c>
      <c r="AC5044" s="4">
        <f t="shared" si="767"/>
        <v>1560.1410999999971</v>
      </c>
      <c r="AD5044" s="6">
        <f t="shared" si="762"/>
        <v>22287.73</v>
      </c>
      <c r="AE5044" s="2">
        <v>0.06</v>
      </c>
      <c r="AF5044" s="6">
        <f t="shared" si="768"/>
        <v>1337.2637999999999</v>
      </c>
      <c r="AG5044" s="14">
        <v>0</v>
      </c>
      <c r="AH5044" s="64">
        <f t="shared" si="763"/>
        <v>22287.73</v>
      </c>
      <c r="AI5044" s="47"/>
      <c r="AJ5044" s="126" t="e">
        <v>#N/A</v>
      </c>
      <c r="AK5044" s="80">
        <f t="shared" si="766"/>
        <v>0</v>
      </c>
      <c r="AM5044" s="85"/>
    </row>
    <row r="5045" spans="1:39" hidden="1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">
        <v>3712</v>
      </c>
      <c r="L5045" s="1" t="s">
        <v>35</v>
      </c>
      <c r="M5045" s="86"/>
      <c r="N5045" s="86" t="s">
        <v>3712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760"/>
        <v>-871.09000000011292</v>
      </c>
      <c r="X5045" s="6">
        <f t="shared" si="761"/>
        <v>0</v>
      </c>
      <c r="Y5045" s="13">
        <f t="shared" si="764"/>
        <v>0</v>
      </c>
      <c r="Z5045" s="14">
        <v>0</v>
      </c>
      <c r="AA5045" s="6">
        <v>0</v>
      </c>
      <c r="AB5045" s="4">
        <f t="shared" si="765"/>
        <v>0</v>
      </c>
      <c r="AC5045" s="4">
        <f t="shared" si="767"/>
        <v>0</v>
      </c>
      <c r="AD5045" s="6">
        <f t="shared" si="762"/>
        <v>0</v>
      </c>
      <c r="AE5045" s="2">
        <v>0.06</v>
      </c>
      <c r="AF5045" s="6">
        <f t="shared" si="768"/>
        <v>0</v>
      </c>
      <c r="AG5045" s="14">
        <v>0</v>
      </c>
      <c r="AH5045" s="64">
        <f t="shared" si="763"/>
        <v>0</v>
      </c>
      <c r="AI5045" s="47"/>
      <c r="AJ5045" s="126" t="e">
        <v>#N/A</v>
      </c>
      <c r="AK5045" s="80">
        <f t="shared" si="766"/>
        <v>0</v>
      </c>
      <c r="AM5045" s="85"/>
    </row>
    <row r="5046" spans="1:39" hidden="1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">
        <v>3712</v>
      </c>
      <c r="L5046" s="1" t="s">
        <v>35</v>
      </c>
      <c r="M5046" s="86"/>
      <c r="N5046" s="86" t="s">
        <v>3712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760"/>
        <v>109622.31000000046</v>
      </c>
      <c r="X5046" s="6">
        <f t="shared" si="761"/>
        <v>0</v>
      </c>
      <c r="Y5046" s="13">
        <f t="shared" si="764"/>
        <v>0</v>
      </c>
      <c r="Z5046" s="14">
        <v>0</v>
      </c>
      <c r="AA5046" s="6">
        <v>0</v>
      </c>
      <c r="AB5046" s="4">
        <f t="shared" si="765"/>
        <v>0</v>
      </c>
      <c r="AC5046" s="4">
        <f t="shared" si="767"/>
        <v>0</v>
      </c>
      <c r="AD5046" s="6">
        <f t="shared" si="762"/>
        <v>0</v>
      </c>
      <c r="AE5046" s="2">
        <v>0.06</v>
      </c>
      <c r="AF5046" s="6">
        <f t="shared" si="768"/>
        <v>0</v>
      </c>
      <c r="AG5046" s="14">
        <v>0</v>
      </c>
      <c r="AH5046" s="64">
        <f t="shared" si="763"/>
        <v>0</v>
      </c>
      <c r="AI5046" s="47"/>
      <c r="AJ5046" s="126" t="e">
        <v>#N/A</v>
      </c>
      <c r="AK5046" s="80">
        <f t="shared" si="766"/>
        <v>0</v>
      </c>
      <c r="AM5046" s="85"/>
    </row>
    <row r="5047" spans="1:39" hidden="1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">
        <v>3712</v>
      </c>
      <c r="L5047" s="1" t="s">
        <v>35</v>
      </c>
      <c r="M5047" s="86"/>
      <c r="N5047" s="86" t="s">
        <v>3712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760"/>
        <v>-2.3305801732931286E-12</v>
      </c>
      <c r="X5047" s="6">
        <f t="shared" si="761"/>
        <v>497.81</v>
      </c>
      <c r="Y5047" s="13">
        <f t="shared" si="764"/>
        <v>0</v>
      </c>
      <c r="Z5047" s="14">
        <v>0</v>
      </c>
      <c r="AA5047" s="6">
        <v>0</v>
      </c>
      <c r="AB5047" s="4">
        <f t="shared" si="765"/>
        <v>497.81</v>
      </c>
      <c r="AC5047" s="4">
        <f t="shared" si="767"/>
        <v>0</v>
      </c>
      <c r="AD5047" s="6">
        <f t="shared" si="762"/>
        <v>497.81</v>
      </c>
      <c r="AE5047" s="2">
        <v>0.06</v>
      </c>
      <c r="AF5047" s="6">
        <f t="shared" si="768"/>
        <v>29.868600000000001</v>
      </c>
      <c r="AG5047" s="14">
        <v>0</v>
      </c>
      <c r="AH5047" s="64">
        <f t="shared" si="763"/>
        <v>497.81</v>
      </c>
      <c r="AI5047" s="47"/>
      <c r="AJ5047" s="126" t="e">
        <v>#N/A</v>
      </c>
      <c r="AK5047" s="80">
        <f t="shared" si="766"/>
        <v>0</v>
      </c>
      <c r="AM5047" s="85"/>
    </row>
    <row r="5048" spans="1:39" hidden="1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">
        <v>3712</v>
      </c>
      <c r="L5048" s="1" t="s">
        <v>35</v>
      </c>
      <c r="M5048" s="86"/>
      <c r="N5048" s="86" t="s">
        <v>3712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760"/>
        <v>3.5100000000020373</v>
      </c>
      <c r="X5048" s="6">
        <f t="shared" si="761"/>
        <v>0</v>
      </c>
      <c r="Y5048" s="13">
        <f t="shared" si="764"/>
        <v>0</v>
      </c>
      <c r="Z5048" s="14">
        <v>0</v>
      </c>
      <c r="AA5048" s="6">
        <v>0</v>
      </c>
      <c r="AB5048" s="4">
        <f t="shared" si="765"/>
        <v>0</v>
      </c>
      <c r="AC5048" s="4">
        <f t="shared" si="767"/>
        <v>0</v>
      </c>
      <c r="AD5048" s="6">
        <f t="shared" si="762"/>
        <v>0</v>
      </c>
      <c r="AE5048" s="2">
        <v>0.06</v>
      </c>
      <c r="AF5048" s="6">
        <f t="shared" si="768"/>
        <v>0</v>
      </c>
      <c r="AG5048" s="14">
        <v>0</v>
      </c>
      <c r="AH5048" s="64">
        <f t="shared" si="763"/>
        <v>0</v>
      </c>
      <c r="AI5048" s="47"/>
      <c r="AJ5048" s="126" t="e">
        <v>#N/A</v>
      </c>
      <c r="AK5048" s="80">
        <f t="shared" si="766"/>
        <v>0</v>
      </c>
      <c r="AM5048" s="85"/>
    </row>
    <row r="5049" spans="1:39" hidden="1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">
        <v>3712</v>
      </c>
      <c r="L5049" s="1" t="s">
        <v>35</v>
      </c>
      <c r="M5049" s="86"/>
      <c r="N5049" s="86" t="s">
        <v>3712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760"/>
        <v>382494.92000000039</v>
      </c>
      <c r="X5049" s="6">
        <f t="shared" si="761"/>
        <v>0</v>
      </c>
      <c r="Y5049" s="13">
        <f t="shared" si="764"/>
        <v>0</v>
      </c>
      <c r="Z5049" s="14">
        <v>0</v>
      </c>
      <c r="AA5049" s="6">
        <v>0</v>
      </c>
      <c r="AB5049" s="4">
        <f t="shared" si="765"/>
        <v>0</v>
      </c>
      <c r="AC5049" s="4">
        <f t="shared" si="767"/>
        <v>0</v>
      </c>
      <c r="AD5049" s="6">
        <f t="shared" si="762"/>
        <v>0</v>
      </c>
      <c r="AE5049" s="2">
        <v>0.06</v>
      </c>
      <c r="AF5049" s="6">
        <f t="shared" si="768"/>
        <v>0</v>
      </c>
      <c r="AG5049" s="14">
        <v>0</v>
      </c>
      <c r="AH5049" s="64">
        <f t="shared" si="763"/>
        <v>0</v>
      </c>
      <c r="AI5049" s="47"/>
      <c r="AJ5049" s="126" t="e">
        <v>#N/A</v>
      </c>
      <c r="AK5049" s="80">
        <f t="shared" si="766"/>
        <v>0</v>
      </c>
      <c r="AM5049" s="85"/>
    </row>
    <row r="5050" spans="1:39" hidden="1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">
        <v>3712</v>
      </c>
      <c r="L5050" s="1" t="s">
        <v>35</v>
      </c>
      <c r="M5050" s="86"/>
      <c r="N5050" s="86" t="s">
        <v>3712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760"/>
        <v>132865.17000000016</v>
      </c>
      <c r="X5050" s="6">
        <f t="shared" si="761"/>
        <v>0</v>
      </c>
      <c r="Y5050" s="13">
        <f t="shared" si="764"/>
        <v>0</v>
      </c>
      <c r="Z5050" s="14">
        <v>0</v>
      </c>
      <c r="AA5050" s="6">
        <v>0</v>
      </c>
      <c r="AB5050" s="4">
        <f t="shared" si="765"/>
        <v>0</v>
      </c>
      <c r="AC5050" s="4">
        <f t="shared" si="767"/>
        <v>0</v>
      </c>
      <c r="AD5050" s="6">
        <f t="shared" si="762"/>
        <v>0</v>
      </c>
      <c r="AE5050" s="2">
        <v>0.06</v>
      </c>
      <c r="AF5050" s="6">
        <f t="shared" si="768"/>
        <v>0</v>
      </c>
      <c r="AG5050" s="14">
        <v>0</v>
      </c>
      <c r="AH5050" s="64">
        <f t="shared" si="763"/>
        <v>0</v>
      </c>
      <c r="AI5050" s="47"/>
      <c r="AJ5050" s="126" t="e">
        <v>#N/A</v>
      </c>
      <c r="AK5050" s="80">
        <f t="shared" si="766"/>
        <v>0</v>
      </c>
      <c r="AM5050" s="85"/>
    </row>
    <row r="5051" spans="1:39" hidden="1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">
        <v>3712</v>
      </c>
      <c r="L5051" s="1" t="s">
        <v>35</v>
      </c>
      <c r="M5051" s="86"/>
      <c r="N5051" s="86" t="s">
        <v>3712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760"/>
        <v>31406.659999999996</v>
      </c>
      <c r="X5051" s="6">
        <f t="shared" si="761"/>
        <v>0</v>
      </c>
      <c r="Y5051" s="13">
        <f t="shared" si="764"/>
        <v>0</v>
      </c>
      <c r="Z5051" s="14">
        <v>0</v>
      </c>
      <c r="AA5051" s="6">
        <v>0</v>
      </c>
      <c r="AB5051" s="4">
        <f t="shared" si="765"/>
        <v>0</v>
      </c>
      <c r="AC5051" s="4">
        <f t="shared" si="767"/>
        <v>0</v>
      </c>
      <c r="AD5051" s="6">
        <f t="shared" si="762"/>
        <v>0</v>
      </c>
      <c r="AE5051" s="2">
        <v>0.06</v>
      </c>
      <c r="AF5051" s="6">
        <f t="shared" si="768"/>
        <v>0</v>
      </c>
      <c r="AG5051" s="14">
        <v>0</v>
      </c>
      <c r="AH5051" s="64">
        <f t="shared" si="763"/>
        <v>0</v>
      </c>
      <c r="AI5051" s="47"/>
      <c r="AJ5051" s="126" t="e">
        <v>#N/A</v>
      </c>
      <c r="AK5051" s="80">
        <f t="shared" si="766"/>
        <v>0</v>
      </c>
      <c r="AM5051" s="85"/>
    </row>
    <row r="5052" spans="1:39" hidden="1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">
        <v>3712</v>
      </c>
      <c r="L5052" s="1" t="s">
        <v>35</v>
      </c>
      <c r="M5052" s="86"/>
      <c r="N5052" s="86" t="s">
        <v>3712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769">T5052+U5052-V5052</f>
        <v>15439.349999999999</v>
      </c>
      <c r="X5052" s="6">
        <f t="shared" ref="X5052:X5115" si="770">IF(P5052="折扣",V5052*Q5052,IF(P5052="返现",V5052,V5052/(1+Q5052)))</f>
        <v>0</v>
      </c>
      <c r="Y5052" s="13">
        <f t="shared" si="764"/>
        <v>0</v>
      </c>
      <c r="Z5052" s="14">
        <v>0</v>
      </c>
      <c r="AA5052" s="6">
        <v>0</v>
      </c>
      <c r="AB5052" s="4">
        <f t="shared" si="765"/>
        <v>0</v>
      </c>
      <c r="AC5052" s="4">
        <f t="shared" si="767"/>
        <v>0</v>
      </c>
      <c r="AD5052" s="6">
        <f t="shared" ref="AD5052:AD5115" si="771">V5052</f>
        <v>0</v>
      </c>
      <c r="AE5052" s="2">
        <v>0.06</v>
      </c>
      <c r="AF5052" s="6">
        <f t="shared" si="768"/>
        <v>0</v>
      </c>
      <c r="AG5052" s="14">
        <v>0</v>
      </c>
      <c r="AH5052" s="64">
        <f t="shared" ref="AH5052:AH5115" si="772">V5052</f>
        <v>0</v>
      </c>
      <c r="AI5052" s="47"/>
      <c r="AJ5052" s="126" t="e">
        <v>#N/A</v>
      </c>
      <c r="AK5052" s="80">
        <f t="shared" si="766"/>
        <v>0</v>
      </c>
      <c r="AM5052" s="85"/>
    </row>
    <row r="5053" spans="1:39" hidden="1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">
        <v>3712</v>
      </c>
      <c r="L5053" s="1" t="s">
        <v>35</v>
      </c>
      <c r="M5053" s="86"/>
      <c r="N5053" s="86" t="s">
        <v>3712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769"/>
        <v>50000</v>
      </c>
      <c r="X5053" s="6">
        <f t="shared" si="770"/>
        <v>0</v>
      </c>
      <c r="Y5053" s="13">
        <f t="shared" si="764"/>
        <v>0</v>
      </c>
      <c r="Z5053" s="14">
        <v>0</v>
      </c>
      <c r="AA5053" s="6">
        <v>0</v>
      </c>
      <c r="AB5053" s="4">
        <f t="shared" si="765"/>
        <v>0</v>
      </c>
      <c r="AC5053" s="4">
        <f t="shared" si="767"/>
        <v>0</v>
      </c>
      <c r="AD5053" s="6">
        <f t="shared" si="771"/>
        <v>0</v>
      </c>
      <c r="AE5053" s="2">
        <v>0.06</v>
      </c>
      <c r="AF5053" s="6">
        <f t="shared" si="768"/>
        <v>0</v>
      </c>
      <c r="AG5053" s="14">
        <v>0</v>
      </c>
      <c r="AH5053" s="64">
        <f t="shared" si="772"/>
        <v>0</v>
      </c>
      <c r="AI5053" s="47"/>
      <c r="AJ5053" s="126" t="e">
        <v>#N/A</v>
      </c>
      <c r="AK5053" s="80">
        <f t="shared" si="766"/>
        <v>0</v>
      </c>
      <c r="AM5053" s="85"/>
    </row>
    <row r="5054" spans="1:39" hidden="1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">
        <v>3712</v>
      </c>
      <c r="L5054" s="1" t="s">
        <v>35</v>
      </c>
      <c r="M5054" s="86"/>
      <c r="N5054" s="86" t="s">
        <v>3712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769"/>
        <v>626655.07999999996</v>
      </c>
      <c r="X5054" s="6">
        <f t="shared" si="770"/>
        <v>0</v>
      </c>
      <c r="Y5054" s="13">
        <f t="shared" si="764"/>
        <v>0</v>
      </c>
      <c r="Z5054" s="14">
        <v>0</v>
      </c>
      <c r="AA5054" s="6">
        <v>0</v>
      </c>
      <c r="AB5054" s="4">
        <f t="shared" si="765"/>
        <v>0</v>
      </c>
      <c r="AC5054" s="4">
        <f t="shared" si="767"/>
        <v>0</v>
      </c>
      <c r="AD5054" s="6">
        <f t="shared" si="771"/>
        <v>0</v>
      </c>
      <c r="AE5054" s="2">
        <v>0.06</v>
      </c>
      <c r="AF5054" s="6">
        <f t="shared" si="768"/>
        <v>0</v>
      </c>
      <c r="AG5054" s="14">
        <v>0</v>
      </c>
      <c r="AH5054" s="64">
        <f t="shared" si="772"/>
        <v>0</v>
      </c>
      <c r="AI5054" s="47"/>
      <c r="AJ5054" s="126" t="e">
        <v>#N/A</v>
      </c>
      <c r="AK5054" s="80">
        <f t="shared" si="766"/>
        <v>0</v>
      </c>
      <c r="AM5054" s="85"/>
    </row>
    <row r="5055" spans="1:39" hidden="1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769"/>
        <v>54957.919999999409</v>
      </c>
      <c r="X5055" s="6">
        <f t="shared" si="770"/>
        <v>0</v>
      </c>
      <c r="Y5055" s="13">
        <f t="shared" si="764"/>
        <v>0</v>
      </c>
      <c r="Z5055" s="14">
        <v>0</v>
      </c>
      <c r="AA5055" s="6">
        <v>0</v>
      </c>
      <c r="AB5055" s="4">
        <f t="shared" si="765"/>
        <v>0</v>
      </c>
      <c r="AC5055" s="4">
        <f t="shared" si="767"/>
        <v>0</v>
      </c>
      <c r="AD5055" s="6">
        <f t="shared" si="771"/>
        <v>0</v>
      </c>
      <c r="AE5055" s="2">
        <v>0.06</v>
      </c>
      <c r="AF5055" s="6">
        <f t="shared" si="768"/>
        <v>0</v>
      </c>
      <c r="AG5055" s="14">
        <v>0</v>
      </c>
      <c r="AH5055" s="64">
        <f t="shared" si="772"/>
        <v>0</v>
      </c>
      <c r="AI5055" s="47"/>
      <c r="AJ5055" s="126" t="e">
        <v>#N/A</v>
      </c>
      <c r="AK5055" s="80">
        <f t="shared" si="766"/>
        <v>0</v>
      </c>
      <c r="AM5055" s="85"/>
    </row>
    <row r="5056" spans="1:39" hidden="1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769"/>
        <v>493927.42999999929</v>
      </c>
      <c r="X5056" s="6">
        <f t="shared" si="770"/>
        <v>3376.9245283018872</v>
      </c>
      <c r="Y5056" s="13">
        <f t="shared" si="764"/>
        <v>0</v>
      </c>
      <c r="Z5056" s="14">
        <v>0</v>
      </c>
      <c r="AA5056" s="6">
        <v>0</v>
      </c>
      <c r="AB5056" s="4">
        <f t="shared" si="765"/>
        <v>3376.9245283018872</v>
      </c>
      <c r="AC5056" s="4">
        <f t="shared" si="767"/>
        <v>202.6154716981132</v>
      </c>
      <c r="AD5056" s="6">
        <f t="shared" si="771"/>
        <v>3579.5400000000004</v>
      </c>
      <c r="AE5056" s="2">
        <v>0.06</v>
      </c>
      <c r="AF5056" s="6">
        <f t="shared" si="768"/>
        <v>214.7724</v>
      </c>
      <c r="AG5056" s="14">
        <v>0</v>
      </c>
      <c r="AH5056" s="64">
        <f t="shared" si="772"/>
        <v>3579.5400000000004</v>
      </c>
      <c r="AI5056" s="47"/>
      <c r="AJ5056" s="126" t="e">
        <v>#N/A</v>
      </c>
      <c r="AK5056" s="80">
        <f t="shared" si="766"/>
        <v>0</v>
      </c>
      <c r="AM5056" s="85"/>
    </row>
    <row r="5057" spans="1:39" hidden="1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769"/>
        <v>0</v>
      </c>
      <c r="X5057" s="6">
        <f t="shared" si="770"/>
        <v>9790.7115384672088</v>
      </c>
      <c r="Y5057" s="13">
        <f t="shared" si="764"/>
        <v>0</v>
      </c>
      <c r="Z5057" s="14">
        <v>0</v>
      </c>
      <c r="AA5057" s="6">
        <v>0</v>
      </c>
      <c r="AB5057" s="4">
        <f t="shared" si="765"/>
        <v>9790.7115384672088</v>
      </c>
      <c r="AC5057" s="4">
        <f t="shared" si="767"/>
        <v>391.6284615386885</v>
      </c>
      <c r="AD5057" s="6">
        <f t="shared" si="771"/>
        <v>10182.340000005897</v>
      </c>
      <c r="AE5057" s="2">
        <v>0.06</v>
      </c>
      <c r="AF5057" s="6">
        <f t="shared" si="768"/>
        <v>610.94040000035386</v>
      </c>
      <c r="AG5057" s="14">
        <v>0</v>
      </c>
      <c r="AH5057" s="64">
        <f t="shared" si="772"/>
        <v>10182.340000005897</v>
      </c>
      <c r="AI5057" s="47"/>
      <c r="AJ5057" s="126" t="s">
        <v>4218</v>
      </c>
      <c r="AK5057" s="80">
        <f t="shared" si="766"/>
        <v>0</v>
      </c>
      <c r="AL5057" s="150"/>
      <c r="AM5057" s="85"/>
    </row>
    <row r="5058" spans="1:39" hidden="1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769"/>
        <v>22003.579999999951</v>
      </c>
      <c r="X5058" s="6">
        <f t="shared" si="770"/>
        <v>17324.961165048542</v>
      </c>
      <c r="Y5058" s="13">
        <f t="shared" si="764"/>
        <v>0</v>
      </c>
      <c r="Z5058" s="14">
        <v>0</v>
      </c>
      <c r="AA5058" s="6">
        <v>0</v>
      </c>
      <c r="AB5058" s="4">
        <f t="shared" si="765"/>
        <v>17324.961165048542</v>
      </c>
      <c r="AC5058" s="4">
        <f t="shared" si="767"/>
        <v>519.74883495145696</v>
      </c>
      <c r="AD5058" s="6">
        <f t="shared" si="771"/>
        <v>17844.71</v>
      </c>
      <c r="AE5058" s="2">
        <v>0.06</v>
      </c>
      <c r="AF5058" s="6">
        <f t="shared" si="768"/>
        <v>1070.6825999999999</v>
      </c>
      <c r="AG5058" s="14">
        <v>0</v>
      </c>
      <c r="AH5058" s="64">
        <f t="shared" si="772"/>
        <v>17844.71</v>
      </c>
      <c r="AI5058" s="47"/>
      <c r="AJ5058" s="126" t="e">
        <v>#N/A</v>
      </c>
      <c r="AK5058" s="80">
        <f t="shared" si="766"/>
        <v>0</v>
      </c>
      <c r="AM5058" s="85"/>
    </row>
    <row r="5059" spans="1:39" hidden="1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">
        <v>3712</v>
      </c>
      <c r="L5059" s="1" t="s">
        <v>35</v>
      </c>
      <c r="M5059" s="86"/>
      <c r="N5059" s="86" t="s">
        <v>3712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769"/>
        <v>242260.61999999976</v>
      </c>
      <c r="X5059" s="6">
        <f t="shared" si="770"/>
        <v>0</v>
      </c>
      <c r="Y5059" s="13">
        <f t="shared" ref="Y5059:Y5122" si="773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774">X5059+AA5059</f>
        <v>0</v>
      </c>
      <c r="AC5059" s="4">
        <f t="shared" si="767"/>
        <v>0</v>
      </c>
      <c r="AD5059" s="6">
        <f t="shared" si="771"/>
        <v>0</v>
      </c>
      <c r="AE5059" s="2">
        <v>0.06</v>
      </c>
      <c r="AF5059" s="6">
        <f t="shared" si="768"/>
        <v>0</v>
      </c>
      <c r="AG5059" s="14">
        <v>0</v>
      </c>
      <c r="AH5059" s="64">
        <f t="shared" si="772"/>
        <v>0</v>
      </c>
      <c r="AI5059" s="47"/>
      <c r="AJ5059" s="126" t="e">
        <v>#N/A</v>
      </c>
      <c r="AK5059" s="80">
        <f t="shared" ref="AK5059:AK5122" si="775">X5059+AA5059-AB5059</f>
        <v>0</v>
      </c>
      <c r="AM5059" s="85"/>
    </row>
    <row r="5060" spans="1:39" hidden="1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">
        <v>3712</v>
      </c>
      <c r="L5060" s="1" t="s">
        <v>35</v>
      </c>
      <c r="M5060" s="86"/>
      <c r="N5060" s="86" t="s">
        <v>3712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769"/>
        <v>4620.6899999999914</v>
      </c>
      <c r="X5060" s="6">
        <v>0</v>
      </c>
      <c r="Y5060" s="13">
        <f t="shared" si="773"/>
        <v>0</v>
      </c>
      <c r="Z5060" s="14">
        <v>0</v>
      </c>
      <c r="AA5060" s="6">
        <v>0</v>
      </c>
      <c r="AB5060" s="4">
        <f t="shared" si="774"/>
        <v>0</v>
      </c>
      <c r="AC5060" s="4">
        <f t="shared" si="767"/>
        <v>4953.59</v>
      </c>
      <c r="AD5060" s="6">
        <f t="shared" si="771"/>
        <v>4953.59</v>
      </c>
      <c r="AE5060" s="2">
        <v>0.06</v>
      </c>
      <c r="AF5060" s="6">
        <f t="shared" si="768"/>
        <v>297.21539999999999</v>
      </c>
      <c r="AG5060" s="14">
        <v>0</v>
      </c>
      <c r="AH5060" s="64">
        <f t="shared" si="772"/>
        <v>4953.59</v>
      </c>
      <c r="AI5060" s="47"/>
      <c r="AJ5060" s="126" t="e">
        <v>#N/A</v>
      </c>
      <c r="AK5060" s="80">
        <f t="shared" si="775"/>
        <v>0</v>
      </c>
      <c r="AM5060" s="85"/>
    </row>
    <row r="5061" spans="1:39" hidden="1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">
        <v>3712</v>
      </c>
      <c r="L5061" s="1" t="s">
        <v>35</v>
      </c>
      <c r="M5061" s="86"/>
      <c r="N5061" s="86" t="s">
        <v>3712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769"/>
        <v>1275.9200000000019</v>
      </c>
      <c r="X5061" s="6">
        <f t="shared" si="770"/>
        <v>0</v>
      </c>
      <c r="Y5061" s="13">
        <f t="shared" si="773"/>
        <v>0</v>
      </c>
      <c r="Z5061" s="14">
        <v>0</v>
      </c>
      <c r="AA5061" s="6">
        <v>0</v>
      </c>
      <c r="AB5061" s="4">
        <f t="shared" si="774"/>
        <v>0</v>
      </c>
      <c r="AC5061" s="4">
        <f t="shared" si="767"/>
        <v>0</v>
      </c>
      <c r="AD5061" s="6">
        <f t="shared" si="771"/>
        <v>0</v>
      </c>
      <c r="AE5061" s="2">
        <v>0.06</v>
      </c>
      <c r="AF5061" s="6">
        <f t="shared" si="768"/>
        <v>0</v>
      </c>
      <c r="AG5061" s="14">
        <v>0</v>
      </c>
      <c r="AH5061" s="64">
        <f t="shared" si="772"/>
        <v>0</v>
      </c>
      <c r="AI5061" s="47"/>
      <c r="AJ5061" s="126" t="e">
        <v>#N/A</v>
      </c>
      <c r="AK5061" s="80">
        <f t="shared" si="775"/>
        <v>0</v>
      </c>
      <c r="AM5061" s="85"/>
    </row>
    <row r="5062" spans="1:39" hidden="1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">
        <v>3712</v>
      </c>
      <c r="L5062" s="1" t="s">
        <v>35</v>
      </c>
      <c r="M5062" s="86"/>
      <c r="N5062" s="86" t="s">
        <v>3712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769"/>
        <v>13934.639999999985</v>
      </c>
      <c r="X5062" s="6">
        <f t="shared" si="770"/>
        <v>0</v>
      </c>
      <c r="Y5062" s="13">
        <f t="shared" si="773"/>
        <v>0</v>
      </c>
      <c r="Z5062" s="14">
        <v>0</v>
      </c>
      <c r="AA5062" s="6">
        <v>0</v>
      </c>
      <c r="AB5062" s="4">
        <f t="shared" si="774"/>
        <v>0</v>
      </c>
      <c r="AC5062" s="4">
        <f t="shared" si="767"/>
        <v>0</v>
      </c>
      <c r="AD5062" s="6">
        <f t="shared" si="771"/>
        <v>0</v>
      </c>
      <c r="AE5062" s="2">
        <v>0.06</v>
      </c>
      <c r="AF5062" s="6">
        <f t="shared" si="768"/>
        <v>0</v>
      </c>
      <c r="AG5062" s="14">
        <v>0</v>
      </c>
      <c r="AH5062" s="64">
        <f t="shared" si="772"/>
        <v>0</v>
      </c>
      <c r="AI5062" s="47"/>
      <c r="AJ5062" s="126" t="e">
        <v>#N/A</v>
      </c>
      <c r="AK5062" s="80">
        <f t="shared" si="775"/>
        <v>0</v>
      </c>
      <c r="AM5062" s="85"/>
    </row>
    <row r="5063" spans="1:39" hidden="1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">
        <v>3712</v>
      </c>
      <c r="L5063" s="1" t="s">
        <v>35</v>
      </c>
      <c r="M5063" s="86"/>
      <c r="N5063" s="86" t="s">
        <v>3712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769"/>
        <v>8465.4799999999941</v>
      </c>
      <c r="X5063" s="6">
        <f t="shared" si="770"/>
        <v>12172.580000000004</v>
      </c>
      <c r="Y5063" s="13">
        <f t="shared" si="773"/>
        <v>0</v>
      </c>
      <c r="Z5063" s="14">
        <v>0</v>
      </c>
      <c r="AA5063" s="6">
        <v>0</v>
      </c>
      <c r="AB5063" s="4">
        <f t="shared" si="774"/>
        <v>12172.580000000004</v>
      </c>
      <c r="AC5063" s="4">
        <f t="shared" si="767"/>
        <v>0</v>
      </c>
      <c r="AD5063" s="6">
        <f t="shared" si="771"/>
        <v>12172.580000000004</v>
      </c>
      <c r="AE5063" s="2">
        <v>0.06</v>
      </c>
      <c r="AF5063" s="6">
        <f t="shared" si="768"/>
        <v>730.35480000000018</v>
      </c>
      <c r="AG5063" s="14">
        <v>0</v>
      </c>
      <c r="AH5063" s="64">
        <f t="shared" si="772"/>
        <v>12172.580000000004</v>
      </c>
      <c r="AI5063" s="47"/>
      <c r="AJ5063" s="126" t="e">
        <v>#N/A</v>
      </c>
      <c r="AK5063" s="80">
        <f t="shared" si="775"/>
        <v>0</v>
      </c>
      <c r="AM5063" s="85"/>
    </row>
    <row r="5064" spans="1:39" hidden="1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">
        <v>3712</v>
      </c>
      <c r="L5064" s="1" t="s">
        <v>35</v>
      </c>
      <c r="M5064" s="86"/>
      <c r="N5064" s="86" t="s">
        <v>3712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769"/>
        <v>278207.93000000005</v>
      </c>
      <c r="X5064" s="6">
        <f t="shared" si="770"/>
        <v>0</v>
      </c>
      <c r="Y5064" s="13">
        <f t="shared" si="773"/>
        <v>0</v>
      </c>
      <c r="Z5064" s="14">
        <v>0</v>
      </c>
      <c r="AA5064" s="6">
        <v>0</v>
      </c>
      <c r="AB5064" s="4">
        <f t="shared" si="774"/>
        <v>0</v>
      </c>
      <c r="AC5064" s="4">
        <f t="shared" si="767"/>
        <v>0</v>
      </c>
      <c r="AD5064" s="6">
        <f t="shared" si="771"/>
        <v>0</v>
      </c>
      <c r="AE5064" s="2">
        <v>0.06</v>
      </c>
      <c r="AF5064" s="6">
        <f t="shared" si="768"/>
        <v>0</v>
      </c>
      <c r="AG5064" s="14">
        <v>0</v>
      </c>
      <c r="AH5064" s="64">
        <f t="shared" si="772"/>
        <v>0</v>
      </c>
      <c r="AI5064" s="47"/>
      <c r="AJ5064" s="126" t="e">
        <v>#N/A</v>
      </c>
      <c r="AK5064" s="80">
        <f t="shared" si="775"/>
        <v>0</v>
      </c>
      <c r="AM5064" s="85"/>
    </row>
    <row r="5065" spans="1:39" hidden="1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">
        <v>3707</v>
      </c>
      <c r="L5065" s="1" t="s">
        <v>35</v>
      </c>
      <c r="M5065" s="86"/>
      <c r="N5065" s="86" t="s">
        <v>3707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769"/>
        <v>8069.9400000008573</v>
      </c>
      <c r="X5065" s="6">
        <f>IF(P5065="折扣",V5065*Q5065,IF(P5065="返现",V5065,V5065/(1+Q5065)))-17032.05</f>
        <v>6508.5499999999956</v>
      </c>
      <c r="Y5065" s="13">
        <f t="shared" si="773"/>
        <v>0</v>
      </c>
      <c r="Z5065" s="14">
        <v>0</v>
      </c>
      <c r="AA5065" s="6">
        <v>0</v>
      </c>
      <c r="AB5065" s="4">
        <f t="shared" si="774"/>
        <v>6508.5499999999956</v>
      </c>
      <c r="AC5065" s="4">
        <f t="shared" si="767"/>
        <v>17032.05</v>
      </c>
      <c r="AD5065" s="6">
        <f t="shared" si="771"/>
        <v>23540.599999999995</v>
      </c>
      <c r="AE5065" s="2">
        <v>0.06</v>
      </c>
      <c r="AF5065" s="6">
        <f t="shared" si="768"/>
        <v>1412.4359999999997</v>
      </c>
      <c r="AG5065" s="14">
        <v>0</v>
      </c>
      <c r="AH5065" s="64">
        <f t="shared" si="772"/>
        <v>23540.599999999995</v>
      </c>
      <c r="AI5065" s="47"/>
      <c r="AJ5065" s="126" t="e">
        <v>#N/A</v>
      </c>
      <c r="AK5065" s="80">
        <f t="shared" si="775"/>
        <v>0</v>
      </c>
      <c r="AM5065" s="85"/>
    </row>
    <row r="5066" spans="1:39" hidden="1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">
        <v>3707</v>
      </c>
      <c r="L5066" s="1" t="s">
        <v>35</v>
      </c>
      <c r="M5066" s="86"/>
      <c r="N5066" s="86" t="s">
        <v>3707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769"/>
        <v>45.889999999984866</v>
      </c>
      <c r="X5066" s="6">
        <f t="shared" si="770"/>
        <v>56168.549019607854</v>
      </c>
      <c r="Y5066" s="13">
        <f t="shared" si="773"/>
        <v>0</v>
      </c>
      <c r="Z5066" s="14">
        <v>0</v>
      </c>
      <c r="AA5066" s="6">
        <v>0</v>
      </c>
      <c r="AB5066" s="4">
        <f t="shared" si="774"/>
        <v>56168.549019607854</v>
      </c>
      <c r="AC5066" s="4">
        <f t="shared" si="767"/>
        <v>1123.3709803921593</v>
      </c>
      <c r="AD5066" s="6">
        <f t="shared" si="771"/>
        <v>57291.920000000013</v>
      </c>
      <c r="AE5066" s="2">
        <v>0.06</v>
      </c>
      <c r="AF5066" s="6">
        <f t="shared" si="768"/>
        <v>3437.5152000000007</v>
      </c>
      <c r="AG5066" s="14">
        <v>0</v>
      </c>
      <c r="AH5066" s="64">
        <f t="shared" si="772"/>
        <v>57291.920000000013</v>
      </c>
      <c r="AI5066" s="47"/>
      <c r="AJ5066" s="126" t="e">
        <v>#N/A</v>
      </c>
      <c r="AK5066" s="80">
        <f t="shared" si="775"/>
        <v>0</v>
      </c>
      <c r="AM5066" s="85"/>
    </row>
    <row r="5067" spans="1:39" hidden="1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">
        <v>3712</v>
      </c>
      <c r="L5067" s="1" t="s">
        <v>35</v>
      </c>
      <c r="M5067" s="86"/>
      <c r="N5067" s="86" t="s">
        <v>3712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769"/>
        <v>147006.94999999969</v>
      </c>
      <c r="X5067" s="6">
        <f t="shared" si="770"/>
        <v>0</v>
      </c>
      <c r="Y5067" s="13">
        <f t="shared" si="773"/>
        <v>0</v>
      </c>
      <c r="Z5067" s="14">
        <v>0</v>
      </c>
      <c r="AA5067" s="6">
        <v>0</v>
      </c>
      <c r="AB5067" s="4">
        <f t="shared" si="774"/>
        <v>0</v>
      </c>
      <c r="AC5067" s="4">
        <f t="shared" si="767"/>
        <v>0</v>
      </c>
      <c r="AD5067" s="6">
        <f t="shared" si="771"/>
        <v>0</v>
      </c>
      <c r="AE5067" s="2">
        <v>0.06</v>
      </c>
      <c r="AF5067" s="6">
        <f t="shared" si="768"/>
        <v>0</v>
      </c>
      <c r="AG5067" s="14">
        <v>0</v>
      </c>
      <c r="AH5067" s="64">
        <f t="shared" si="772"/>
        <v>0</v>
      </c>
      <c r="AI5067" s="47"/>
      <c r="AJ5067" s="126" t="e">
        <v>#N/A</v>
      </c>
      <c r="AK5067" s="80">
        <f t="shared" si="775"/>
        <v>0</v>
      </c>
      <c r="AM5067" s="85"/>
    </row>
    <row r="5068" spans="1:39" hidden="1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">
        <v>3712</v>
      </c>
      <c r="L5068" s="1" t="s">
        <v>35</v>
      </c>
      <c r="M5068" s="86"/>
      <c r="N5068" s="86" t="s">
        <v>3712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769"/>
        <v>991.68000000002212</v>
      </c>
      <c r="X5068" s="6">
        <f t="shared" si="770"/>
        <v>0</v>
      </c>
      <c r="Y5068" s="13">
        <f t="shared" si="773"/>
        <v>0</v>
      </c>
      <c r="Z5068" s="14">
        <v>0</v>
      </c>
      <c r="AA5068" s="6">
        <v>0</v>
      </c>
      <c r="AB5068" s="4">
        <f t="shared" si="774"/>
        <v>0</v>
      </c>
      <c r="AC5068" s="4">
        <f t="shared" ref="AC5068:AC5131" si="776">IF(P5068="返现",X5068*Q5068,V5068-X5068)</f>
        <v>0</v>
      </c>
      <c r="AD5068" s="6">
        <f t="shared" si="771"/>
        <v>0</v>
      </c>
      <c r="AE5068" s="2">
        <v>0.06</v>
      </c>
      <c r="AF5068" s="6">
        <f t="shared" ref="AF5068:AF5131" si="777">AD5068*AE5068</f>
        <v>0</v>
      </c>
      <c r="AG5068" s="14">
        <v>0</v>
      </c>
      <c r="AH5068" s="64">
        <f t="shared" si="772"/>
        <v>0</v>
      </c>
      <c r="AI5068" s="47"/>
      <c r="AJ5068" s="126" t="e">
        <v>#N/A</v>
      </c>
      <c r="AK5068" s="80">
        <f t="shared" si="775"/>
        <v>0</v>
      </c>
      <c r="AM5068" s="85"/>
    </row>
    <row r="5069" spans="1:39" hidden="1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">
        <v>3712</v>
      </c>
      <c r="L5069" s="1" t="s">
        <v>35</v>
      </c>
      <c r="M5069" s="86"/>
      <c r="N5069" s="86" t="s">
        <v>3712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769"/>
        <v>11077.229999999978</v>
      </c>
      <c r="X5069" s="6">
        <f t="shared" si="770"/>
        <v>0</v>
      </c>
      <c r="Y5069" s="13">
        <f t="shared" si="773"/>
        <v>0</v>
      </c>
      <c r="Z5069" s="14">
        <v>0</v>
      </c>
      <c r="AA5069" s="6">
        <v>0</v>
      </c>
      <c r="AB5069" s="4">
        <f t="shared" si="774"/>
        <v>0</v>
      </c>
      <c r="AC5069" s="4">
        <f t="shared" si="776"/>
        <v>0</v>
      </c>
      <c r="AD5069" s="6">
        <f t="shared" si="771"/>
        <v>0</v>
      </c>
      <c r="AE5069" s="2">
        <v>0.06</v>
      </c>
      <c r="AF5069" s="6">
        <f t="shared" si="777"/>
        <v>0</v>
      </c>
      <c r="AG5069" s="14">
        <v>0</v>
      </c>
      <c r="AH5069" s="64">
        <f t="shared" si="772"/>
        <v>0</v>
      </c>
      <c r="AI5069" s="47"/>
      <c r="AJ5069" s="126" t="e">
        <v>#N/A</v>
      </c>
      <c r="AK5069" s="80">
        <f t="shared" si="775"/>
        <v>0</v>
      </c>
      <c r="AM5069" s="85"/>
    </row>
    <row r="5070" spans="1:39" hidden="1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">
        <v>3712</v>
      </c>
      <c r="L5070" s="1" t="s">
        <v>35</v>
      </c>
      <c r="M5070" s="86"/>
      <c r="N5070" s="86" t="s">
        <v>3712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769"/>
        <v>42453.569999999694</v>
      </c>
      <c r="X5070" s="6">
        <f t="shared" si="770"/>
        <v>0</v>
      </c>
      <c r="Y5070" s="13">
        <f t="shared" si="773"/>
        <v>0</v>
      </c>
      <c r="Z5070" s="14">
        <v>0</v>
      </c>
      <c r="AA5070" s="6">
        <v>0</v>
      </c>
      <c r="AB5070" s="4">
        <f t="shared" si="774"/>
        <v>0</v>
      </c>
      <c r="AC5070" s="4">
        <f t="shared" si="776"/>
        <v>0</v>
      </c>
      <c r="AD5070" s="6">
        <f t="shared" si="771"/>
        <v>0</v>
      </c>
      <c r="AE5070" s="2">
        <v>0.06</v>
      </c>
      <c r="AF5070" s="6">
        <f t="shared" si="777"/>
        <v>0</v>
      </c>
      <c r="AG5070" s="14">
        <v>0</v>
      </c>
      <c r="AH5070" s="64">
        <f t="shared" si="772"/>
        <v>0</v>
      </c>
      <c r="AI5070" s="47"/>
      <c r="AJ5070" s="126" t="e">
        <v>#N/A</v>
      </c>
      <c r="AK5070" s="80">
        <f t="shared" si="775"/>
        <v>0</v>
      </c>
      <c r="AM5070" s="85"/>
    </row>
    <row r="5071" spans="1:39" hidden="1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">
        <v>3707</v>
      </c>
      <c r="L5071" s="1" t="s">
        <v>35</v>
      </c>
      <c r="M5071" s="86"/>
      <c r="N5071" s="86" t="s">
        <v>3707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769"/>
        <v>1093782.2599999995</v>
      </c>
      <c r="X5071" s="6">
        <f t="shared" si="770"/>
        <v>0.75247524752475248</v>
      </c>
      <c r="Y5071" s="13">
        <f t="shared" si="773"/>
        <v>0</v>
      </c>
      <c r="Z5071" s="14">
        <v>0</v>
      </c>
      <c r="AA5071" s="6">
        <v>0</v>
      </c>
      <c r="AB5071" s="4">
        <f t="shared" si="774"/>
        <v>0.75247524752475248</v>
      </c>
      <c r="AC5071" s="4">
        <f t="shared" si="776"/>
        <v>7.5247524752475314E-3</v>
      </c>
      <c r="AD5071" s="6">
        <f t="shared" si="771"/>
        <v>0.76</v>
      </c>
      <c r="AE5071" s="2">
        <v>0.06</v>
      </c>
      <c r="AF5071" s="6">
        <f t="shared" si="777"/>
        <v>4.5600000000000002E-2</v>
      </c>
      <c r="AG5071" s="14">
        <v>0</v>
      </c>
      <c r="AH5071" s="64">
        <f t="shared" si="772"/>
        <v>0.76</v>
      </c>
      <c r="AI5071" s="47"/>
      <c r="AJ5071" s="126" t="e">
        <v>#N/A</v>
      </c>
      <c r="AK5071" s="80">
        <f t="shared" si="775"/>
        <v>0</v>
      </c>
      <c r="AM5071" s="85"/>
    </row>
    <row r="5072" spans="1:39" hidden="1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">
        <v>3712</v>
      </c>
      <c r="L5072" s="1" t="s">
        <v>35</v>
      </c>
      <c r="M5072" s="86"/>
      <c r="N5072" s="86" t="s">
        <v>3712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769"/>
        <v>36436.51</v>
      </c>
      <c r="X5072" s="6">
        <f t="shared" si="770"/>
        <v>0</v>
      </c>
      <c r="Y5072" s="13">
        <f t="shared" si="773"/>
        <v>0</v>
      </c>
      <c r="Z5072" s="14">
        <v>0</v>
      </c>
      <c r="AA5072" s="6">
        <v>0</v>
      </c>
      <c r="AB5072" s="4">
        <f t="shared" si="774"/>
        <v>0</v>
      </c>
      <c r="AC5072" s="4">
        <f t="shared" si="776"/>
        <v>0</v>
      </c>
      <c r="AD5072" s="6">
        <f t="shared" si="771"/>
        <v>0</v>
      </c>
      <c r="AE5072" s="2">
        <v>0.06</v>
      </c>
      <c r="AF5072" s="6">
        <f t="shared" si="777"/>
        <v>0</v>
      </c>
      <c r="AG5072" s="14">
        <v>0</v>
      </c>
      <c r="AH5072" s="64">
        <f t="shared" si="772"/>
        <v>0</v>
      </c>
      <c r="AI5072" s="47"/>
      <c r="AJ5072" s="126" t="e">
        <v>#N/A</v>
      </c>
      <c r="AK5072" s="80">
        <f t="shared" si="775"/>
        <v>0</v>
      </c>
      <c r="AM5072" s="85"/>
    </row>
    <row r="5073" spans="1:39" hidden="1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">
        <v>3712</v>
      </c>
      <c r="L5073" s="1" t="s">
        <v>35</v>
      </c>
      <c r="M5073" s="86"/>
      <c r="N5073" s="86" t="s">
        <v>3712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769"/>
        <v>48801.06</v>
      </c>
      <c r="X5073" s="6">
        <f t="shared" si="770"/>
        <v>0</v>
      </c>
      <c r="Y5073" s="13">
        <f t="shared" si="773"/>
        <v>0</v>
      </c>
      <c r="Z5073" s="14">
        <v>0</v>
      </c>
      <c r="AA5073" s="6">
        <v>0</v>
      </c>
      <c r="AB5073" s="4">
        <f t="shared" si="774"/>
        <v>0</v>
      </c>
      <c r="AC5073" s="4">
        <f t="shared" si="776"/>
        <v>0</v>
      </c>
      <c r="AD5073" s="6">
        <f t="shared" si="771"/>
        <v>0</v>
      </c>
      <c r="AE5073" s="2">
        <v>0.06</v>
      </c>
      <c r="AF5073" s="6">
        <f t="shared" si="777"/>
        <v>0</v>
      </c>
      <c r="AG5073" s="14">
        <v>0</v>
      </c>
      <c r="AH5073" s="64">
        <f t="shared" si="772"/>
        <v>0</v>
      </c>
      <c r="AI5073" s="47"/>
      <c r="AJ5073" s="126" t="e">
        <v>#N/A</v>
      </c>
      <c r="AK5073" s="80">
        <f t="shared" si="775"/>
        <v>0</v>
      </c>
      <c r="AM5073" s="85"/>
    </row>
    <row r="5074" spans="1:39" hidden="1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">
        <v>3712</v>
      </c>
      <c r="L5074" s="1" t="s">
        <v>35</v>
      </c>
      <c r="M5074" s="86"/>
      <c r="N5074" s="86" t="s">
        <v>3712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769"/>
        <v>190115.95</v>
      </c>
      <c r="X5074" s="6">
        <f t="shared" si="770"/>
        <v>0</v>
      </c>
      <c r="Y5074" s="13">
        <f t="shared" si="773"/>
        <v>0</v>
      </c>
      <c r="Z5074" s="14">
        <v>0</v>
      </c>
      <c r="AA5074" s="6">
        <v>0</v>
      </c>
      <c r="AB5074" s="4">
        <f t="shared" si="774"/>
        <v>0</v>
      </c>
      <c r="AC5074" s="4">
        <f t="shared" si="776"/>
        <v>0</v>
      </c>
      <c r="AD5074" s="6">
        <f t="shared" si="771"/>
        <v>0</v>
      </c>
      <c r="AE5074" s="2">
        <v>0.06</v>
      </c>
      <c r="AF5074" s="6">
        <f t="shared" si="777"/>
        <v>0</v>
      </c>
      <c r="AG5074" s="14">
        <v>0</v>
      </c>
      <c r="AH5074" s="64">
        <f t="shared" si="772"/>
        <v>0</v>
      </c>
      <c r="AI5074" s="47"/>
      <c r="AJ5074" s="126" t="e">
        <v>#N/A</v>
      </c>
      <c r="AK5074" s="80">
        <f t="shared" si="775"/>
        <v>0</v>
      </c>
      <c r="AM5074" s="85"/>
    </row>
    <row r="5075" spans="1:39" hidden="1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">
        <v>3712</v>
      </c>
      <c r="L5075" s="1" t="s">
        <v>35</v>
      </c>
      <c r="M5075" s="86"/>
      <c r="N5075" s="86" t="s">
        <v>3712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769"/>
        <v>17494.22</v>
      </c>
      <c r="X5075" s="6">
        <f t="shared" si="770"/>
        <v>0</v>
      </c>
      <c r="Y5075" s="13">
        <f t="shared" si="773"/>
        <v>0</v>
      </c>
      <c r="Z5075" s="14">
        <v>0</v>
      </c>
      <c r="AA5075" s="6">
        <v>0</v>
      </c>
      <c r="AB5075" s="4">
        <f t="shared" si="774"/>
        <v>0</v>
      </c>
      <c r="AC5075" s="4">
        <f t="shared" si="776"/>
        <v>0</v>
      </c>
      <c r="AD5075" s="6">
        <f t="shared" si="771"/>
        <v>0</v>
      </c>
      <c r="AE5075" s="2">
        <v>0.06</v>
      </c>
      <c r="AF5075" s="6">
        <f t="shared" si="777"/>
        <v>0</v>
      </c>
      <c r="AG5075" s="14">
        <v>0</v>
      </c>
      <c r="AH5075" s="64">
        <f t="shared" si="772"/>
        <v>0</v>
      </c>
      <c r="AI5075" s="47"/>
      <c r="AJ5075" s="126" t="e">
        <v>#N/A</v>
      </c>
      <c r="AK5075" s="80">
        <f t="shared" si="775"/>
        <v>0</v>
      </c>
      <c r="AM5075" s="85"/>
    </row>
    <row r="5076" spans="1:39" hidden="1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">
        <v>3712</v>
      </c>
      <c r="L5076" s="1" t="s">
        <v>35</v>
      </c>
      <c r="M5076" s="86"/>
      <c r="N5076" s="86" t="s">
        <v>3712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769"/>
        <v>60.99999999976626</v>
      </c>
      <c r="X5076" s="6">
        <f t="shared" si="770"/>
        <v>0</v>
      </c>
      <c r="Y5076" s="13">
        <f t="shared" si="773"/>
        <v>0</v>
      </c>
      <c r="Z5076" s="14">
        <v>0</v>
      </c>
      <c r="AA5076" s="6">
        <v>0</v>
      </c>
      <c r="AB5076" s="4">
        <f t="shared" si="774"/>
        <v>0</v>
      </c>
      <c r="AC5076" s="4">
        <f t="shared" si="776"/>
        <v>0</v>
      </c>
      <c r="AD5076" s="6">
        <f t="shared" si="771"/>
        <v>0</v>
      </c>
      <c r="AE5076" s="2">
        <v>0.06</v>
      </c>
      <c r="AF5076" s="6">
        <f t="shared" si="777"/>
        <v>0</v>
      </c>
      <c r="AG5076" s="14">
        <v>0</v>
      </c>
      <c r="AH5076" s="64">
        <f t="shared" si="772"/>
        <v>0</v>
      </c>
      <c r="AI5076" s="47"/>
      <c r="AJ5076" s="126" t="e">
        <v>#N/A</v>
      </c>
      <c r="AK5076" s="80">
        <f t="shared" si="775"/>
        <v>0</v>
      </c>
      <c r="AM5076" s="85"/>
    </row>
    <row r="5077" spans="1:39" hidden="1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">
        <v>3710</v>
      </c>
      <c r="L5077" s="1" t="s">
        <v>35</v>
      </c>
      <c r="M5077" s="86"/>
      <c r="N5077" s="86" t="s">
        <v>3710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769"/>
        <v>0</v>
      </c>
      <c r="X5077" s="6">
        <f t="shared" si="770"/>
        <v>20447.019607843235</v>
      </c>
      <c r="Y5077" s="13">
        <f t="shared" si="773"/>
        <v>0</v>
      </c>
      <c r="Z5077" s="14">
        <v>0</v>
      </c>
      <c r="AA5077" s="6">
        <v>0</v>
      </c>
      <c r="AB5077" s="4">
        <f t="shared" si="774"/>
        <v>20447.019607843235</v>
      </c>
      <c r="AC5077" s="4">
        <f t="shared" si="776"/>
        <v>408.94039215686644</v>
      </c>
      <c r="AD5077" s="6">
        <f t="shared" si="771"/>
        <v>20855.960000000101</v>
      </c>
      <c r="AE5077" s="2">
        <v>0.06</v>
      </c>
      <c r="AF5077" s="6">
        <f t="shared" si="777"/>
        <v>1251.357600000006</v>
      </c>
      <c r="AG5077" s="14">
        <v>0</v>
      </c>
      <c r="AH5077" s="64">
        <f t="shared" si="772"/>
        <v>20855.960000000101</v>
      </c>
      <c r="AI5077" s="47"/>
      <c r="AJ5077" s="126" t="e">
        <v>#N/A</v>
      </c>
      <c r="AK5077" s="80">
        <f t="shared" si="775"/>
        <v>0</v>
      </c>
      <c r="AM5077" s="85"/>
    </row>
    <row r="5078" spans="1:39" hidden="1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">
        <v>3712</v>
      </c>
      <c r="L5078" s="1" t="s">
        <v>35</v>
      </c>
      <c r="M5078" s="86"/>
      <c r="N5078" s="86" t="s">
        <v>3712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769"/>
        <v>917.43000000001666</v>
      </c>
      <c r="X5078" s="6">
        <f t="shared" si="770"/>
        <v>0</v>
      </c>
      <c r="Y5078" s="13">
        <f t="shared" si="773"/>
        <v>0</v>
      </c>
      <c r="Z5078" s="14">
        <v>0</v>
      </c>
      <c r="AA5078" s="6">
        <v>0</v>
      </c>
      <c r="AB5078" s="4">
        <f t="shared" si="774"/>
        <v>0</v>
      </c>
      <c r="AC5078" s="4">
        <f t="shared" si="776"/>
        <v>0</v>
      </c>
      <c r="AD5078" s="6">
        <f t="shared" si="771"/>
        <v>0</v>
      </c>
      <c r="AE5078" s="2">
        <v>0.06</v>
      </c>
      <c r="AF5078" s="6">
        <f t="shared" si="777"/>
        <v>0</v>
      </c>
      <c r="AG5078" s="14">
        <v>0</v>
      </c>
      <c r="AH5078" s="64">
        <f t="shared" si="772"/>
        <v>0</v>
      </c>
      <c r="AI5078" s="47"/>
      <c r="AJ5078" s="126" t="e">
        <v>#N/A</v>
      </c>
      <c r="AK5078" s="80">
        <f t="shared" si="775"/>
        <v>0</v>
      </c>
      <c r="AM5078" s="85"/>
    </row>
    <row r="5079" spans="1:39" hidden="1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769"/>
        <v>21239.69999999979</v>
      </c>
      <c r="X5079" s="6">
        <f t="shared" si="770"/>
        <v>17522.592233009709</v>
      </c>
      <c r="Y5079" s="13">
        <f t="shared" si="773"/>
        <v>0</v>
      </c>
      <c r="Z5079" s="14">
        <v>0</v>
      </c>
      <c r="AA5079" s="6">
        <v>0</v>
      </c>
      <c r="AB5079" s="4">
        <f t="shared" si="774"/>
        <v>17522.592233009709</v>
      </c>
      <c r="AC5079" s="4">
        <f t="shared" si="776"/>
        <v>525.67776699029127</v>
      </c>
      <c r="AD5079" s="6">
        <f t="shared" si="771"/>
        <v>18048.27</v>
      </c>
      <c r="AE5079" s="2">
        <v>0.06</v>
      </c>
      <c r="AF5079" s="6">
        <f t="shared" si="777"/>
        <v>1082.8961999999999</v>
      </c>
      <c r="AG5079" s="14">
        <v>0</v>
      </c>
      <c r="AH5079" s="64">
        <f t="shared" si="772"/>
        <v>18048.27</v>
      </c>
      <c r="AI5079" s="47"/>
      <c r="AJ5079" s="126" t="e">
        <v>#N/A</v>
      </c>
      <c r="AK5079" s="80">
        <f t="shared" si="775"/>
        <v>0</v>
      </c>
      <c r="AM5079" s="85"/>
    </row>
    <row r="5080" spans="1:39" hidden="1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">
        <v>3712</v>
      </c>
      <c r="L5080" s="1" t="s">
        <v>35</v>
      </c>
      <c r="M5080" s="86"/>
      <c r="N5080" s="86" t="s">
        <v>3712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769"/>
        <v>1864.210000000021</v>
      </c>
      <c r="X5080" s="6">
        <f t="shared" si="770"/>
        <v>0</v>
      </c>
      <c r="Y5080" s="13">
        <f t="shared" si="773"/>
        <v>0</v>
      </c>
      <c r="Z5080" s="14">
        <v>0</v>
      </c>
      <c r="AA5080" s="6">
        <v>0</v>
      </c>
      <c r="AB5080" s="4">
        <f t="shared" si="774"/>
        <v>0</v>
      </c>
      <c r="AC5080" s="4">
        <f t="shared" si="776"/>
        <v>0</v>
      </c>
      <c r="AD5080" s="6">
        <f t="shared" si="771"/>
        <v>0</v>
      </c>
      <c r="AE5080" s="2">
        <v>0.06</v>
      </c>
      <c r="AF5080" s="6">
        <f t="shared" si="777"/>
        <v>0</v>
      </c>
      <c r="AG5080" s="14">
        <v>0</v>
      </c>
      <c r="AH5080" s="64">
        <f t="shared" si="772"/>
        <v>0</v>
      </c>
      <c r="AI5080" s="47"/>
      <c r="AJ5080" s="126" t="e">
        <v>#N/A</v>
      </c>
      <c r="AK5080" s="80">
        <f t="shared" si="775"/>
        <v>0</v>
      </c>
      <c r="AM5080" s="85"/>
    </row>
    <row r="5081" spans="1:39" hidden="1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">
        <v>3712</v>
      </c>
      <c r="L5081" s="1" t="s">
        <v>35</v>
      </c>
      <c r="M5081" s="86"/>
      <c r="N5081" s="86" t="s">
        <v>3712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769"/>
        <v>11757.100000000022</v>
      </c>
      <c r="X5081" s="6">
        <f t="shared" si="770"/>
        <v>0</v>
      </c>
      <c r="Y5081" s="13">
        <f t="shared" si="773"/>
        <v>0</v>
      </c>
      <c r="Z5081" s="14">
        <v>0</v>
      </c>
      <c r="AA5081" s="6">
        <v>0</v>
      </c>
      <c r="AB5081" s="4">
        <f t="shared" si="774"/>
        <v>0</v>
      </c>
      <c r="AC5081" s="4">
        <f t="shared" si="776"/>
        <v>0</v>
      </c>
      <c r="AD5081" s="6">
        <f t="shared" si="771"/>
        <v>0</v>
      </c>
      <c r="AE5081" s="2">
        <v>0.06</v>
      </c>
      <c r="AF5081" s="6">
        <f t="shared" si="777"/>
        <v>0</v>
      </c>
      <c r="AG5081" s="14">
        <v>0</v>
      </c>
      <c r="AH5081" s="64">
        <f t="shared" si="772"/>
        <v>0</v>
      </c>
      <c r="AI5081" s="47"/>
      <c r="AJ5081" s="126" t="e">
        <v>#N/A</v>
      </c>
      <c r="AK5081" s="80">
        <f t="shared" si="775"/>
        <v>0</v>
      </c>
      <c r="AM5081" s="85"/>
    </row>
    <row r="5082" spans="1:39" hidden="1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769"/>
        <v>19827.220000000005</v>
      </c>
      <c r="X5082" s="6">
        <f t="shared" si="770"/>
        <v>2877.6476190476192</v>
      </c>
      <c r="Y5082" s="13">
        <f t="shared" si="773"/>
        <v>0</v>
      </c>
      <c r="Z5082" s="14">
        <v>0</v>
      </c>
      <c r="AA5082" s="6">
        <v>0</v>
      </c>
      <c r="AB5082" s="4">
        <f t="shared" si="774"/>
        <v>2877.6476190476192</v>
      </c>
      <c r="AC5082" s="4">
        <f t="shared" si="776"/>
        <v>143.88238095238103</v>
      </c>
      <c r="AD5082" s="6">
        <f t="shared" si="771"/>
        <v>3021.53</v>
      </c>
      <c r="AE5082" s="2">
        <v>0.06</v>
      </c>
      <c r="AF5082" s="6">
        <f t="shared" si="777"/>
        <v>181.29179999999999</v>
      </c>
      <c r="AG5082" s="14">
        <v>0</v>
      </c>
      <c r="AH5082" s="64">
        <f t="shared" si="772"/>
        <v>3021.53</v>
      </c>
      <c r="AI5082" s="47"/>
      <c r="AJ5082" s="126" t="e">
        <v>#N/A</v>
      </c>
      <c r="AK5082" s="80">
        <f t="shared" si="775"/>
        <v>0</v>
      </c>
      <c r="AM5082" s="85"/>
    </row>
    <row r="5083" spans="1:39" hidden="1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">
        <v>3712</v>
      </c>
      <c r="L5083" s="1" t="s">
        <v>35</v>
      </c>
      <c r="M5083" s="86"/>
      <c r="N5083" s="86" t="s">
        <v>3712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769"/>
        <v>8919.66</v>
      </c>
      <c r="X5083" s="6">
        <f t="shared" si="770"/>
        <v>0</v>
      </c>
      <c r="Y5083" s="13">
        <f t="shared" si="773"/>
        <v>0</v>
      </c>
      <c r="Z5083" s="14">
        <v>0</v>
      </c>
      <c r="AA5083" s="6">
        <v>0</v>
      </c>
      <c r="AB5083" s="4">
        <f t="shared" si="774"/>
        <v>0</v>
      </c>
      <c r="AC5083" s="4">
        <f t="shared" si="776"/>
        <v>0</v>
      </c>
      <c r="AD5083" s="6">
        <f t="shared" si="771"/>
        <v>0</v>
      </c>
      <c r="AE5083" s="2">
        <v>0.06</v>
      </c>
      <c r="AF5083" s="6">
        <f t="shared" si="777"/>
        <v>0</v>
      </c>
      <c r="AG5083" s="14">
        <v>0</v>
      </c>
      <c r="AH5083" s="64">
        <f t="shared" si="772"/>
        <v>0</v>
      </c>
      <c r="AI5083" s="47"/>
      <c r="AJ5083" s="126" t="e">
        <v>#N/A</v>
      </c>
      <c r="AK5083" s="80">
        <f t="shared" si="775"/>
        <v>0</v>
      </c>
      <c r="AM5083" s="85"/>
    </row>
    <row r="5084" spans="1:39" hidden="1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">
        <v>3712</v>
      </c>
      <c r="L5084" s="1" t="s">
        <v>35</v>
      </c>
      <c r="M5084" s="86"/>
      <c r="N5084" s="86" t="s">
        <v>3712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769"/>
        <v>6840.6500000000015</v>
      </c>
      <c r="X5084" s="6">
        <f t="shared" si="770"/>
        <v>0</v>
      </c>
      <c r="Y5084" s="13">
        <f t="shared" si="773"/>
        <v>0</v>
      </c>
      <c r="Z5084" s="14">
        <v>0</v>
      </c>
      <c r="AA5084" s="6">
        <v>0</v>
      </c>
      <c r="AB5084" s="4">
        <f t="shared" si="774"/>
        <v>0</v>
      </c>
      <c r="AC5084" s="4">
        <f t="shared" si="776"/>
        <v>0</v>
      </c>
      <c r="AD5084" s="6">
        <f t="shared" si="771"/>
        <v>0</v>
      </c>
      <c r="AE5084" s="2">
        <v>0.06</v>
      </c>
      <c r="AF5084" s="6">
        <f t="shared" si="777"/>
        <v>0</v>
      </c>
      <c r="AG5084" s="14">
        <v>0</v>
      </c>
      <c r="AH5084" s="64">
        <f t="shared" si="772"/>
        <v>0</v>
      </c>
      <c r="AI5084" s="47"/>
      <c r="AJ5084" s="126" t="e">
        <v>#N/A</v>
      </c>
      <c r="AK5084" s="80">
        <f t="shared" si="775"/>
        <v>0</v>
      </c>
      <c r="AM5084" s="85"/>
    </row>
    <row r="5085" spans="1:39" hidden="1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">
        <v>3712</v>
      </c>
      <c r="L5085" s="1" t="s">
        <v>35</v>
      </c>
      <c r="M5085" s="86"/>
      <c r="N5085" s="86" t="s">
        <v>3712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769"/>
        <v>52722.929999999978</v>
      </c>
      <c r="X5085" s="6">
        <f t="shared" si="770"/>
        <v>0</v>
      </c>
      <c r="Y5085" s="13">
        <f t="shared" si="773"/>
        <v>0</v>
      </c>
      <c r="Z5085" s="14">
        <v>0</v>
      </c>
      <c r="AA5085" s="6">
        <v>0</v>
      </c>
      <c r="AB5085" s="4">
        <f t="shared" si="774"/>
        <v>0</v>
      </c>
      <c r="AC5085" s="4">
        <f t="shared" si="776"/>
        <v>0</v>
      </c>
      <c r="AD5085" s="6">
        <f t="shared" si="771"/>
        <v>0</v>
      </c>
      <c r="AE5085" s="2">
        <v>0.06</v>
      </c>
      <c r="AF5085" s="6">
        <f t="shared" si="777"/>
        <v>0</v>
      </c>
      <c r="AG5085" s="14">
        <v>0</v>
      </c>
      <c r="AH5085" s="64">
        <f t="shared" si="772"/>
        <v>0</v>
      </c>
      <c r="AI5085" s="47"/>
      <c r="AJ5085" s="126" t="e">
        <v>#N/A</v>
      </c>
      <c r="AK5085" s="80">
        <f t="shared" si="775"/>
        <v>0</v>
      </c>
      <c r="AM5085" s="85"/>
    </row>
    <row r="5086" spans="1:39" hidden="1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">
        <v>3712</v>
      </c>
      <c r="L5086" s="1" t="s">
        <v>35</v>
      </c>
      <c r="M5086" s="86"/>
      <c r="N5086" s="86" t="s">
        <v>3712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769"/>
        <v>3138.33</v>
      </c>
      <c r="X5086" s="6">
        <f t="shared" si="770"/>
        <v>0</v>
      </c>
      <c r="Y5086" s="13">
        <f t="shared" si="773"/>
        <v>0</v>
      </c>
      <c r="Z5086" s="14">
        <v>0</v>
      </c>
      <c r="AA5086" s="6">
        <v>0</v>
      </c>
      <c r="AB5086" s="4">
        <f t="shared" si="774"/>
        <v>0</v>
      </c>
      <c r="AC5086" s="4">
        <f t="shared" si="776"/>
        <v>0</v>
      </c>
      <c r="AD5086" s="6">
        <f t="shared" si="771"/>
        <v>0</v>
      </c>
      <c r="AE5086" s="2">
        <v>0.06</v>
      </c>
      <c r="AF5086" s="6">
        <f t="shared" si="777"/>
        <v>0</v>
      </c>
      <c r="AG5086" s="14">
        <v>0</v>
      </c>
      <c r="AH5086" s="64">
        <f t="shared" si="772"/>
        <v>0</v>
      </c>
      <c r="AI5086" s="47"/>
      <c r="AJ5086" s="126" t="e">
        <v>#N/A</v>
      </c>
      <c r="AK5086" s="80">
        <f t="shared" si="775"/>
        <v>0</v>
      </c>
      <c r="AM5086" s="85"/>
    </row>
    <row r="5087" spans="1:39" hidden="1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">
        <v>3712</v>
      </c>
      <c r="L5087" s="1" t="s">
        <v>35</v>
      </c>
      <c r="M5087" s="86"/>
      <c r="N5087" s="86" t="s">
        <v>3712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769"/>
        <v>0.1000000000349246</v>
      </c>
      <c r="X5087" s="6">
        <f t="shared" si="770"/>
        <v>0</v>
      </c>
      <c r="Y5087" s="13">
        <f t="shared" si="773"/>
        <v>0</v>
      </c>
      <c r="Z5087" s="14">
        <v>0</v>
      </c>
      <c r="AA5087" s="6">
        <v>0</v>
      </c>
      <c r="AB5087" s="4">
        <f t="shared" si="774"/>
        <v>0</v>
      </c>
      <c r="AC5087" s="4">
        <f t="shared" si="776"/>
        <v>0</v>
      </c>
      <c r="AD5087" s="6">
        <f t="shared" si="771"/>
        <v>0</v>
      </c>
      <c r="AE5087" s="2">
        <v>0.06</v>
      </c>
      <c r="AF5087" s="6">
        <f t="shared" si="777"/>
        <v>0</v>
      </c>
      <c r="AG5087" s="14">
        <v>0</v>
      </c>
      <c r="AH5087" s="64">
        <f t="shared" si="772"/>
        <v>0</v>
      </c>
      <c r="AI5087" s="47"/>
      <c r="AJ5087" s="126" t="e">
        <v>#N/A</v>
      </c>
      <c r="AK5087" s="80">
        <f t="shared" si="775"/>
        <v>0</v>
      </c>
      <c r="AM5087" s="85"/>
    </row>
    <row r="5088" spans="1:39" hidden="1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">
        <v>3712</v>
      </c>
      <c r="L5088" s="1" t="s">
        <v>35</v>
      </c>
      <c r="M5088" s="86"/>
      <c r="N5088" s="86" t="s">
        <v>3712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769"/>
        <v>468.08000000000175</v>
      </c>
      <c r="X5088" s="6">
        <f t="shared" si="770"/>
        <v>0</v>
      </c>
      <c r="Y5088" s="13">
        <f t="shared" si="773"/>
        <v>0</v>
      </c>
      <c r="Z5088" s="14">
        <v>0</v>
      </c>
      <c r="AA5088" s="6">
        <v>0</v>
      </c>
      <c r="AB5088" s="4"/>
      <c r="AC5088" s="4">
        <f t="shared" si="776"/>
        <v>0</v>
      </c>
      <c r="AD5088" s="6">
        <f t="shared" si="771"/>
        <v>0</v>
      </c>
      <c r="AE5088" s="2">
        <v>0.06</v>
      </c>
      <c r="AF5088" s="6">
        <f t="shared" si="777"/>
        <v>0</v>
      </c>
      <c r="AG5088" s="14">
        <v>0</v>
      </c>
      <c r="AH5088" s="64">
        <f t="shared" si="772"/>
        <v>0</v>
      </c>
      <c r="AI5088" s="47"/>
      <c r="AJ5088" s="126">
        <v>95</v>
      </c>
      <c r="AK5088" s="80">
        <f t="shared" si="775"/>
        <v>0</v>
      </c>
      <c r="AM5088" s="85"/>
    </row>
    <row r="5089" spans="1:39" hidden="1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">
        <v>3712</v>
      </c>
      <c r="L5089" s="1" t="s">
        <v>35</v>
      </c>
      <c r="M5089" s="86"/>
      <c r="N5089" s="86" t="s">
        <v>3712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769"/>
        <v>16146.760000000018</v>
      </c>
      <c r="X5089" s="6">
        <f t="shared" si="770"/>
        <v>0</v>
      </c>
      <c r="Y5089" s="13">
        <f t="shared" si="773"/>
        <v>0</v>
      </c>
      <c r="Z5089" s="14">
        <v>0</v>
      </c>
      <c r="AA5089" s="6">
        <v>0</v>
      </c>
      <c r="AB5089" s="4">
        <f t="shared" si="774"/>
        <v>0</v>
      </c>
      <c r="AC5089" s="4">
        <f t="shared" si="776"/>
        <v>0</v>
      </c>
      <c r="AD5089" s="6">
        <f t="shared" si="771"/>
        <v>0</v>
      </c>
      <c r="AE5089" s="2">
        <v>0.06</v>
      </c>
      <c r="AF5089" s="6">
        <f t="shared" si="777"/>
        <v>0</v>
      </c>
      <c r="AG5089" s="14">
        <v>0</v>
      </c>
      <c r="AH5089" s="64">
        <f t="shared" si="772"/>
        <v>0</v>
      </c>
      <c r="AI5089" s="47"/>
      <c r="AJ5089" s="126" t="e">
        <v>#N/A</v>
      </c>
      <c r="AK5089" s="80">
        <f t="shared" si="775"/>
        <v>0</v>
      </c>
      <c r="AM5089" s="85"/>
    </row>
    <row r="5090" spans="1:39" hidden="1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">
        <v>3712</v>
      </c>
      <c r="L5090" s="1" t="s">
        <v>35</v>
      </c>
      <c r="M5090" s="86"/>
      <c r="N5090" s="86" t="s">
        <v>3712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769"/>
        <v>25609.800000000287</v>
      </c>
      <c r="X5090" s="6">
        <f t="shared" si="770"/>
        <v>0</v>
      </c>
      <c r="Y5090" s="13">
        <f t="shared" si="773"/>
        <v>0</v>
      </c>
      <c r="Z5090" s="14">
        <v>0</v>
      </c>
      <c r="AA5090" s="6">
        <v>0</v>
      </c>
      <c r="AB5090" s="4">
        <f t="shared" si="774"/>
        <v>0</v>
      </c>
      <c r="AC5090" s="4">
        <f t="shared" si="776"/>
        <v>0</v>
      </c>
      <c r="AD5090" s="6">
        <f t="shared" si="771"/>
        <v>0</v>
      </c>
      <c r="AE5090" s="2">
        <v>0.06</v>
      </c>
      <c r="AF5090" s="6">
        <f t="shared" si="777"/>
        <v>0</v>
      </c>
      <c r="AG5090" s="14">
        <v>0</v>
      </c>
      <c r="AH5090" s="64">
        <f t="shared" si="772"/>
        <v>0</v>
      </c>
      <c r="AI5090" s="47"/>
      <c r="AJ5090" s="126" t="e">
        <v>#N/A</v>
      </c>
      <c r="AK5090" s="80">
        <f t="shared" si="775"/>
        <v>0</v>
      </c>
      <c r="AM5090" s="85"/>
    </row>
    <row r="5091" spans="1:39" hidden="1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">
        <v>3712</v>
      </c>
      <c r="L5091" s="1" t="s">
        <v>35</v>
      </c>
      <c r="M5091" s="86"/>
      <c r="N5091" s="86" t="s">
        <v>3712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769"/>
        <v>6946.6599999999698</v>
      </c>
      <c r="X5091" s="6">
        <f t="shared" si="770"/>
        <v>0</v>
      </c>
      <c r="Y5091" s="13">
        <f t="shared" si="773"/>
        <v>0</v>
      </c>
      <c r="Z5091" s="14">
        <v>0</v>
      </c>
      <c r="AA5091" s="6">
        <v>0</v>
      </c>
      <c r="AB5091" s="4">
        <f t="shared" si="774"/>
        <v>0</v>
      </c>
      <c r="AC5091" s="4">
        <f t="shared" si="776"/>
        <v>0</v>
      </c>
      <c r="AD5091" s="6">
        <f t="shared" si="771"/>
        <v>0</v>
      </c>
      <c r="AE5091" s="2">
        <v>0.06</v>
      </c>
      <c r="AF5091" s="6">
        <f t="shared" si="777"/>
        <v>0</v>
      </c>
      <c r="AG5091" s="14">
        <v>0</v>
      </c>
      <c r="AH5091" s="64">
        <f t="shared" si="772"/>
        <v>0</v>
      </c>
      <c r="AI5091" s="47"/>
      <c r="AJ5091" s="126" t="e">
        <v>#N/A</v>
      </c>
      <c r="AK5091" s="80">
        <f t="shared" si="775"/>
        <v>0</v>
      </c>
      <c r="AM5091" s="85"/>
    </row>
    <row r="5092" spans="1:39" hidden="1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">
        <v>3712</v>
      </c>
      <c r="L5092" s="1" t="s">
        <v>35</v>
      </c>
      <c r="M5092" s="86"/>
      <c r="N5092" s="86" t="s">
        <v>3712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769"/>
        <v>53361.72</v>
      </c>
      <c r="X5092" s="6">
        <f t="shared" si="770"/>
        <v>0</v>
      </c>
      <c r="Y5092" s="13">
        <f t="shared" si="773"/>
        <v>0</v>
      </c>
      <c r="Z5092" s="14">
        <v>0</v>
      </c>
      <c r="AA5092" s="6">
        <v>0</v>
      </c>
      <c r="AB5092" s="4">
        <f t="shared" si="774"/>
        <v>0</v>
      </c>
      <c r="AC5092" s="4">
        <f t="shared" si="776"/>
        <v>0</v>
      </c>
      <c r="AD5092" s="6">
        <f t="shared" si="771"/>
        <v>0</v>
      </c>
      <c r="AE5092" s="2">
        <v>0.06</v>
      </c>
      <c r="AF5092" s="6">
        <f t="shared" si="777"/>
        <v>0</v>
      </c>
      <c r="AG5092" s="14">
        <v>0</v>
      </c>
      <c r="AH5092" s="64">
        <f t="shared" si="772"/>
        <v>0</v>
      </c>
      <c r="AI5092" s="47"/>
      <c r="AJ5092" s="126" t="e">
        <v>#N/A</v>
      </c>
      <c r="AK5092" s="80">
        <f t="shared" si="775"/>
        <v>0</v>
      </c>
      <c r="AM5092" s="85"/>
    </row>
    <row r="5093" spans="1:39" hidden="1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">
        <v>3712</v>
      </c>
      <c r="L5093" s="1" t="s">
        <v>35</v>
      </c>
      <c r="M5093" s="86"/>
      <c r="N5093" s="86" t="s">
        <v>3712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769"/>
        <v>1889.01999999999</v>
      </c>
      <c r="X5093" s="6">
        <f t="shared" si="770"/>
        <v>0</v>
      </c>
      <c r="Y5093" s="13">
        <f t="shared" si="773"/>
        <v>0</v>
      </c>
      <c r="Z5093" s="14">
        <v>0</v>
      </c>
      <c r="AA5093" s="6">
        <v>0</v>
      </c>
      <c r="AB5093" s="4">
        <f t="shared" si="774"/>
        <v>0</v>
      </c>
      <c r="AC5093" s="4">
        <f t="shared" si="776"/>
        <v>0</v>
      </c>
      <c r="AD5093" s="6">
        <f t="shared" si="771"/>
        <v>0</v>
      </c>
      <c r="AE5093" s="2">
        <v>0.06</v>
      </c>
      <c r="AF5093" s="6">
        <f t="shared" si="777"/>
        <v>0</v>
      </c>
      <c r="AG5093" s="14">
        <v>0</v>
      </c>
      <c r="AH5093" s="64">
        <f t="shared" si="772"/>
        <v>0</v>
      </c>
      <c r="AI5093" s="47"/>
      <c r="AJ5093" s="126" t="e">
        <v>#N/A</v>
      </c>
      <c r="AK5093" s="80">
        <f t="shared" si="775"/>
        <v>0</v>
      </c>
      <c r="AM5093" s="85"/>
    </row>
    <row r="5094" spans="1:39" hidden="1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">
        <v>3712</v>
      </c>
      <c r="L5094" s="1" t="s">
        <v>35</v>
      </c>
      <c r="M5094" s="86"/>
      <c r="N5094" s="86" t="s">
        <v>3712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769"/>
        <v>11492.549999999996</v>
      </c>
      <c r="X5094" s="6">
        <f t="shared" si="770"/>
        <v>0</v>
      </c>
      <c r="Y5094" s="13">
        <f t="shared" si="773"/>
        <v>0</v>
      </c>
      <c r="Z5094" s="14">
        <v>0</v>
      </c>
      <c r="AA5094" s="6">
        <v>0</v>
      </c>
      <c r="AB5094" s="4">
        <f t="shared" si="774"/>
        <v>0</v>
      </c>
      <c r="AC5094" s="4">
        <f t="shared" si="776"/>
        <v>0</v>
      </c>
      <c r="AD5094" s="6">
        <f t="shared" si="771"/>
        <v>0</v>
      </c>
      <c r="AE5094" s="2">
        <v>0.06</v>
      </c>
      <c r="AF5094" s="6">
        <f t="shared" si="777"/>
        <v>0</v>
      </c>
      <c r="AG5094" s="14">
        <v>0</v>
      </c>
      <c r="AH5094" s="64">
        <f t="shared" si="772"/>
        <v>0</v>
      </c>
      <c r="AI5094" s="47"/>
      <c r="AJ5094" s="126" t="e">
        <v>#N/A</v>
      </c>
      <c r="AK5094" s="80">
        <f t="shared" si="775"/>
        <v>0</v>
      </c>
      <c r="AM5094" s="85"/>
    </row>
    <row r="5095" spans="1:39" hidden="1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">
        <v>3712</v>
      </c>
      <c r="L5095" s="1" t="s">
        <v>35</v>
      </c>
      <c r="M5095" s="86"/>
      <c r="N5095" s="86" t="s">
        <v>3712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769"/>
        <v>0.60999999998603005</v>
      </c>
      <c r="X5095" s="6">
        <f t="shared" si="770"/>
        <v>0</v>
      </c>
      <c r="Y5095" s="13">
        <f t="shared" si="773"/>
        <v>0</v>
      </c>
      <c r="Z5095" s="14">
        <v>0</v>
      </c>
      <c r="AA5095" s="6">
        <v>0</v>
      </c>
      <c r="AB5095" s="4">
        <f t="shared" si="774"/>
        <v>0</v>
      </c>
      <c r="AC5095" s="4">
        <f t="shared" si="776"/>
        <v>0</v>
      </c>
      <c r="AD5095" s="6">
        <f t="shared" si="771"/>
        <v>0</v>
      </c>
      <c r="AE5095" s="2">
        <v>0.06</v>
      </c>
      <c r="AF5095" s="6">
        <f t="shared" si="777"/>
        <v>0</v>
      </c>
      <c r="AG5095" s="14">
        <v>0</v>
      </c>
      <c r="AH5095" s="64">
        <f t="shared" si="772"/>
        <v>0</v>
      </c>
      <c r="AI5095" s="47"/>
      <c r="AJ5095" s="126" t="e">
        <v>#N/A</v>
      </c>
      <c r="AK5095" s="80">
        <f t="shared" si="775"/>
        <v>0</v>
      </c>
      <c r="AM5095" s="85"/>
    </row>
    <row r="5096" spans="1:39" hidden="1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">
        <v>3712</v>
      </c>
      <c r="L5096" s="1" t="s">
        <v>35</v>
      </c>
      <c r="M5096" s="86"/>
      <c r="N5096" s="86" t="s">
        <v>3712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769"/>
        <v>46636.04</v>
      </c>
      <c r="X5096" s="6">
        <f t="shared" si="770"/>
        <v>0</v>
      </c>
      <c r="Y5096" s="13">
        <f t="shared" si="773"/>
        <v>0</v>
      </c>
      <c r="Z5096" s="14">
        <v>0</v>
      </c>
      <c r="AA5096" s="6">
        <v>0</v>
      </c>
      <c r="AB5096" s="4">
        <f t="shared" si="774"/>
        <v>0</v>
      </c>
      <c r="AC5096" s="4">
        <f t="shared" si="776"/>
        <v>0</v>
      </c>
      <c r="AD5096" s="6">
        <f t="shared" si="771"/>
        <v>0</v>
      </c>
      <c r="AE5096" s="2">
        <v>0.06</v>
      </c>
      <c r="AF5096" s="6">
        <f t="shared" si="777"/>
        <v>0</v>
      </c>
      <c r="AG5096" s="14">
        <v>0</v>
      </c>
      <c r="AH5096" s="64">
        <f t="shared" si="772"/>
        <v>0</v>
      </c>
      <c r="AI5096" s="47"/>
      <c r="AJ5096" s="126" t="e">
        <v>#N/A</v>
      </c>
      <c r="AK5096" s="80">
        <f t="shared" si="775"/>
        <v>0</v>
      </c>
      <c r="AM5096" s="85"/>
    </row>
    <row r="5097" spans="1:39" hidden="1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">
        <v>3712</v>
      </c>
      <c r="L5097" s="1" t="s">
        <v>35</v>
      </c>
      <c r="M5097" s="86"/>
      <c r="N5097" s="86" t="s">
        <v>3712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769"/>
        <v>21919.17</v>
      </c>
      <c r="X5097" s="6">
        <f t="shared" si="770"/>
        <v>0</v>
      </c>
      <c r="Y5097" s="13">
        <f t="shared" si="773"/>
        <v>0</v>
      </c>
      <c r="Z5097" s="14">
        <v>0</v>
      </c>
      <c r="AA5097" s="6">
        <v>0</v>
      </c>
      <c r="AB5097" s="4">
        <f t="shared" si="774"/>
        <v>0</v>
      </c>
      <c r="AC5097" s="4">
        <f t="shared" si="776"/>
        <v>0</v>
      </c>
      <c r="AD5097" s="6">
        <f t="shared" si="771"/>
        <v>0</v>
      </c>
      <c r="AE5097" s="2">
        <v>0.06</v>
      </c>
      <c r="AF5097" s="6">
        <f t="shared" si="777"/>
        <v>0</v>
      </c>
      <c r="AG5097" s="14">
        <v>0</v>
      </c>
      <c r="AH5097" s="64">
        <f t="shared" si="772"/>
        <v>0</v>
      </c>
      <c r="AI5097" s="47"/>
      <c r="AJ5097" s="126" t="e">
        <v>#N/A</v>
      </c>
      <c r="AK5097" s="80">
        <f t="shared" si="775"/>
        <v>0</v>
      </c>
      <c r="AM5097" s="85"/>
    </row>
    <row r="5098" spans="1:39" hidden="1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">
        <v>3712</v>
      </c>
      <c r="L5098" s="1" t="s">
        <v>35</v>
      </c>
      <c r="M5098" s="86"/>
      <c r="N5098" s="86" t="s">
        <v>3712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769"/>
        <v>18345.28</v>
      </c>
      <c r="X5098" s="6">
        <f t="shared" si="770"/>
        <v>0</v>
      </c>
      <c r="Y5098" s="13">
        <f t="shared" si="773"/>
        <v>0</v>
      </c>
      <c r="Z5098" s="14">
        <v>0</v>
      </c>
      <c r="AA5098" s="6">
        <v>0</v>
      </c>
      <c r="AB5098" s="4">
        <f t="shared" si="774"/>
        <v>0</v>
      </c>
      <c r="AC5098" s="4">
        <f t="shared" si="776"/>
        <v>0</v>
      </c>
      <c r="AD5098" s="6">
        <f t="shared" si="771"/>
        <v>0</v>
      </c>
      <c r="AE5098" s="2">
        <v>0.06</v>
      </c>
      <c r="AF5098" s="6">
        <f t="shared" si="777"/>
        <v>0</v>
      </c>
      <c r="AG5098" s="14">
        <v>0</v>
      </c>
      <c r="AH5098" s="64">
        <f t="shared" si="772"/>
        <v>0</v>
      </c>
      <c r="AI5098" s="47"/>
      <c r="AJ5098" s="126" t="e">
        <v>#N/A</v>
      </c>
      <c r="AK5098" s="80">
        <f t="shared" si="775"/>
        <v>0</v>
      </c>
      <c r="AM5098" s="85"/>
    </row>
    <row r="5099" spans="1:39" hidden="1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">
        <v>3712</v>
      </c>
      <c r="L5099" s="1" t="s">
        <v>35</v>
      </c>
      <c r="M5099" s="86"/>
      <c r="N5099" s="86" t="s">
        <v>3712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769"/>
        <v>68719.03</v>
      </c>
      <c r="X5099" s="6">
        <f t="shared" si="770"/>
        <v>0</v>
      </c>
      <c r="Y5099" s="13">
        <f t="shared" si="773"/>
        <v>0</v>
      </c>
      <c r="Z5099" s="14">
        <v>0</v>
      </c>
      <c r="AA5099" s="6">
        <v>0</v>
      </c>
      <c r="AB5099" s="4">
        <f t="shared" si="774"/>
        <v>0</v>
      </c>
      <c r="AC5099" s="4">
        <f t="shared" si="776"/>
        <v>0</v>
      </c>
      <c r="AD5099" s="6">
        <f t="shared" si="771"/>
        <v>0</v>
      </c>
      <c r="AE5099" s="2">
        <v>0.06</v>
      </c>
      <c r="AF5099" s="6">
        <f t="shared" si="777"/>
        <v>0</v>
      </c>
      <c r="AG5099" s="14">
        <v>0</v>
      </c>
      <c r="AH5099" s="64">
        <f t="shared" si="772"/>
        <v>0</v>
      </c>
      <c r="AI5099" s="47"/>
      <c r="AJ5099" s="126" t="e">
        <v>#N/A</v>
      </c>
      <c r="AK5099" s="80">
        <f t="shared" si="775"/>
        <v>0</v>
      </c>
      <c r="AM5099" s="85"/>
    </row>
    <row r="5100" spans="1:39" hidden="1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">
        <v>3712</v>
      </c>
      <c r="L5100" s="1" t="s">
        <v>35</v>
      </c>
      <c r="M5100" s="86"/>
      <c r="N5100" s="86" t="s">
        <v>3712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769"/>
        <v>593579.56000000006</v>
      </c>
      <c r="X5100" s="6">
        <f t="shared" si="770"/>
        <v>0</v>
      </c>
      <c r="Y5100" s="13">
        <f t="shared" si="773"/>
        <v>0</v>
      </c>
      <c r="Z5100" s="14">
        <v>0</v>
      </c>
      <c r="AA5100" s="6">
        <v>0</v>
      </c>
      <c r="AB5100" s="4">
        <f t="shared" si="774"/>
        <v>0</v>
      </c>
      <c r="AC5100" s="4">
        <f t="shared" si="776"/>
        <v>0</v>
      </c>
      <c r="AD5100" s="6">
        <f t="shared" si="771"/>
        <v>0</v>
      </c>
      <c r="AE5100" s="2">
        <v>0.06</v>
      </c>
      <c r="AF5100" s="6">
        <f t="shared" si="777"/>
        <v>0</v>
      </c>
      <c r="AG5100" s="14">
        <v>0</v>
      </c>
      <c r="AH5100" s="64">
        <f t="shared" si="772"/>
        <v>0</v>
      </c>
      <c r="AI5100" s="47"/>
      <c r="AJ5100" s="126" t="e">
        <v>#N/A</v>
      </c>
      <c r="AK5100" s="80">
        <f t="shared" si="775"/>
        <v>0</v>
      </c>
      <c r="AM5100" s="85"/>
    </row>
    <row r="5101" spans="1:39" hidden="1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">
        <v>3712</v>
      </c>
      <c r="L5101" s="1" t="s">
        <v>35</v>
      </c>
      <c r="M5101" s="86"/>
      <c r="N5101" s="86" t="s">
        <v>3712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769"/>
        <v>1035.29</v>
      </c>
      <c r="X5101" s="6">
        <f t="shared" si="770"/>
        <v>0</v>
      </c>
      <c r="Y5101" s="13">
        <f t="shared" si="773"/>
        <v>0</v>
      </c>
      <c r="Z5101" s="14">
        <v>0</v>
      </c>
      <c r="AA5101" s="6">
        <v>0</v>
      </c>
      <c r="AB5101" s="4"/>
      <c r="AC5101" s="4">
        <f t="shared" si="776"/>
        <v>0</v>
      </c>
      <c r="AD5101" s="6">
        <f t="shared" si="771"/>
        <v>0</v>
      </c>
      <c r="AE5101" s="2">
        <v>0.06</v>
      </c>
      <c r="AF5101" s="6">
        <f t="shared" si="777"/>
        <v>0</v>
      </c>
      <c r="AG5101" s="14">
        <v>0</v>
      </c>
      <c r="AH5101" s="64">
        <f t="shared" si="772"/>
        <v>0</v>
      </c>
      <c r="AI5101" s="47"/>
      <c r="AJ5101" s="126">
        <v>47</v>
      </c>
      <c r="AK5101" s="80">
        <f t="shared" si="775"/>
        <v>0</v>
      </c>
      <c r="AM5101" s="85"/>
    </row>
    <row r="5102" spans="1:39" hidden="1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">
        <v>3712</v>
      </c>
      <c r="L5102" s="1" t="s">
        <v>35</v>
      </c>
      <c r="M5102" s="86"/>
      <c r="N5102" s="86" t="s">
        <v>3712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769"/>
        <v>3723.67</v>
      </c>
      <c r="X5102" s="6">
        <f t="shared" si="770"/>
        <v>0</v>
      </c>
      <c r="Y5102" s="13">
        <f t="shared" si="773"/>
        <v>0</v>
      </c>
      <c r="Z5102" s="14">
        <v>0</v>
      </c>
      <c r="AA5102" s="6">
        <v>0</v>
      </c>
      <c r="AB5102" s="4"/>
      <c r="AC5102" s="4">
        <f t="shared" si="776"/>
        <v>0</v>
      </c>
      <c r="AD5102" s="6">
        <f t="shared" si="771"/>
        <v>0</v>
      </c>
      <c r="AE5102" s="2">
        <v>0.06</v>
      </c>
      <c r="AF5102" s="6">
        <f t="shared" si="777"/>
        <v>0</v>
      </c>
      <c r="AG5102" s="14">
        <v>0</v>
      </c>
      <c r="AH5102" s="64">
        <f t="shared" si="772"/>
        <v>0</v>
      </c>
      <c r="AI5102" s="47"/>
      <c r="AJ5102" s="126">
        <v>48</v>
      </c>
      <c r="AK5102" s="80">
        <f t="shared" si="775"/>
        <v>0</v>
      </c>
      <c r="AM5102" s="85"/>
    </row>
    <row r="5103" spans="1:39" hidden="1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">
        <v>3712</v>
      </c>
      <c r="L5103" s="1" t="s">
        <v>35</v>
      </c>
      <c r="M5103" s="86"/>
      <c r="N5103" s="86" t="s">
        <v>3712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769"/>
        <v>9</v>
      </c>
      <c r="X5103" s="6">
        <f t="shared" si="770"/>
        <v>0</v>
      </c>
      <c r="Y5103" s="13">
        <f t="shared" si="773"/>
        <v>0</v>
      </c>
      <c r="Z5103" s="14">
        <v>0</v>
      </c>
      <c r="AA5103" s="6">
        <v>0</v>
      </c>
      <c r="AB5103" s="4">
        <f t="shared" si="774"/>
        <v>0</v>
      </c>
      <c r="AC5103" s="4">
        <f t="shared" si="776"/>
        <v>0</v>
      </c>
      <c r="AD5103" s="6">
        <f t="shared" si="771"/>
        <v>0</v>
      </c>
      <c r="AE5103" s="2">
        <v>0.06</v>
      </c>
      <c r="AF5103" s="6">
        <f t="shared" si="777"/>
        <v>0</v>
      </c>
      <c r="AG5103" s="14">
        <v>0</v>
      </c>
      <c r="AH5103" s="64">
        <f t="shared" si="772"/>
        <v>0</v>
      </c>
      <c r="AI5103" s="47"/>
      <c r="AJ5103" s="126" t="e">
        <v>#N/A</v>
      </c>
      <c r="AK5103" s="80">
        <f t="shared" si="775"/>
        <v>0</v>
      </c>
      <c r="AM5103" s="85"/>
    </row>
    <row r="5104" spans="1:39" hidden="1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769"/>
        <v>31038.160000000102</v>
      </c>
      <c r="X5104" s="6">
        <f t="shared" si="770"/>
        <v>0</v>
      </c>
      <c r="Y5104" s="13">
        <f t="shared" si="773"/>
        <v>0</v>
      </c>
      <c r="Z5104" s="14">
        <v>0</v>
      </c>
      <c r="AA5104" s="6">
        <v>0</v>
      </c>
      <c r="AB5104" s="4">
        <f t="shared" si="774"/>
        <v>0</v>
      </c>
      <c r="AC5104" s="4">
        <f t="shared" si="776"/>
        <v>0</v>
      </c>
      <c r="AD5104" s="6">
        <f t="shared" si="771"/>
        <v>0</v>
      </c>
      <c r="AE5104" s="2">
        <v>0.06</v>
      </c>
      <c r="AF5104" s="6">
        <f t="shared" si="777"/>
        <v>0</v>
      </c>
      <c r="AG5104" s="14">
        <v>0</v>
      </c>
      <c r="AH5104" s="64">
        <f t="shared" si="772"/>
        <v>0</v>
      </c>
      <c r="AI5104" s="47"/>
      <c r="AJ5104" s="126" t="e">
        <v>#N/A</v>
      </c>
      <c r="AK5104" s="80">
        <f t="shared" si="775"/>
        <v>0</v>
      </c>
      <c r="AM5104" s="85"/>
    </row>
    <row r="5105" spans="1:39" hidden="1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">
        <v>3712</v>
      </c>
      <c r="L5105" s="1" t="s">
        <v>35</v>
      </c>
      <c r="M5105" s="86"/>
      <c r="N5105" s="86" t="s">
        <v>3712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769"/>
        <v>1049.2</v>
      </c>
      <c r="X5105" s="6">
        <f t="shared" si="770"/>
        <v>0</v>
      </c>
      <c r="Y5105" s="13">
        <f t="shared" si="773"/>
        <v>0</v>
      </c>
      <c r="Z5105" s="14">
        <v>0</v>
      </c>
      <c r="AA5105" s="6">
        <v>0</v>
      </c>
      <c r="AB5105" s="4">
        <f t="shared" si="774"/>
        <v>0</v>
      </c>
      <c r="AC5105" s="4">
        <f t="shared" si="776"/>
        <v>0</v>
      </c>
      <c r="AD5105" s="6">
        <f t="shared" si="771"/>
        <v>0</v>
      </c>
      <c r="AE5105" s="2">
        <v>0.06</v>
      </c>
      <c r="AF5105" s="6">
        <f t="shared" si="777"/>
        <v>0</v>
      </c>
      <c r="AG5105" s="14">
        <v>0</v>
      </c>
      <c r="AH5105" s="64">
        <f t="shared" si="772"/>
        <v>0</v>
      </c>
      <c r="AI5105" s="47"/>
      <c r="AJ5105" s="126" t="e">
        <v>#N/A</v>
      </c>
      <c r="AK5105" s="80">
        <f t="shared" si="775"/>
        <v>0</v>
      </c>
      <c r="AM5105" s="85"/>
    </row>
    <row r="5106" spans="1:39" hidden="1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">
        <v>3712</v>
      </c>
      <c r="L5106" s="1" t="s">
        <v>35</v>
      </c>
      <c r="M5106" s="86"/>
      <c r="N5106" s="86" t="s">
        <v>3712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769"/>
        <v>1446.59</v>
      </c>
      <c r="X5106" s="6">
        <f t="shared" si="770"/>
        <v>0</v>
      </c>
      <c r="Y5106" s="13">
        <f t="shared" si="773"/>
        <v>0</v>
      </c>
      <c r="Z5106" s="14">
        <v>0</v>
      </c>
      <c r="AA5106" s="6">
        <v>0</v>
      </c>
      <c r="AB5106" s="4">
        <f t="shared" si="774"/>
        <v>0</v>
      </c>
      <c r="AC5106" s="4">
        <f t="shared" si="776"/>
        <v>0</v>
      </c>
      <c r="AD5106" s="6">
        <f t="shared" si="771"/>
        <v>0</v>
      </c>
      <c r="AE5106" s="2">
        <v>0.06</v>
      </c>
      <c r="AF5106" s="6">
        <f t="shared" si="777"/>
        <v>0</v>
      </c>
      <c r="AG5106" s="14">
        <v>0</v>
      </c>
      <c r="AH5106" s="64">
        <f t="shared" si="772"/>
        <v>0</v>
      </c>
      <c r="AI5106" s="47"/>
      <c r="AJ5106" s="126" t="e">
        <v>#N/A</v>
      </c>
      <c r="AK5106" s="80">
        <f t="shared" si="775"/>
        <v>0</v>
      </c>
      <c r="AM5106" s="85"/>
    </row>
    <row r="5107" spans="1:39" hidden="1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769"/>
        <v>7022.7599999999929</v>
      </c>
      <c r="X5107" s="6">
        <f t="shared" si="770"/>
        <v>88.269230769230745</v>
      </c>
      <c r="Y5107" s="13">
        <f t="shared" si="773"/>
        <v>0</v>
      </c>
      <c r="Z5107" s="14">
        <v>0</v>
      </c>
      <c r="AA5107" s="6">
        <v>0</v>
      </c>
      <c r="AB5107" s="4">
        <f t="shared" si="774"/>
        <v>88.269230769230745</v>
      </c>
      <c r="AC5107" s="4">
        <f t="shared" si="776"/>
        <v>3.5307692307692378</v>
      </c>
      <c r="AD5107" s="6">
        <f t="shared" si="771"/>
        <v>91.799999999999983</v>
      </c>
      <c r="AE5107" s="2">
        <v>0.06</v>
      </c>
      <c r="AF5107" s="6">
        <f t="shared" si="777"/>
        <v>5.5079999999999991</v>
      </c>
      <c r="AG5107" s="14">
        <v>0</v>
      </c>
      <c r="AH5107" s="64">
        <f t="shared" si="772"/>
        <v>91.799999999999983</v>
      </c>
      <c r="AI5107" s="47"/>
      <c r="AJ5107" s="126" t="e">
        <v>#N/A</v>
      </c>
      <c r="AK5107" s="80">
        <f t="shared" si="775"/>
        <v>0</v>
      </c>
      <c r="AM5107" s="85"/>
    </row>
    <row r="5108" spans="1:39" hidden="1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">
        <v>3712</v>
      </c>
      <c r="L5108" s="1" t="s">
        <v>35</v>
      </c>
      <c r="M5108" s="86"/>
      <c r="N5108" s="86" t="s">
        <v>3712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769"/>
        <v>78.56</v>
      </c>
      <c r="X5108" s="6">
        <f t="shared" si="770"/>
        <v>0</v>
      </c>
      <c r="Y5108" s="13">
        <f t="shared" si="773"/>
        <v>0</v>
      </c>
      <c r="Z5108" s="14">
        <v>0</v>
      </c>
      <c r="AA5108" s="6">
        <v>0</v>
      </c>
      <c r="AB5108" s="4">
        <f t="shared" si="774"/>
        <v>0</v>
      </c>
      <c r="AC5108" s="4">
        <f t="shared" si="776"/>
        <v>0</v>
      </c>
      <c r="AD5108" s="6">
        <f t="shared" si="771"/>
        <v>0</v>
      </c>
      <c r="AE5108" s="2">
        <v>0.06</v>
      </c>
      <c r="AF5108" s="6">
        <f t="shared" si="777"/>
        <v>0</v>
      </c>
      <c r="AG5108" s="14">
        <v>0</v>
      </c>
      <c r="AH5108" s="64">
        <f t="shared" si="772"/>
        <v>0</v>
      </c>
      <c r="AI5108" s="47"/>
      <c r="AJ5108" s="126" t="e">
        <v>#N/A</v>
      </c>
      <c r="AK5108" s="80">
        <f t="shared" si="775"/>
        <v>0</v>
      </c>
      <c r="AM5108" s="85"/>
    </row>
    <row r="5109" spans="1:39" hidden="1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">
        <v>3712</v>
      </c>
      <c r="L5109" s="1" t="s">
        <v>35</v>
      </c>
      <c r="M5109" s="86"/>
      <c r="N5109" s="86" t="s">
        <v>3712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769"/>
        <v>214992.03999999995</v>
      </c>
      <c r="X5109" s="6">
        <f t="shared" si="770"/>
        <v>0</v>
      </c>
      <c r="Y5109" s="13">
        <f t="shared" si="773"/>
        <v>0</v>
      </c>
      <c r="Z5109" s="14">
        <v>0</v>
      </c>
      <c r="AA5109" s="6">
        <v>0</v>
      </c>
      <c r="AB5109" s="4">
        <f t="shared" si="774"/>
        <v>0</v>
      </c>
      <c r="AC5109" s="4">
        <f t="shared" si="776"/>
        <v>0</v>
      </c>
      <c r="AD5109" s="6">
        <f t="shared" si="771"/>
        <v>0</v>
      </c>
      <c r="AE5109" s="2">
        <v>0.05</v>
      </c>
      <c r="AF5109" s="6">
        <f t="shared" si="777"/>
        <v>0</v>
      </c>
      <c r="AG5109" s="14">
        <v>0</v>
      </c>
      <c r="AH5109" s="64">
        <f t="shared" si="772"/>
        <v>0</v>
      </c>
      <c r="AI5109" s="47"/>
      <c r="AJ5109" s="126" t="e">
        <v>#N/A</v>
      </c>
      <c r="AK5109" s="80">
        <f t="shared" si="775"/>
        <v>0</v>
      </c>
      <c r="AM5109" s="85"/>
    </row>
    <row r="5110" spans="1:39" hidden="1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">
        <v>3712</v>
      </c>
      <c r="L5110" s="1" t="s">
        <v>35</v>
      </c>
      <c r="M5110" s="86"/>
      <c r="N5110" s="86" t="s">
        <v>3712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769"/>
        <v>29636.910000000003</v>
      </c>
      <c r="X5110" s="6">
        <f t="shared" si="770"/>
        <v>0</v>
      </c>
      <c r="Y5110" s="13">
        <f t="shared" si="773"/>
        <v>0</v>
      </c>
      <c r="Z5110" s="14">
        <v>0</v>
      </c>
      <c r="AA5110" s="6">
        <v>0</v>
      </c>
      <c r="AB5110" s="4">
        <f t="shared" si="774"/>
        <v>0</v>
      </c>
      <c r="AC5110" s="4">
        <f t="shared" si="776"/>
        <v>0</v>
      </c>
      <c r="AD5110" s="6">
        <f t="shared" si="771"/>
        <v>0</v>
      </c>
      <c r="AE5110" s="2">
        <v>0.05</v>
      </c>
      <c r="AF5110" s="6">
        <f t="shared" si="777"/>
        <v>0</v>
      </c>
      <c r="AG5110" s="14">
        <v>0</v>
      </c>
      <c r="AH5110" s="64">
        <f t="shared" si="772"/>
        <v>0</v>
      </c>
      <c r="AI5110" s="47"/>
      <c r="AJ5110" s="126" t="e">
        <v>#N/A</v>
      </c>
      <c r="AK5110" s="80">
        <f t="shared" si="775"/>
        <v>0</v>
      </c>
      <c r="AM5110" s="85"/>
    </row>
    <row r="5111" spans="1:39" hidden="1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">
        <v>3712</v>
      </c>
      <c r="L5111" s="1" t="s">
        <v>35</v>
      </c>
      <c r="M5111" s="86"/>
      <c r="N5111" s="86" t="s">
        <v>3712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769"/>
        <v>37367.300000000003</v>
      </c>
      <c r="X5111" s="6">
        <f t="shared" si="770"/>
        <v>0</v>
      </c>
      <c r="Y5111" s="13">
        <f t="shared" si="773"/>
        <v>0</v>
      </c>
      <c r="Z5111" s="14">
        <v>0</v>
      </c>
      <c r="AA5111" s="6">
        <v>0</v>
      </c>
      <c r="AB5111" s="4">
        <f t="shared" si="774"/>
        <v>0</v>
      </c>
      <c r="AC5111" s="4">
        <f t="shared" si="776"/>
        <v>0</v>
      </c>
      <c r="AD5111" s="6">
        <f t="shared" si="771"/>
        <v>0</v>
      </c>
      <c r="AE5111" s="2">
        <v>0.05</v>
      </c>
      <c r="AF5111" s="6">
        <f t="shared" si="777"/>
        <v>0</v>
      </c>
      <c r="AG5111" s="14">
        <v>0</v>
      </c>
      <c r="AH5111" s="64">
        <f t="shared" si="772"/>
        <v>0</v>
      </c>
      <c r="AI5111" s="47"/>
      <c r="AJ5111" s="126" t="e">
        <v>#N/A</v>
      </c>
      <c r="AK5111" s="80">
        <f t="shared" si="775"/>
        <v>0</v>
      </c>
      <c r="AM5111" s="85"/>
    </row>
    <row r="5112" spans="1:39" hidden="1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769"/>
        <v>130234.35000000044</v>
      </c>
      <c r="X5112" s="6">
        <f t="shared" si="770"/>
        <v>993211.67</v>
      </c>
      <c r="Y5112" s="13">
        <f t="shared" si="773"/>
        <v>0</v>
      </c>
      <c r="Z5112" s="14">
        <v>0</v>
      </c>
      <c r="AA5112" s="6">
        <v>0</v>
      </c>
      <c r="AB5112" s="4">
        <f t="shared" si="774"/>
        <v>993211.67</v>
      </c>
      <c r="AC5112" s="4">
        <f t="shared" si="776"/>
        <v>59592.700199999999</v>
      </c>
      <c r="AD5112" s="6">
        <f t="shared" si="771"/>
        <v>993211.67</v>
      </c>
      <c r="AE5112" s="2">
        <v>0.05</v>
      </c>
      <c r="AF5112" s="6">
        <f t="shared" si="777"/>
        <v>49660.583500000008</v>
      </c>
      <c r="AG5112" s="14">
        <v>0</v>
      </c>
      <c r="AH5112" s="64">
        <f t="shared" si="772"/>
        <v>993211.67</v>
      </c>
      <c r="AI5112" s="47"/>
      <c r="AJ5112" s="126" t="e">
        <v>#N/A</v>
      </c>
      <c r="AK5112" s="80">
        <f t="shared" si="775"/>
        <v>0</v>
      </c>
      <c r="AM5112" s="85"/>
    </row>
    <row r="5113" spans="1:39" hidden="1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">
        <v>3710</v>
      </c>
      <c r="L5113" s="1" t="s">
        <v>35</v>
      </c>
      <c r="M5113" s="86"/>
      <c r="N5113" s="86" t="s">
        <v>3710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769"/>
        <v>-1454061.91</v>
      </c>
      <c r="X5113" s="6">
        <f t="shared" si="770"/>
        <v>340652.36000000004</v>
      </c>
      <c r="Y5113" s="13">
        <f t="shared" si="773"/>
        <v>0</v>
      </c>
      <c r="Z5113" s="14">
        <v>0</v>
      </c>
      <c r="AA5113" s="6">
        <v>0</v>
      </c>
      <c r="AB5113" s="4">
        <f t="shared" si="774"/>
        <v>340652.36000000004</v>
      </c>
      <c r="AC5113" s="4">
        <f t="shared" si="776"/>
        <v>0</v>
      </c>
      <c r="AD5113" s="6">
        <f t="shared" si="771"/>
        <v>340652.36000000004</v>
      </c>
      <c r="AE5113" s="2">
        <v>0.06</v>
      </c>
      <c r="AF5113" s="6">
        <f t="shared" si="777"/>
        <v>20439.141600000003</v>
      </c>
      <c r="AG5113" s="14">
        <v>0</v>
      </c>
      <c r="AH5113" s="64">
        <f t="shared" si="772"/>
        <v>340652.36000000004</v>
      </c>
      <c r="AI5113" s="47"/>
      <c r="AJ5113" s="126" t="e">
        <v>#N/A</v>
      </c>
      <c r="AK5113" s="80">
        <f t="shared" si="775"/>
        <v>0</v>
      </c>
      <c r="AM5113" s="85"/>
    </row>
    <row r="5114" spans="1:39" hidden="1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">
        <v>3712</v>
      </c>
      <c r="L5114" s="1" t="s">
        <v>35</v>
      </c>
      <c r="M5114" s="86"/>
      <c r="N5114" s="86" t="s">
        <v>3712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769"/>
        <v>-33.549999999999997</v>
      </c>
      <c r="X5114" s="6">
        <f t="shared" si="770"/>
        <v>0</v>
      </c>
      <c r="Y5114" s="13">
        <f t="shared" si="773"/>
        <v>0</v>
      </c>
      <c r="Z5114" s="14">
        <v>0</v>
      </c>
      <c r="AA5114" s="6">
        <v>0</v>
      </c>
      <c r="AB5114" s="4">
        <f t="shared" si="774"/>
        <v>0</v>
      </c>
      <c r="AC5114" s="4">
        <f t="shared" si="776"/>
        <v>0</v>
      </c>
      <c r="AD5114" s="6">
        <f t="shared" si="771"/>
        <v>0</v>
      </c>
      <c r="AE5114" s="2">
        <v>0.06</v>
      </c>
      <c r="AF5114" s="6">
        <f t="shared" si="777"/>
        <v>0</v>
      </c>
      <c r="AG5114" s="14">
        <v>0</v>
      </c>
      <c r="AH5114" s="64">
        <f t="shared" si="772"/>
        <v>0</v>
      </c>
      <c r="AI5114" s="47"/>
      <c r="AJ5114" s="126" t="e">
        <v>#N/A</v>
      </c>
      <c r="AK5114" s="80">
        <f t="shared" si="775"/>
        <v>0</v>
      </c>
      <c r="AM5114" s="85"/>
    </row>
    <row r="5115" spans="1:39" hidden="1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769"/>
        <v>2.3759000013087643</v>
      </c>
      <c r="X5115" s="6">
        <f t="shared" si="770"/>
        <v>0</v>
      </c>
      <c r="Y5115" s="13">
        <f t="shared" si="773"/>
        <v>0</v>
      </c>
      <c r="Z5115" s="14">
        <v>0</v>
      </c>
      <c r="AA5115" s="6">
        <v>0</v>
      </c>
      <c r="AB5115" s="4">
        <f t="shared" si="774"/>
        <v>0</v>
      </c>
      <c r="AC5115" s="4">
        <f t="shared" si="776"/>
        <v>0</v>
      </c>
      <c r="AD5115" s="6">
        <f t="shared" si="771"/>
        <v>0</v>
      </c>
      <c r="AE5115" s="2">
        <v>0.05</v>
      </c>
      <c r="AF5115" s="6">
        <f t="shared" si="777"/>
        <v>0</v>
      </c>
      <c r="AG5115" s="14">
        <v>0</v>
      </c>
      <c r="AH5115" s="64">
        <f t="shared" si="772"/>
        <v>0</v>
      </c>
      <c r="AI5115" s="47"/>
      <c r="AJ5115" s="126" t="e">
        <v>#N/A</v>
      </c>
      <c r="AK5115" s="80">
        <f t="shared" si="775"/>
        <v>0</v>
      </c>
      <c r="AM5115" s="85"/>
    </row>
    <row r="5116" spans="1:39" hidden="1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1" t="s">
        <v>3718</v>
      </c>
      <c r="L5116" s="1" t="s">
        <v>35</v>
      </c>
      <c r="M5116" s="86"/>
      <c r="N5116" s="86" t="s">
        <v>3718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778">T5116+U5116-V5116</f>
        <v>-9212.19</v>
      </c>
      <c r="X5116" s="6">
        <f t="shared" ref="X5116:X5179" si="779">IF(P5116="折扣",V5116*Q5116,IF(P5116="返现",V5116,V5116/(1+Q5116)))</f>
        <v>402.26</v>
      </c>
      <c r="Y5116" s="13">
        <f t="shared" si="773"/>
        <v>0</v>
      </c>
      <c r="Z5116" s="14">
        <v>0</v>
      </c>
      <c r="AA5116" s="6">
        <v>0</v>
      </c>
      <c r="AB5116" s="4">
        <f t="shared" si="774"/>
        <v>402.26</v>
      </c>
      <c r="AC5116" s="4">
        <f t="shared" si="776"/>
        <v>0</v>
      </c>
      <c r="AD5116" s="6">
        <f t="shared" ref="AD5116:AD5179" si="780">V5116</f>
        <v>402.26</v>
      </c>
      <c r="AE5116" s="2">
        <v>0.06</v>
      </c>
      <c r="AF5116" s="6">
        <f t="shared" si="777"/>
        <v>24.1356</v>
      </c>
      <c r="AG5116" s="14">
        <v>0</v>
      </c>
      <c r="AH5116" s="64">
        <f t="shared" ref="AH5116:AH5179" si="781">V5116</f>
        <v>402.26</v>
      </c>
      <c r="AI5116" s="47"/>
      <c r="AJ5116" s="126" t="e">
        <v>#N/A</v>
      </c>
      <c r="AK5116" s="80">
        <f t="shared" si="775"/>
        <v>0</v>
      </c>
      <c r="AM5116" s="85"/>
    </row>
    <row r="5117" spans="1:39" hidden="1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778"/>
        <v>0</v>
      </c>
      <c r="X5117" s="6">
        <f t="shared" si="779"/>
        <v>0</v>
      </c>
      <c r="Y5117" s="13">
        <f t="shared" si="773"/>
        <v>0</v>
      </c>
      <c r="Z5117" s="14">
        <v>0</v>
      </c>
      <c r="AA5117" s="6">
        <v>0</v>
      </c>
      <c r="AB5117" s="4">
        <f t="shared" si="774"/>
        <v>0</v>
      </c>
      <c r="AC5117" s="4">
        <f t="shared" si="776"/>
        <v>0</v>
      </c>
      <c r="AD5117" s="6">
        <f t="shared" si="780"/>
        <v>0</v>
      </c>
      <c r="AE5117" s="2">
        <v>0.06</v>
      </c>
      <c r="AF5117" s="6">
        <f t="shared" si="777"/>
        <v>0</v>
      </c>
      <c r="AG5117" s="14">
        <v>0</v>
      </c>
      <c r="AH5117" s="64">
        <f t="shared" si="781"/>
        <v>0</v>
      </c>
      <c r="AI5117" s="47"/>
      <c r="AJ5117" s="126" t="s">
        <v>4218</v>
      </c>
      <c r="AK5117" s="80">
        <f t="shared" si="775"/>
        <v>0</v>
      </c>
      <c r="AL5117" s="150"/>
      <c r="AM5117" s="85"/>
    </row>
    <row r="5118" spans="1:39" hidden="1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778"/>
        <v>0</v>
      </c>
      <c r="X5118" s="6">
        <f t="shared" si="779"/>
        <v>1070621.7307692296</v>
      </c>
      <c r="Y5118" s="13">
        <f t="shared" si="773"/>
        <v>0</v>
      </c>
      <c r="Z5118" s="14">
        <v>0</v>
      </c>
      <c r="AA5118" s="6">
        <v>0</v>
      </c>
      <c r="AB5118" s="4">
        <f t="shared" si="774"/>
        <v>1070621.7307692296</v>
      </c>
      <c r="AC5118" s="4">
        <f t="shared" si="776"/>
        <v>42824.869230769342</v>
      </c>
      <c r="AD5118" s="6">
        <f t="shared" si="780"/>
        <v>1113446.5999999989</v>
      </c>
      <c r="AE5118" s="2">
        <v>0.05</v>
      </c>
      <c r="AF5118" s="6">
        <f t="shared" si="777"/>
        <v>55672.329999999951</v>
      </c>
      <c r="AG5118" s="14">
        <v>0</v>
      </c>
      <c r="AH5118" s="64">
        <f t="shared" si="781"/>
        <v>1113446.5999999989</v>
      </c>
      <c r="AI5118" s="47"/>
      <c r="AJ5118" s="126" t="e">
        <v>#N/A</v>
      </c>
      <c r="AK5118" s="80">
        <f t="shared" si="775"/>
        <v>0</v>
      </c>
      <c r="AM5118" s="85"/>
    </row>
    <row r="5119" spans="1:39" hidden="1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778"/>
        <v>4131.2300000003597</v>
      </c>
      <c r="X5119" s="6">
        <f t="shared" si="779"/>
        <v>0</v>
      </c>
      <c r="Y5119" s="13">
        <f t="shared" si="773"/>
        <v>0</v>
      </c>
      <c r="Z5119" s="14">
        <v>0</v>
      </c>
      <c r="AA5119" s="6">
        <v>0</v>
      </c>
      <c r="AB5119" s="4">
        <f t="shared" si="774"/>
        <v>0</v>
      </c>
      <c r="AC5119" s="4">
        <f t="shared" si="776"/>
        <v>0</v>
      </c>
      <c r="AD5119" s="6">
        <f t="shared" si="780"/>
        <v>0</v>
      </c>
      <c r="AE5119" s="2">
        <v>0.05</v>
      </c>
      <c r="AF5119" s="6">
        <f t="shared" si="777"/>
        <v>0</v>
      </c>
      <c r="AG5119" s="14">
        <v>0</v>
      </c>
      <c r="AH5119" s="64">
        <f t="shared" si="781"/>
        <v>0</v>
      </c>
      <c r="AI5119" s="47"/>
      <c r="AJ5119" s="126" t="e">
        <v>#N/A</v>
      </c>
      <c r="AK5119" s="80">
        <f t="shared" si="775"/>
        <v>0</v>
      </c>
      <c r="AM5119" s="85"/>
    </row>
    <row r="5120" spans="1:39" hidden="1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778"/>
        <v>-1.8500000000494765</v>
      </c>
      <c r="X5120" s="6">
        <f t="shared" si="779"/>
        <v>0</v>
      </c>
      <c r="Y5120" s="13">
        <f t="shared" si="773"/>
        <v>0</v>
      </c>
      <c r="Z5120" s="14">
        <v>0</v>
      </c>
      <c r="AA5120" s="6">
        <v>0</v>
      </c>
      <c r="AB5120" s="4">
        <f t="shared" si="774"/>
        <v>0</v>
      </c>
      <c r="AC5120" s="4">
        <f t="shared" si="776"/>
        <v>0</v>
      </c>
      <c r="AD5120" s="6">
        <f t="shared" si="780"/>
        <v>0</v>
      </c>
      <c r="AE5120" s="2">
        <v>0.05</v>
      </c>
      <c r="AF5120" s="6">
        <f t="shared" si="777"/>
        <v>0</v>
      </c>
      <c r="AG5120" s="14">
        <v>0</v>
      </c>
      <c r="AH5120" s="64">
        <f t="shared" si="781"/>
        <v>0</v>
      </c>
      <c r="AI5120" s="47"/>
      <c r="AJ5120" s="126" t="e">
        <v>#N/A</v>
      </c>
      <c r="AK5120" s="80">
        <f t="shared" si="775"/>
        <v>0</v>
      </c>
      <c r="AM5120" s="85"/>
    </row>
    <row r="5121" spans="1:39" hidden="1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778"/>
        <v>1022624.9299998828</v>
      </c>
      <c r="X5121" s="6">
        <f t="shared" si="779"/>
        <v>319991.04901960795</v>
      </c>
      <c r="Y5121" s="13">
        <f t="shared" si="773"/>
        <v>0</v>
      </c>
      <c r="Z5121" s="14">
        <v>0</v>
      </c>
      <c r="AA5121" s="6">
        <v>0</v>
      </c>
      <c r="AB5121" s="4">
        <f t="shared" si="774"/>
        <v>319991.04901960795</v>
      </c>
      <c r="AC5121" s="4">
        <f t="shared" si="776"/>
        <v>6399.8209803921636</v>
      </c>
      <c r="AD5121" s="6">
        <f t="shared" si="780"/>
        <v>326390.87000000011</v>
      </c>
      <c r="AE5121" s="2">
        <v>0.05</v>
      </c>
      <c r="AF5121" s="6">
        <f t="shared" si="777"/>
        <v>16319.543500000007</v>
      </c>
      <c r="AG5121" s="14">
        <v>0</v>
      </c>
      <c r="AH5121" s="64">
        <f t="shared" si="781"/>
        <v>326390.87000000011</v>
      </c>
      <c r="AI5121" s="47"/>
      <c r="AJ5121" s="126" t="e">
        <v>#N/A</v>
      </c>
      <c r="AK5121" s="80">
        <f t="shared" si="775"/>
        <v>0</v>
      </c>
      <c r="AM5121" s="85"/>
    </row>
    <row r="5122" spans="1:39" hidden="1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">
        <v>3712</v>
      </c>
      <c r="L5122" s="1" t="s">
        <v>35</v>
      </c>
      <c r="M5122" s="86"/>
      <c r="N5122" s="86" t="s">
        <v>3712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778"/>
        <v>172252.86999999997</v>
      </c>
      <c r="X5122" s="6">
        <f t="shared" si="779"/>
        <v>0</v>
      </c>
      <c r="Y5122" s="13">
        <f t="shared" si="773"/>
        <v>0</v>
      </c>
      <c r="Z5122" s="14">
        <v>0</v>
      </c>
      <c r="AA5122" s="6">
        <v>0</v>
      </c>
      <c r="AB5122" s="4">
        <f t="shared" si="774"/>
        <v>0</v>
      </c>
      <c r="AC5122" s="4">
        <f t="shared" si="776"/>
        <v>0</v>
      </c>
      <c r="AD5122" s="6">
        <f t="shared" si="780"/>
        <v>0</v>
      </c>
      <c r="AE5122" s="2">
        <v>0.06</v>
      </c>
      <c r="AF5122" s="6">
        <f t="shared" si="777"/>
        <v>0</v>
      </c>
      <c r="AG5122" s="14">
        <v>0</v>
      </c>
      <c r="AH5122" s="64">
        <f t="shared" si="781"/>
        <v>0</v>
      </c>
      <c r="AI5122" s="47"/>
      <c r="AJ5122" s="126" t="e">
        <v>#N/A</v>
      </c>
      <c r="AK5122" s="80">
        <f t="shared" si="775"/>
        <v>0</v>
      </c>
      <c r="AM5122" s="85"/>
    </row>
    <row r="5123" spans="1:39" hidden="1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">
        <v>3712</v>
      </c>
      <c r="L5123" s="1" t="s">
        <v>35</v>
      </c>
      <c r="M5123" s="86"/>
      <c r="N5123" s="86" t="s">
        <v>3712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778"/>
        <v>-49057.849999999991</v>
      </c>
      <c r="X5123" s="6">
        <f t="shared" si="779"/>
        <v>22005.789999999997</v>
      </c>
      <c r="Y5123" s="13">
        <f t="shared" ref="Y5123:Y5186" si="782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783">X5123+AA5123</f>
        <v>22005.789999999997</v>
      </c>
      <c r="AC5123" s="4">
        <f t="shared" si="776"/>
        <v>0</v>
      </c>
      <c r="AD5123" s="6">
        <f t="shared" si="780"/>
        <v>22005.789999999997</v>
      </c>
      <c r="AE5123" s="2">
        <v>0.06</v>
      </c>
      <c r="AF5123" s="6">
        <f t="shared" si="777"/>
        <v>1320.3473999999999</v>
      </c>
      <c r="AG5123" s="14">
        <v>0</v>
      </c>
      <c r="AH5123" s="64">
        <f t="shared" si="781"/>
        <v>22005.789999999997</v>
      </c>
      <c r="AI5123" s="47"/>
      <c r="AJ5123" s="126" t="e">
        <v>#N/A</v>
      </c>
      <c r="AK5123" s="80">
        <f t="shared" ref="AK5123:AK5186" si="784">X5123+AA5123-AB5123</f>
        <v>0</v>
      </c>
      <c r="AM5123" s="85"/>
    </row>
    <row r="5124" spans="1:39" hidden="1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778"/>
        <v>-30453.61</v>
      </c>
      <c r="X5124" s="6">
        <f t="shared" si="779"/>
        <v>0</v>
      </c>
      <c r="Y5124" s="13">
        <f t="shared" si="782"/>
        <v>0</v>
      </c>
      <c r="Z5124" s="14">
        <v>0</v>
      </c>
      <c r="AA5124" s="6">
        <v>0</v>
      </c>
      <c r="AB5124" s="4">
        <f t="shared" si="783"/>
        <v>0</v>
      </c>
      <c r="AC5124" s="4">
        <f t="shared" si="776"/>
        <v>0</v>
      </c>
      <c r="AD5124" s="6">
        <f t="shared" si="780"/>
        <v>0</v>
      </c>
      <c r="AE5124" s="2">
        <v>0.06</v>
      </c>
      <c r="AF5124" s="6">
        <f t="shared" si="777"/>
        <v>0</v>
      </c>
      <c r="AG5124" s="14">
        <v>0</v>
      </c>
      <c r="AH5124" s="64">
        <f t="shared" si="781"/>
        <v>0</v>
      </c>
      <c r="AI5124" s="47"/>
      <c r="AJ5124" s="126" t="e">
        <v>#N/A</v>
      </c>
      <c r="AK5124" s="80">
        <f t="shared" si="784"/>
        <v>0</v>
      </c>
      <c r="AM5124" s="85"/>
    </row>
    <row r="5125" spans="1:39" hidden="1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">
        <v>3712</v>
      </c>
      <c r="L5125" s="1" t="s">
        <v>35</v>
      </c>
      <c r="M5125" s="86"/>
      <c r="N5125" s="86" t="s">
        <v>3712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778"/>
        <v>-243.94</v>
      </c>
      <c r="X5125" s="6">
        <f t="shared" si="779"/>
        <v>147.57</v>
      </c>
      <c r="Y5125" s="13">
        <f t="shared" si="782"/>
        <v>0</v>
      </c>
      <c r="Z5125" s="14">
        <v>0</v>
      </c>
      <c r="AA5125" s="6">
        <v>0</v>
      </c>
      <c r="AB5125" s="4">
        <f t="shared" si="783"/>
        <v>147.57</v>
      </c>
      <c r="AC5125" s="4">
        <f t="shared" si="776"/>
        <v>0</v>
      </c>
      <c r="AD5125" s="6">
        <f t="shared" si="780"/>
        <v>147.57</v>
      </c>
      <c r="AE5125" s="2">
        <v>0.06</v>
      </c>
      <c r="AF5125" s="6">
        <f t="shared" si="777"/>
        <v>8.8541999999999987</v>
      </c>
      <c r="AG5125" s="14">
        <v>0</v>
      </c>
      <c r="AH5125" s="64">
        <f t="shared" si="781"/>
        <v>147.57</v>
      </c>
      <c r="AI5125" s="47"/>
      <c r="AJ5125" s="126" t="e">
        <v>#N/A</v>
      </c>
      <c r="AK5125" s="80">
        <f t="shared" si="784"/>
        <v>0</v>
      </c>
      <c r="AM5125" s="85"/>
    </row>
    <row r="5126" spans="1:39" hidden="1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1" t="s">
        <v>3718</v>
      </c>
      <c r="L5126" s="1" t="s">
        <v>35</v>
      </c>
      <c r="M5126" s="86"/>
      <c r="N5126" s="86" t="s">
        <v>3718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778"/>
        <v>-4311.2900000000009</v>
      </c>
      <c r="X5126" s="6">
        <f t="shared" si="779"/>
        <v>4082.6609848484854</v>
      </c>
      <c r="Y5126" s="13">
        <f t="shared" si="782"/>
        <v>0</v>
      </c>
      <c r="Z5126" s="14">
        <v>0</v>
      </c>
      <c r="AA5126" s="6">
        <v>0</v>
      </c>
      <c r="AB5126" s="4">
        <f t="shared" si="783"/>
        <v>4082.6609848484854</v>
      </c>
      <c r="AC5126" s="4">
        <f t="shared" si="776"/>
        <v>228.62901515151543</v>
      </c>
      <c r="AD5126" s="6">
        <f t="shared" si="780"/>
        <v>4311.2900000000009</v>
      </c>
      <c r="AE5126" s="2">
        <v>0.06</v>
      </c>
      <c r="AF5126" s="6">
        <f t="shared" si="777"/>
        <v>258.67740000000003</v>
      </c>
      <c r="AG5126" s="14">
        <v>0</v>
      </c>
      <c r="AH5126" s="64">
        <f t="shared" si="781"/>
        <v>4311.2900000000009</v>
      </c>
      <c r="AI5126" s="47"/>
      <c r="AJ5126" s="126" t="e">
        <v>#N/A</v>
      </c>
      <c r="AK5126" s="80">
        <f t="shared" si="784"/>
        <v>0</v>
      </c>
      <c r="AM5126" s="85"/>
    </row>
    <row r="5127" spans="1:39" hidden="1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778"/>
        <v>812077.52000000014</v>
      </c>
      <c r="X5127" s="6">
        <f t="shared" si="779"/>
        <v>232126.76415094335</v>
      </c>
      <c r="Y5127" s="13">
        <f t="shared" si="782"/>
        <v>0</v>
      </c>
      <c r="Z5127" s="14">
        <v>0</v>
      </c>
      <c r="AA5127" s="6">
        <v>0</v>
      </c>
      <c r="AB5127" s="4">
        <f t="shared" si="783"/>
        <v>232126.76415094335</v>
      </c>
      <c r="AC5127" s="4">
        <f t="shared" si="776"/>
        <v>13927.605849056621</v>
      </c>
      <c r="AD5127" s="6">
        <f t="shared" si="780"/>
        <v>246054.36999999997</v>
      </c>
      <c r="AE5127" s="2">
        <v>0.05</v>
      </c>
      <c r="AF5127" s="6">
        <f t="shared" si="777"/>
        <v>12302.718499999999</v>
      </c>
      <c r="AG5127" s="14">
        <v>0</v>
      </c>
      <c r="AH5127" s="64">
        <f t="shared" si="781"/>
        <v>246054.36999999997</v>
      </c>
      <c r="AI5127" s="47"/>
      <c r="AJ5127" s="126" t="e">
        <v>#N/A</v>
      </c>
      <c r="AK5127" s="80">
        <f t="shared" si="784"/>
        <v>0</v>
      </c>
      <c r="AM5127" s="85"/>
    </row>
    <row r="5128" spans="1:39" hidden="1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778"/>
        <v>-1203.21</v>
      </c>
      <c r="X5128" s="6">
        <f t="shared" si="779"/>
        <v>1122.02</v>
      </c>
      <c r="Y5128" s="13">
        <f t="shared" si="782"/>
        <v>0</v>
      </c>
      <c r="Z5128" s="14">
        <v>0</v>
      </c>
      <c r="AA5128" s="6">
        <v>0</v>
      </c>
      <c r="AB5128" s="4">
        <f t="shared" si="783"/>
        <v>1122.02</v>
      </c>
      <c r="AC5128" s="4">
        <f t="shared" si="776"/>
        <v>67.32119999999999</v>
      </c>
      <c r="AD5128" s="6">
        <f t="shared" si="780"/>
        <v>1122.02</v>
      </c>
      <c r="AE5128" s="2">
        <v>0.05</v>
      </c>
      <c r="AF5128" s="6">
        <f t="shared" si="777"/>
        <v>56.100999999999999</v>
      </c>
      <c r="AG5128" s="14">
        <v>0</v>
      </c>
      <c r="AH5128" s="64">
        <f t="shared" si="781"/>
        <v>1122.02</v>
      </c>
      <c r="AI5128" s="47"/>
      <c r="AJ5128" s="126" t="e">
        <v>#N/A</v>
      </c>
      <c r="AK5128" s="80">
        <f t="shared" si="784"/>
        <v>0</v>
      </c>
      <c r="AM5128" s="85"/>
    </row>
    <row r="5129" spans="1:39" hidden="1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">
        <v>3712</v>
      </c>
      <c r="L5129" s="1" t="s">
        <v>35</v>
      </c>
      <c r="M5129" s="86"/>
      <c r="N5129" s="86" t="s">
        <v>3712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778"/>
        <v>-0.13</v>
      </c>
      <c r="X5129" s="6">
        <f t="shared" si="779"/>
        <v>0</v>
      </c>
      <c r="Y5129" s="13">
        <f t="shared" si="782"/>
        <v>0</v>
      </c>
      <c r="Z5129" s="14">
        <v>0</v>
      </c>
      <c r="AA5129" s="6">
        <v>0</v>
      </c>
      <c r="AB5129" s="4">
        <f t="shared" si="783"/>
        <v>0</v>
      </c>
      <c r="AC5129" s="4">
        <f t="shared" si="776"/>
        <v>0</v>
      </c>
      <c r="AD5129" s="6">
        <f t="shared" si="780"/>
        <v>0</v>
      </c>
      <c r="AE5129" s="2">
        <v>0.06</v>
      </c>
      <c r="AF5129" s="6">
        <f t="shared" si="777"/>
        <v>0</v>
      </c>
      <c r="AG5129" s="14">
        <v>0</v>
      </c>
      <c r="AH5129" s="64">
        <f t="shared" si="781"/>
        <v>0</v>
      </c>
      <c r="AI5129" s="47"/>
      <c r="AJ5129" s="126" t="e">
        <v>#N/A</v>
      </c>
      <c r="AK5129" s="80">
        <f t="shared" si="784"/>
        <v>0</v>
      </c>
      <c r="AM5129" s="85"/>
    </row>
    <row r="5130" spans="1:39" hidden="1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">
        <v>3710</v>
      </c>
      <c r="L5130" s="1" t="s">
        <v>35</v>
      </c>
      <c r="M5130" s="86"/>
      <c r="N5130" s="86" t="s">
        <v>3710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778"/>
        <v>-46787.660000000011</v>
      </c>
      <c r="X5130" s="6">
        <f t="shared" si="779"/>
        <v>1259.9000000000001</v>
      </c>
      <c r="Y5130" s="13">
        <f t="shared" si="782"/>
        <v>0</v>
      </c>
      <c r="Z5130" s="14">
        <v>0</v>
      </c>
      <c r="AA5130" s="6">
        <v>0</v>
      </c>
      <c r="AB5130" s="4">
        <f t="shared" si="783"/>
        <v>1259.9000000000001</v>
      </c>
      <c r="AC5130" s="4">
        <f t="shared" si="776"/>
        <v>0</v>
      </c>
      <c r="AD5130" s="6">
        <f t="shared" si="780"/>
        <v>1259.9000000000001</v>
      </c>
      <c r="AE5130" s="2">
        <v>0.06</v>
      </c>
      <c r="AF5130" s="6">
        <f t="shared" si="777"/>
        <v>75.594000000000008</v>
      </c>
      <c r="AG5130" s="14">
        <v>0</v>
      </c>
      <c r="AH5130" s="64">
        <f t="shared" si="781"/>
        <v>1259.9000000000001</v>
      </c>
      <c r="AI5130" s="47"/>
      <c r="AJ5130" s="126" t="e">
        <v>#N/A</v>
      </c>
      <c r="AK5130" s="80">
        <f t="shared" si="784"/>
        <v>0</v>
      </c>
      <c r="AM5130" s="85"/>
    </row>
    <row r="5131" spans="1:39" hidden="1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">
        <v>3710</v>
      </c>
      <c r="L5131" s="1" t="s">
        <v>35</v>
      </c>
      <c r="M5131" s="86"/>
      <c r="N5131" s="86" t="s">
        <v>3710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778"/>
        <v>-493273.3</v>
      </c>
      <c r="X5131" s="6">
        <f t="shared" si="779"/>
        <v>28158.49</v>
      </c>
      <c r="Y5131" s="13">
        <f t="shared" si="782"/>
        <v>0</v>
      </c>
      <c r="Z5131" s="14">
        <v>0</v>
      </c>
      <c r="AA5131" s="6">
        <v>0</v>
      </c>
      <c r="AB5131" s="4">
        <f t="shared" si="783"/>
        <v>28158.49</v>
      </c>
      <c r="AC5131" s="4">
        <f t="shared" si="776"/>
        <v>1689.5094000000001</v>
      </c>
      <c r="AD5131" s="6">
        <f t="shared" si="780"/>
        <v>28158.49</v>
      </c>
      <c r="AE5131" s="2">
        <v>0.06</v>
      </c>
      <c r="AF5131" s="6">
        <f t="shared" si="777"/>
        <v>1689.5094000000001</v>
      </c>
      <c r="AG5131" s="14">
        <v>0</v>
      </c>
      <c r="AH5131" s="64">
        <f t="shared" si="781"/>
        <v>28158.49</v>
      </c>
      <c r="AI5131" s="47"/>
      <c r="AJ5131" s="126" t="e">
        <v>#N/A</v>
      </c>
      <c r="AK5131" s="80">
        <f t="shared" si="784"/>
        <v>0</v>
      </c>
      <c r="AM5131" s="85"/>
    </row>
    <row r="5132" spans="1:39" hidden="1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">
        <v>3710</v>
      </c>
      <c r="L5132" s="1" t="s">
        <v>35</v>
      </c>
      <c r="M5132" s="86"/>
      <c r="N5132" s="86" t="s">
        <v>3710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778"/>
        <v>-284703.09000000003</v>
      </c>
      <c r="X5132" s="6">
        <f t="shared" si="779"/>
        <v>213213.1</v>
      </c>
      <c r="Y5132" s="13">
        <f t="shared" si="782"/>
        <v>0</v>
      </c>
      <c r="Z5132" s="14">
        <v>0</v>
      </c>
      <c r="AA5132" s="6">
        <v>0</v>
      </c>
      <c r="AB5132" s="4">
        <f t="shared" si="783"/>
        <v>213213.1</v>
      </c>
      <c r="AC5132" s="4">
        <f t="shared" ref="AC5132:AC5195" si="785">IF(P5132="返现",X5132*Q5132,V5132-X5132)</f>
        <v>12792.786</v>
      </c>
      <c r="AD5132" s="6">
        <f t="shared" si="780"/>
        <v>213213.1</v>
      </c>
      <c r="AE5132" s="2">
        <v>0.06</v>
      </c>
      <c r="AF5132" s="6">
        <f t="shared" ref="AF5132:AF5195" si="786">AD5132*AE5132</f>
        <v>12792.786</v>
      </c>
      <c r="AG5132" s="14">
        <v>0</v>
      </c>
      <c r="AH5132" s="64">
        <f t="shared" si="781"/>
        <v>213213.1</v>
      </c>
      <c r="AI5132" s="47"/>
      <c r="AJ5132" s="126" t="e">
        <v>#N/A</v>
      </c>
      <c r="AK5132" s="80">
        <f t="shared" si="784"/>
        <v>0</v>
      </c>
      <c r="AM5132" s="85"/>
    </row>
    <row r="5133" spans="1:39" hidden="1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">
        <v>3712</v>
      </c>
      <c r="L5133" s="1" t="s">
        <v>35</v>
      </c>
      <c r="M5133" s="86"/>
      <c r="N5133" s="86" t="s">
        <v>3712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778"/>
        <v>-1204.8900000000001</v>
      </c>
      <c r="X5133" s="6">
        <f t="shared" si="779"/>
        <v>0</v>
      </c>
      <c r="Y5133" s="13">
        <f t="shared" si="782"/>
        <v>0</v>
      </c>
      <c r="Z5133" s="14">
        <v>0</v>
      </c>
      <c r="AA5133" s="6">
        <v>0</v>
      </c>
      <c r="AB5133" s="4">
        <f t="shared" si="783"/>
        <v>0</v>
      </c>
      <c r="AC5133" s="4">
        <f t="shared" si="785"/>
        <v>0</v>
      </c>
      <c r="AD5133" s="6">
        <f t="shared" si="780"/>
        <v>0</v>
      </c>
      <c r="AE5133" s="2">
        <v>0.06</v>
      </c>
      <c r="AF5133" s="6">
        <f t="shared" si="786"/>
        <v>0</v>
      </c>
      <c r="AG5133" s="14">
        <v>0</v>
      </c>
      <c r="AH5133" s="64">
        <f t="shared" si="781"/>
        <v>0</v>
      </c>
      <c r="AI5133" s="47"/>
      <c r="AJ5133" s="126" t="e">
        <v>#N/A</v>
      </c>
      <c r="AK5133" s="80">
        <f t="shared" si="784"/>
        <v>0</v>
      </c>
      <c r="AM5133" s="85"/>
    </row>
    <row r="5134" spans="1:39" hidden="1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778"/>
        <v>-52.17</v>
      </c>
      <c r="X5134" s="6">
        <f t="shared" si="779"/>
        <v>41.883495145631066</v>
      </c>
      <c r="Y5134" s="13">
        <f t="shared" si="782"/>
        <v>0</v>
      </c>
      <c r="Z5134" s="14">
        <v>0</v>
      </c>
      <c r="AA5134" s="6">
        <v>0</v>
      </c>
      <c r="AB5134" s="4">
        <f t="shared" si="783"/>
        <v>41.883495145631066</v>
      </c>
      <c r="AC5134" s="4">
        <f t="shared" si="785"/>
        <v>1.2565048543689343</v>
      </c>
      <c r="AD5134" s="6">
        <f t="shared" si="780"/>
        <v>43.14</v>
      </c>
      <c r="AE5134" s="2">
        <v>0.06</v>
      </c>
      <c r="AF5134" s="6">
        <f t="shared" si="786"/>
        <v>2.5884</v>
      </c>
      <c r="AG5134" s="14">
        <v>0</v>
      </c>
      <c r="AH5134" s="64">
        <f t="shared" si="781"/>
        <v>43.14</v>
      </c>
      <c r="AI5134" s="47"/>
      <c r="AJ5134" s="126" t="e">
        <v>#N/A</v>
      </c>
      <c r="AK5134" s="80">
        <f t="shared" si="784"/>
        <v>0</v>
      </c>
      <c r="AM5134" s="85"/>
    </row>
    <row r="5135" spans="1:39" hidden="1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778"/>
        <v>-37624.36</v>
      </c>
      <c r="X5135" s="6">
        <f t="shared" si="779"/>
        <v>4414.6509433962265</v>
      </c>
      <c r="Y5135" s="13">
        <f t="shared" si="782"/>
        <v>0</v>
      </c>
      <c r="Z5135" s="14">
        <v>0</v>
      </c>
      <c r="AA5135" s="6">
        <v>0</v>
      </c>
      <c r="AB5135" s="4">
        <f t="shared" si="783"/>
        <v>4414.6509433962265</v>
      </c>
      <c r="AC5135" s="4">
        <f t="shared" si="785"/>
        <v>264.87905660377419</v>
      </c>
      <c r="AD5135" s="6">
        <f t="shared" si="780"/>
        <v>4679.5300000000007</v>
      </c>
      <c r="AE5135" s="2">
        <v>0.06</v>
      </c>
      <c r="AF5135" s="6">
        <f t="shared" si="786"/>
        <v>280.77180000000004</v>
      </c>
      <c r="AG5135" s="14">
        <v>0</v>
      </c>
      <c r="AH5135" s="64">
        <f t="shared" si="781"/>
        <v>4679.5300000000007</v>
      </c>
      <c r="AI5135" s="47"/>
      <c r="AJ5135" s="126" t="e">
        <v>#N/A</v>
      </c>
      <c r="AK5135" s="80">
        <f t="shared" si="784"/>
        <v>0</v>
      </c>
      <c r="AM5135" s="85"/>
    </row>
    <row r="5136" spans="1:39" hidden="1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">
        <v>3712</v>
      </c>
      <c r="L5136" s="1" t="s">
        <v>35</v>
      </c>
      <c r="M5136" s="86"/>
      <c r="N5136" s="86" t="s">
        <v>3712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778"/>
        <v>-23.1</v>
      </c>
      <c r="X5136" s="6">
        <f t="shared" si="779"/>
        <v>0</v>
      </c>
      <c r="Y5136" s="13">
        <f t="shared" si="782"/>
        <v>0</v>
      </c>
      <c r="Z5136" s="14">
        <v>0</v>
      </c>
      <c r="AA5136" s="6">
        <v>0</v>
      </c>
      <c r="AB5136" s="4">
        <f t="shared" si="783"/>
        <v>0</v>
      </c>
      <c r="AC5136" s="4">
        <f t="shared" si="785"/>
        <v>0</v>
      </c>
      <c r="AD5136" s="6">
        <f t="shared" si="780"/>
        <v>0</v>
      </c>
      <c r="AE5136" s="2">
        <v>0.06</v>
      </c>
      <c r="AF5136" s="6">
        <f t="shared" si="786"/>
        <v>0</v>
      </c>
      <c r="AG5136" s="14">
        <v>0</v>
      </c>
      <c r="AH5136" s="64">
        <f t="shared" si="781"/>
        <v>0</v>
      </c>
      <c r="AI5136" s="47"/>
      <c r="AJ5136" s="126" t="e">
        <v>#N/A</v>
      </c>
      <c r="AK5136" s="80">
        <f t="shared" si="784"/>
        <v>0</v>
      </c>
      <c r="AM5136" s="85"/>
    </row>
    <row r="5137" spans="1:39" hidden="1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778"/>
        <v>-17954.02</v>
      </c>
      <c r="X5137" s="6">
        <f t="shared" si="779"/>
        <v>3798.9223300970875</v>
      </c>
      <c r="Y5137" s="13">
        <f t="shared" si="782"/>
        <v>0</v>
      </c>
      <c r="Z5137" s="14">
        <v>0</v>
      </c>
      <c r="AA5137" s="6">
        <v>0</v>
      </c>
      <c r="AB5137" s="4">
        <f t="shared" si="783"/>
        <v>3798.9223300970875</v>
      </c>
      <c r="AC5137" s="4">
        <f t="shared" si="785"/>
        <v>113.9676699029128</v>
      </c>
      <c r="AD5137" s="6">
        <f t="shared" si="780"/>
        <v>3912.8900000000003</v>
      </c>
      <c r="AE5137" s="2">
        <v>0.06</v>
      </c>
      <c r="AF5137" s="6">
        <f t="shared" si="786"/>
        <v>234.77340000000001</v>
      </c>
      <c r="AG5137" s="14">
        <v>0</v>
      </c>
      <c r="AH5137" s="64">
        <f t="shared" si="781"/>
        <v>3912.8900000000003</v>
      </c>
      <c r="AI5137" s="47"/>
      <c r="AJ5137" s="126" t="e">
        <v>#N/A</v>
      </c>
      <c r="AK5137" s="80">
        <f t="shared" si="784"/>
        <v>0</v>
      </c>
      <c r="AM5137" s="85"/>
    </row>
    <row r="5138" spans="1:39" hidden="1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778"/>
        <v>-2554.35</v>
      </c>
      <c r="X5138" s="6">
        <f t="shared" si="779"/>
        <v>960.60377358490564</v>
      </c>
      <c r="Y5138" s="13">
        <f t="shared" si="782"/>
        <v>0</v>
      </c>
      <c r="Z5138" s="14">
        <v>0</v>
      </c>
      <c r="AA5138" s="6">
        <v>0</v>
      </c>
      <c r="AB5138" s="4">
        <f t="shared" si="783"/>
        <v>960.60377358490564</v>
      </c>
      <c r="AC5138" s="4">
        <f t="shared" si="785"/>
        <v>57.63622641509437</v>
      </c>
      <c r="AD5138" s="6">
        <f t="shared" si="780"/>
        <v>1018.24</v>
      </c>
      <c r="AE5138" s="2">
        <v>0.06</v>
      </c>
      <c r="AF5138" s="6">
        <f t="shared" si="786"/>
        <v>61.0944</v>
      </c>
      <c r="AG5138" s="14">
        <v>0</v>
      </c>
      <c r="AH5138" s="64">
        <f t="shared" si="781"/>
        <v>1018.24</v>
      </c>
      <c r="AI5138" s="47"/>
      <c r="AJ5138" s="126" t="e">
        <v>#N/A</v>
      </c>
      <c r="AK5138" s="80">
        <f t="shared" si="784"/>
        <v>0</v>
      </c>
      <c r="AM5138" s="85"/>
    </row>
    <row r="5139" spans="1:39" hidden="1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778"/>
        <v>-12665.330000000002</v>
      </c>
      <c r="X5139" s="6">
        <f t="shared" si="779"/>
        <v>1599.3653846153845</v>
      </c>
      <c r="Y5139" s="13">
        <f t="shared" si="782"/>
        <v>0</v>
      </c>
      <c r="Z5139" s="14">
        <v>0</v>
      </c>
      <c r="AA5139" s="6">
        <v>0</v>
      </c>
      <c r="AB5139" s="4">
        <f t="shared" si="783"/>
        <v>1599.3653846153845</v>
      </c>
      <c r="AC5139" s="4">
        <f t="shared" si="785"/>
        <v>63.97461538461539</v>
      </c>
      <c r="AD5139" s="6">
        <f t="shared" si="780"/>
        <v>1663.34</v>
      </c>
      <c r="AE5139" s="2">
        <v>0.06</v>
      </c>
      <c r="AF5139" s="6">
        <f t="shared" si="786"/>
        <v>99.800399999999996</v>
      </c>
      <c r="AG5139" s="14">
        <v>0</v>
      </c>
      <c r="AH5139" s="64">
        <f t="shared" si="781"/>
        <v>1663.34</v>
      </c>
      <c r="AI5139" s="47"/>
      <c r="AJ5139" s="126" t="e">
        <v>#N/A</v>
      </c>
      <c r="AK5139" s="80">
        <f t="shared" si="784"/>
        <v>0</v>
      </c>
      <c r="AM5139" s="85"/>
    </row>
    <row r="5140" spans="1:39" hidden="1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778"/>
        <v>-10334.340000000002</v>
      </c>
      <c r="X5140" s="6">
        <f t="shared" si="779"/>
        <v>4.5188679245283021</v>
      </c>
      <c r="Y5140" s="13">
        <f t="shared" si="782"/>
        <v>0</v>
      </c>
      <c r="Z5140" s="14">
        <v>0</v>
      </c>
      <c r="AA5140" s="6">
        <v>0</v>
      </c>
      <c r="AB5140" s="4">
        <f t="shared" si="783"/>
        <v>4.5188679245283021</v>
      </c>
      <c r="AC5140" s="4">
        <f t="shared" si="785"/>
        <v>0.27113207547169793</v>
      </c>
      <c r="AD5140" s="6">
        <f t="shared" si="780"/>
        <v>4.79</v>
      </c>
      <c r="AE5140" s="2">
        <v>0.06</v>
      </c>
      <c r="AF5140" s="6">
        <f t="shared" si="786"/>
        <v>0.28739999999999999</v>
      </c>
      <c r="AG5140" s="14">
        <v>0</v>
      </c>
      <c r="AH5140" s="64">
        <f t="shared" si="781"/>
        <v>4.79</v>
      </c>
      <c r="AI5140" s="47"/>
      <c r="AJ5140" s="126" t="e">
        <v>#N/A</v>
      </c>
      <c r="AK5140" s="80">
        <f t="shared" si="784"/>
        <v>0</v>
      </c>
      <c r="AM5140" s="85"/>
    </row>
    <row r="5141" spans="1:39" hidden="1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">
        <v>3712</v>
      </c>
      <c r="L5141" s="1" t="s">
        <v>35</v>
      </c>
      <c r="M5141" s="86"/>
      <c r="N5141" s="86" t="s">
        <v>3712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778"/>
        <v>-2712.79</v>
      </c>
      <c r="X5141" s="6">
        <f t="shared" si="779"/>
        <v>1393.5199999999998</v>
      </c>
      <c r="Y5141" s="13">
        <f t="shared" si="782"/>
        <v>0</v>
      </c>
      <c r="Z5141" s="14">
        <v>0</v>
      </c>
      <c r="AA5141" s="6">
        <v>0</v>
      </c>
      <c r="AB5141" s="4">
        <f t="shared" si="783"/>
        <v>1393.5199999999998</v>
      </c>
      <c r="AC5141" s="4">
        <f t="shared" si="785"/>
        <v>0</v>
      </c>
      <c r="AD5141" s="6">
        <f t="shared" si="780"/>
        <v>1393.5199999999998</v>
      </c>
      <c r="AE5141" s="2">
        <v>0.06</v>
      </c>
      <c r="AF5141" s="6">
        <f t="shared" si="786"/>
        <v>83.611199999999982</v>
      </c>
      <c r="AG5141" s="14">
        <v>0</v>
      </c>
      <c r="AH5141" s="64">
        <f t="shared" si="781"/>
        <v>1393.5199999999998</v>
      </c>
      <c r="AI5141" s="47"/>
      <c r="AJ5141" s="126" t="e">
        <v>#N/A</v>
      </c>
      <c r="AK5141" s="80">
        <f t="shared" si="784"/>
        <v>0</v>
      </c>
      <c r="AM5141" s="85"/>
    </row>
    <row r="5142" spans="1:39" hidden="1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">
        <v>3710</v>
      </c>
      <c r="L5142" s="1" t="s">
        <v>35</v>
      </c>
      <c r="M5142" s="86"/>
      <c r="N5142" s="86" t="s">
        <v>3710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778"/>
        <v>-2641.61</v>
      </c>
      <c r="X5142" s="6">
        <f t="shared" si="779"/>
        <v>753.87</v>
      </c>
      <c r="Y5142" s="13">
        <f t="shared" si="782"/>
        <v>0</v>
      </c>
      <c r="Z5142" s="14">
        <v>0</v>
      </c>
      <c r="AA5142" s="6">
        <v>0</v>
      </c>
      <c r="AB5142" s="4">
        <f t="shared" si="783"/>
        <v>753.87</v>
      </c>
      <c r="AC5142" s="4">
        <f t="shared" si="785"/>
        <v>0</v>
      </c>
      <c r="AD5142" s="6">
        <f t="shared" si="780"/>
        <v>753.87</v>
      </c>
      <c r="AE5142" s="2">
        <v>0.06</v>
      </c>
      <c r="AF5142" s="6">
        <f t="shared" si="786"/>
        <v>45.232199999999999</v>
      </c>
      <c r="AG5142" s="14">
        <v>0</v>
      </c>
      <c r="AH5142" s="64">
        <f t="shared" si="781"/>
        <v>753.87</v>
      </c>
      <c r="AI5142" s="47"/>
      <c r="AJ5142" s="126" t="e">
        <v>#N/A</v>
      </c>
      <c r="AK5142" s="80">
        <f t="shared" si="784"/>
        <v>0</v>
      </c>
      <c r="AM5142" s="85"/>
    </row>
    <row r="5143" spans="1:39" hidden="1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">
        <v>3707</v>
      </c>
      <c r="L5143" s="1" t="s">
        <v>35</v>
      </c>
      <c r="M5143" s="86"/>
      <c r="N5143" s="86" t="s">
        <v>3707</v>
      </c>
      <c r="O5143" s="47" t="s">
        <v>105</v>
      </c>
      <c r="P5143" s="1" t="s">
        <v>3753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778"/>
        <v>-4146.54</v>
      </c>
      <c r="X5143" s="6">
        <f t="shared" si="779"/>
        <v>0</v>
      </c>
      <c r="Y5143" s="13">
        <f t="shared" si="782"/>
        <v>0</v>
      </c>
      <c r="Z5143" s="14">
        <v>0</v>
      </c>
      <c r="AA5143" s="6">
        <v>0</v>
      </c>
      <c r="AB5143" s="4">
        <f t="shared" si="783"/>
        <v>0</v>
      </c>
      <c r="AC5143" s="4">
        <f t="shared" si="785"/>
        <v>0</v>
      </c>
      <c r="AD5143" s="6">
        <f t="shared" si="780"/>
        <v>0</v>
      </c>
      <c r="AE5143" s="2">
        <v>0.06</v>
      </c>
      <c r="AF5143" s="6">
        <f t="shared" si="786"/>
        <v>0</v>
      </c>
      <c r="AG5143" s="14">
        <v>0</v>
      </c>
      <c r="AH5143" s="64">
        <f t="shared" si="781"/>
        <v>0</v>
      </c>
      <c r="AI5143" s="47"/>
      <c r="AJ5143" s="126" t="e">
        <v>#N/A</v>
      </c>
      <c r="AK5143" s="80">
        <f t="shared" si="784"/>
        <v>0</v>
      </c>
      <c r="AM5143" s="85"/>
    </row>
    <row r="5144" spans="1:39" hidden="1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">
        <v>3707</v>
      </c>
      <c r="L5144" s="1" t="s">
        <v>35</v>
      </c>
      <c r="M5144" s="86"/>
      <c r="N5144" s="86" t="s">
        <v>3707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778"/>
        <v>-129.85000000000002</v>
      </c>
      <c r="X5144" s="6">
        <f t="shared" si="779"/>
        <v>107.63000000000001</v>
      </c>
      <c r="Y5144" s="13">
        <f t="shared" si="782"/>
        <v>0</v>
      </c>
      <c r="Z5144" s="14">
        <v>0</v>
      </c>
      <c r="AA5144" s="6">
        <v>0</v>
      </c>
      <c r="AB5144" s="4">
        <f t="shared" si="783"/>
        <v>107.63000000000001</v>
      </c>
      <c r="AC5144" s="4">
        <f t="shared" si="785"/>
        <v>0</v>
      </c>
      <c r="AD5144" s="6">
        <f t="shared" si="780"/>
        <v>107.63000000000001</v>
      </c>
      <c r="AE5144" s="2">
        <v>0.06</v>
      </c>
      <c r="AF5144" s="6">
        <f t="shared" si="786"/>
        <v>6.4578000000000007</v>
      </c>
      <c r="AG5144" s="14">
        <v>0</v>
      </c>
      <c r="AH5144" s="64">
        <f t="shared" si="781"/>
        <v>107.63000000000001</v>
      </c>
      <c r="AI5144" s="47"/>
      <c r="AJ5144" s="126" t="e">
        <v>#N/A</v>
      </c>
      <c r="AK5144" s="80">
        <f t="shared" si="784"/>
        <v>0</v>
      </c>
      <c r="AM5144" s="85"/>
    </row>
    <row r="5145" spans="1:39" hidden="1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">
        <v>3712</v>
      </c>
      <c r="L5145" s="1" t="s">
        <v>35</v>
      </c>
      <c r="M5145" s="86"/>
      <c r="N5145" s="86" t="s">
        <v>3712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778"/>
        <v>10000</v>
      </c>
      <c r="X5145" s="6">
        <f t="shared" si="779"/>
        <v>0</v>
      </c>
      <c r="Y5145" s="13">
        <f t="shared" si="782"/>
        <v>0</v>
      </c>
      <c r="Z5145" s="14">
        <v>0</v>
      </c>
      <c r="AA5145" s="6">
        <v>0</v>
      </c>
      <c r="AB5145" s="4">
        <f t="shared" si="783"/>
        <v>0</v>
      </c>
      <c r="AC5145" s="4">
        <f t="shared" si="785"/>
        <v>0</v>
      </c>
      <c r="AD5145" s="6">
        <f t="shared" si="780"/>
        <v>0</v>
      </c>
      <c r="AE5145" s="2">
        <v>0.05</v>
      </c>
      <c r="AF5145" s="6">
        <f t="shared" si="786"/>
        <v>0</v>
      </c>
      <c r="AG5145" s="14">
        <v>0</v>
      </c>
      <c r="AH5145" s="64">
        <f t="shared" si="781"/>
        <v>0</v>
      </c>
      <c r="AI5145" s="47"/>
      <c r="AJ5145" s="126" t="e">
        <v>#N/A</v>
      </c>
      <c r="AK5145" s="80">
        <f t="shared" si="784"/>
        <v>0</v>
      </c>
      <c r="AM5145" s="85"/>
    </row>
    <row r="5146" spans="1:39" hidden="1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">
        <v>3712</v>
      </c>
      <c r="L5146" s="1" t="s">
        <v>35</v>
      </c>
      <c r="M5146" s="86"/>
      <c r="N5146" s="86" t="s">
        <v>3712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778"/>
        <v>-18974.820000000003</v>
      </c>
      <c r="X5146" s="6">
        <f t="shared" si="779"/>
        <v>3146.79</v>
      </c>
      <c r="Y5146" s="13">
        <f t="shared" si="782"/>
        <v>0</v>
      </c>
      <c r="Z5146" s="14">
        <v>0</v>
      </c>
      <c r="AA5146" s="6">
        <v>0</v>
      </c>
      <c r="AB5146" s="4">
        <f t="shared" si="783"/>
        <v>3146.79</v>
      </c>
      <c r="AC5146" s="4">
        <f t="shared" si="785"/>
        <v>188.8074</v>
      </c>
      <c r="AD5146" s="6">
        <f t="shared" si="780"/>
        <v>3146.79</v>
      </c>
      <c r="AE5146" s="2">
        <v>0.06</v>
      </c>
      <c r="AF5146" s="6">
        <f t="shared" si="786"/>
        <v>188.8074</v>
      </c>
      <c r="AG5146" s="14">
        <v>0</v>
      </c>
      <c r="AH5146" s="64">
        <f t="shared" si="781"/>
        <v>3146.79</v>
      </c>
      <c r="AI5146" s="47"/>
      <c r="AJ5146" s="126" t="e">
        <v>#N/A</v>
      </c>
      <c r="AK5146" s="80">
        <f t="shared" si="784"/>
        <v>0</v>
      </c>
      <c r="AM5146" s="85"/>
    </row>
    <row r="5147" spans="1:39" hidden="1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">
        <v>3712</v>
      </c>
      <c r="L5147" s="1" t="s">
        <v>35</v>
      </c>
      <c r="M5147" s="86"/>
      <c r="N5147" s="86" t="s">
        <v>3735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778"/>
        <v>-394401.72000000003</v>
      </c>
      <c r="X5147" s="6">
        <f t="shared" si="779"/>
        <v>186251.13000000006</v>
      </c>
      <c r="Y5147" s="13">
        <f t="shared" si="782"/>
        <v>0</v>
      </c>
      <c r="Z5147" s="14">
        <v>0</v>
      </c>
      <c r="AA5147" s="6">
        <v>0</v>
      </c>
      <c r="AB5147" s="4">
        <f t="shared" si="783"/>
        <v>186251.13000000006</v>
      </c>
      <c r="AC5147" s="4">
        <f t="shared" si="785"/>
        <v>11175.067800000003</v>
      </c>
      <c r="AD5147" s="6">
        <f t="shared" si="780"/>
        <v>186251.13000000006</v>
      </c>
      <c r="AE5147" s="2">
        <v>0.06</v>
      </c>
      <c r="AF5147" s="6">
        <f t="shared" si="786"/>
        <v>11175.067800000003</v>
      </c>
      <c r="AG5147" s="14">
        <v>0</v>
      </c>
      <c r="AH5147" s="64">
        <f t="shared" si="781"/>
        <v>186251.13000000006</v>
      </c>
      <c r="AI5147" s="47"/>
      <c r="AJ5147" s="126" t="e">
        <v>#N/A</v>
      </c>
      <c r="AK5147" s="80">
        <f t="shared" si="784"/>
        <v>0</v>
      </c>
      <c r="AM5147" s="85"/>
    </row>
    <row r="5148" spans="1:39" hidden="1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778"/>
        <v>-14149.710000000001</v>
      </c>
      <c r="X5148" s="6">
        <f t="shared" si="779"/>
        <v>14082.650000000001</v>
      </c>
      <c r="Y5148" s="13">
        <f t="shared" si="782"/>
        <v>0</v>
      </c>
      <c r="Z5148" s="14">
        <v>0</v>
      </c>
      <c r="AA5148" s="6">
        <v>0</v>
      </c>
      <c r="AB5148" s="4">
        <f t="shared" si="783"/>
        <v>14082.650000000001</v>
      </c>
      <c r="AC5148" s="4">
        <f t="shared" si="785"/>
        <v>844.95900000000006</v>
      </c>
      <c r="AD5148" s="6">
        <f t="shared" si="780"/>
        <v>14082.650000000001</v>
      </c>
      <c r="AE5148" s="2">
        <v>0.05</v>
      </c>
      <c r="AF5148" s="6">
        <f t="shared" si="786"/>
        <v>704.13250000000016</v>
      </c>
      <c r="AG5148" s="14">
        <v>0</v>
      </c>
      <c r="AH5148" s="64">
        <f t="shared" si="781"/>
        <v>14082.650000000001</v>
      </c>
      <c r="AI5148" s="47"/>
      <c r="AJ5148" s="126" t="e">
        <v>#N/A</v>
      </c>
      <c r="AK5148" s="80">
        <f t="shared" si="784"/>
        <v>0</v>
      </c>
      <c r="AM5148" s="85"/>
    </row>
    <row r="5149" spans="1:39" hidden="1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778"/>
        <v>-39667.019999999982</v>
      </c>
      <c r="X5149" s="6">
        <f t="shared" si="779"/>
        <v>37534.069999999985</v>
      </c>
      <c r="Y5149" s="13">
        <f t="shared" si="782"/>
        <v>0</v>
      </c>
      <c r="Z5149" s="14">
        <v>0</v>
      </c>
      <c r="AA5149" s="6">
        <v>0</v>
      </c>
      <c r="AB5149" s="4">
        <f t="shared" si="783"/>
        <v>37534.069999999985</v>
      </c>
      <c r="AC5149" s="4">
        <f t="shared" si="785"/>
        <v>2252.0441999999989</v>
      </c>
      <c r="AD5149" s="6">
        <f t="shared" si="780"/>
        <v>37534.069999999985</v>
      </c>
      <c r="AE5149" s="2">
        <v>0.05</v>
      </c>
      <c r="AF5149" s="6">
        <f t="shared" si="786"/>
        <v>1876.7034999999994</v>
      </c>
      <c r="AG5149" s="14">
        <v>0</v>
      </c>
      <c r="AH5149" s="64">
        <f t="shared" si="781"/>
        <v>37534.069999999985</v>
      </c>
      <c r="AI5149" s="47"/>
      <c r="AJ5149" s="126" t="e">
        <v>#N/A</v>
      </c>
      <c r="AK5149" s="80">
        <f t="shared" si="784"/>
        <v>0</v>
      </c>
      <c r="AM5149" s="85"/>
    </row>
    <row r="5150" spans="1:39" hidden="1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778"/>
        <v>-1833.5199999999998</v>
      </c>
      <c r="X5150" s="6">
        <f t="shared" si="779"/>
        <v>9.8039215686274508E-3</v>
      </c>
      <c r="Y5150" s="13">
        <f t="shared" si="782"/>
        <v>0</v>
      </c>
      <c r="Z5150" s="14">
        <v>0</v>
      </c>
      <c r="AA5150" s="6">
        <v>0</v>
      </c>
      <c r="AB5150" s="4">
        <f t="shared" si="783"/>
        <v>9.8039215686274508E-3</v>
      </c>
      <c r="AC5150" s="4">
        <f t="shared" si="785"/>
        <v>1.9607843137254936E-4</v>
      </c>
      <c r="AD5150" s="6">
        <f t="shared" si="780"/>
        <v>0.01</v>
      </c>
      <c r="AE5150" s="2">
        <v>0.05</v>
      </c>
      <c r="AF5150" s="6">
        <f t="shared" si="786"/>
        <v>5.0000000000000001E-4</v>
      </c>
      <c r="AG5150" s="14">
        <v>0</v>
      </c>
      <c r="AH5150" s="64">
        <f t="shared" si="781"/>
        <v>0.01</v>
      </c>
      <c r="AI5150" s="47"/>
      <c r="AJ5150" s="126" t="e">
        <v>#N/A</v>
      </c>
      <c r="AK5150" s="80">
        <f t="shared" si="784"/>
        <v>0</v>
      </c>
      <c r="AM5150" s="85"/>
    </row>
    <row r="5151" spans="1:39" hidden="1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778"/>
        <v>-236.93999999999997</v>
      </c>
      <c r="X5151" s="6">
        <f t="shared" si="779"/>
        <v>0</v>
      </c>
      <c r="Y5151" s="13">
        <f t="shared" si="782"/>
        <v>0</v>
      </c>
      <c r="Z5151" s="14">
        <v>0</v>
      </c>
      <c r="AA5151" s="6">
        <v>0</v>
      </c>
      <c r="AB5151" s="4">
        <f t="shared" si="783"/>
        <v>0</v>
      </c>
      <c r="AC5151" s="4">
        <f t="shared" si="785"/>
        <v>0</v>
      </c>
      <c r="AD5151" s="6">
        <f t="shared" si="780"/>
        <v>0</v>
      </c>
      <c r="AE5151" s="2">
        <v>0.05</v>
      </c>
      <c r="AF5151" s="6">
        <f t="shared" si="786"/>
        <v>0</v>
      </c>
      <c r="AG5151" s="14">
        <v>0</v>
      </c>
      <c r="AH5151" s="64">
        <f t="shared" si="781"/>
        <v>0</v>
      </c>
      <c r="AI5151" s="47"/>
      <c r="AJ5151" s="126" t="e">
        <v>#N/A</v>
      </c>
      <c r="AK5151" s="80">
        <f t="shared" si="784"/>
        <v>0</v>
      </c>
      <c r="AM5151" s="85"/>
    </row>
    <row r="5152" spans="1:39" hidden="1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778"/>
        <v>11989696.459999986</v>
      </c>
      <c r="X5152" s="6">
        <f t="shared" si="779"/>
        <v>35378293.624999993</v>
      </c>
      <c r="Y5152" s="13">
        <f t="shared" si="782"/>
        <v>0</v>
      </c>
      <c r="Z5152" s="14">
        <v>0</v>
      </c>
      <c r="AA5152" s="6">
        <v>0</v>
      </c>
      <c r="AB5152" s="4">
        <f t="shared" si="783"/>
        <v>35378293.624999993</v>
      </c>
      <c r="AC5152" s="4">
        <f t="shared" si="785"/>
        <v>1415131.7450000048</v>
      </c>
      <c r="AD5152" s="6">
        <f t="shared" si="780"/>
        <v>36793425.369999997</v>
      </c>
      <c r="AE5152" s="2">
        <v>0.05</v>
      </c>
      <c r="AF5152" s="6">
        <f t="shared" si="786"/>
        <v>1839671.2685</v>
      </c>
      <c r="AG5152" s="14">
        <v>0</v>
      </c>
      <c r="AH5152" s="64">
        <f t="shared" si="781"/>
        <v>36793425.369999997</v>
      </c>
      <c r="AI5152" s="47"/>
      <c r="AJ5152" s="126" t="e">
        <v>#N/A</v>
      </c>
      <c r="AK5152" s="80">
        <f t="shared" si="784"/>
        <v>0</v>
      </c>
      <c r="AM5152" s="85"/>
    </row>
    <row r="5153" spans="1:39" hidden="1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778"/>
        <v>-73930.640000000014</v>
      </c>
      <c r="X5153" s="6">
        <f t="shared" si="779"/>
        <v>23269.913461538465</v>
      </c>
      <c r="Y5153" s="13">
        <f t="shared" si="782"/>
        <v>0</v>
      </c>
      <c r="Z5153" s="14">
        <v>0</v>
      </c>
      <c r="AA5153" s="6">
        <v>0</v>
      </c>
      <c r="AB5153" s="4">
        <f t="shared" si="783"/>
        <v>23269.913461538465</v>
      </c>
      <c r="AC5153" s="4">
        <f t="shared" si="785"/>
        <v>930.79653846153815</v>
      </c>
      <c r="AD5153" s="6">
        <f t="shared" si="780"/>
        <v>24200.710000000003</v>
      </c>
      <c r="AE5153" s="2">
        <v>0.05</v>
      </c>
      <c r="AF5153" s="6">
        <f t="shared" si="786"/>
        <v>1210.0355000000002</v>
      </c>
      <c r="AG5153" s="14">
        <v>0</v>
      </c>
      <c r="AH5153" s="64">
        <f t="shared" si="781"/>
        <v>24200.710000000003</v>
      </c>
      <c r="AI5153" s="47"/>
      <c r="AJ5153" s="126" t="e">
        <v>#N/A</v>
      </c>
      <c r="AK5153" s="80">
        <f t="shared" si="784"/>
        <v>0</v>
      </c>
      <c r="AM5153" s="85"/>
    </row>
    <row r="5154" spans="1:39" hidden="1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778"/>
        <v>67610.64999999851</v>
      </c>
      <c r="X5154" s="6">
        <f t="shared" si="779"/>
        <v>23397799.77</v>
      </c>
      <c r="Y5154" s="13">
        <f t="shared" si="782"/>
        <v>0</v>
      </c>
      <c r="Z5154" s="14">
        <v>0</v>
      </c>
      <c r="AA5154" s="6">
        <v>0</v>
      </c>
      <c r="AB5154" s="4">
        <f t="shared" si="783"/>
        <v>23397799.77</v>
      </c>
      <c r="AC5154" s="4">
        <f t="shared" si="785"/>
        <v>1403867.9861999999</v>
      </c>
      <c r="AD5154" s="6">
        <f t="shared" si="780"/>
        <v>23397799.77</v>
      </c>
      <c r="AE5154" s="2">
        <v>0.05</v>
      </c>
      <c r="AF5154" s="6">
        <f t="shared" si="786"/>
        <v>1169889.9885</v>
      </c>
      <c r="AG5154" s="14">
        <v>0</v>
      </c>
      <c r="AH5154" s="64">
        <f t="shared" si="781"/>
        <v>23397799.77</v>
      </c>
      <c r="AI5154" s="47"/>
      <c r="AJ5154" s="126" t="e">
        <v>#N/A</v>
      </c>
      <c r="AK5154" s="80">
        <f t="shared" si="784"/>
        <v>0</v>
      </c>
      <c r="AM5154" s="85"/>
    </row>
    <row r="5155" spans="1:39" hidden="1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778"/>
        <v>-7885.48</v>
      </c>
      <c r="X5155" s="6">
        <f t="shared" si="779"/>
        <v>7885.48</v>
      </c>
      <c r="Y5155" s="13">
        <f t="shared" si="782"/>
        <v>0</v>
      </c>
      <c r="Z5155" s="14">
        <v>0</v>
      </c>
      <c r="AA5155" s="6">
        <v>0</v>
      </c>
      <c r="AB5155" s="4">
        <f t="shared" si="783"/>
        <v>7885.48</v>
      </c>
      <c r="AC5155" s="4">
        <f t="shared" si="785"/>
        <v>473.12879999999996</v>
      </c>
      <c r="AD5155" s="6">
        <f t="shared" si="780"/>
        <v>7885.48</v>
      </c>
      <c r="AE5155" s="2">
        <v>0.05</v>
      </c>
      <c r="AF5155" s="6">
        <f t="shared" si="786"/>
        <v>394.274</v>
      </c>
      <c r="AG5155" s="14">
        <v>0</v>
      </c>
      <c r="AH5155" s="64">
        <f t="shared" si="781"/>
        <v>7885.48</v>
      </c>
      <c r="AI5155" s="47"/>
      <c r="AJ5155" s="126" t="e">
        <v>#N/A</v>
      </c>
      <c r="AK5155" s="80">
        <f t="shared" si="784"/>
        <v>0</v>
      </c>
      <c r="AM5155" s="85"/>
    </row>
    <row r="5156" spans="1:39" hidden="1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778"/>
        <v>-13427.689999999999</v>
      </c>
      <c r="X5156" s="6">
        <f t="shared" si="779"/>
        <v>3760.6698113207549</v>
      </c>
      <c r="Y5156" s="13">
        <f t="shared" si="782"/>
        <v>0</v>
      </c>
      <c r="Z5156" s="14">
        <v>0</v>
      </c>
      <c r="AA5156" s="6">
        <v>0</v>
      </c>
      <c r="AB5156" s="4">
        <f t="shared" si="783"/>
        <v>3760.6698113207549</v>
      </c>
      <c r="AC5156" s="4">
        <f t="shared" si="785"/>
        <v>225.64018867924551</v>
      </c>
      <c r="AD5156" s="6">
        <f t="shared" si="780"/>
        <v>3986.3100000000004</v>
      </c>
      <c r="AE5156" s="2">
        <v>0.05</v>
      </c>
      <c r="AF5156" s="6">
        <f t="shared" si="786"/>
        <v>199.31550000000004</v>
      </c>
      <c r="AG5156" s="14">
        <v>0</v>
      </c>
      <c r="AH5156" s="64">
        <f t="shared" si="781"/>
        <v>3986.3100000000004</v>
      </c>
      <c r="AI5156" s="47"/>
      <c r="AJ5156" s="126" t="e">
        <v>#N/A</v>
      </c>
      <c r="AK5156" s="80">
        <f t="shared" si="784"/>
        <v>0</v>
      </c>
      <c r="AM5156" s="85"/>
    </row>
    <row r="5157" spans="1:39" hidden="1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778"/>
        <v>560000</v>
      </c>
      <c r="X5157" s="6">
        <f t="shared" si="779"/>
        <v>0</v>
      </c>
      <c r="Y5157" s="13">
        <f t="shared" si="782"/>
        <v>0</v>
      </c>
      <c r="Z5157" s="14">
        <v>0</v>
      </c>
      <c r="AA5157" s="6">
        <v>0</v>
      </c>
      <c r="AB5157" s="4">
        <f t="shared" si="783"/>
        <v>0</v>
      </c>
      <c r="AC5157" s="4">
        <f t="shared" si="785"/>
        <v>0</v>
      </c>
      <c r="AD5157" s="6">
        <f t="shared" si="780"/>
        <v>0</v>
      </c>
      <c r="AE5157" s="2">
        <v>0.05</v>
      </c>
      <c r="AF5157" s="6">
        <f t="shared" si="786"/>
        <v>0</v>
      </c>
      <c r="AG5157" s="14">
        <v>0</v>
      </c>
      <c r="AH5157" s="64">
        <f t="shared" si="781"/>
        <v>0</v>
      </c>
      <c r="AI5157" s="47"/>
      <c r="AJ5157" s="126" t="e">
        <v>#N/A</v>
      </c>
      <c r="AK5157" s="80">
        <f t="shared" si="784"/>
        <v>0</v>
      </c>
      <c r="AM5157" s="85"/>
    </row>
    <row r="5158" spans="1:39" hidden="1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778"/>
        <v>1966777.5500000007</v>
      </c>
      <c r="X5158" s="6">
        <f t="shared" si="779"/>
        <v>9925478.1603773572</v>
      </c>
      <c r="Y5158" s="13">
        <f t="shared" si="782"/>
        <v>0</v>
      </c>
      <c r="Z5158" s="14">
        <v>0</v>
      </c>
      <c r="AA5158" s="6">
        <v>0</v>
      </c>
      <c r="AB5158" s="4">
        <f t="shared" si="783"/>
        <v>9925478.1603773572</v>
      </c>
      <c r="AC5158" s="4">
        <f t="shared" si="785"/>
        <v>595528.68962264247</v>
      </c>
      <c r="AD5158" s="6">
        <f t="shared" si="780"/>
        <v>10521006.85</v>
      </c>
      <c r="AE5158" s="2">
        <v>0.05</v>
      </c>
      <c r="AF5158" s="6">
        <f t="shared" si="786"/>
        <v>526050.34250000003</v>
      </c>
      <c r="AG5158" s="14">
        <v>0</v>
      </c>
      <c r="AH5158" s="64">
        <f t="shared" si="781"/>
        <v>10521006.85</v>
      </c>
      <c r="AI5158" s="47"/>
      <c r="AJ5158" s="126" t="e">
        <v>#N/A</v>
      </c>
      <c r="AK5158" s="80">
        <f t="shared" si="784"/>
        <v>0</v>
      </c>
      <c r="AM5158" s="85"/>
    </row>
    <row r="5159" spans="1:39" hidden="1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778"/>
        <v>-168983.21</v>
      </c>
      <c r="X5159" s="6">
        <f t="shared" si="779"/>
        <v>141491.17924528301</v>
      </c>
      <c r="Y5159" s="13">
        <f t="shared" si="782"/>
        <v>0</v>
      </c>
      <c r="Z5159" s="14">
        <v>0</v>
      </c>
      <c r="AA5159" s="6">
        <v>0</v>
      </c>
      <c r="AB5159" s="4">
        <f t="shared" si="783"/>
        <v>141491.17924528301</v>
      </c>
      <c r="AC5159" s="4">
        <f t="shared" si="785"/>
        <v>8489.4707547169819</v>
      </c>
      <c r="AD5159" s="6">
        <f t="shared" si="780"/>
        <v>149980.65</v>
      </c>
      <c r="AE5159" s="2">
        <v>0.05</v>
      </c>
      <c r="AF5159" s="6">
        <f t="shared" si="786"/>
        <v>7499.0325000000003</v>
      </c>
      <c r="AG5159" s="14">
        <v>0</v>
      </c>
      <c r="AH5159" s="64">
        <f t="shared" si="781"/>
        <v>149980.65</v>
      </c>
      <c r="AI5159" s="47"/>
      <c r="AJ5159" s="126" t="e">
        <v>#N/A</v>
      </c>
      <c r="AK5159" s="80">
        <f t="shared" si="784"/>
        <v>0</v>
      </c>
      <c r="AM5159" s="85"/>
    </row>
    <row r="5160" spans="1:39" hidden="1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">
        <v>3710</v>
      </c>
      <c r="L5160" s="1" t="s">
        <v>35</v>
      </c>
      <c r="M5160" s="86"/>
      <c r="N5160" s="86" t="s">
        <v>3730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778"/>
        <v>-59150.23</v>
      </c>
      <c r="X5160" s="6">
        <f t="shared" si="779"/>
        <v>390.49</v>
      </c>
      <c r="Y5160" s="13">
        <f t="shared" si="782"/>
        <v>0</v>
      </c>
      <c r="Z5160" s="14">
        <v>0</v>
      </c>
      <c r="AA5160" s="6">
        <v>0</v>
      </c>
      <c r="AB5160" s="4">
        <f t="shared" si="783"/>
        <v>390.49</v>
      </c>
      <c r="AC5160" s="4">
        <f t="shared" si="785"/>
        <v>23.429400000000001</v>
      </c>
      <c r="AD5160" s="6">
        <f t="shared" si="780"/>
        <v>390.49</v>
      </c>
      <c r="AE5160" s="2">
        <v>0.06</v>
      </c>
      <c r="AF5160" s="6">
        <f t="shared" si="786"/>
        <v>23.429400000000001</v>
      </c>
      <c r="AG5160" s="14">
        <v>0</v>
      </c>
      <c r="AH5160" s="64">
        <f t="shared" si="781"/>
        <v>390.49</v>
      </c>
      <c r="AI5160" s="47"/>
      <c r="AJ5160" s="126" t="e">
        <v>#N/A</v>
      </c>
      <c r="AK5160" s="80">
        <f t="shared" si="784"/>
        <v>0</v>
      </c>
      <c r="AM5160" s="85"/>
    </row>
    <row r="5161" spans="1:39" hidden="1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">
        <v>3707</v>
      </c>
      <c r="L5161" s="1" t="s">
        <v>35</v>
      </c>
      <c r="M5161" s="86"/>
      <c r="N5161" s="86" t="s">
        <v>3707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778"/>
        <v>-264021.04000000004</v>
      </c>
      <c r="X5161" s="6">
        <f t="shared" si="779"/>
        <v>148546.30000000002</v>
      </c>
      <c r="Y5161" s="13">
        <f t="shared" si="782"/>
        <v>0</v>
      </c>
      <c r="Z5161" s="14">
        <v>0</v>
      </c>
      <c r="AA5161" s="6">
        <v>0</v>
      </c>
      <c r="AB5161" s="4">
        <f t="shared" si="783"/>
        <v>148546.30000000002</v>
      </c>
      <c r="AC5161" s="4">
        <f t="shared" si="785"/>
        <v>8912.7780000000002</v>
      </c>
      <c r="AD5161" s="6">
        <f t="shared" si="780"/>
        <v>148546.30000000002</v>
      </c>
      <c r="AE5161" s="2">
        <v>0.06</v>
      </c>
      <c r="AF5161" s="6">
        <f t="shared" si="786"/>
        <v>8912.7780000000002</v>
      </c>
      <c r="AG5161" s="14">
        <v>0</v>
      </c>
      <c r="AH5161" s="64">
        <f t="shared" si="781"/>
        <v>148546.30000000002</v>
      </c>
      <c r="AI5161" s="47"/>
      <c r="AJ5161" s="126" t="e">
        <v>#N/A</v>
      </c>
      <c r="AK5161" s="80">
        <f t="shared" si="784"/>
        <v>0</v>
      </c>
      <c r="AM5161" s="85"/>
    </row>
    <row r="5162" spans="1:39" hidden="1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">
        <v>3707</v>
      </c>
      <c r="L5162" s="1" t="s">
        <v>35</v>
      </c>
      <c r="M5162" s="86"/>
      <c r="N5162" s="86" t="s">
        <v>3707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778"/>
        <v>-40753.049999999996</v>
      </c>
      <c r="X5162" s="6">
        <f t="shared" si="779"/>
        <v>40113.579999999994</v>
      </c>
      <c r="Y5162" s="13">
        <f t="shared" si="782"/>
        <v>0</v>
      </c>
      <c r="Z5162" s="14">
        <v>0</v>
      </c>
      <c r="AA5162" s="6">
        <v>0</v>
      </c>
      <c r="AB5162" s="4">
        <f t="shared" si="783"/>
        <v>40113.579999999994</v>
      </c>
      <c r="AC5162" s="4">
        <f t="shared" si="785"/>
        <v>2406.8147999999997</v>
      </c>
      <c r="AD5162" s="6">
        <f t="shared" si="780"/>
        <v>40113.579999999994</v>
      </c>
      <c r="AE5162" s="2">
        <v>0.06</v>
      </c>
      <c r="AF5162" s="6">
        <f t="shared" si="786"/>
        <v>2406.8147999999997</v>
      </c>
      <c r="AG5162" s="14">
        <v>0</v>
      </c>
      <c r="AH5162" s="64">
        <f t="shared" si="781"/>
        <v>40113.579999999994</v>
      </c>
      <c r="AI5162" s="47"/>
      <c r="AJ5162" s="126" t="e">
        <v>#N/A</v>
      </c>
      <c r="AK5162" s="80">
        <f t="shared" si="784"/>
        <v>0</v>
      </c>
      <c r="AM5162" s="85"/>
    </row>
    <row r="5163" spans="1:39" hidden="1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">
        <v>3712</v>
      </c>
      <c r="L5163" s="1" t="s">
        <v>35</v>
      </c>
      <c r="M5163" s="86"/>
      <c r="N5163" s="86" t="s">
        <v>3740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778"/>
        <v>-30601.860000000004</v>
      </c>
      <c r="X5163" s="6">
        <f t="shared" si="779"/>
        <v>800.09523809523807</v>
      </c>
      <c r="Y5163" s="13">
        <f t="shared" si="782"/>
        <v>0</v>
      </c>
      <c r="Z5163" s="14">
        <v>0</v>
      </c>
      <c r="AA5163" s="6">
        <v>0</v>
      </c>
      <c r="AB5163" s="4">
        <f t="shared" si="783"/>
        <v>800.09523809523807</v>
      </c>
      <c r="AC5163" s="4">
        <f t="shared" si="785"/>
        <v>40.004761904761949</v>
      </c>
      <c r="AD5163" s="6">
        <f t="shared" si="780"/>
        <v>840.1</v>
      </c>
      <c r="AE5163" s="2">
        <v>0.06</v>
      </c>
      <c r="AF5163" s="6">
        <f t="shared" si="786"/>
        <v>50.405999999999999</v>
      </c>
      <c r="AG5163" s="14">
        <v>0</v>
      </c>
      <c r="AH5163" s="64">
        <f t="shared" si="781"/>
        <v>840.1</v>
      </c>
      <c r="AI5163" s="47"/>
      <c r="AJ5163" s="126" t="e">
        <v>#N/A</v>
      </c>
      <c r="AK5163" s="80">
        <f t="shared" si="784"/>
        <v>0</v>
      </c>
      <c r="AM5163" s="85"/>
    </row>
    <row r="5164" spans="1:39" hidden="1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">
        <v>3712</v>
      </c>
      <c r="L5164" s="1" t="s">
        <v>35</v>
      </c>
      <c r="M5164" s="86"/>
      <c r="N5164" s="86" t="s">
        <v>3712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778"/>
        <v>-37.769999999999996</v>
      </c>
      <c r="X5164" s="6">
        <f t="shared" si="779"/>
        <v>0</v>
      </c>
      <c r="Y5164" s="13">
        <f t="shared" si="782"/>
        <v>0</v>
      </c>
      <c r="Z5164" s="14">
        <v>0</v>
      </c>
      <c r="AA5164" s="6">
        <v>0</v>
      </c>
      <c r="AB5164" s="4">
        <f t="shared" si="783"/>
        <v>0</v>
      </c>
      <c r="AC5164" s="4">
        <f t="shared" si="785"/>
        <v>0</v>
      </c>
      <c r="AD5164" s="6">
        <f t="shared" si="780"/>
        <v>0</v>
      </c>
      <c r="AE5164" s="2">
        <v>0.06</v>
      </c>
      <c r="AF5164" s="6">
        <f t="shared" si="786"/>
        <v>0</v>
      </c>
      <c r="AG5164" s="14">
        <v>0</v>
      </c>
      <c r="AH5164" s="64">
        <f t="shared" si="781"/>
        <v>0</v>
      </c>
      <c r="AI5164" s="47"/>
      <c r="AJ5164" s="126" t="e">
        <v>#N/A</v>
      </c>
      <c r="AK5164" s="80">
        <f t="shared" si="784"/>
        <v>0</v>
      </c>
      <c r="AM5164" s="85"/>
    </row>
    <row r="5165" spans="1:39" hidden="1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">
        <v>3707</v>
      </c>
      <c r="L5165" s="1" t="s">
        <v>35</v>
      </c>
      <c r="M5165" s="86"/>
      <c r="N5165" s="86" t="s">
        <v>3707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778"/>
        <v>-7838.73</v>
      </c>
      <c r="X5165" s="6">
        <f t="shared" si="779"/>
        <v>1649.19</v>
      </c>
      <c r="Y5165" s="13">
        <f t="shared" si="782"/>
        <v>0</v>
      </c>
      <c r="Z5165" s="14">
        <v>0</v>
      </c>
      <c r="AA5165" s="6">
        <v>0</v>
      </c>
      <c r="AB5165" s="4">
        <f t="shared" si="783"/>
        <v>1649.19</v>
      </c>
      <c r="AC5165" s="4">
        <f t="shared" si="785"/>
        <v>0</v>
      </c>
      <c r="AD5165" s="6">
        <f t="shared" si="780"/>
        <v>1649.19</v>
      </c>
      <c r="AE5165" s="2">
        <v>0.06</v>
      </c>
      <c r="AF5165" s="6">
        <f t="shared" si="786"/>
        <v>98.951400000000007</v>
      </c>
      <c r="AG5165" s="14">
        <v>0</v>
      </c>
      <c r="AH5165" s="64">
        <f t="shared" si="781"/>
        <v>1649.19</v>
      </c>
      <c r="AI5165" s="47"/>
      <c r="AJ5165" s="126" t="e">
        <v>#N/A</v>
      </c>
      <c r="AK5165" s="80">
        <f t="shared" si="784"/>
        <v>0</v>
      </c>
      <c r="AM5165" s="85"/>
    </row>
    <row r="5166" spans="1:39" hidden="1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">
        <v>3712</v>
      </c>
      <c r="L5166" s="1" t="s">
        <v>35</v>
      </c>
      <c r="M5166" s="86"/>
      <c r="N5166" s="86" t="s">
        <v>3712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778"/>
        <v>-6740.4699999999993</v>
      </c>
      <c r="X5166" s="6">
        <f t="shared" si="779"/>
        <v>6054.36</v>
      </c>
      <c r="Y5166" s="13">
        <f t="shared" si="782"/>
        <v>0</v>
      </c>
      <c r="Z5166" s="14">
        <v>0</v>
      </c>
      <c r="AA5166" s="6">
        <v>0</v>
      </c>
      <c r="AB5166" s="4">
        <f t="shared" si="783"/>
        <v>6054.36</v>
      </c>
      <c r="AC5166" s="4">
        <f t="shared" si="785"/>
        <v>0</v>
      </c>
      <c r="AD5166" s="6">
        <f t="shared" si="780"/>
        <v>6054.36</v>
      </c>
      <c r="AE5166" s="2">
        <v>0.06</v>
      </c>
      <c r="AF5166" s="6">
        <f t="shared" si="786"/>
        <v>363.26159999999999</v>
      </c>
      <c r="AG5166" s="14">
        <v>0</v>
      </c>
      <c r="AH5166" s="64">
        <f t="shared" si="781"/>
        <v>6054.36</v>
      </c>
      <c r="AI5166" s="47"/>
      <c r="AJ5166" s="126" t="e">
        <v>#N/A</v>
      </c>
      <c r="AK5166" s="80">
        <f t="shared" si="784"/>
        <v>0</v>
      </c>
      <c r="AM5166" s="85"/>
    </row>
    <row r="5167" spans="1:39" hidden="1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">
        <v>3712</v>
      </c>
      <c r="L5167" s="1" t="s">
        <v>35</v>
      </c>
      <c r="M5167" s="86"/>
      <c r="N5167" s="86" t="s">
        <v>3712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778"/>
        <v>-106.28000000000002</v>
      </c>
      <c r="X5167" s="6">
        <f t="shared" si="779"/>
        <v>11.1</v>
      </c>
      <c r="Y5167" s="13">
        <f t="shared" si="782"/>
        <v>0</v>
      </c>
      <c r="Z5167" s="14">
        <v>0</v>
      </c>
      <c r="AA5167" s="6">
        <v>0</v>
      </c>
      <c r="AB5167" s="4">
        <f t="shared" si="783"/>
        <v>11.1</v>
      </c>
      <c r="AC5167" s="4">
        <f t="shared" si="785"/>
        <v>0</v>
      </c>
      <c r="AD5167" s="6">
        <f t="shared" si="780"/>
        <v>11.1</v>
      </c>
      <c r="AE5167" s="2">
        <v>0.06</v>
      </c>
      <c r="AF5167" s="6">
        <f t="shared" si="786"/>
        <v>0.66599999999999993</v>
      </c>
      <c r="AG5167" s="14">
        <v>0</v>
      </c>
      <c r="AH5167" s="64">
        <f t="shared" si="781"/>
        <v>11.1</v>
      </c>
      <c r="AI5167" s="47"/>
      <c r="AJ5167" s="126" t="e">
        <v>#N/A</v>
      </c>
      <c r="AK5167" s="80">
        <f t="shared" si="784"/>
        <v>0</v>
      </c>
      <c r="AM5167" s="85"/>
    </row>
    <row r="5168" spans="1:39" hidden="1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778"/>
        <v>-265.52</v>
      </c>
      <c r="X5168" s="6">
        <f t="shared" si="779"/>
        <v>135.10377358490567</v>
      </c>
      <c r="Y5168" s="13">
        <f t="shared" si="782"/>
        <v>0</v>
      </c>
      <c r="Z5168" s="14">
        <v>0</v>
      </c>
      <c r="AA5168" s="6">
        <v>0</v>
      </c>
      <c r="AB5168" s="4">
        <f t="shared" si="783"/>
        <v>135.10377358490567</v>
      </c>
      <c r="AC5168" s="4">
        <f t="shared" si="785"/>
        <v>8.1062264150943406</v>
      </c>
      <c r="AD5168" s="6">
        <f t="shared" si="780"/>
        <v>143.21</v>
      </c>
      <c r="AE5168" s="2">
        <v>0.06</v>
      </c>
      <c r="AF5168" s="6">
        <f t="shared" si="786"/>
        <v>8.5926000000000009</v>
      </c>
      <c r="AG5168" s="14">
        <v>0</v>
      </c>
      <c r="AH5168" s="64">
        <f t="shared" si="781"/>
        <v>143.21</v>
      </c>
      <c r="AI5168" s="47"/>
      <c r="AJ5168" s="126" t="e">
        <v>#N/A</v>
      </c>
      <c r="AK5168" s="80">
        <f t="shared" si="784"/>
        <v>0</v>
      </c>
      <c r="AM5168" s="85"/>
    </row>
    <row r="5169" spans="1:39" hidden="1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">
        <v>3707</v>
      </c>
      <c r="L5169" s="1" t="s">
        <v>35</v>
      </c>
      <c r="M5169" s="86"/>
      <c r="N5169" s="86" t="s">
        <v>3707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778"/>
        <v>-16228.720000000001</v>
      </c>
      <c r="X5169" s="6">
        <f t="shared" si="779"/>
        <v>14487.067961165048</v>
      </c>
      <c r="Y5169" s="13">
        <f t="shared" si="782"/>
        <v>0</v>
      </c>
      <c r="Z5169" s="14">
        <v>0</v>
      </c>
      <c r="AA5169" s="6">
        <v>0</v>
      </c>
      <c r="AB5169" s="4">
        <f t="shared" si="783"/>
        <v>14487.067961165048</v>
      </c>
      <c r="AC5169" s="4">
        <f t="shared" si="785"/>
        <v>434.61203883495182</v>
      </c>
      <c r="AD5169" s="6">
        <f t="shared" si="780"/>
        <v>14921.68</v>
      </c>
      <c r="AE5169" s="2">
        <v>0.06</v>
      </c>
      <c r="AF5169" s="6">
        <f t="shared" si="786"/>
        <v>895.30079999999998</v>
      </c>
      <c r="AG5169" s="14">
        <v>0</v>
      </c>
      <c r="AH5169" s="64">
        <f t="shared" si="781"/>
        <v>14921.68</v>
      </c>
      <c r="AI5169" s="47"/>
      <c r="AJ5169" s="126" t="e">
        <v>#N/A</v>
      </c>
      <c r="AK5169" s="80">
        <f t="shared" si="784"/>
        <v>0</v>
      </c>
      <c r="AM5169" s="85"/>
    </row>
    <row r="5170" spans="1:39" hidden="1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">
        <v>3712</v>
      </c>
      <c r="L5170" s="1" t="s">
        <v>35</v>
      </c>
      <c r="M5170" s="86"/>
      <c r="N5170" s="86" t="s">
        <v>3712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779"/>
        <v>0</v>
      </c>
      <c r="Y5170" s="13">
        <f t="shared" si="782"/>
        <v>0</v>
      </c>
      <c r="Z5170" s="14">
        <v>0</v>
      </c>
      <c r="AA5170" s="6">
        <v>0</v>
      </c>
      <c r="AB5170" s="4">
        <f t="shared" si="783"/>
        <v>0</v>
      </c>
      <c r="AC5170" s="4">
        <f t="shared" si="785"/>
        <v>0</v>
      </c>
      <c r="AD5170" s="6">
        <f t="shared" si="780"/>
        <v>0</v>
      </c>
      <c r="AE5170" s="2">
        <v>0.06</v>
      </c>
      <c r="AF5170" s="6">
        <f t="shared" si="786"/>
        <v>0</v>
      </c>
      <c r="AG5170" s="14">
        <v>0</v>
      </c>
      <c r="AH5170" s="64">
        <f t="shared" si="781"/>
        <v>0</v>
      </c>
      <c r="AI5170" s="47"/>
      <c r="AJ5170" s="126" t="e">
        <v>#N/A</v>
      </c>
      <c r="AK5170" s="80">
        <f t="shared" si="784"/>
        <v>0</v>
      </c>
      <c r="AM5170" s="85"/>
    </row>
    <row r="5171" spans="1:39" hidden="1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">
        <v>3712</v>
      </c>
      <c r="L5171" s="1" t="s">
        <v>35</v>
      </c>
      <c r="M5171" s="86"/>
      <c r="N5171" s="86" t="s">
        <v>3712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779"/>
        <v>0</v>
      </c>
      <c r="Y5171" s="13">
        <f t="shared" si="782"/>
        <v>0</v>
      </c>
      <c r="Z5171" s="14">
        <v>0</v>
      </c>
      <c r="AA5171" s="6">
        <v>0</v>
      </c>
      <c r="AB5171" s="4">
        <f t="shared" si="783"/>
        <v>0</v>
      </c>
      <c r="AC5171" s="4">
        <f t="shared" si="785"/>
        <v>0</v>
      </c>
      <c r="AD5171" s="6">
        <f t="shared" si="780"/>
        <v>0</v>
      </c>
      <c r="AE5171" s="2">
        <v>0.06</v>
      </c>
      <c r="AF5171" s="6">
        <f t="shared" si="786"/>
        <v>0</v>
      </c>
      <c r="AG5171" s="14">
        <v>0</v>
      </c>
      <c r="AH5171" s="64">
        <f t="shared" si="781"/>
        <v>0</v>
      </c>
      <c r="AI5171" s="47"/>
      <c r="AJ5171" s="126" t="e">
        <v>#N/A</v>
      </c>
      <c r="AK5171" s="80">
        <f t="shared" si="784"/>
        <v>0</v>
      </c>
      <c r="AM5171" s="85"/>
    </row>
    <row r="5172" spans="1:39" hidden="1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">
        <v>3710</v>
      </c>
      <c r="L5172" s="1" t="s">
        <v>35</v>
      </c>
      <c r="M5172" s="86"/>
      <c r="N5172" s="86" t="s">
        <v>3710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778"/>
        <v>-610.77999999999986</v>
      </c>
      <c r="X5172" s="6">
        <f t="shared" si="779"/>
        <v>576.20754716981116</v>
      </c>
      <c r="Y5172" s="13">
        <f t="shared" si="782"/>
        <v>0</v>
      </c>
      <c r="Z5172" s="14">
        <v>0</v>
      </c>
      <c r="AA5172" s="6">
        <v>0</v>
      </c>
      <c r="AB5172" s="4">
        <f t="shared" si="783"/>
        <v>576.20754716981116</v>
      </c>
      <c r="AC5172" s="4">
        <f t="shared" si="785"/>
        <v>34.572452830188695</v>
      </c>
      <c r="AD5172" s="6">
        <f t="shared" si="780"/>
        <v>610.77999999999986</v>
      </c>
      <c r="AE5172" s="2">
        <v>0.06</v>
      </c>
      <c r="AF5172" s="6">
        <f t="shared" si="786"/>
        <v>36.646799999999992</v>
      </c>
      <c r="AG5172" s="14">
        <v>0</v>
      </c>
      <c r="AH5172" s="64">
        <f t="shared" si="781"/>
        <v>610.77999999999986</v>
      </c>
      <c r="AI5172" s="47"/>
      <c r="AJ5172" s="126" t="e">
        <v>#N/A</v>
      </c>
      <c r="AK5172" s="80">
        <f t="shared" si="784"/>
        <v>0</v>
      </c>
      <c r="AM5172" s="85"/>
    </row>
    <row r="5173" spans="1:39" hidden="1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">
        <v>3712</v>
      </c>
      <c r="L5173" s="1" t="s">
        <v>35</v>
      </c>
      <c r="M5173" s="86"/>
      <c r="N5173" s="86" t="s">
        <v>3712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778"/>
        <v>-7354.72</v>
      </c>
      <c r="X5173" s="6">
        <f t="shared" si="779"/>
        <v>0</v>
      </c>
      <c r="Y5173" s="13">
        <f t="shared" si="782"/>
        <v>0</v>
      </c>
      <c r="Z5173" s="14">
        <v>0</v>
      </c>
      <c r="AA5173" s="6">
        <v>0</v>
      </c>
      <c r="AB5173" s="4">
        <f t="shared" si="783"/>
        <v>0</v>
      </c>
      <c r="AC5173" s="4">
        <f t="shared" si="785"/>
        <v>0</v>
      </c>
      <c r="AD5173" s="6">
        <f t="shared" si="780"/>
        <v>0</v>
      </c>
      <c r="AE5173" s="2">
        <v>0.06</v>
      </c>
      <c r="AF5173" s="6">
        <f t="shared" si="786"/>
        <v>0</v>
      </c>
      <c r="AG5173" s="14">
        <v>0</v>
      </c>
      <c r="AH5173" s="64">
        <f t="shared" si="781"/>
        <v>0</v>
      </c>
      <c r="AI5173" s="47"/>
      <c r="AJ5173" s="126" t="e">
        <v>#N/A</v>
      </c>
      <c r="AK5173" s="80">
        <f t="shared" si="784"/>
        <v>0</v>
      </c>
      <c r="AM5173" s="85"/>
    </row>
    <row r="5174" spans="1:39" hidden="1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">
        <v>3707</v>
      </c>
      <c r="L5174" s="1" t="s">
        <v>35</v>
      </c>
      <c r="M5174" s="86"/>
      <c r="N5174" s="86" t="s">
        <v>3707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778"/>
        <v>-3309.83</v>
      </c>
      <c r="X5174" s="6">
        <f t="shared" si="779"/>
        <v>928.07881773399026</v>
      </c>
      <c r="Y5174" s="13">
        <f t="shared" si="782"/>
        <v>0</v>
      </c>
      <c r="Z5174" s="14">
        <v>0</v>
      </c>
      <c r="AA5174" s="6">
        <v>0</v>
      </c>
      <c r="AB5174" s="4">
        <f t="shared" si="783"/>
        <v>928.07881773399026</v>
      </c>
      <c r="AC5174" s="4">
        <f t="shared" si="785"/>
        <v>13.921182266009737</v>
      </c>
      <c r="AD5174" s="6">
        <f t="shared" si="780"/>
        <v>942</v>
      </c>
      <c r="AE5174" s="2">
        <v>0.06</v>
      </c>
      <c r="AF5174" s="6">
        <f t="shared" si="786"/>
        <v>56.519999999999996</v>
      </c>
      <c r="AG5174" s="14">
        <v>0</v>
      </c>
      <c r="AH5174" s="64">
        <f t="shared" si="781"/>
        <v>942</v>
      </c>
      <c r="AI5174" s="47"/>
      <c r="AJ5174" s="126" t="e">
        <v>#N/A</v>
      </c>
      <c r="AK5174" s="80">
        <f t="shared" si="784"/>
        <v>0</v>
      </c>
      <c r="AM5174" s="85"/>
    </row>
    <row r="5175" spans="1:39" hidden="1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">
        <v>3712</v>
      </c>
      <c r="L5175" s="1" t="s">
        <v>35</v>
      </c>
      <c r="M5175" s="86"/>
      <c r="N5175" s="86" t="s">
        <v>3712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778"/>
        <v>-49.22</v>
      </c>
      <c r="X5175" s="6">
        <f t="shared" si="779"/>
        <v>26.610000000000003</v>
      </c>
      <c r="Y5175" s="13">
        <f t="shared" si="782"/>
        <v>0</v>
      </c>
      <c r="Z5175" s="14">
        <v>0</v>
      </c>
      <c r="AA5175" s="6">
        <v>0</v>
      </c>
      <c r="AB5175" s="4">
        <f t="shared" si="783"/>
        <v>26.610000000000003</v>
      </c>
      <c r="AC5175" s="4">
        <f t="shared" si="785"/>
        <v>0</v>
      </c>
      <c r="AD5175" s="6">
        <f t="shared" si="780"/>
        <v>26.610000000000003</v>
      </c>
      <c r="AE5175" s="2">
        <v>0.06</v>
      </c>
      <c r="AF5175" s="6">
        <f t="shared" si="786"/>
        <v>1.5966</v>
      </c>
      <c r="AG5175" s="14">
        <v>0</v>
      </c>
      <c r="AH5175" s="64">
        <f t="shared" si="781"/>
        <v>26.610000000000003</v>
      </c>
      <c r="AI5175" s="47"/>
      <c r="AJ5175" s="126" t="e">
        <v>#N/A</v>
      </c>
      <c r="AK5175" s="80">
        <f t="shared" si="784"/>
        <v>0</v>
      </c>
      <c r="AM5175" s="85"/>
    </row>
    <row r="5176" spans="1:39" hidden="1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">
        <v>3707</v>
      </c>
      <c r="L5176" s="1" t="s">
        <v>35</v>
      </c>
      <c r="M5176" s="86"/>
      <c r="N5176" s="86" t="s">
        <v>3707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778"/>
        <v>-53768.97</v>
      </c>
      <c r="X5176" s="6">
        <f t="shared" si="779"/>
        <v>13149.789999999999</v>
      </c>
      <c r="Y5176" s="13">
        <f t="shared" si="782"/>
        <v>0</v>
      </c>
      <c r="Z5176" s="14">
        <v>0</v>
      </c>
      <c r="AA5176" s="6">
        <v>0</v>
      </c>
      <c r="AB5176" s="4">
        <f t="shared" si="783"/>
        <v>13149.789999999999</v>
      </c>
      <c r="AC5176" s="4">
        <f t="shared" si="785"/>
        <v>0</v>
      </c>
      <c r="AD5176" s="6">
        <f t="shared" si="780"/>
        <v>13149.789999999999</v>
      </c>
      <c r="AE5176" s="2">
        <v>0.06</v>
      </c>
      <c r="AF5176" s="6">
        <f t="shared" si="786"/>
        <v>788.98739999999987</v>
      </c>
      <c r="AG5176" s="14">
        <v>0</v>
      </c>
      <c r="AH5176" s="64">
        <f t="shared" si="781"/>
        <v>13149.789999999999</v>
      </c>
      <c r="AI5176" s="47"/>
      <c r="AJ5176" s="126" t="e">
        <v>#N/A</v>
      </c>
      <c r="AK5176" s="80">
        <f t="shared" si="784"/>
        <v>0</v>
      </c>
      <c r="AM5176" s="85"/>
    </row>
    <row r="5177" spans="1:39" hidden="1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">
        <v>3712</v>
      </c>
      <c r="L5177" s="1" t="s">
        <v>35</v>
      </c>
      <c r="M5177" s="86"/>
      <c r="N5177" s="86" t="s">
        <v>3712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778"/>
        <v>-1.98</v>
      </c>
      <c r="X5177" s="6">
        <f t="shared" si="779"/>
        <v>0</v>
      </c>
      <c r="Y5177" s="13">
        <f t="shared" si="782"/>
        <v>0</v>
      </c>
      <c r="Z5177" s="14">
        <v>0</v>
      </c>
      <c r="AA5177" s="6">
        <v>0</v>
      </c>
      <c r="AB5177" s="4">
        <f t="shared" si="783"/>
        <v>0</v>
      </c>
      <c r="AC5177" s="4">
        <f t="shared" si="785"/>
        <v>0</v>
      </c>
      <c r="AD5177" s="6">
        <f t="shared" si="780"/>
        <v>0</v>
      </c>
      <c r="AE5177" s="2">
        <v>0.06</v>
      </c>
      <c r="AF5177" s="6">
        <f t="shared" si="786"/>
        <v>0</v>
      </c>
      <c r="AG5177" s="14">
        <v>0</v>
      </c>
      <c r="AH5177" s="64">
        <f t="shared" si="781"/>
        <v>0</v>
      </c>
      <c r="AI5177" s="47"/>
      <c r="AJ5177" s="126" t="e">
        <v>#N/A</v>
      </c>
      <c r="AK5177" s="80">
        <f t="shared" si="784"/>
        <v>0</v>
      </c>
      <c r="AM5177" s="85"/>
    </row>
    <row r="5178" spans="1:39" hidden="1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">
        <v>3712</v>
      </c>
      <c r="L5178" s="1" t="s">
        <v>35</v>
      </c>
      <c r="M5178" s="86"/>
      <c r="N5178" s="86" t="s">
        <v>3712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778"/>
        <v>-75.239999999999981</v>
      </c>
      <c r="X5178" s="6">
        <f t="shared" si="779"/>
        <v>27.749999999999993</v>
      </c>
      <c r="Y5178" s="13">
        <f t="shared" si="782"/>
        <v>0</v>
      </c>
      <c r="Z5178" s="14">
        <v>0</v>
      </c>
      <c r="AA5178" s="6">
        <v>0</v>
      </c>
      <c r="AB5178" s="4">
        <f t="shared" si="783"/>
        <v>27.749999999999993</v>
      </c>
      <c r="AC5178" s="4">
        <f t="shared" si="785"/>
        <v>0</v>
      </c>
      <c r="AD5178" s="6">
        <f t="shared" si="780"/>
        <v>27.749999999999993</v>
      </c>
      <c r="AE5178" s="2">
        <v>0.06</v>
      </c>
      <c r="AF5178" s="6">
        <f t="shared" si="786"/>
        <v>1.6649999999999996</v>
      </c>
      <c r="AG5178" s="14">
        <v>0</v>
      </c>
      <c r="AH5178" s="64">
        <f t="shared" si="781"/>
        <v>27.749999999999993</v>
      </c>
      <c r="AI5178" s="47"/>
      <c r="AJ5178" s="126" t="e">
        <v>#N/A</v>
      </c>
      <c r="AK5178" s="80">
        <f t="shared" si="784"/>
        <v>0</v>
      </c>
      <c r="AM5178" s="85"/>
    </row>
    <row r="5179" spans="1:39" hidden="1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">
        <v>3712</v>
      </c>
      <c r="L5179" s="1" t="s">
        <v>35</v>
      </c>
      <c r="M5179" s="86"/>
      <c r="N5179" s="86" t="s">
        <v>3712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778"/>
        <v>-238.92999999999998</v>
      </c>
      <c r="X5179" s="6">
        <f t="shared" si="779"/>
        <v>0</v>
      </c>
      <c r="Y5179" s="13">
        <f t="shared" si="782"/>
        <v>0</v>
      </c>
      <c r="Z5179" s="14">
        <v>0</v>
      </c>
      <c r="AA5179" s="6">
        <v>0</v>
      </c>
      <c r="AB5179" s="4">
        <f t="shared" si="783"/>
        <v>0</v>
      </c>
      <c r="AC5179" s="4">
        <f t="shared" si="785"/>
        <v>0</v>
      </c>
      <c r="AD5179" s="6">
        <f t="shared" si="780"/>
        <v>0</v>
      </c>
      <c r="AE5179" s="2">
        <v>0.06</v>
      </c>
      <c r="AF5179" s="6">
        <f t="shared" si="786"/>
        <v>0</v>
      </c>
      <c r="AG5179" s="14">
        <v>0</v>
      </c>
      <c r="AH5179" s="64">
        <f t="shared" si="781"/>
        <v>0</v>
      </c>
      <c r="AI5179" s="47"/>
      <c r="AJ5179" s="126" t="e">
        <v>#N/A</v>
      </c>
      <c r="AK5179" s="80">
        <f t="shared" si="784"/>
        <v>0</v>
      </c>
      <c r="AM5179" s="85"/>
    </row>
    <row r="5180" spans="1:39" hidden="1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">
        <v>3712</v>
      </c>
      <c r="L5180" s="1" t="s">
        <v>35</v>
      </c>
      <c r="M5180" s="86"/>
      <c r="N5180" s="86" t="s">
        <v>3712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787">T5180+U5180-V5180</f>
        <v>-405.03999999999996</v>
      </c>
      <c r="X5180" s="6">
        <f t="shared" ref="X5180:X5240" si="788">IF(P5180="折扣",V5180*Q5180,IF(P5180="返现",V5180,V5180/(1+Q5180)))</f>
        <v>121.39</v>
      </c>
      <c r="Y5180" s="13">
        <f t="shared" si="782"/>
        <v>0</v>
      </c>
      <c r="Z5180" s="14">
        <v>0</v>
      </c>
      <c r="AA5180" s="6">
        <v>0</v>
      </c>
      <c r="AB5180" s="4">
        <f t="shared" si="783"/>
        <v>121.39</v>
      </c>
      <c r="AC5180" s="4">
        <f t="shared" si="785"/>
        <v>0</v>
      </c>
      <c r="AD5180" s="6">
        <f t="shared" ref="AD5180:AD5240" si="789">V5180</f>
        <v>121.39</v>
      </c>
      <c r="AE5180" s="2">
        <v>0.06</v>
      </c>
      <c r="AF5180" s="6">
        <f t="shared" si="786"/>
        <v>7.2833999999999994</v>
      </c>
      <c r="AG5180" s="14">
        <v>0</v>
      </c>
      <c r="AH5180" s="64">
        <f t="shared" ref="AH5180:AH5239" si="790">V5180</f>
        <v>121.39</v>
      </c>
      <c r="AI5180" s="47"/>
      <c r="AJ5180" s="126" t="e">
        <v>#N/A</v>
      </c>
      <c r="AK5180" s="80">
        <f t="shared" si="784"/>
        <v>0</v>
      </c>
      <c r="AM5180" s="85"/>
    </row>
    <row r="5181" spans="1:39" hidden="1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">
        <v>3710</v>
      </c>
      <c r="L5181" s="1" t="s">
        <v>35</v>
      </c>
      <c r="M5181" s="86"/>
      <c r="N5181" s="86" t="s">
        <v>3710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787"/>
        <v>-9098.86</v>
      </c>
      <c r="X5181" s="6">
        <f t="shared" si="788"/>
        <v>341.49999999999994</v>
      </c>
      <c r="Y5181" s="13">
        <f t="shared" si="782"/>
        <v>0</v>
      </c>
      <c r="Z5181" s="14">
        <v>0</v>
      </c>
      <c r="AA5181" s="6">
        <v>0</v>
      </c>
      <c r="AB5181" s="4">
        <f t="shared" si="783"/>
        <v>341.49999999999994</v>
      </c>
      <c r="AC5181" s="4">
        <f t="shared" si="785"/>
        <v>13.660000000000025</v>
      </c>
      <c r="AD5181" s="6">
        <f t="shared" si="789"/>
        <v>355.15999999999997</v>
      </c>
      <c r="AE5181" s="2">
        <v>0.06</v>
      </c>
      <c r="AF5181" s="6">
        <f t="shared" si="786"/>
        <v>21.309599999999996</v>
      </c>
      <c r="AG5181" s="14">
        <v>0</v>
      </c>
      <c r="AH5181" s="64">
        <f t="shared" si="790"/>
        <v>355.15999999999997</v>
      </c>
      <c r="AI5181" s="47"/>
      <c r="AJ5181" s="126" t="e">
        <v>#N/A</v>
      </c>
      <c r="AK5181" s="80">
        <f t="shared" si="784"/>
        <v>0</v>
      </c>
      <c r="AM5181" s="85"/>
    </row>
    <row r="5182" spans="1:39" hidden="1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">
        <v>3712</v>
      </c>
      <c r="L5182" s="1" t="s">
        <v>35</v>
      </c>
      <c r="M5182" s="86"/>
      <c r="N5182" s="86" t="s">
        <v>3712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787"/>
        <v>-0.31000000000000005</v>
      </c>
      <c r="X5182" s="6">
        <f t="shared" si="788"/>
        <v>1.9801980198019802E-2</v>
      </c>
      <c r="Y5182" s="13">
        <f t="shared" si="782"/>
        <v>0</v>
      </c>
      <c r="Z5182" s="14">
        <v>0</v>
      </c>
      <c r="AA5182" s="6">
        <v>0</v>
      </c>
      <c r="AB5182" s="4">
        <f t="shared" si="783"/>
        <v>1.9801980198019802E-2</v>
      </c>
      <c r="AC5182" s="4">
        <f t="shared" si="785"/>
        <v>1.980198019801982E-4</v>
      </c>
      <c r="AD5182" s="6">
        <f t="shared" si="789"/>
        <v>0.02</v>
      </c>
      <c r="AE5182" s="2">
        <v>0.06</v>
      </c>
      <c r="AF5182" s="6">
        <f t="shared" si="786"/>
        <v>1.1999999999999999E-3</v>
      </c>
      <c r="AG5182" s="14">
        <v>0</v>
      </c>
      <c r="AH5182" s="64">
        <f t="shared" si="790"/>
        <v>0.02</v>
      </c>
      <c r="AI5182" s="47"/>
      <c r="AJ5182" s="126" t="e">
        <v>#N/A</v>
      </c>
      <c r="AK5182" s="80">
        <f t="shared" si="784"/>
        <v>0</v>
      </c>
      <c r="AM5182" s="85"/>
    </row>
    <row r="5183" spans="1:39" hidden="1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">
        <v>3712</v>
      </c>
      <c r="L5183" s="1" t="s">
        <v>35</v>
      </c>
      <c r="M5183" s="86"/>
      <c r="N5183" s="86" t="s">
        <v>3712</v>
      </c>
      <c r="O5183" s="47" t="s">
        <v>105</v>
      </c>
      <c r="P5183" s="1" t="s">
        <v>3753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787"/>
        <v>-11468.570000000002</v>
      </c>
      <c r="X5183" s="6">
        <f t="shared" si="788"/>
        <v>8821.5148514851498</v>
      </c>
      <c r="Y5183" s="13">
        <f t="shared" si="782"/>
        <v>0</v>
      </c>
      <c r="Z5183" s="14">
        <v>0</v>
      </c>
      <c r="AA5183" s="6">
        <v>0</v>
      </c>
      <c r="AB5183" s="4">
        <f t="shared" si="783"/>
        <v>8821.5148514851498</v>
      </c>
      <c r="AC5183" s="4">
        <f t="shared" si="785"/>
        <v>88.215148514851535</v>
      </c>
      <c r="AD5183" s="6">
        <f t="shared" si="789"/>
        <v>8909.7300000000014</v>
      </c>
      <c r="AE5183" s="2">
        <v>0.06</v>
      </c>
      <c r="AF5183" s="6">
        <f t="shared" si="786"/>
        <v>534.58380000000011</v>
      </c>
      <c r="AG5183" s="14">
        <v>0</v>
      </c>
      <c r="AH5183" s="64">
        <f t="shared" si="790"/>
        <v>8909.7300000000014</v>
      </c>
      <c r="AI5183" s="47"/>
      <c r="AJ5183" s="126" t="e">
        <v>#N/A</v>
      </c>
      <c r="AK5183" s="80">
        <f t="shared" si="784"/>
        <v>0</v>
      </c>
      <c r="AM5183" s="85"/>
    </row>
    <row r="5184" spans="1:39" hidden="1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787"/>
        <v>-544.84</v>
      </c>
      <c r="X5184" s="6">
        <f t="shared" si="788"/>
        <v>164.07766990291265</v>
      </c>
      <c r="Y5184" s="13">
        <f t="shared" si="782"/>
        <v>0</v>
      </c>
      <c r="Z5184" s="14">
        <v>0</v>
      </c>
      <c r="AA5184" s="6">
        <v>0</v>
      </c>
      <c r="AB5184" s="4">
        <f t="shared" si="783"/>
        <v>164.07766990291265</v>
      </c>
      <c r="AC5184" s="4">
        <f t="shared" si="785"/>
        <v>4.9223300970873822</v>
      </c>
      <c r="AD5184" s="6">
        <f t="shared" si="789"/>
        <v>169.00000000000003</v>
      </c>
      <c r="AE5184" s="2">
        <v>0.06</v>
      </c>
      <c r="AF5184" s="6">
        <f t="shared" si="786"/>
        <v>10.14</v>
      </c>
      <c r="AG5184" s="14">
        <v>0</v>
      </c>
      <c r="AH5184" s="64">
        <f t="shared" si="790"/>
        <v>169.00000000000003</v>
      </c>
      <c r="AI5184" s="47"/>
      <c r="AJ5184" s="126" t="e">
        <v>#N/A</v>
      </c>
      <c r="AK5184" s="80">
        <f t="shared" si="784"/>
        <v>0</v>
      </c>
      <c r="AM5184" s="85"/>
    </row>
    <row r="5185" spans="1:39" hidden="1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">
        <v>3712</v>
      </c>
      <c r="L5185" s="1" t="s">
        <v>35</v>
      </c>
      <c r="M5185" s="86"/>
      <c r="N5185" s="86" t="s">
        <v>3712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787"/>
        <v>-158.97999999999999</v>
      </c>
      <c r="X5185" s="6">
        <f t="shared" si="788"/>
        <v>0</v>
      </c>
      <c r="Y5185" s="13">
        <f t="shared" si="782"/>
        <v>0</v>
      </c>
      <c r="Z5185" s="14">
        <v>0</v>
      </c>
      <c r="AA5185" s="6">
        <v>0</v>
      </c>
      <c r="AB5185" s="4">
        <f t="shared" si="783"/>
        <v>0</v>
      </c>
      <c r="AC5185" s="4">
        <f t="shared" si="785"/>
        <v>0</v>
      </c>
      <c r="AD5185" s="6">
        <f t="shared" si="789"/>
        <v>0</v>
      </c>
      <c r="AE5185" s="2">
        <v>0.06</v>
      </c>
      <c r="AF5185" s="6">
        <f t="shared" si="786"/>
        <v>0</v>
      </c>
      <c r="AG5185" s="14">
        <v>0</v>
      </c>
      <c r="AH5185" s="64">
        <f t="shared" si="790"/>
        <v>0</v>
      </c>
      <c r="AI5185" s="47"/>
      <c r="AJ5185" s="126" t="e">
        <v>#N/A</v>
      </c>
      <c r="AK5185" s="80">
        <f t="shared" si="784"/>
        <v>0</v>
      </c>
      <c r="AM5185" s="85"/>
    </row>
    <row r="5186" spans="1:39" hidden="1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787"/>
        <v>-37671.109999999993</v>
      </c>
      <c r="X5186" s="6">
        <f t="shared" si="788"/>
        <v>35374.605769230766</v>
      </c>
      <c r="Y5186" s="13">
        <f t="shared" si="782"/>
        <v>0</v>
      </c>
      <c r="Z5186" s="14">
        <v>0</v>
      </c>
      <c r="AA5186" s="6">
        <v>0</v>
      </c>
      <c r="AB5186" s="4">
        <f t="shared" si="783"/>
        <v>35374.605769230766</v>
      </c>
      <c r="AC5186" s="4">
        <f t="shared" si="785"/>
        <v>1414.9842307692306</v>
      </c>
      <c r="AD5186" s="6">
        <f t="shared" si="789"/>
        <v>36789.589999999997</v>
      </c>
      <c r="AE5186" s="2">
        <v>0.06</v>
      </c>
      <c r="AF5186" s="6">
        <f t="shared" si="786"/>
        <v>2207.3753999999999</v>
      </c>
      <c r="AG5186" s="14">
        <v>0</v>
      </c>
      <c r="AH5186" s="64">
        <f t="shared" si="790"/>
        <v>36789.589999999997</v>
      </c>
      <c r="AI5186" s="47"/>
      <c r="AJ5186" s="126" t="e">
        <v>#N/A</v>
      </c>
      <c r="AK5186" s="80">
        <f t="shared" si="784"/>
        <v>0</v>
      </c>
      <c r="AM5186" s="85"/>
    </row>
    <row r="5187" spans="1:39" hidden="1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787"/>
        <v>-43.87</v>
      </c>
      <c r="X5187" s="6">
        <f t="shared" si="788"/>
        <v>0</v>
      </c>
      <c r="Y5187" s="13">
        <f t="shared" ref="Y5187:Y5250" si="791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792">X5187+AA5187</f>
        <v>0</v>
      </c>
      <c r="AC5187" s="4">
        <f t="shared" si="785"/>
        <v>0</v>
      </c>
      <c r="AD5187" s="6">
        <f t="shared" si="789"/>
        <v>0</v>
      </c>
      <c r="AE5187" s="2">
        <v>0.06</v>
      </c>
      <c r="AF5187" s="6">
        <f t="shared" si="786"/>
        <v>0</v>
      </c>
      <c r="AG5187" s="14">
        <v>0</v>
      </c>
      <c r="AH5187" s="64">
        <f t="shared" si="790"/>
        <v>0</v>
      </c>
      <c r="AI5187" s="47"/>
      <c r="AJ5187" s="126" t="e">
        <v>#N/A</v>
      </c>
      <c r="AK5187" s="80">
        <f t="shared" ref="AK5187:AK5250" si="793">X5187+AA5187-AB5187</f>
        <v>0</v>
      </c>
      <c r="AM5187" s="85"/>
    </row>
    <row r="5188" spans="1:39" hidden="1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">
        <v>3712</v>
      </c>
      <c r="L5188" s="1" t="s">
        <v>35</v>
      </c>
      <c r="M5188" s="86"/>
      <c r="N5188" s="86" t="s">
        <v>3712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788"/>
        <v>0</v>
      </c>
      <c r="Y5188" s="13">
        <f t="shared" si="791"/>
        <v>0</v>
      </c>
      <c r="Z5188" s="14">
        <v>0</v>
      </c>
      <c r="AA5188" s="6">
        <v>0</v>
      </c>
      <c r="AB5188" s="4">
        <f t="shared" si="792"/>
        <v>0</v>
      </c>
      <c r="AC5188" s="4">
        <f t="shared" si="785"/>
        <v>0</v>
      </c>
      <c r="AD5188" s="6">
        <f t="shared" si="789"/>
        <v>0</v>
      </c>
      <c r="AE5188" s="2">
        <v>0.06</v>
      </c>
      <c r="AF5188" s="6">
        <f t="shared" si="786"/>
        <v>0</v>
      </c>
      <c r="AG5188" s="14">
        <v>0</v>
      </c>
      <c r="AH5188" s="64">
        <f t="shared" si="790"/>
        <v>0</v>
      </c>
      <c r="AI5188" s="47"/>
      <c r="AJ5188" s="126" t="e">
        <v>#N/A</v>
      </c>
      <c r="AK5188" s="80">
        <f t="shared" si="793"/>
        <v>0</v>
      </c>
      <c r="AM5188" s="85"/>
    </row>
    <row r="5189" spans="1:39" hidden="1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787"/>
        <v>-651.94999999999993</v>
      </c>
      <c r="X5189" s="6">
        <f t="shared" si="788"/>
        <v>0</v>
      </c>
      <c r="Y5189" s="13">
        <f t="shared" si="791"/>
        <v>0</v>
      </c>
      <c r="Z5189" s="14">
        <v>0</v>
      </c>
      <c r="AA5189" s="6">
        <v>0</v>
      </c>
      <c r="AB5189" s="4">
        <f t="shared" si="792"/>
        <v>0</v>
      </c>
      <c r="AC5189" s="4">
        <f t="shared" si="785"/>
        <v>0</v>
      </c>
      <c r="AD5189" s="6">
        <f t="shared" si="789"/>
        <v>0</v>
      </c>
      <c r="AE5189" s="2">
        <v>0.06</v>
      </c>
      <c r="AF5189" s="6">
        <f t="shared" si="786"/>
        <v>0</v>
      </c>
      <c r="AG5189" s="14">
        <v>0</v>
      </c>
      <c r="AH5189" s="64">
        <f t="shared" si="790"/>
        <v>0</v>
      </c>
      <c r="AI5189" s="47"/>
      <c r="AJ5189" s="126" t="e">
        <v>#N/A</v>
      </c>
      <c r="AK5189" s="80">
        <f t="shared" si="793"/>
        <v>0</v>
      </c>
      <c r="AM5189" s="85"/>
    </row>
    <row r="5190" spans="1:39" hidden="1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787"/>
        <v>-36609.19999999999</v>
      </c>
      <c r="X5190" s="6">
        <f t="shared" si="788"/>
        <v>34886.374999999985</v>
      </c>
      <c r="Y5190" s="13">
        <f t="shared" si="791"/>
        <v>0</v>
      </c>
      <c r="Z5190" s="14">
        <v>0</v>
      </c>
      <c r="AA5190" s="6">
        <v>0</v>
      </c>
      <c r="AB5190" s="4">
        <f t="shared" si="792"/>
        <v>34886.374999999985</v>
      </c>
      <c r="AC5190" s="4">
        <f t="shared" si="785"/>
        <v>1395.4550000000017</v>
      </c>
      <c r="AD5190" s="6">
        <f t="shared" si="789"/>
        <v>36281.829999999987</v>
      </c>
      <c r="AE5190" s="2">
        <v>0.06</v>
      </c>
      <c r="AF5190" s="6">
        <f t="shared" si="786"/>
        <v>2176.909799999999</v>
      </c>
      <c r="AG5190" s="14">
        <v>0</v>
      </c>
      <c r="AH5190" s="64">
        <f t="shared" si="790"/>
        <v>36281.829999999987</v>
      </c>
      <c r="AI5190" s="47"/>
      <c r="AJ5190" s="126" t="e">
        <v>#N/A</v>
      </c>
      <c r="AK5190" s="80">
        <f t="shared" si="793"/>
        <v>0</v>
      </c>
      <c r="AM5190" s="85"/>
    </row>
    <row r="5191" spans="1:39" hidden="1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787"/>
        <v>-3934.8300000000004</v>
      </c>
      <c r="X5191" s="6">
        <f t="shared" si="788"/>
        <v>3676.4519230769233</v>
      </c>
      <c r="Y5191" s="13">
        <f t="shared" si="791"/>
        <v>0</v>
      </c>
      <c r="Z5191" s="14">
        <v>0</v>
      </c>
      <c r="AA5191" s="6">
        <v>0</v>
      </c>
      <c r="AB5191" s="4">
        <f t="shared" si="792"/>
        <v>3676.4519230769233</v>
      </c>
      <c r="AC5191" s="4">
        <f t="shared" si="785"/>
        <v>147.0580769230769</v>
      </c>
      <c r="AD5191" s="6">
        <f t="shared" si="789"/>
        <v>3823.51</v>
      </c>
      <c r="AE5191" s="2">
        <v>0.06</v>
      </c>
      <c r="AF5191" s="6">
        <f t="shared" si="786"/>
        <v>229.41060000000002</v>
      </c>
      <c r="AG5191" s="14">
        <v>0</v>
      </c>
      <c r="AH5191" s="64">
        <f t="shared" si="790"/>
        <v>3823.51</v>
      </c>
      <c r="AI5191" s="47"/>
      <c r="AJ5191" s="126" t="e">
        <v>#N/A</v>
      </c>
      <c r="AK5191" s="80">
        <f t="shared" si="793"/>
        <v>0</v>
      </c>
      <c r="AM5191" s="85"/>
    </row>
    <row r="5192" spans="1:39" hidden="1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787"/>
        <v>-819.37999999999988</v>
      </c>
      <c r="X5192" s="6">
        <f t="shared" si="788"/>
        <v>795.514563106796</v>
      </c>
      <c r="Y5192" s="13">
        <f t="shared" si="791"/>
        <v>0</v>
      </c>
      <c r="Z5192" s="14">
        <v>0</v>
      </c>
      <c r="AA5192" s="6">
        <v>0</v>
      </c>
      <c r="AB5192" s="4">
        <f t="shared" si="792"/>
        <v>795.514563106796</v>
      </c>
      <c r="AC5192" s="4">
        <f t="shared" si="785"/>
        <v>23.865436893203878</v>
      </c>
      <c r="AD5192" s="6">
        <f t="shared" si="789"/>
        <v>819.37999999999988</v>
      </c>
      <c r="AE5192" s="2">
        <v>0.06</v>
      </c>
      <c r="AF5192" s="6">
        <f t="shared" si="786"/>
        <v>49.16279999999999</v>
      </c>
      <c r="AG5192" s="14">
        <v>0</v>
      </c>
      <c r="AH5192" s="64">
        <f t="shared" si="790"/>
        <v>819.37999999999988</v>
      </c>
      <c r="AI5192" s="47"/>
      <c r="AJ5192" s="126" t="e">
        <v>#N/A</v>
      </c>
      <c r="AK5192" s="80">
        <f t="shared" si="793"/>
        <v>0</v>
      </c>
      <c r="AM5192" s="85"/>
    </row>
    <row r="5193" spans="1:39" hidden="1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787"/>
        <v>-5953.3700000000008</v>
      </c>
      <c r="X5193" s="6">
        <f t="shared" si="788"/>
        <v>1483.02</v>
      </c>
      <c r="Y5193" s="13">
        <f t="shared" si="791"/>
        <v>0</v>
      </c>
      <c r="Z5193" s="14">
        <v>0</v>
      </c>
      <c r="AA5193" s="6">
        <v>0</v>
      </c>
      <c r="AB5193" s="4">
        <f t="shared" si="792"/>
        <v>1483.02</v>
      </c>
      <c r="AC5193" s="4">
        <f t="shared" si="785"/>
        <v>0</v>
      </c>
      <c r="AD5193" s="6">
        <f t="shared" si="789"/>
        <v>1483.02</v>
      </c>
      <c r="AE5193" s="2">
        <v>0.06</v>
      </c>
      <c r="AF5193" s="6">
        <f t="shared" si="786"/>
        <v>88.981200000000001</v>
      </c>
      <c r="AG5193" s="14">
        <v>0</v>
      </c>
      <c r="AH5193" s="64">
        <f t="shared" si="790"/>
        <v>1483.02</v>
      </c>
      <c r="AI5193" s="47"/>
      <c r="AJ5193" s="126" t="e">
        <v>#N/A</v>
      </c>
      <c r="AK5193" s="80">
        <f t="shared" si="793"/>
        <v>0</v>
      </c>
      <c r="AM5193" s="85"/>
    </row>
    <row r="5194" spans="1:39" hidden="1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788"/>
        <v>1.096153846153846</v>
      </c>
      <c r="Y5194" s="13">
        <f t="shared" si="791"/>
        <v>0</v>
      </c>
      <c r="Z5194" s="14">
        <v>0</v>
      </c>
      <c r="AA5194" s="6">
        <v>0</v>
      </c>
      <c r="AB5194" s="4">
        <f t="shared" si="792"/>
        <v>1.096153846153846</v>
      </c>
      <c r="AC5194" s="4">
        <f t="shared" si="785"/>
        <v>4.3846153846153868E-2</v>
      </c>
      <c r="AD5194" s="6">
        <f t="shared" si="789"/>
        <v>1.1399999999999999</v>
      </c>
      <c r="AE5194" s="2">
        <v>0.06</v>
      </c>
      <c r="AF5194" s="6">
        <f t="shared" si="786"/>
        <v>6.8399999999999989E-2</v>
      </c>
      <c r="AG5194" s="14">
        <v>0</v>
      </c>
      <c r="AH5194" s="64">
        <f t="shared" si="790"/>
        <v>1.1399999999999999</v>
      </c>
      <c r="AI5194" s="47"/>
      <c r="AJ5194" s="126" t="e">
        <v>#N/A</v>
      </c>
      <c r="AK5194" s="80">
        <f t="shared" si="793"/>
        <v>0</v>
      </c>
      <c r="AM5194" s="85"/>
    </row>
    <row r="5195" spans="1:39" hidden="1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787"/>
        <v>-49.050000000000004</v>
      </c>
      <c r="X5195" s="6">
        <f t="shared" si="788"/>
        <v>7.2596153846153859</v>
      </c>
      <c r="Y5195" s="13">
        <f t="shared" si="791"/>
        <v>0</v>
      </c>
      <c r="Z5195" s="14">
        <v>0</v>
      </c>
      <c r="AA5195" s="6">
        <v>0</v>
      </c>
      <c r="AB5195" s="4">
        <f t="shared" si="792"/>
        <v>7.2596153846153859</v>
      </c>
      <c r="AC5195" s="4">
        <f t="shared" si="785"/>
        <v>0.29038461538461569</v>
      </c>
      <c r="AD5195" s="6">
        <f t="shared" si="789"/>
        <v>7.5500000000000016</v>
      </c>
      <c r="AE5195" s="2">
        <v>0.06</v>
      </c>
      <c r="AF5195" s="6">
        <f t="shared" si="786"/>
        <v>0.45300000000000007</v>
      </c>
      <c r="AG5195" s="14">
        <v>0</v>
      </c>
      <c r="AH5195" s="64">
        <f t="shared" si="790"/>
        <v>7.5500000000000016</v>
      </c>
      <c r="AI5195" s="47"/>
      <c r="AJ5195" s="126" t="e">
        <v>#N/A</v>
      </c>
      <c r="AK5195" s="80">
        <f t="shared" si="793"/>
        <v>0</v>
      </c>
      <c r="AM5195" s="85"/>
    </row>
    <row r="5196" spans="1:39" hidden="1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787"/>
        <v>-587.93000000000006</v>
      </c>
      <c r="X5196" s="6">
        <f t="shared" si="788"/>
        <v>6.07</v>
      </c>
      <c r="Y5196" s="13">
        <f t="shared" si="791"/>
        <v>0</v>
      </c>
      <c r="Z5196" s="14">
        <v>0</v>
      </c>
      <c r="AA5196" s="6">
        <v>0</v>
      </c>
      <c r="AB5196" s="4">
        <f t="shared" si="792"/>
        <v>6.07</v>
      </c>
      <c r="AC5196" s="4">
        <f t="shared" ref="AC5196:AC5259" si="794">IF(P5196="返现",X5196*Q5196,V5196-X5196)</f>
        <v>0</v>
      </c>
      <c r="AD5196" s="6">
        <f t="shared" si="789"/>
        <v>6.07</v>
      </c>
      <c r="AE5196" s="2">
        <v>0.06</v>
      </c>
      <c r="AF5196" s="6">
        <f t="shared" ref="AF5196:AF5259" si="795">AD5196*AE5196</f>
        <v>0.36420000000000002</v>
      </c>
      <c r="AG5196" s="14">
        <v>0</v>
      </c>
      <c r="AH5196" s="64">
        <f t="shared" si="790"/>
        <v>6.07</v>
      </c>
      <c r="AI5196" s="47"/>
      <c r="AJ5196" s="126" t="e">
        <v>#N/A</v>
      </c>
      <c r="AK5196" s="80">
        <f t="shared" si="793"/>
        <v>0</v>
      </c>
      <c r="AM5196" s="85"/>
    </row>
    <row r="5197" spans="1:39" hidden="1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787"/>
        <v>389255.64999999199</v>
      </c>
      <c r="X5197" s="6">
        <f t="shared" si="788"/>
        <v>6707465.54</v>
      </c>
      <c r="Y5197" s="13">
        <f t="shared" si="791"/>
        <v>0</v>
      </c>
      <c r="Z5197" s="14">
        <v>0</v>
      </c>
      <c r="AA5197" s="6">
        <v>0</v>
      </c>
      <c r="AB5197" s="4">
        <f t="shared" si="792"/>
        <v>6707465.54</v>
      </c>
      <c r="AC5197" s="4">
        <f t="shared" si="794"/>
        <v>402447.93239999999</v>
      </c>
      <c r="AD5197" s="6">
        <f t="shared" si="789"/>
        <v>6707465.54</v>
      </c>
      <c r="AE5197" s="2">
        <v>0.05</v>
      </c>
      <c r="AF5197" s="6">
        <f t="shared" si="795"/>
        <v>335373.277</v>
      </c>
      <c r="AG5197" s="14">
        <v>0</v>
      </c>
      <c r="AH5197" s="64">
        <f t="shared" si="790"/>
        <v>6707465.54</v>
      </c>
      <c r="AI5197" s="47"/>
      <c r="AJ5197" s="126" t="e">
        <v>#N/A</v>
      </c>
      <c r="AK5197" s="80">
        <f t="shared" si="793"/>
        <v>0</v>
      </c>
      <c r="AM5197" s="85"/>
    </row>
    <row r="5198" spans="1:39" hidden="1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787"/>
        <v>743122.3800000021</v>
      </c>
      <c r="X5198" s="6">
        <f t="shared" si="788"/>
        <v>437911.04999999993</v>
      </c>
      <c r="Y5198" s="13">
        <f t="shared" si="791"/>
        <v>0</v>
      </c>
      <c r="Z5198" s="14">
        <v>0</v>
      </c>
      <c r="AA5198" s="6">
        <v>0</v>
      </c>
      <c r="AB5198" s="4">
        <f t="shared" si="792"/>
        <v>437911.04999999993</v>
      </c>
      <c r="AC5198" s="4">
        <f t="shared" si="794"/>
        <v>26274.662999999993</v>
      </c>
      <c r="AD5198" s="6">
        <f t="shared" si="789"/>
        <v>437911.04999999993</v>
      </c>
      <c r="AE5198" s="2">
        <v>0.05</v>
      </c>
      <c r="AF5198" s="6">
        <f t="shared" si="795"/>
        <v>21895.552499999998</v>
      </c>
      <c r="AG5198" s="14">
        <v>0</v>
      </c>
      <c r="AH5198" s="64">
        <f t="shared" si="790"/>
        <v>437911.04999999993</v>
      </c>
      <c r="AI5198" s="47"/>
      <c r="AJ5198" s="126" t="e">
        <v>#N/A</v>
      </c>
      <c r="AK5198" s="80">
        <f t="shared" si="793"/>
        <v>0</v>
      </c>
      <c r="AM5198" s="85"/>
    </row>
    <row r="5199" spans="1:39" hidden="1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787"/>
        <v>600413.05999999866</v>
      </c>
      <c r="X5199" s="6">
        <f t="shared" si="788"/>
        <v>14858240.25</v>
      </c>
      <c r="Y5199" s="13">
        <f t="shared" si="791"/>
        <v>0</v>
      </c>
      <c r="Z5199" s="14">
        <v>0</v>
      </c>
      <c r="AA5199" s="6">
        <v>0</v>
      </c>
      <c r="AB5199" s="4">
        <f t="shared" si="792"/>
        <v>14858240.25</v>
      </c>
      <c r="AC5199" s="4">
        <f t="shared" si="794"/>
        <v>891494.41499999992</v>
      </c>
      <c r="AD5199" s="6">
        <f t="shared" si="789"/>
        <v>14858240.25</v>
      </c>
      <c r="AE5199" s="2">
        <v>0.05</v>
      </c>
      <c r="AF5199" s="6">
        <f t="shared" si="795"/>
        <v>742912.01250000007</v>
      </c>
      <c r="AG5199" s="14">
        <v>0</v>
      </c>
      <c r="AH5199" s="64">
        <f t="shared" si="790"/>
        <v>14858240.25</v>
      </c>
      <c r="AI5199" s="47"/>
      <c r="AJ5199" s="126" t="e">
        <v>#N/A</v>
      </c>
      <c r="AK5199" s="80">
        <f t="shared" si="793"/>
        <v>0</v>
      </c>
      <c r="AM5199" s="85"/>
    </row>
    <row r="5200" spans="1:39" hidden="1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787"/>
        <v>1900544.2000000007</v>
      </c>
      <c r="X5200" s="6">
        <f t="shared" si="788"/>
        <v>3314171.9799999991</v>
      </c>
      <c r="Y5200" s="13">
        <f t="shared" si="791"/>
        <v>0</v>
      </c>
      <c r="Z5200" s="14">
        <v>0</v>
      </c>
      <c r="AA5200" s="6">
        <v>0</v>
      </c>
      <c r="AB5200" s="4">
        <f t="shared" si="792"/>
        <v>3314171.9799999991</v>
      </c>
      <c r="AC5200" s="4">
        <f t="shared" si="794"/>
        <v>198850.31879999995</v>
      </c>
      <c r="AD5200" s="6">
        <f t="shared" si="789"/>
        <v>3314171.9799999991</v>
      </c>
      <c r="AE5200" s="2">
        <v>0.05</v>
      </c>
      <c r="AF5200" s="6">
        <f t="shared" si="795"/>
        <v>165708.59899999996</v>
      </c>
      <c r="AG5200" s="14">
        <v>0</v>
      </c>
      <c r="AH5200" s="64">
        <f t="shared" si="790"/>
        <v>3314171.9799999991</v>
      </c>
      <c r="AI5200" s="47"/>
      <c r="AJ5200" s="126" t="e">
        <v>#N/A</v>
      </c>
      <c r="AK5200" s="80">
        <f t="shared" si="793"/>
        <v>0</v>
      </c>
      <c r="AM5200" s="85"/>
    </row>
    <row r="5201" spans="1:39" hidden="1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787"/>
        <v>146254.55999999994</v>
      </c>
      <c r="X5201" s="6">
        <f t="shared" si="788"/>
        <v>732477.67999999993</v>
      </c>
      <c r="Y5201" s="13">
        <f t="shared" si="791"/>
        <v>0</v>
      </c>
      <c r="Z5201" s="14">
        <v>0</v>
      </c>
      <c r="AA5201" s="6">
        <v>0</v>
      </c>
      <c r="AB5201" s="4">
        <f t="shared" si="792"/>
        <v>732477.67999999993</v>
      </c>
      <c r="AC5201" s="4">
        <f t="shared" si="794"/>
        <v>43948.660799999998</v>
      </c>
      <c r="AD5201" s="6">
        <f t="shared" si="789"/>
        <v>732477.67999999993</v>
      </c>
      <c r="AE5201" s="2">
        <v>0.05</v>
      </c>
      <c r="AF5201" s="6">
        <f t="shared" si="795"/>
        <v>36623.883999999998</v>
      </c>
      <c r="AG5201" s="14">
        <v>0</v>
      </c>
      <c r="AH5201" s="64">
        <f t="shared" si="790"/>
        <v>732477.67999999993</v>
      </c>
      <c r="AI5201" s="47"/>
      <c r="AJ5201" s="126" t="e">
        <v>#N/A</v>
      </c>
      <c r="AK5201" s="80">
        <f t="shared" si="793"/>
        <v>0</v>
      </c>
      <c r="AM5201" s="85"/>
    </row>
    <row r="5202" spans="1:39" hidden="1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787"/>
        <v>1197854.069999997</v>
      </c>
      <c r="X5202" s="6">
        <f t="shared" si="788"/>
        <v>3774225.6442307704</v>
      </c>
      <c r="Y5202" s="13">
        <f t="shared" si="791"/>
        <v>0</v>
      </c>
      <c r="Z5202" s="14">
        <v>0</v>
      </c>
      <c r="AA5202" s="6">
        <v>0</v>
      </c>
      <c r="AB5202" s="4">
        <f t="shared" si="792"/>
        <v>3774225.6442307704</v>
      </c>
      <c r="AC5202" s="4">
        <f t="shared" si="794"/>
        <v>150969.02576923091</v>
      </c>
      <c r="AD5202" s="6">
        <f t="shared" si="789"/>
        <v>3925194.6700000013</v>
      </c>
      <c r="AE5202" s="2">
        <v>0.05</v>
      </c>
      <c r="AF5202" s="6">
        <f t="shared" si="795"/>
        <v>196259.73350000009</v>
      </c>
      <c r="AG5202" s="14">
        <v>0</v>
      </c>
      <c r="AH5202" s="64">
        <f t="shared" si="790"/>
        <v>3925194.6700000013</v>
      </c>
      <c r="AI5202" s="47"/>
      <c r="AJ5202" s="126" t="e">
        <v>#N/A</v>
      </c>
      <c r="AK5202" s="80">
        <f t="shared" si="793"/>
        <v>0</v>
      </c>
      <c r="AM5202" s="85"/>
    </row>
    <row r="5203" spans="1:39" hidden="1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">
        <v>3710</v>
      </c>
      <c r="L5203" s="1" t="s">
        <v>35</v>
      </c>
      <c r="M5203" s="86"/>
      <c r="N5203" s="86" t="s">
        <v>3734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787"/>
        <v>-6505246.3200000003</v>
      </c>
      <c r="X5203" s="6">
        <f t="shared" si="788"/>
        <v>6505246.3200000003</v>
      </c>
      <c r="Y5203" s="13">
        <f t="shared" si="791"/>
        <v>0</v>
      </c>
      <c r="Z5203" s="14">
        <v>0</v>
      </c>
      <c r="AA5203" s="6">
        <v>0</v>
      </c>
      <c r="AB5203" s="4">
        <f t="shared" si="792"/>
        <v>6505246.3200000003</v>
      </c>
      <c r="AC5203" s="4">
        <f t="shared" si="794"/>
        <v>390314.77919999999</v>
      </c>
      <c r="AD5203" s="6">
        <f t="shared" si="789"/>
        <v>6505246.3200000003</v>
      </c>
      <c r="AE5203" s="2">
        <v>0.06</v>
      </c>
      <c r="AF5203" s="6">
        <f t="shared" si="795"/>
        <v>390314.77919999999</v>
      </c>
      <c r="AG5203" s="14">
        <v>0</v>
      </c>
      <c r="AH5203" s="64">
        <f t="shared" si="790"/>
        <v>6505246.3200000003</v>
      </c>
      <c r="AI5203" s="47"/>
      <c r="AJ5203" s="126" t="e">
        <v>#N/A</v>
      </c>
      <c r="AK5203" s="80">
        <f t="shared" si="793"/>
        <v>0</v>
      </c>
      <c r="AM5203" s="85"/>
    </row>
    <row r="5204" spans="1:39" hidden="1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">
        <v>3710</v>
      </c>
      <c r="L5204" s="1" t="s">
        <v>35</v>
      </c>
      <c r="M5204" s="86"/>
      <c r="N5204" s="86" t="s">
        <v>3730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787"/>
        <v>-105392.83000000002</v>
      </c>
      <c r="X5204" s="6">
        <f t="shared" si="788"/>
        <v>105392.83000000002</v>
      </c>
      <c r="Y5204" s="13">
        <f t="shared" si="791"/>
        <v>0</v>
      </c>
      <c r="Z5204" s="14">
        <v>0</v>
      </c>
      <c r="AA5204" s="6">
        <v>0</v>
      </c>
      <c r="AB5204" s="4">
        <f t="shared" si="792"/>
        <v>105392.83000000002</v>
      </c>
      <c r="AC5204" s="4">
        <f t="shared" si="794"/>
        <v>6323.5698000000011</v>
      </c>
      <c r="AD5204" s="6">
        <f t="shared" si="789"/>
        <v>105392.83000000002</v>
      </c>
      <c r="AE5204" s="2">
        <v>0.06</v>
      </c>
      <c r="AF5204" s="6">
        <f t="shared" si="795"/>
        <v>6323.5698000000011</v>
      </c>
      <c r="AG5204" s="14">
        <v>0</v>
      </c>
      <c r="AH5204" s="64">
        <f t="shared" si="790"/>
        <v>105392.83000000002</v>
      </c>
      <c r="AI5204" s="47"/>
      <c r="AJ5204" s="126" t="e">
        <v>#N/A</v>
      </c>
      <c r="AK5204" s="80">
        <f t="shared" si="793"/>
        <v>0</v>
      </c>
      <c r="AM5204" s="85"/>
    </row>
    <row r="5205" spans="1:39" hidden="1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">
        <v>3710</v>
      </c>
      <c r="L5205" s="1" t="s">
        <v>35</v>
      </c>
      <c r="M5205" s="86"/>
      <c r="N5205" s="86" t="s">
        <v>3710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787"/>
        <v>-3174.94</v>
      </c>
      <c r="X5205" s="6">
        <f t="shared" si="788"/>
        <v>3174.94</v>
      </c>
      <c r="Y5205" s="13">
        <f t="shared" si="791"/>
        <v>0</v>
      </c>
      <c r="Z5205" s="14">
        <v>0</v>
      </c>
      <c r="AA5205" s="6">
        <v>0</v>
      </c>
      <c r="AB5205" s="4">
        <f t="shared" si="792"/>
        <v>3174.94</v>
      </c>
      <c r="AC5205" s="4">
        <f t="shared" si="794"/>
        <v>0</v>
      </c>
      <c r="AD5205" s="6">
        <f t="shared" si="789"/>
        <v>3174.94</v>
      </c>
      <c r="AE5205" s="2">
        <v>0.06</v>
      </c>
      <c r="AF5205" s="6">
        <f t="shared" si="795"/>
        <v>190.49639999999999</v>
      </c>
      <c r="AG5205" s="14">
        <v>0</v>
      </c>
      <c r="AH5205" s="64">
        <f t="shared" si="790"/>
        <v>3174.94</v>
      </c>
      <c r="AI5205" s="47"/>
      <c r="AJ5205" s="126" t="e">
        <v>#N/A</v>
      </c>
      <c r="AK5205" s="80">
        <f t="shared" si="793"/>
        <v>0</v>
      </c>
      <c r="AM5205" s="85"/>
    </row>
    <row r="5206" spans="1:39" hidden="1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">
        <v>3707</v>
      </c>
      <c r="L5206" s="1" t="s">
        <v>35</v>
      </c>
      <c r="M5206" s="86"/>
      <c r="N5206" s="86" t="s">
        <v>3707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787"/>
        <v>-45.9</v>
      </c>
      <c r="X5206" s="6">
        <f t="shared" si="788"/>
        <v>45</v>
      </c>
      <c r="Y5206" s="13">
        <f t="shared" si="791"/>
        <v>0</v>
      </c>
      <c r="Z5206" s="14">
        <v>0</v>
      </c>
      <c r="AA5206" s="6">
        <v>0</v>
      </c>
      <c r="AB5206" s="4">
        <f t="shared" si="792"/>
        <v>45</v>
      </c>
      <c r="AC5206" s="4">
        <f t="shared" si="794"/>
        <v>0.89999999999999858</v>
      </c>
      <c r="AD5206" s="6">
        <f t="shared" si="789"/>
        <v>45.9</v>
      </c>
      <c r="AE5206" s="2">
        <v>0.06</v>
      </c>
      <c r="AF5206" s="6">
        <f t="shared" si="795"/>
        <v>2.754</v>
      </c>
      <c r="AG5206" s="14">
        <v>0</v>
      </c>
      <c r="AH5206" s="64">
        <f t="shared" si="790"/>
        <v>45.9</v>
      </c>
      <c r="AI5206" s="47"/>
      <c r="AJ5206" s="126" t="e">
        <v>#N/A</v>
      </c>
      <c r="AK5206" s="80">
        <f t="shared" si="793"/>
        <v>0</v>
      </c>
      <c r="AM5206" s="85"/>
    </row>
    <row r="5207" spans="1:39" hidden="1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">
        <v>3712</v>
      </c>
      <c r="L5207" s="1" t="s">
        <v>35</v>
      </c>
      <c r="M5207" s="86"/>
      <c r="N5207" s="86" t="s">
        <v>3712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787"/>
        <v>-31.67</v>
      </c>
      <c r="X5207" s="6">
        <f t="shared" si="788"/>
        <v>31.67</v>
      </c>
      <c r="Y5207" s="13">
        <f t="shared" si="791"/>
        <v>0</v>
      </c>
      <c r="Z5207" s="14">
        <v>0</v>
      </c>
      <c r="AA5207" s="6">
        <v>0</v>
      </c>
      <c r="AB5207" s="4">
        <f t="shared" si="792"/>
        <v>31.67</v>
      </c>
      <c r="AC5207" s="4">
        <f t="shared" si="794"/>
        <v>0</v>
      </c>
      <c r="AD5207" s="6">
        <f t="shared" si="789"/>
        <v>31.67</v>
      </c>
      <c r="AE5207" s="2">
        <v>0.06</v>
      </c>
      <c r="AF5207" s="6">
        <f t="shared" si="795"/>
        <v>1.9002000000000001</v>
      </c>
      <c r="AG5207" s="14">
        <v>0</v>
      </c>
      <c r="AH5207" s="64">
        <f t="shared" si="790"/>
        <v>31.67</v>
      </c>
      <c r="AI5207" s="47"/>
      <c r="AJ5207" s="126" t="e">
        <v>#N/A</v>
      </c>
      <c r="AK5207" s="80">
        <f t="shared" si="793"/>
        <v>0</v>
      </c>
      <c r="AM5207" s="85"/>
    </row>
    <row r="5208" spans="1:39" hidden="1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1" t="s">
        <v>3718</v>
      </c>
      <c r="L5208" s="1" t="s">
        <v>35</v>
      </c>
      <c r="M5208" s="86"/>
      <c r="N5208" s="86" t="s">
        <v>3718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787"/>
        <v>-1239.69</v>
      </c>
      <c r="X5208" s="6">
        <f t="shared" si="788"/>
        <v>1173.9488636363637</v>
      </c>
      <c r="Y5208" s="13">
        <f t="shared" si="791"/>
        <v>0</v>
      </c>
      <c r="Z5208" s="14">
        <v>0</v>
      </c>
      <c r="AA5208" s="6">
        <v>0</v>
      </c>
      <c r="AB5208" s="4">
        <f t="shared" si="792"/>
        <v>1173.9488636363637</v>
      </c>
      <c r="AC5208" s="4">
        <f t="shared" si="794"/>
        <v>65.741136363636315</v>
      </c>
      <c r="AD5208" s="6">
        <f t="shared" si="789"/>
        <v>1239.69</v>
      </c>
      <c r="AE5208" s="2">
        <v>0.06</v>
      </c>
      <c r="AF5208" s="6">
        <f t="shared" si="795"/>
        <v>74.381399999999999</v>
      </c>
      <c r="AG5208" s="14">
        <v>0</v>
      </c>
      <c r="AH5208" s="64">
        <f t="shared" si="790"/>
        <v>1239.69</v>
      </c>
      <c r="AI5208" s="47"/>
      <c r="AJ5208" s="126" t="e">
        <v>#N/A</v>
      </c>
      <c r="AK5208" s="80">
        <f t="shared" si="793"/>
        <v>0</v>
      </c>
      <c r="AM5208" s="85"/>
    </row>
    <row r="5209" spans="1:39" hidden="1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">
        <v>3707</v>
      </c>
      <c r="L5209" s="1" t="s">
        <v>35</v>
      </c>
      <c r="M5209" s="86"/>
      <c r="N5209" s="86" t="s">
        <v>3707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787"/>
        <v>-77687.91</v>
      </c>
      <c r="X5209" s="6">
        <f t="shared" si="788"/>
        <v>77687.91</v>
      </c>
      <c r="Y5209" s="13">
        <f t="shared" si="791"/>
        <v>0</v>
      </c>
      <c r="Z5209" s="14">
        <v>0</v>
      </c>
      <c r="AA5209" s="6">
        <v>0</v>
      </c>
      <c r="AB5209" s="4">
        <f t="shared" si="792"/>
        <v>77687.91</v>
      </c>
      <c r="AC5209" s="4">
        <f t="shared" si="794"/>
        <v>4661.2745999999997</v>
      </c>
      <c r="AD5209" s="6">
        <f t="shared" si="789"/>
        <v>77687.91</v>
      </c>
      <c r="AE5209" s="2">
        <v>0.06</v>
      </c>
      <c r="AF5209" s="6">
        <f t="shared" si="795"/>
        <v>4661.2745999999997</v>
      </c>
      <c r="AG5209" s="14">
        <v>0</v>
      </c>
      <c r="AH5209" s="64">
        <f t="shared" si="790"/>
        <v>77687.91</v>
      </c>
      <c r="AI5209" s="47"/>
      <c r="AJ5209" s="126" t="e">
        <v>#N/A</v>
      </c>
      <c r="AK5209" s="80">
        <f t="shared" si="793"/>
        <v>0</v>
      </c>
      <c r="AM5209" s="85"/>
    </row>
    <row r="5210" spans="1:39" hidden="1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">
        <v>3707</v>
      </c>
      <c r="L5210" s="1" t="s">
        <v>35</v>
      </c>
      <c r="M5210" s="86"/>
      <c r="N5210" s="86" t="s">
        <v>3707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787"/>
        <v>-2461.2499999999995</v>
      </c>
      <c r="X5210" s="6">
        <f t="shared" si="788"/>
        <v>2461.2499999999995</v>
      </c>
      <c r="Y5210" s="13">
        <f t="shared" si="791"/>
        <v>0</v>
      </c>
      <c r="Z5210" s="14">
        <v>0</v>
      </c>
      <c r="AA5210" s="6">
        <v>0</v>
      </c>
      <c r="AB5210" s="4">
        <f t="shared" si="792"/>
        <v>2461.2499999999995</v>
      </c>
      <c r="AC5210" s="4">
        <f t="shared" si="794"/>
        <v>147.67499999999995</v>
      </c>
      <c r="AD5210" s="6">
        <f t="shared" si="789"/>
        <v>2461.2499999999995</v>
      </c>
      <c r="AE5210" s="2">
        <v>0.06</v>
      </c>
      <c r="AF5210" s="6">
        <f t="shared" si="795"/>
        <v>147.67499999999995</v>
      </c>
      <c r="AG5210" s="14">
        <v>0</v>
      </c>
      <c r="AH5210" s="64">
        <f t="shared" si="790"/>
        <v>2461.2499999999995</v>
      </c>
      <c r="AI5210" s="47"/>
      <c r="AJ5210" s="126" t="e">
        <v>#N/A</v>
      </c>
      <c r="AK5210" s="80">
        <f t="shared" si="793"/>
        <v>0</v>
      </c>
      <c r="AM5210" s="85"/>
    </row>
    <row r="5211" spans="1:39" hidden="1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787"/>
        <v>-608.4899999999999</v>
      </c>
      <c r="X5211" s="6">
        <f t="shared" si="788"/>
        <v>608.4899999999999</v>
      </c>
      <c r="Y5211" s="13">
        <f t="shared" si="791"/>
        <v>0</v>
      </c>
      <c r="Z5211" s="14">
        <v>0</v>
      </c>
      <c r="AA5211" s="6">
        <v>0</v>
      </c>
      <c r="AB5211" s="4">
        <f t="shared" si="792"/>
        <v>608.4899999999999</v>
      </c>
      <c r="AC5211" s="4">
        <f t="shared" si="794"/>
        <v>36.509399999999992</v>
      </c>
      <c r="AD5211" s="6">
        <f t="shared" si="789"/>
        <v>608.4899999999999</v>
      </c>
      <c r="AE5211" s="2">
        <v>0.05</v>
      </c>
      <c r="AF5211" s="6">
        <f t="shared" si="795"/>
        <v>30.424499999999995</v>
      </c>
      <c r="AG5211" s="14">
        <v>0</v>
      </c>
      <c r="AH5211" s="64">
        <f t="shared" si="790"/>
        <v>608.4899999999999</v>
      </c>
      <c r="AI5211" s="47"/>
      <c r="AJ5211" s="126" t="e">
        <v>#N/A</v>
      </c>
      <c r="AK5211" s="80">
        <f t="shared" si="793"/>
        <v>0</v>
      </c>
      <c r="AM5211" s="85"/>
    </row>
    <row r="5212" spans="1:39" hidden="1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787"/>
        <v>-17773.849999999999</v>
      </c>
      <c r="X5212" s="6">
        <f t="shared" si="788"/>
        <v>17773.849999999999</v>
      </c>
      <c r="Y5212" s="13">
        <f t="shared" si="791"/>
        <v>0</v>
      </c>
      <c r="Z5212" s="14">
        <v>0</v>
      </c>
      <c r="AA5212" s="6">
        <v>0</v>
      </c>
      <c r="AB5212" s="4">
        <f t="shared" si="792"/>
        <v>17773.849999999999</v>
      </c>
      <c r="AC5212" s="4">
        <f t="shared" si="794"/>
        <v>1066.4309999999998</v>
      </c>
      <c r="AD5212" s="6">
        <f t="shared" si="789"/>
        <v>17773.849999999999</v>
      </c>
      <c r="AE5212" s="2">
        <v>0.05</v>
      </c>
      <c r="AF5212" s="6">
        <f t="shared" si="795"/>
        <v>888.6925</v>
      </c>
      <c r="AG5212" s="14">
        <v>0</v>
      </c>
      <c r="AH5212" s="64">
        <f t="shared" si="790"/>
        <v>17773.849999999999</v>
      </c>
      <c r="AI5212" s="47"/>
      <c r="AJ5212" s="126" t="e">
        <v>#N/A</v>
      </c>
      <c r="AK5212" s="80">
        <f t="shared" si="793"/>
        <v>0</v>
      </c>
      <c r="AM5212" s="85"/>
    </row>
    <row r="5213" spans="1:39" hidden="1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">
        <v>3710</v>
      </c>
      <c r="L5213" s="1" t="s">
        <v>35</v>
      </c>
      <c r="M5213" s="86"/>
      <c r="N5213" s="86" t="s">
        <v>3730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787"/>
        <v>-686394.66000000027</v>
      </c>
      <c r="X5213" s="6">
        <f t="shared" si="788"/>
        <v>653709.20000000019</v>
      </c>
      <c r="Y5213" s="13">
        <f t="shared" si="791"/>
        <v>0</v>
      </c>
      <c r="Z5213" s="14">
        <v>0</v>
      </c>
      <c r="AA5213" s="6">
        <v>0</v>
      </c>
      <c r="AB5213" s="4">
        <f t="shared" si="792"/>
        <v>653709.20000000019</v>
      </c>
      <c r="AC5213" s="4">
        <f t="shared" si="794"/>
        <v>32685.460000000079</v>
      </c>
      <c r="AD5213" s="6">
        <f t="shared" si="789"/>
        <v>686394.66000000027</v>
      </c>
      <c r="AE5213" s="2">
        <v>0.06</v>
      </c>
      <c r="AF5213" s="6">
        <f t="shared" si="795"/>
        <v>41183.679600000018</v>
      </c>
      <c r="AG5213" s="14">
        <v>0</v>
      </c>
      <c r="AH5213" s="64">
        <f t="shared" si="790"/>
        <v>686394.66000000027</v>
      </c>
      <c r="AI5213" s="47"/>
      <c r="AJ5213" s="126" t="e">
        <v>#N/A</v>
      </c>
      <c r="AK5213" s="80">
        <f t="shared" si="793"/>
        <v>0</v>
      </c>
      <c r="AM5213" s="85"/>
    </row>
    <row r="5214" spans="1:39" hidden="1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">
        <v>3710</v>
      </c>
      <c r="L5214" s="1" t="s">
        <v>35</v>
      </c>
      <c r="M5214" s="86"/>
      <c r="N5214" s="86" t="s">
        <v>3730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787"/>
        <v>-2794.1899999999996</v>
      </c>
      <c r="X5214" s="6">
        <f t="shared" si="788"/>
        <v>2661.1333333333328</v>
      </c>
      <c r="Y5214" s="13">
        <f t="shared" si="791"/>
        <v>0</v>
      </c>
      <c r="Z5214" s="14">
        <v>0</v>
      </c>
      <c r="AA5214" s="6">
        <v>0</v>
      </c>
      <c r="AB5214" s="4">
        <f t="shared" si="792"/>
        <v>2661.1333333333328</v>
      </c>
      <c r="AC5214" s="4">
        <f t="shared" si="794"/>
        <v>133.05666666666684</v>
      </c>
      <c r="AD5214" s="6">
        <f t="shared" si="789"/>
        <v>2794.1899999999996</v>
      </c>
      <c r="AE5214" s="2">
        <v>0.06</v>
      </c>
      <c r="AF5214" s="6">
        <f t="shared" si="795"/>
        <v>167.65139999999997</v>
      </c>
      <c r="AG5214" s="14">
        <v>0</v>
      </c>
      <c r="AH5214" s="64">
        <f t="shared" si="790"/>
        <v>2794.1899999999996</v>
      </c>
      <c r="AI5214" s="47"/>
      <c r="AJ5214" s="126" t="e">
        <v>#N/A</v>
      </c>
      <c r="AK5214" s="80">
        <f t="shared" si="793"/>
        <v>0</v>
      </c>
      <c r="AM5214" s="85"/>
    </row>
    <row r="5215" spans="1:39" hidden="1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">
        <v>3712</v>
      </c>
      <c r="L5215" s="1" t="s">
        <v>35</v>
      </c>
      <c r="M5215" s="86"/>
      <c r="N5215" s="86" t="s">
        <v>3712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787"/>
        <v>-53060.590000000004</v>
      </c>
      <c r="X5215" s="6">
        <f t="shared" si="788"/>
        <v>53060.590000000004</v>
      </c>
      <c r="Y5215" s="13">
        <f t="shared" si="791"/>
        <v>0</v>
      </c>
      <c r="Z5215" s="14">
        <v>0</v>
      </c>
      <c r="AA5215" s="6">
        <v>0</v>
      </c>
      <c r="AB5215" s="4">
        <f t="shared" si="792"/>
        <v>53060.590000000004</v>
      </c>
      <c r="AC5215" s="4">
        <f t="shared" si="794"/>
        <v>0</v>
      </c>
      <c r="AD5215" s="6">
        <f t="shared" si="789"/>
        <v>53060.590000000004</v>
      </c>
      <c r="AE5215" s="2">
        <v>0.06</v>
      </c>
      <c r="AF5215" s="6">
        <f t="shared" si="795"/>
        <v>3183.6354000000001</v>
      </c>
      <c r="AG5215" s="14">
        <v>0</v>
      </c>
      <c r="AH5215" s="64">
        <f t="shared" si="790"/>
        <v>53060.590000000004</v>
      </c>
      <c r="AI5215" s="47"/>
      <c r="AJ5215" s="126" t="e">
        <v>#N/A</v>
      </c>
      <c r="AK5215" s="80">
        <f t="shared" si="793"/>
        <v>0</v>
      </c>
      <c r="AM5215" s="85"/>
    </row>
    <row r="5216" spans="1:39" hidden="1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787"/>
        <v>-72.55</v>
      </c>
      <c r="X5216" s="6">
        <f t="shared" si="788"/>
        <v>70.436893203883486</v>
      </c>
      <c r="Y5216" s="13">
        <f t="shared" si="791"/>
        <v>0</v>
      </c>
      <c r="Z5216" s="14">
        <v>0</v>
      </c>
      <c r="AA5216" s="6">
        <v>0</v>
      </c>
      <c r="AB5216" s="4">
        <f t="shared" si="792"/>
        <v>70.436893203883486</v>
      </c>
      <c r="AC5216" s="4">
        <f t="shared" si="794"/>
        <v>2.1131067961165115</v>
      </c>
      <c r="AD5216" s="6">
        <f t="shared" si="789"/>
        <v>72.55</v>
      </c>
      <c r="AE5216" s="2">
        <v>0.06</v>
      </c>
      <c r="AF5216" s="6">
        <f t="shared" si="795"/>
        <v>4.3529999999999998</v>
      </c>
      <c r="AG5216" s="14">
        <v>0</v>
      </c>
      <c r="AH5216" s="64">
        <f t="shared" si="790"/>
        <v>72.55</v>
      </c>
      <c r="AI5216" s="47"/>
      <c r="AJ5216" s="126" t="e">
        <v>#N/A</v>
      </c>
      <c r="AK5216" s="80">
        <f t="shared" si="793"/>
        <v>0</v>
      </c>
      <c r="AM5216" s="85"/>
    </row>
    <row r="5217" spans="1:39" hidden="1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">
        <v>3707</v>
      </c>
      <c r="L5217" s="1" t="s">
        <v>35</v>
      </c>
      <c r="M5217" s="86"/>
      <c r="N5217" s="86" t="s">
        <v>3707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787"/>
        <v>-6645.8000000000011</v>
      </c>
      <c r="X5217" s="6">
        <f t="shared" si="788"/>
        <v>6645.8000000000011</v>
      </c>
      <c r="Y5217" s="13">
        <f t="shared" si="791"/>
        <v>0</v>
      </c>
      <c r="Z5217" s="14">
        <v>0</v>
      </c>
      <c r="AA5217" s="6">
        <v>0</v>
      </c>
      <c r="AB5217" s="4">
        <f t="shared" si="792"/>
        <v>6645.8000000000011</v>
      </c>
      <c r="AC5217" s="4">
        <f t="shared" si="794"/>
        <v>0</v>
      </c>
      <c r="AD5217" s="6">
        <f t="shared" si="789"/>
        <v>6645.8000000000011</v>
      </c>
      <c r="AE5217" s="2">
        <v>0.06</v>
      </c>
      <c r="AF5217" s="6">
        <f t="shared" si="795"/>
        <v>398.74800000000005</v>
      </c>
      <c r="AG5217" s="14">
        <v>0</v>
      </c>
      <c r="AH5217" s="64">
        <f t="shared" si="790"/>
        <v>6645.8000000000011</v>
      </c>
      <c r="AI5217" s="47"/>
      <c r="AJ5217" s="126" t="e">
        <v>#N/A</v>
      </c>
      <c r="AK5217" s="80">
        <f t="shared" si="793"/>
        <v>0</v>
      </c>
      <c r="AM5217" s="85"/>
    </row>
    <row r="5218" spans="1:39" hidden="1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787"/>
        <v>-154.71</v>
      </c>
      <c r="X5218" s="6">
        <f t="shared" si="788"/>
        <v>145.95283018867926</v>
      </c>
      <c r="Y5218" s="13">
        <f t="shared" si="791"/>
        <v>0</v>
      </c>
      <c r="Z5218" s="14">
        <v>0</v>
      </c>
      <c r="AA5218" s="6">
        <v>0</v>
      </c>
      <c r="AB5218" s="4">
        <f t="shared" si="792"/>
        <v>145.95283018867926</v>
      </c>
      <c r="AC5218" s="4">
        <f t="shared" si="794"/>
        <v>8.7571698113207503</v>
      </c>
      <c r="AD5218" s="6">
        <f t="shared" si="789"/>
        <v>154.71</v>
      </c>
      <c r="AE5218" s="2">
        <v>0.06</v>
      </c>
      <c r="AF5218" s="6">
        <f t="shared" si="795"/>
        <v>9.2826000000000004</v>
      </c>
      <c r="AG5218" s="14">
        <v>0</v>
      </c>
      <c r="AH5218" s="64">
        <f t="shared" si="790"/>
        <v>154.71</v>
      </c>
      <c r="AI5218" s="47"/>
      <c r="AJ5218" s="126" t="e">
        <v>#N/A</v>
      </c>
      <c r="AK5218" s="80">
        <f t="shared" si="793"/>
        <v>0</v>
      </c>
      <c r="AM5218" s="85"/>
    </row>
    <row r="5219" spans="1:39" hidden="1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787"/>
        <v>-95.47</v>
      </c>
      <c r="X5219" s="6">
        <f t="shared" si="788"/>
        <v>93.598039215686271</v>
      </c>
      <c r="Y5219" s="13">
        <f t="shared" si="791"/>
        <v>0</v>
      </c>
      <c r="Z5219" s="14">
        <v>0</v>
      </c>
      <c r="AA5219" s="6">
        <v>0</v>
      </c>
      <c r="AB5219" s="4">
        <f t="shared" si="792"/>
        <v>93.598039215686271</v>
      </c>
      <c r="AC5219" s="4">
        <f t="shared" si="794"/>
        <v>1.8719607843137283</v>
      </c>
      <c r="AD5219" s="6">
        <f t="shared" si="789"/>
        <v>95.47</v>
      </c>
      <c r="AE5219" s="2">
        <v>0.06</v>
      </c>
      <c r="AF5219" s="6">
        <f t="shared" si="795"/>
        <v>5.7281999999999993</v>
      </c>
      <c r="AG5219" s="14">
        <v>0</v>
      </c>
      <c r="AH5219" s="64">
        <f t="shared" si="790"/>
        <v>95.47</v>
      </c>
      <c r="AI5219" s="47"/>
      <c r="AJ5219" s="126" t="e">
        <v>#N/A</v>
      </c>
      <c r="AK5219" s="80">
        <f t="shared" si="793"/>
        <v>0</v>
      </c>
      <c r="AM5219" s="85"/>
    </row>
    <row r="5220" spans="1:39" hidden="1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">
        <v>3707</v>
      </c>
      <c r="L5220" s="1" t="s">
        <v>35</v>
      </c>
      <c r="M5220" s="86"/>
      <c r="N5220" s="86" t="s">
        <v>3707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787"/>
        <v>-69464.759999999995</v>
      </c>
      <c r="X5220" s="6">
        <f t="shared" si="788"/>
        <v>69464.759999999995</v>
      </c>
      <c r="Y5220" s="13">
        <f t="shared" si="791"/>
        <v>0</v>
      </c>
      <c r="Z5220" s="14">
        <v>0</v>
      </c>
      <c r="AA5220" s="6">
        <v>0</v>
      </c>
      <c r="AB5220" s="4">
        <f t="shared" si="792"/>
        <v>69464.759999999995</v>
      </c>
      <c r="AC5220" s="4">
        <f t="shared" si="794"/>
        <v>0</v>
      </c>
      <c r="AD5220" s="6">
        <f t="shared" si="789"/>
        <v>69464.759999999995</v>
      </c>
      <c r="AE5220" s="2">
        <v>0.06</v>
      </c>
      <c r="AF5220" s="6">
        <f t="shared" si="795"/>
        <v>4167.8855999999996</v>
      </c>
      <c r="AG5220" s="14">
        <v>0</v>
      </c>
      <c r="AH5220" s="64">
        <f t="shared" si="790"/>
        <v>69464.759999999995</v>
      </c>
      <c r="AI5220" s="47"/>
      <c r="AJ5220" s="126" t="e">
        <v>#N/A</v>
      </c>
      <c r="AK5220" s="80">
        <f t="shared" si="793"/>
        <v>0</v>
      </c>
      <c r="AM5220" s="85"/>
    </row>
    <row r="5221" spans="1:39" hidden="1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">
        <v>3712</v>
      </c>
      <c r="L5221" s="1" t="s">
        <v>35</v>
      </c>
      <c r="M5221" s="86"/>
      <c r="N5221" s="86" t="s">
        <v>3712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787"/>
        <v>-7141.88</v>
      </c>
      <c r="X5221" s="6">
        <f t="shared" si="788"/>
        <v>7141.88</v>
      </c>
      <c r="Y5221" s="13">
        <f t="shared" si="791"/>
        <v>0</v>
      </c>
      <c r="Z5221" s="14">
        <v>0</v>
      </c>
      <c r="AA5221" s="6">
        <v>0</v>
      </c>
      <c r="AB5221" s="4">
        <f t="shared" si="792"/>
        <v>7141.88</v>
      </c>
      <c r="AC5221" s="4">
        <f t="shared" si="794"/>
        <v>0</v>
      </c>
      <c r="AD5221" s="6">
        <f t="shared" si="789"/>
        <v>7141.88</v>
      </c>
      <c r="AE5221" s="2">
        <v>0.06</v>
      </c>
      <c r="AF5221" s="6">
        <f t="shared" si="795"/>
        <v>428.51279999999997</v>
      </c>
      <c r="AG5221" s="14">
        <v>0</v>
      </c>
      <c r="AH5221" s="64">
        <f t="shared" si="790"/>
        <v>7141.88</v>
      </c>
      <c r="AI5221" s="47"/>
      <c r="AJ5221" s="126" t="e">
        <v>#N/A</v>
      </c>
      <c r="AK5221" s="80">
        <f t="shared" si="793"/>
        <v>0</v>
      </c>
      <c r="AM5221" s="85"/>
    </row>
    <row r="5222" spans="1:39" hidden="1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">
        <v>3712</v>
      </c>
      <c r="L5222" s="1" t="s">
        <v>35</v>
      </c>
      <c r="M5222" s="86"/>
      <c r="N5222" s="86" t="s">
        <v>3712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787"/>
        <v>-240109.02000000002</v>
      </c>
      <c r="X5222" s="6">
        <f t="shared" si="788"/>
        <v>240109.02000000002</v>
      </c>
      <c r="Y5222" s="13">
        <f t="shared" si="791"/>
        <v>0</v>
      </c>
      <c r="Z5222" s="14">
        <v>0</v>
      </c>
      <c r="AA5222" s="6">
        <v>0</v>
      </c>
      <c r="AB5222" s="4">
        <f t="shared" si="792"/>
        <v>240109.02000000002</v>
      </c>
      <c r="AC5222" s="4">
        <f t="shared" si="794"/>
        <v>0</v>
      </c>
      <c r="AD5222" s="6">
        <f t="shared" si="789"/>
        <v>240109.02000000002</v>
      </c>
      <c r="AE5222" s="2">
        <v>0.06</v>
      </c>
      <c r="AF5222" s="6">
        <f t="shared" si="795"/>
        <v>14406.541200000001</v>
      </c>
      <c r="AG5222" s="14">
        <v>0</v>
      </c>
      <c r="AH5222" s="64">
        <f t="shared" si="790"/>
        <v>240109.02000000002</v>
      </c>
      <c r="AI5222" s="47"/>
      <c r="AJ5222" s="126" t="e">
        <v>#N/A</v>
      </c>
      <c r="AK5222" s="80">
        <f t="shared" si="793"/>
        <v>0</v>
      </c>
      <c r="AM5222" s="85"/>
    </row>
    <row r="5223" spans="1:39" hidden="1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">
        <v>3712</v>
      </c>
      <c r="L5223" s="1" t="s">
        <v>35</v>
      </c>
      <c r="M5223" s="86"/>
      <c r="N5223" s="86" t="s">
        <v>3712</v>
      </c>
      <c r="O5223" s="47" t="s">
        <v>105</v>
      </c>
      <c r="P5223" s="47" t="s">
        <v>3748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787"/>
        <v>-0.46</v>
      </c>
      <c r="X5223" s="6">
        <f t="shared" si="788"/>
        <v>0.43396226415094341</v>
      </c>
      <c r="Y5223" s="13">
        <f t="shared" si="791"/>
        <v>0</v>
      </c>
      <c r="Z5223" s="14">
        <v>0</v>
      </c>
      <c r="AA5223" s="6">
        <v>0</v>
      </c>
      <c r="AB5223" s="4">
        <f t="shared" si="792"/>
        <v>0.43396226415094341</v>
      </c>
      <c r="AC5223" s="4">
        <f t="shared" si="794"/>
        <v>2.6037735849056609E-2</v>
      </c>
      <c r="AD5223" s="6">
        <f t="shared" si="789"/>
        <v>0.46</v>
      </c>
      <c r="AE5223" s="2">
        <v>0.06</v>
      </c>
      <c r="AF5223" s="6">
        <f t="shared" si="795"/>
        <v>2.76E-2</v>
      </c>
      <c r="AG5223" s="14">
        <v>0</v>
      </c>
      <c r="AH5223" s="64">
        <f t="shared" si="790"/>
        <v>0.46</v>
      </c>
      <c r="AI5223" s="47"/>
      <c r="AJ5223" s="126" t="e">
        <v>#N/A</v>
      </c>
      <c r="AK5223" s="80">
        <f t="shared" si="793"/>
        <v>0</v>
      </c>
      <c r="AM5223" s="85"/>
    </row>
    <row r="5224" spans="1:39" hidden="1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">
        <v>3712</v>
      </c>
      <c r="L5224" s="1" t="s">
        <v>35</v>
      </c>
      <c r="M5224" s="86"/>
      <c r="N5224" s="86" t="s">
        <v>3712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787"/>
        <v>-11743.239999999998</v>
      </c>
      <c r="X5224" s="6">
        <f t="shared" si="788"/>
        <v>11743.239999999998</v>
      </c>
      <c r="Y5224" s="13">
        <f t="shared" si="791"/>
        <v>0</v>
      </c>
      <c r="Z5224" s="14">
        <v>0</v>
      </c>
      <c r="AA5224" s="6">
        <v>0</v>
      </c>
      <c r="AB5224" s="4">
        <f t="shared" si="792"/>
        <v>11743.239999999998</v>
      </c>
      <c r="AC5224" s="4">
        <f t="shared" si="794"/>
        <v>0</v>
      </c>
      <c r="AD5224" s="6">
        <f t="shared" si="789"/>
        <v>11743.239999999998</v>
      </c>
      <c r="AE5224" s="2">
        <v>0.06</v>
      </c>
      <c r="AF5224" s="6">
        <f t="shared" si="795"/>
        <v>704.59439999999984</v>
      </c>
      <c r="AG5224" s="14">
        <v>0</v>
      </c>
      <c r="AH5224" s="64">
        <f t="shared" si="790"/>
        <v>11743.239999999998</v>
      </c>
      <c r="AI5224" s="47"/>
      <c r="AJ5224" s="126" t="e">
        <v>#N/A</v>
      </c>
      <c r="AK5224" s="80">
        <f t="shared" si="793"/>
        <v>0</v>
      </c>
      <c r="AM5224" s="85"/>
    </row>
    <row r="5225" spans="1:39" hidden="1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">
        <v>3707</v>
      </c>
      <c r="L5225" s="1" t="s">
        <v>35</v>
      </c>
      <c r="M5225" s="86"/>
      <c r="N5225" s="86" t="s">
        <v>3707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787"/>
        <v>-45.89</v>
      </c>
      <c r="X5225" s="6">
        <f t="shared" si="788"/>
        <v>44.990196078431374</v>
      </c>
      <c r="Y5225" s="13">
        <f t="shared" si="791"/>
        <v>0</v>
      </c>
      <c r="Z5225" s="14">
        <v>0</v>
      </c>
      <c r="AA5225" s="6">
        <v>0</v>
      </c>
      <c r="AB5225" s="4">
        <f t="shared" si="792"/>
        <v>44.990196078431374</v>
      </c>
      <c r="AC5225" s="4">
        <f t="shared" si="794"/>
        <v>0.89980392156862621</v>
      </c>
      <c r="AD5225" s="6">
        <f t="shared" si="789"/>
        <v>45.89</v>
      </c>
      <c r="AE5225" s="2">
        <v>0.06</v>
      </c>
      <c r="AF5225" s="6">
        <f t="shared" si="795"/>
        <v>2.7534000000000001</v>
      </c>
      <c r="AG5225" s="14">
        <v>0</v>
      </c>
      <c r="AH5225" s="64">
        <f t="shared" si="790"/>
        <v>45.89</v>
      </c>
      <c r="AI5225" s="47"/>
      <c r="AJ5225" s="126" t="e">
        <v>#N/A</v>
      </c>
      <c r="AK5225" s="80">
        <f t="shared" si="793"/>
        <v>0</v>
      </c>
      <c r="AM5225" s="85"/>
    </row>
    <row r="5226" spans="1:39" hidden="1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787"/>
        <v>0</v>
      </c>
      <c r="X5226" s="6">
        <f t="shared" si="788"/>
        <v>0</v>
      </c>
      <c r="Y5226" s="13">
        <f t="shared" si="791"/>
        <v>0</v>
      </c>
      <c r="Z5226" s="14">
        <v>0</v>
      </c>
      <c r="AA5226" s="6">
        <v>0</v>
      </c>
      <c r="AB5226" s="4">
        <f t="shared" si="792"/>
        <v>0</v>
      </c>
      <c r="AC5226" s="4">
        <f t="shared" si="794"/>
        <v>0</v>
      </c>
      <c r="AD5226" s="6">
        <f t="shared" si="789"/>
        <v>0</v>
      </c>
      <c r="AE5226" s="2">
        <v>0.05</v>
      </c>
      <c r="AF5226" s="6">
        <f t="shared" si="795"/>
        <v>0</v>
      </c>
      <c r="AG5226" s="14">
        <v>0</v>
      </c>
      <c r="AH5226" s="64">
        <f t="shared" si="790"/>
        <v>0</v>
      </c>
      <c r="AI5226" s="47"/>
      <c r="AJ5226" s="126" t="e">
        <v>#N/A</v>
      </c>
      <c r="AK5226" s="80">
        <f t="shared" si="793"/>
        <v>0</v>
      </c>
      <c r="AM5226" s="85"/>
    </row>
    <row r="5227" spans="1:39" hidden="1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">
        <v>3707</v>
      </c>
      <c r="L5227" s="1" t="s">
        <v>35</v>
      </c>
      <c r="M5227" s="86"/>
      <c r="N5227" s="86" t="s">
        <v>3707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787"/>
        <v>-1329.79</v>
      </c>
      <c r="X5227" s="6">
        <f t="shared" si="788"/>
        <v>1329.79</v>
      </c>
      <c r="Y5227" s="13">
        <f t="shared" si="791"/>
        <v>0</v>
      </c>
      <c r="Z5227" s="14">
        <v>0</v>
      </c>
      <c r="AA5227" s="6">
        <v>0</v>
      </c>
      <c r="AB5227" s="4">
        <f t="shared" si="792"/>
        <v>1329.79</v>
      </c>
      <c r="AC5227" s="4">
        <f t="shared" si="794"/>
        <v>0</v>
      </c>
      <c r="AD5227" s="6">
        <f t="shared" si="789"/>
        <v>1329.79</v>
      </c>
      <c r="AE5227" s="2">
        <v>0.06</v>
      </c>
      <c r="AF5227" s="6">
        <f t="shared" si="795"/>
        <v>79.787399999999991</v>
      </c>
      <c r="AG5227" s="14">
        <v>0</v>
      </c>
      <c r="AH5227" s="64">
        <f t="shared" si="790"/>
        <v>1329.79</v>
      </c>
      <c r="AI5227" s="47"/>
      <c r="AJ5227" s="126" t="e">
        <v>#N/A</v>
      </c>
      <c r="AK5227" s="80">
        <f t="shared" si="793"/>
        <v>0</v>
      </c>
      <c r="AM5227" s="85"/>
    </row>
    <row r="5228" spans="1:39" hidden="1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">
        <v>3707</v>
      </c>
      <c r="L5228" s="1" t="s">
        <v>35</v>
      </c>
      <c r="M5228" s="86"/>
      <c r="N5228" s="86" t="s">
        <v>3737</v>
      </c>
      <c r="O5228" s="47" t="s">
        <v>45</v>
      </c>
      <c r="P5228" s="1" t="s">
        <v>3753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787"/>
        <v>-1209492.0400000003</v>
      </c>
      <c r="X5228" s="6">
        <f t="shared" si="788"/>
        <v>1197516.8712871289</v>
      </c>
      <c r="Y5228" s="13">
        <f t="shared" si="791"/>
        <v>0</v>
      </c>
      <c r="Z5228" s="14">
        <v>0</v>
      </c>
      <c r="AA5228" s="6">
        <v>0</v>
      </c>
      <c r="AB5228" s="4">
        <f t="shared" si="792"/>
        <v>1197516.8712871289</v>
      </c>
      <c r="AC5228" s="4">
        <f t="shared" si="794"/>
        <v>11975.168712871382</v>
      </c>
      <c r="AD5228" s="6">
        <f t="shared" si="789"/>
        <v>1209492.0400000003</v>
      </c>
      <c r="AE5228" s="2">
        <v>0.06</v>
      </c>
      <c r="AF5228" s="6">
        <f t="shared" si="795"/>
        <v>72569.522400000016</v>
      </c>
      <c r="AG5228" s="14">
        <v>0</v>
      </c>
      <c r="AH5228" s="64">
        <f t="shared" si="790"/>
        <v>1209492.0400000003</v>
      </c>
      <c r="AI5228" s="47"/>
      <c r="AJ5228" s="126" t="e">
        <v>#N/A</v>
      </c>
      <c r="AK5228" s="80">
        <f t="shared" si="793"/>
        <v>0</v>
      </c>
      <c r="AM5228" s="85"/>
    </row>
    <row r="5229" spans="1:39" hidden="1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">
        <v>3707</v>
      </c>
      <c r="L5229" s="1" t="s">
        <v>35</v>
      </c>
      <c r="M5229" s="86"/>
      <c r="N5229" s="86" t="s">
        <v>3707</v>
      </c>
      <c r="O5229" s="47" t="s">
        <v>105</v>
      </c>
      <c r="P5229" s="1" t="s">
        <v>3753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787"/>
        <v>-20.47</v>
      </c>
      <c r="X5229" s="6">
        <f t="shared" si="788"/>
        <v>20.267326732673265</v>
      </c>
      <c r="Y5229" s="13">
        <f t="shared" si="791"/>
        <v>0</v>
      </c>
      <c r="Z5229" s="14">
        <v>0</v>
      </c>
      <c r="AA5229" s="6">
        <v>0</v>
      </c>
      <c r="AB5229" s="4">
        <f t="shared" si="792"/>
        <v>20.267326732673265</v>
      </c>
      <c r="AC5229" s="4">
        <f t="shared" si="794"/>
        <v>0.20267326732673396</v>
      </c>
      <c r="AD5229" s="6">
        <f t="shared" si="789"/>
        <v>20.47</v>
      </c>
      <c r="AE5229" s="2">
        <v>0.06</v>
      </c>
      <c r="AF5229" s="6">
        <f t="shared" si="795"/>
        <v>1.2282</v>
      </c>
      <c r="AG5229" s="14">
        <v>0</v>
      </c>
      <c r="AH5229" s="64">
        <f t="shared" si="790"/>
        <v>20.47</v>
      </c>
      <c r="AI5229" s="47"/>
      <c r="AJ5229" s="126" t="e">
        <v>#N/A</v>
      </c>
      <c r="AK5229" s="80">
        <f t="shared" si="793"/>
        <v>0</v>
      </c>
      <c r="AM5229" s="85"/>
    </row>
    <row r="5230" spans="1:39" hidden="1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">
        <v>3707</v>
      </c>
      <c r="L5230" s="1" t="s">
        <v>35</v>
      </c>
      <c r="M5230" s="86"/>
      <c r="N5230" s="86" t="s">
        <v>3707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787"/>
        <v>-22.65</v>
      </c>
      <c r="X5230" s="6">
        <f t="shared" si="788"/>
        <v>22.65</v>
      </c>
      <c r="Y5230" s="13">
        <f t="shared" si="791"/>
        <v>0</v>
      </c>
      <c r="Z5230" s="14">
        <v>0</v>
      </c>
      <c r="AA5230" s="6">
        <v>0</v>
      </c>
      <c r="AB5230" s="4">
        <f t="shared" si="792"/>
        <v>22.65</v>
      </c>
      <c r="AC5230" s="4">
        <f t="shared" si="794"/>
        <v>1.3589999999999998</v>
      </c>
      <c r="AD5230" s="6">
        <f t="shared" si="789"/>
        <v>22.65</v>
      </c>
      <c r="AE5230" s="2">
        <v>0.06</v>
      </c>
      <c r="AF5230" s="6">
        <f t="shared" si="795"/>
        <v>1.3589999999999998</v>
      </c>
      <c r="AG5230" s="14">
        <v>0</v>
      </c>
      <c r="AH5230" s="64">
        <f t="shared" si="790"/>
        <v>22.65</v>
      </c>
      <c r="AI5230" s="47"/>
      <c r="AJ5230" s="126" t="e">
        <v>#N/A</v>
      </c>
      <c r="AK5230" s="80">
        <f t="shared" si="793"/>
        <v>0</v>
      </c>
      <c r="AM5230" s="85"/>
    </row>
    <row r="5231" spans="1:39" hidden="1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">
        <v>3707</v>
      </c>
      <c r="L5231" s="1" t="s">
        <v>35</v>
      </c>
      <c r="M5231" s="86"/>
      <c r="N5231" s="86" t="s">
        <v>3707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787"/>
        <v>-9686.7099999999991</v>
      </c>
      <c r="X5231" s="6">
        <f t="shared" si="788"/>
        <v>9138.405660377357</v>
      </c>
      <c r="Y5231" s="13">
        <f t="shared" si="791"/>
        <v>0</v>
      </c>
      <c r="Z5231" s="14">
        <v>0</v>
      </c>
      <c r="AA5231" s="6">
        <v>0</v>
      </c>
      <c r="AB5231" s="4">
        <f t="shared" si="792"/>
        <v>9138.405660377357</v>
      </c>
      <c r="AC5231" s="4">
        <f t="shared" si="794"/>
        <v>548.30433962264215</v>
      </c>
      <c r="AD5231" s="6">
        <f t="shared" si="789"/>
        <v>9686.7099999999991</v>
      </c>
      <c r="AE5231" s="2">
        <v>0.06</v>
      </c>
      <c r="AF5231" s="6">
        <f t="shared" si="795"/>
        <v>581.20259999999996</v>
      </c>
      <c r="AG5231" s="14">
        <v>0</v>
      </c>
      <c r="AH5231" s="64">
        <f t="shared" si="790"/>
        <v>9686.7099999999991</v>
      </c>
      <c r="AI5231" s="47"/>
      <c r="AJ5231" s="126" t="e">
        <v>#N/A</v>
      </c>
      <c r="AK5231" s="80">
        <f t="shared" si="793"/>
        <v>0</v>
      </c>
      <c r="AM5231" s="85"/>
    </row>
    <row r="5232" spans="1:39" hidden="1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787"/>
        <v>-16661.750000000004</v>
      </c>
      <c r="X5232" s="6">
        <f t="shared" si="788"/>
        <v>15718.6320754717</v>
      </c>
      <c r="Y5232" s="13">
        <f t="shared" si="791"/>
        <v>0</v>
      </c>
      <c r="Z5232" s="14">
        <v>0</v>
      </c>
      <c r="AA5232" s="6">
        <v>0</v>
      </c>
      <c r="AB5232" s="4">
        <f t="shared" si="792"/>
        <v>15718.6320754717</v>
      </c>
      <c r="AC5232" s="4">
        <f t="shared" si="794"/>
        <v>943.11792452830377</v>
      </c>
      <c r="AD5232" s="6">
        <f t="shared" si="789"/>
        <v>16661.750000000004</v>
      </c>
      <c r="AE5232" s="2">
        <v>0.06</v>
      </c>
      <c r="AF5232" s="6">
        <f t="shared" si="795"/>
        <v>999.70500000000015</v>
      </c>
      <c r="AG5232" s="14">
        <v>0</v>
      </c>
      <c r="AH5232" s="64">
        <f t="shared" si="790"/>
        <v>16661.750000000004</v>
      </c>
      <c r="AI5232" s="47"/>
      <c r="AJ5232" s="126" t="e">
        <v>#N/A</v>
      </c>
      <c r="AK5232" s="80">
        <f t="shared" si="793"/>
        <v>0</v>
      </c>
      <c r="AM5232" s="85"/>
    </row>
    <row r="5233" spans="1:39" hidden="1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787"/>
        <v>465629.33000000566</v>
      </c>
      <c r="X5233" s="6">
        <f t="shared" si="788"/>
        <v>9616390.8557692245</v>
      </c>
      <c r="Y5233" s="13">
        <f t="shared" si="791"/>
        <v>0</v>
      </c>
      <c r="Z5233" s="14">
        <v>0</v>
      </c>
      <c r="AA5233" s="6">
        <v>0</v>
      </c>
      <c r="AB5233" s="4">
        <f t="shared" si="792"/>
        <v>9616390.8557692245</v>
      </c>
      <c r="AC5233" s="4">
        <f t="shared" si="794"/>
        <v>384655.63423077017</v>
      </c>
      <c r="AD5233" s="6">
        <f t="shared" si="789"/>
        <v>10001046.489999995</v>
      </c>
      <c r="AE5233" s="2">
        <v>0.05</v>
      </c>
      <c r="AF5233" s="6">
        <f t="shared" si="795"/>
        <v>500052.32449999976</v>
      </c>
      <c r="AG5233" s="14">
        <v>0</v>
      </c>
      <c r="AH5233" s="64">
        <f t="shared" si="790"/>
        <v>10001046.489999995</v>
      </c>
      <c r="AI5233" s="47"/>
      <c r="AJ5233" s="126" t="e">
        <v>#N/A</v>
      </c>
      <c r="AK5233" s="80">
        <f t="shared" si="793"/>
        <v>0</v>
      </c>
      <c r="AM5233" s="85"/>
    </row>
    <row r="5234" spans="1:39" hidden="1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787"/>
        <v>555899.79999999888</v>
      </c>
      <c r="X5234" s="6">
        <f t="shared" si="788"/>
        <v>44100.200000001118</v>
      </c>
      <c r="Y5234" s="13">
        <f t="shared" si="791"/>
        <v>0</v>
      </c>
      <c r="Z5234" s="14">
        <v>0</v>
      </c>
      <c r="AA5234" s="6">
        <v>0</v>
      </c>
      <c r="AB5234" s="4">
        <f t="shared" si="792"/>
        <v>44100.200000001118</v>
      </c>
      <c r="AC5234" s="4">
        <f t="shared" si="794"/>
        <v>0</v>
      </c>
      <c r="AD5234" s="6">
        <f t="shared" si="789"/>
        <v>44100.200000001118</v>
      </c>
      <c r="AE5234" s="2">
        <v>0.05</v>
      </c>
      <c r="AF5234" s="6">
        <f t="shared" si="795"/>
        <v>2205.0100000000562</v>
      </c>
      <c r="AG5234" s="14">
        <v>0</v>
      </c>
      <c r="AH5234" s="64">
        <f t="shared" si="790"/>
        <v>44100.200000001118</v>
      </c>
      <c r="AI5234" s="47"/>
      <c r="AJ5234" s="126" t="e">
        <v>#N/A</v>
      </c>
      <c r="AK5234" s="80">
        <f t="shared" si="793"/>
        <v>0</v>
      </c>
      <c r="AM5234" s="85"/>
    </row>
    <row r="5235" spans="1:39" hidden="1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787"/>
        <v>9429731.6799999997</v>
      </c>
      <c r="X5235" s="6">
        <f t="shared" si="788"/>
        <v>17450592.66</v>
      </c>
      <c r="Y5235" s="13">
        <f t="shared" si="791"/>
        <v>0</v>
      </c>
      <c r="Z5235" s="14">
        <v>0</v>
      </c>
      <c r="AA5235" s="6">
        <v>0</v>
      </c>
      <c r="AB5235" s="4">
        <f t="shared" si="792"/>
        <v>17450592.66</v>
      </c>
      <c r="AC5235" s="4">
        <f t="shared" si="794"/>
        <v>1047035.5595999999</v>
      </c>
      <c r="AD5235" s="6">
        <f t="shared" si="789"/>
        <v>17450592.66</v>
      </c>
      <c r="AE5235" s="2">
        <v>0.05</v>
      </c>
      <c r="AF5235" s="6">
        <f t="shared" si="795"/>
        <v>872529.63300000003</v>
      </c>
      <c r="AG5235" s="14">
        <v>0</v>
      </c>
      <c r="AH5235" s="64">
        <f t="shared" si="790"/>
        <v>17450592.66</v>
      </c>
      <c r="AI5235" s="47"/>
      <c r="AJ5235" s="126" t="e">
        <v>#N/A</v>
      </c>
      <c r="AK5235" s="80">
        <f t="shared" si="793"/>
        <v>0</v>
      </c>
      <c r="AM5235" s="85"/>
    </row>
    <row r="5236" spans="1:39" hidden="1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787"/>
        <v>31826.240000000224</v>
      </c>
      <c r="X5236" s="6">
        <f t="shared" si="788"/>
        <v>2522014.1799999997</v>
      </c>
      <c r="Y5236" s="13">
        <f t="shared" si="791"/>
        <v>0</v>
      </c>
      <c r="Z5236" s="14">
        <v>0</v>
      </c>
      <c r="AA5236" s="6">
        <v>0</v>
      </c>
      <c r="AB5236" s="4">
        <f t="shared" si="792"/>
        <v>2522014.1799999997</v>
      </c>
      <c r="AC5236" s="4">
        <f t="shared" si="794"/>
        <v>151320.85079999999</v>
      </c>
      <c r="AD5236" s="6">
        <f t="shared" si="789"/>
        <v>2522014.1799999997</v>
      </c>
      <c r="AE5236" s="2">
        <v>0.05</v>
      </c>
      <c r="AF5236" s="6">
        <f t="shared" si="795"/>
        <v>126100.70899999999</v>
      </c>
      <c r="AG5236" s="14">
        <v>0</v>
      </c>
      <c r="AH5236" s="64">
        <f t="shared" si="790"/>
        <v>2522014.1799999997</v>
      </c>
      <c r="AI5236" s="47"/>
      <c r="AJ5236" s="126" t="e">
        <v>#N/A</v>
      </c>
      <c r="AK5236" s="80">
        <f t="shared" si="793"/>
        <v>0</v>
      </c>
      <c r="AM5236" s="85"/>
    </row>
    <row r="5237" spans="1:39" hidden="1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787"/>
        <v>-9080</v>
      </c>
      <c r="X5237" s="6">
        <f t="shared" si="788"/>
        <v>9080</v>
      </c>
      <c r="Y5237" s="13">
        <f t="shared" si="791"/>
        <v>0</v>
      </c>
      <c r="Z5237" s="14">
        <v>0</v>
      </c>
      <c r="AA5237" s="6">
        <v>0</v>
      </c>
      <c r="AB5237" s="4">
        <f t="shared" si="792"/>
        <v>9080</v>
      </c>
      <c r="AC5237" s="4">
        <f t="shared" si="794"/>
        <v>0</v>
      </c>
      <c r="AD5237" s="6">
        <f t="shared" si="789"/>
        <v>9080</v>
      </c>
      <c r="AE5237" s="2">
        <v>7.0000000000000007E-2</v>
      </c>
      <c r="AF5237" s="6">
        <f t="shared" si="795"/>
        <v>635.6</v>
      </c>
      <c r="AG5237" s="14">
        <v>0</v>
      </c>
      <c r="AH5237" s="64">
        <f t="shared" si="790"/>
        <v>9080</v>
      </c>
      <c r="AI5237" s="47"/>
      <c r="AJ5237" s="126" t="e">
        <v>#N/A</v>
      </c>
      <c r="AK5237" s="80">
        <f t="shared" si="793"/>
        <v>0</v>
      </c>
      <c r="AM5237" s="85"/>
    </row>
    <row r="5238" spans="1:39" hidden="1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787"/>
        <v>-7807.77</v>
      </c>
      <c r="X5238" s="6">
        <f t="shared" si="788"/>
        <v>7807.77</v>
      </c>
      <c r="Y5238" s="13">
        <f t="shared" si="791"/>
        <v>0</v>
      </c>
      <c r="Z5238" s="14">
        <v>0</v>
      </c>
      <c r="AA5238" s="6">
        <v>0</v>
      </c>
      <c r="AB5238" s="4">
        <f t="shared" si="792"/>
        <v>7807.77</v>
      </c>
      <c r="AC5238" s="4">
        <f t="shared" si="794"/>
        <v>0</v>
      </c>
      <c r="AD5238" s="6">
        <f t="shared" si="789"/>
        <v>7807.77</v>
      </c>
      <c r="AE5238" s="2">
        <v>7.0000000000000007E-2</v>
      </c>
      <c r="AF5238" s="6">
        <f t="shared" si="795"/>
        <v>546.54390000000012</v>
      </c>
      <c r="AG5238" s="14">
        <v>0</v>
      </c>
      <c r="AH5238" s="64">
        <f t="shared" si="790"/>
        <v>7807.77</v>
      </c>
      <c r="AI5238" s="47"/>
      <c r="AJ5238" s="126" t="e">
        <v>#N/A</v>
      </c>
      <c r="AK5238" s="80">
        <f t="shared" si="793"/>
        <v>0</v>
      </c>
      <c r="AM5238" s="85"/>
    </row>
    <row r="5239" spans="1:39" hidden="1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787"/>
        <v>-1012</v>
      </c>
      <c r="X5239" s="6">
        <f t="shared" si="788"/>
        <v>1012</v>
      </c>
      <c r="Y5239" s="13">
        <f t="shared" si="791"/>
        <v>0</v>
      </c>
      <c r="Z5239" s="14">
        <v>0</v>
      </c>
      <c r="AA5239" s="6">
        <v>0</v>
      </c>
      <c r="AB5239" s="4">
        <f t="shared" si="792"/>
        <v>1012</v>
      </c>
      <c r="AC5239" s="4">
        <f t="shared" si="794"/>
        <v>0</v>
      </c>
      <c r="AD5239" s="6">
        <f t="shared" si="789"/>
        <v>1012</v>
      </c>
      <c r="AE5239" s="2">
        <v>7.0000000000000007E-2</v>
      </c>
      <c r="AF5239" s="6">
        <f t="shared" si="795"/>
        <v>70.84</v>
      </c>
      <c r="AG5239" s="14">
        <v>0</v>
      </c>
      <c r="AH5239" s="64">
        <f t="shared" si="790"/>
        <v>1012</v>
      </c>
      <c r="AI5239" s="47"/>
      <c r="AJ5239" s="126" t="e">
        <v>#N/A</v>
      </c>
      <c r="AK5239" s="80">
        <f t="shared" si="793"/>
        <v>0</v>
      </c>
      <c r="AM5239" s="85"/>
    </row>
    <row r="5240" spans="1:39" hidden="1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787"/>
        <v>8511.7099999999991</v>
      </c>
      <c r="X5240" s="6">
        <f t="shared" si="788"/>
        <v>0</v>
      </c>
      <c r="Y5240" s="13">
        <f t="shared" si="791"/>
        <v>0</v>
      </c>
      <c r="Z5240" s="14">
        <v>0</v>
      </c>
      <c r="AA5240" s="6">
        <v>0</v>
      </c>
      <c r="AB5240" s="4">
        <f t="shared" si="792"/>
        <v>0</v>
      </c>
      <c r="AC5240" s="4">
        <f t="shared" si="794"/>
        <v>0</v>
      </c>
      <c r="AD5240" s="6">
        <f t="shared" si="789"/>
        <v>0</v>
      </c>
      <c r="AE5240" s="2">
        <f>VLOOKUP(I5240,[1]媒体政策预估表!A:N,MATCH(O5240,[1]媒体政策预估表!$A$2:$M$2,0),0)</f>
        <v>0.09</v>
      </c>
      <c r="AF5240" s="6">
        <f t="shared" si="795"/>
        <v>0</v>
      </c>
      <c r="AG5240" s="14">
        <v>0</v>
      </c>
      <c r="AH5240" s="65">
        <f t="shared" ref="AH5240" si="796">AD5240</f>
        <v>0</v>
      </c>
      <c r="AI5240" s="47"/>
      <c r="AJ5240" s="126" t="e">
        <v>#N/A</v>
      </c>
      <c r="AK5240" s="80">
        <f t="shared" si="793"/>
        <v>0</v>
      </c>
      <c r="AM5240" s="85"/>
    </row>
    <row r="5241" spans="1:39" hidden="1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791"/>
        <v>0</v>
      </c>
      <c r="Z5241" s="9">
        <v>0</v>
      </c>
      <c r="AA5241" s="6">
        <v>0</v>
      </c>
      <c r="AB5241" s="4">
        <f t="shared" si="792"/>
        <v>63250</v>
      </c>
      <c r="AC5241" s="4">
        <f t="shared" si="794"/>
        <v>0</v>
      </c>
      <c r="AD5241" s="6">
        <v>63250</v>
      </c>
      <c r="AE5241" s="66">
        <v>7.0000000000000007E-2</v>
      </c>
      <c r="AF5241" s="6">
        <f t="shared" si="795"/>
        <v>4427.5</v>
      </c>
      <c r="AG5241" s="9">
        <v>0</v>
      </c>
      <c r="AH5241" s="47"/>
      <c r="AI5241" s="47"/>
      <c r="AJ5241" s="126" t="e">
        <v>#N/A</v>
      </c>
      <c r="AK5241" s="80">
        <f t="shared" si="793"/>
        <v>0</v>
      </c>
      <c r="AM5241" s="85"/>
    </row>
    <row r="5242" spans="1:39" hidden="1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797">T5242+U5242-V5242</f>
        <v>0</v>
      </c>
      <c r="X5242" s="6">
        <f t="shared" ref="X5242:X5247" si="798">IF(P5242="折扣",V5242*Q5242,IF(P5242="返现",V5242,V5242/(1+Q5242)))</f>
        <v>21570</v>
      </c>
      <c r="Y5242" s="13">
        <f t="shared" si="791"/>
        <v>0</v>
      </c>
      <c r="Z5242" s="9">
        <v>0</v>
      </c>
      <c r="AA5242" s="6">
        <v>0</v>
      </c>
      <c r="AB5242" s="4">
        <v>21570</v>
      </c>
      <c r="AC5242" s="4">
        <f t="shared" si="794"/>
        <v>0</v>
      </c>
      <c r="AD5242" s="6">
        <v>21570</v>
      </c>
      <c r="AE5242" s="66">
        <v>7.0000000000000007E-2</v>
      </c>
      <c r="AF5242" s="6">
        <f t="shared" si="795"/>
        <v>1509.9</v>
      </c>
      <c r="AG5242" s="9">
        <v>0</v>
      </c>
      <c r="AH5242" s="47"/>
      <c r="AI5242" s="47"/>
      <c r="AJ5242" s="126" t="s">
        <v>4216</v>
      </c>
      <c r="AK5242" s="80">
        <f t="shared" si="793"/>
        <v>0</v>
      </c>
      <c r="AM5242" s="85"/>
    </row>
    <row r="5243" spans="1:39" hidden="1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797"/>
        <v>0</v>
      </c>
      <c r="X5243" s="6">
        <f t="shared" si="798"/>
        <v>21315</v>
      </c>
      <c r="Y5243" s="13">
        <f t="shared" si="791"/>
        <v>0</v>
      </c>
      <c r="Z5243" s="9">
        <v>0</v>
      </c>
      <c r="AA5243" s="6">
        <v>0</v>
      </c>
      <c r="AB5243" s="4">
        <f t="shared" si="792"/>
        <v>21315</v>
      </c>
      <c r="AC5243" s="4">
        <f t="shared" si="794"/>
        <v>0</v>
      </c>
      <c r="AD5243" s="6">
        <v>21315</v>
      </c>
      <c r="AE5243" s="66">
        <v>7.0000000000000007E-2</v>
      </c>
      <c r="AF5243" s="6">
        <f t="shared" si="795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793"/>
        <v>0</v>
      </c>
      <c r="AM5243" s="85"/>
    </row>
    <row r="5244" spans="1:39" hidden="1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797"/>
        <v>0</v>
      </c>
      <c r="X5244" s="6">
        <f t="shared" si="798"/>
        <v>70579.600000000006</v>
      </c>
      <c r="Y5244" s="13">
        <f t="shared" si="791"/>
        <v>0</v>
      </c>
      <c r="Z5244" s="9">
        <v>0</v>
      </c>
      <c r="AA5244" s="6">
        <v>0</v>
      </c>
      <c r="AB5244" s="4">
        <f t="shared" si="792"/>
        <v>70579.600000000006</v>
      </c>
      <c r="AC5244" s="4">
        <f t="shared" si="794"/>
        <v>0</v>
      </c>
      <c r="AD5244" s="6">
        <v>70579.600000000006</v>
      </c>
      <c r="AE5244" s="66">
        <v>7.0000000000000007E-2</v>
      </c>
      <c r="AF5244" s="6">
        <f t="shared" si="795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793"/>
        <v>0</v>
      </c>
      <c r="AM5244" s="85"/>
    </row>
    <row r="5245" spans="1:39" hidden="1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798"/>
        <v>1187920.17</v>
      </c>
      <c r="Y5245" s="13">
        <f t="shared" si="791"/>
        <v>0</v>
      </c>
      <c r="Z5245" s="9">
        <v>0</v>
      </c>
      <c r="AA5245" s="6">
        <v>0</v>
      </c>
      <c r="AB5245" s="4">
        <f t="shared" si="792"/>
        <v>1187920.17</v>
      </c>
      <c r="AC5245" s="4">
        <f t="shared" si="794"/>
        <v>0</v>
      </c>
      <c r="AD5245" s="6">
        <v>1187920.17</v>
      </c>
      <c r="AE5245" s="66">
        <v>7.0000000000000007E-2</v>
      </c>
      <c r="AF5245" s="6">
        <f t="shared" si="795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793"/>
        <v>0</v>
      </c>
      <c r="AM5245" s="85"/>
    </row>
    <row r="5246" spans="1:39" hidden="1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797"/>
        <v>0</v>
      </c>
      <c r="X5246" s="6">
        <f t="shared" si="798"/>
        <v>57855</v>
      </c>
      <c r="Y5246" s="13">
        <f t="shared" si="791"/>
        <v>0</v>
      </c>
      <c r="Z5246" s="9">
        <v>0</v>
      </c>
      <c r="AA5246" s="6">
        <v>0</v>
      </c>
      <c r="AB5246" s="4">
        <f t="shared" si="792"/>
        <v>57855</v>
      </c>
      <c r="AC5246" s="4">
        <f t="shared" si="794"/>
        <v>0</v>
      </c>
      <c r="AD5246" s="6">
        <v>57855</v>
      </c>
      <c r="AE5246" s="66">
        <v>7.0000000000000007E-2</v>
      </c>
      <c r="AF5246" s="6">
        <f t="shared" si="795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793"/>
        <v>0</v>
      </c>
      <c r="AM5246" s="85"/>
    </row>
    <row r="5247" spans="1:39" hidden="1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797"/>
        <v>0</v>
      </c>
      <c r="X5247" s="6">
        <f t="shared" si="798"/>
        <v>79170</v>
      </c>
      <c r="Y5247" s="13">
        <f t="shared" si="791"/>
        <v>0</v>
      </c>
      <c r="Z5247" s="9">
        <v>0</v>
      </c>
      <c r="AA5247" s="6">
        <v>0</v>
      </c>
      <c r="AB5247" s="4">
        <f t="shared" si="792"/>
        <v>79170</v>
      </c>
      <c r="AC5247" s="4">
        <f t="shared" si="794"/>
        <v>0</v>
      </c>
      <c r="AD5247" s="6">
        <v>79170</v>
      </c>
      <c r="AE5247" s="66">
        <v>7.0000000000000007E-2</v>
      </c>
      <c r="AF5247" s="6">
        <f t="shared" si="795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793"/>
        <v>0</v>
      </c>
      <c r="AM5247" s="85"/>
    </row>
    <row r="5248" spans="1:39" hidden="1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791"/>
        <v>0</v>
      </c>
      <c r="Z5248" s="9">
        <v>0</v>
      </c>
      <c r="AA5248" s="6">
        <v>0</v>
      </c>
      <c r="AB5248" s="4">
        <f t="shared" si="792"/>
        <v>0</v>
      </c>
      <c r="AC5248" s="4">
        <f t="shared" si="794"/>
        <v>0</v>
      </c>
      <c r="AD5248" s="6">
        <v>0</v>
      </c>
      <c r="AE5248" s="66">
        <v>0</v>
      </c>
      <c r="AF5248" s="6">
        <f t="shared" si="795"/>
        <v>0</v>
      </c>
      <c r="AG5248" s="9">
        <v>0</v>
      </c>
      <c r="AH5248" s="47"/>
      <c r="AI5248" s="47"/>
      <c r="AJ5248" s="126" t="e">
        <v>#N/A</v>
      </c>
      <c r="AK5248" s="80">
        <f t="shared" si="793"/>
        <v>0</v>
      </c>
      <c r="AM5248" s="85"/>
    </row>
    <row r="5249" spans="1:39" hidden="1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799">T5249+U5249-V5249</f>
        <v>93395.28</v>
      </c>
      <c r="X5249" s="6">
        <f t="shared" ref="X5249:X5251" si="800">IF(P5249="折扣",V5249*Q5249,IF(P5249="返现",V5249,V5249/(1+Q5249)))</f>
        <v>0</v>
      </c>
      <c r="Y5249" s="13">
        <f t="shared" si="791"/>
        <v>0</v>
      </c>
      <c r="Z5249" s="9">
        <v>0</v>
      </c>
      <c r="AA5249" s="6">
        <v>0</v>
      </c>
      <c r="AB5249" s="4">
        <f t="shared" si="792"/>
        <v>0</v>
      </c>
      <c r="AC5249" s="4">
        <f t="shared" si="794"/>
        <v>0</v>
      </c>
      <c r="AD5249" s="6">
        <v>0</v>
      </c>
      <c r="AE5249" s="66">
        <v>0</v>
      </c>
      <c r="AF5249" s="6">
        <f t="shared" si="795"/>
        <v>0</v>
      </c>
      <c r="AG5249" s="9">
        <v>0</v>
      </c>
      <c r="AH5249" s="47"/>
      <c r="AI5249" s="47"/>
      <c r="AJ5249" s="126" t="e">
        <v>#N/A</v>
      </c>
      <c r="AK5249" s="80">
        <f t="shared" si="793"/>
        <v>0</v>
      </c>
      <c r="AM5249" s="85"/>
    </row>
    <row r="5250" spans="1:39" hidden="1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799"/>
        <v>18381.79</v>
      </c>
      <c r="X5250" s="6">
        <f t="shared" si="800"/>
        <v>0</v>
      </c>
      <c r="Y5250" s="13">
        <f t="shared" si="791"/>
        <v>0</v>
      </c>
      <c r="Z5250" s="9">
        <v>0</v>
      </c>
      <c r="AA5250" s="6">
        <v>0</v>
      </c>
      <c r="AB5250" s="4">
        <f t="shared" si="792"/>
        <v>0</v>
      </c>
      <c r="AC5250" s="4">
        <f t="shared" si="794"/>
        <v>0</v>
      </c>
      <c r="AD5250" s="6">
        <v>0</v>
      </c>
      <c r="AE5250" s="66">
        <v>0</v>
      </c>
      <c r="AF5250" s="6">
        <f t="shared" si="795"/>
        <v>0</v>
      </c>
      <c r="AG5250" s="9">
        <v>0</v>
      </c>
      <c r="AH5250" s="47"/>
      <c r="AI5250" s="47"/>
      <c r="AJ5250" s="126" t="e">
        <v>#N/A</v>
      </c>
      <c r="AK5250" s="80">
        <f t="shared" si="793"/>
        <v>0</v>
      </c>
      <c r="AM5250" s="85"/>
    </row>
    <row r="5251" spans="1:39" hidden="1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799"/>
        <v>-3087.24</v>
      </c>
      <c r="X5251" s="6">
        <f t="shared" si="800"/>
        <v>0</v>
      </c>
      <c r="Y5251" s="13">
        <f t="shared" ref="Y5251:Y5314" si="801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02">X5251+AA5251</f>
        <v>0</v>
      </c>
      <c r="AC5251" s="4">
        <f t="shared" si="794"/>
        <v>0</v>
      </c>
      <c r="AD5251" s="6">
        <v>0</v>
      </c>
      <c r="AE5251" s="66">
        <v>0</v>
      </c>
      <c r="AF5251" s="6">
        <f t="shared" si="795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03">X5251+AA5251-AB5251</f>
        <v>0</v>
      </c>
      <c r="AM5251" s="85"/>
    </row>
    <row r="5252" spans="1:39" hidden="1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01"/>
        <v>0</v>
      </c>
      <c r="Z5252" s="9">
        <v>0</v>
      </c>
      <c r="AA5252" s="6">
        <v>0</v>
      </c>
      <c r="AB5252" s="4">
        <f t="shared" si="802"/>
        <v>123600</v>
      </c>
      <c r="AC5252" s="4">
        <f t="shared" si="794"/>
        <v>0</v>
      </c>
      <c r="AD5252" s="134">
        <v>123600</v>
      </c>
      <c r="AE5252" s="66">
        <v>7.0000000000000007E-2</v>
      </c>
      <c r="AF5252" s="6">
        <f t="shared" si="795"/>
        <v>8652</v>
      </c>
      <c r="AG5252" s="9">
        <v>0</v>
      </c>
      <c r="AH5252" s="47"/>
      <c r="AI5252" s="47"/>
      <c r="AJ5252" s="126" t="e">
        <v>#N/A</v>
      </c>
      <c r="AK5252" s="80">
        <f t="shared" si="803"/>
        <v>0</v>
      </c>
      <c r="AM5252" s="85"/>
    </row>
    <row r="5253" spans="1:39" hidden="1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01"/>
        <v>0</v>
      </c>
      <c r="Z5253" s="9">
        <v>0</v>
      </c>
      <c r="AA5253" s="6">
        <v>0</v>
      </c>
      <c r="AB5253" s="4">
        <f t="shared" si="802"/>
        <v>32700</v>
      </c>
      <c r="AC5253" s="4">
        <f t="shared" si="794"/>
        <v>0</v>
      </c>
      <c r="AD5253" s="134">
        <v>32700</v>
      </c>
      <c r="AE5253" s="66">
        <v>7.0000000000000007E-2</v>
      </c>
      <c r="AF5253" s="6">
        <f t="shared" si="795"/>
        <v>2289</v>
      </c>
      <c r="AG5253" s="9">
        <v>0</v>
      </c>
      <c r="AH5253" s="47"/>
      <c r="AI5253" s="47"/>
      <c r="AJ5253" s="126" t="e">
        <v>#N/A</v>
      </c>
      <c r="AK5253" s="80">
        <f t="shared" si="803"/>
        <v>0</v>
      </c>
      <c r="AM5253" s="85"/>
    </row>
    <row r="5254" spans="1:39" hidden="1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04">T5254+U5254-V5254</f>
        <v>1387.5</v>
      </c>
      <c r="X5254" s="6">
        <f t="shared" ref="X5254:X5264" si="805">IF(P5254="折扣",V5254*Q5254,IF(P5254="返现",V5254,V5254/(1+Q5254)))</f>
        <v>0</v>
      </c>
      <c r="Y5254" s="13">
        <f t="shared" si="801"/>
        <v>0</v>
      </c>
      <c r="Z5254" s="9">
        <v>0</v>
      </c>
      <c r="AA5254" s="6">
        <v>0</v>
      </c>
      <c r="AB5254" s="4">
        <f t="shared" si="802"/>
        <v>0</v>
      </c>
      <c r="AC5254" s="4">
        <f t="shared" si="794"/>
        <v>0</v>
      </c>
      <c r="AD5254" s="6">
        <v>0</v>
      </c>
      <c r="AE5254" s="9">
        <v>0</v>
      </c>
      <c r="AF5254" s="6">
        <f t="shared" si="795"/>
        <v>0</v>
      </c>
      <c r="AG5254" s="9">
        <v>0</v>
      </c>
      <c r="AH5254" s="47"/>
      <c r="AI5254" s="47"/>
      <c r="AJ5254" s="126" t="e">
        <v>#N/A</v>
      </c>
      <c r="AK5254" s="80">
        <f t="shared" si="803"/>
        <v>0</v>
      </c>
      <c r="AM5254" s="85"/>
    </row>
    <row r="5255" spans="1:39" hidden="1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04"/>
        <v>22550.75</v>
      </c>
      <c r="X5255" s="6">
        <f t="shared" si="805"/>
        <v>0</v>
      </c>
      <c r="Y5255" s="13">
        <f t="shared" si="801"/>
        <v>0</v>
      </c>
      <c r="Z5255" s="9">
        <v>0</v>
      </c>
      <c r="AA5255" s="6">
        <v>0</v>
      </c>
      <c r="AB5255" s="4">
        <f t="shared" si="802"/>
        <v>0</v>
      </c>
      <c r="AC5255" s="4">
        <f t="shared" si="794"/>
        <v>0</v>
      </c>
      <c r="AD5255" s="6">
        <v>0</v>
      </c>
      <c r="AE5255" s="9">
        <v>0</v>
      </c>
      <c r="AF5255" s="6">
        <f t="shared" si="795"/>
        <v>0</v>
      </c>
      <c r="AG5255" s="9">
        <v>0</v>
      </c>
      <c r="AH5255" s="47"/>
      <c r="AI5255" s="47"/>
      <c r="AJ5255" s="126" t="e">
        <v>#N/A</v>
      </c>
      <c r="AK5255" s="80">
        <f t="shared" si="803"/>
        <v>0</v>
      </c>
      <c r="AM5255" s="85"/>
    </row>
    <row r="5256" spans="1:39" hidden="1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04"/>
        <v>366068.76999999996</v>
      </c>
      <c r="X5256" s="6">
        <f t="shared" si="805"/>
        <v>272538.17</v>
      </c>
      <c r="Y5256" s="13">
        <f t="shared" si="801"/>
        <v>5343.8899999999558</v>
      </c>
      <c r="Z5256" s="9">
        <v>0</v>
      </c>
      <c r="AA5256" s="6">
        <v>0</v>
      </c>
      <c r="AB5256" s="4">
        <f t="shared" si="802"/>
        <v>272538.17</v>
      </c>
      <c r="AC5256" s="4">
        <f t="shared" si="794"/>
        <v>0</v>
      </c>
      <c r="AD5256" s="6">
        <v>267194.28000000003</v>
      </c>
      <c r="AE5256" s="9">
        <v>0.02</v>
      </c>
      <c r="AF5256" s="6">
        <f t="shared" si="795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03"/>
        <v>0</v>
      </c>
      <c r="AM5256" s="85"/>
    </row>
    <row r="5257" spans="1:39" hidden="1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04"/>
        <v>159441.73000000001</v>
      </c>
      <c r="X5257" s="6">
        <f t="shared" si="805"/>
        <v>0</v>
      </c>
      <c r="Y5257" s="13">
        <f t="shared" si="801"/>
        <v>0</v>
      </c>
      <c r="Z5257" s="9">
        <v>0</v>
      </c>
      <c r="AA5257" s="6">
        <v>0</v>
      </c>
      <c r="AB5257" s="4">
        <f t="shared" si="802"/>
        <v>0</v>
      </c>
      <c r="AC5257" s="4">
        <f t="shared" si="794"/>
        <v>0</v>
      </c>
      <c r="AD5257" s="6">
        <v>0</v>
      </c>
      <c r="AE5257" s="9">
        <v>0</v>
      </c>
      <c r="AF5257" s="6">
        <f t="shared" si="795"/>
        <v>0</v>
      </c>
      <c r="AG5257" s="9">
        <v>0</v>
      </c>
      <c r="AH5257" s="47"/>
      <c r="AI5257" s="47"/>
      <c r="AJ5257" s="126" t="e">
        <v>#N/A</v>
      </c>
      <c r="AK5257" s="80">
        <f t="shared" si="803"/>
        <v>0</v>
      </c>
      <c r="AM5257" s="85"/>
    </row>
    <row r="5258" spans="1:39" hidden="1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04"/>
        <v>9968.7000000000007</v>
      </c>
      <c r="X5258" s="6">
        <f t="shared" si="805"/>
        <v>0</v>
      </c>
      <c r="Y5258" s="13">
        <f t="shared" si="801"/>
        <v>0</v>
      </c>
      <c r="Z5258" s="9">
        <v>0</v>
      </c>
      <c r="AA5258" s="6">
        <v>0</v>
      </c>
      <c r="AB5258" s="4">
        <f t="shared" si="802"/>
        <v>0</v>
      </c>
      <c r="AC5258" s="4">
        <f t="shared" si="794"/>
        <v>0</v>
      </c>
      <c r="AD5258" s="6">
        <v>0</v>
      </c>
      <c r="AE5258" s="9">
        <v>0</v>
      </c>
      <c r="AF5258" s="6">
        <f t="shared" si="795"/>
        <v>0</v>
      </c>
      <c r="AG5258" s="9">
        <v>0</v>
      </c>
      <c r="AH5258" s="47"/>
      <c r="AI5258" s="47"/>
      <c r="AJ5258" s="126" t="e">
        <v>#N/A</v>
      </c>
      <c r="AK5258" s="80">
        <f t="shared" si="803"/>
        <v>0</v>
      </c>
      <c r="AM5258" s="85"/>
    </row>
    <row r="5259" spans="1:39" hidden="1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04"/>
        <v>-2059.96</v>
      </c>
      <c r="X5259" s="6">
        <f t="shared" si="805"/>
        <v>0</v>
      </c>
      <c r="Y5259" s="13">
        <f t="shared" si="801"/>
        <v>0</v>
      </c>
      <c r="Z5259" s="9">
        <v>0</v>
      </c>
      <c r="AA5259" s="6">
        <v>0</v>
      </c>
      <c r="AB5259" s="4">
        <f t="shared" si="802"/>
        <v>0</v>
      </c>
      <c r="AC5259" s="4">
        <f t="shared" si="794"/>
        <v>0</v>
      </c>
      <c r="AD5259" s="6">
        <v>0</v>
      </c>
      <c r="AE5259" s="9">
        <v>0</v>
      </c>
      <c r="AF5259" s="6">
        <f t="shared" si="795"/>
        <v>0</v>
      </c>
      <c r="AG5259" s="9">
        <v>0</v>
      </c>
      <c r="AH5259" s="47"/>
      <c r="AI5259" s="47"/>
      <c r="AJ5259" s="126" t="e">
        <v>#N/A</v>
      </c>
      <c r="AK5259" s="80">
        <f t="shared" si="803"/>
        <v>0</v>
      </c>
      <c r="AM5259" s="85"/>
    </row>
    <row r="5260" spans="1:39" hidden="1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04"/>
        <v>-74481.459999999905</v>
      </c>
      <c r="X5260" s="6">
        <f t="shared" si="805"/>
        <v>0</v>
      </c>
      <c r="Y5260" s="13">
        <f t="shared" si="801"/>
        <v>0</v>
      </c>
      <c r="Z5260" s="9">
        <v>0</v>
      </c>
      <c r="AA5260" s="6">
        <v>0</v>
      </c>
      <c r="AB5260" s="4">
        <f t="shared" si="802"/>
        <v>0</v>
      </c>
      <c r="AC5260" s="4">
        <f t="shared" ref="AC5260:AC5303" si="806">IF(P5260="返现",X5260*Q5260,V5260-X5260)</f>
        <v>0</v>
      </c>
      <c r="AD5260" s="6">
        <v>0</v>
      </c>
      <c r="AE5260" s="9">
        <v>0</v>
      </c>
      <c r="AF5260" s="6">
        <f t="shared" ref="AF5260:AF5264" si="807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03"/>
        <v>0</v>
      </c>
      <c r="AM5260" s="85"/>
    </row>
    <row r="5261" spans="1:39" hidden="1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04"/>
        <v>-1516.75</v>
      </c>
      <c r="X5261" s="6">
        <f t="shared" si="805"/>
        <v>0</v>
      </c>
      <c r="Y5261" s="13">
        <f t="shared" si="801"/>
        <v>0</v>
      </c>
      <c r="Z5261" s="9">
        <v>0</v>
      </c>
      <c r="AA5261" s="6">
        <v>0</v>
      </c>
      <c r="AB5261" s="4">
        <f t="shared" si="802"/>
        <v>0</v>
      </c>
      <c r="AC5261" s="4">
        <f t="shared" si="806"/>
        <v>0</v>
      </c>
      <c r="AD5261" s="6">
        <v>0</v>
      </c>
      <c r="AE5261" s="9">
        <v>0</v>
      </c>
      <c r="AF5261" s="6">
        <f t="shared" si="807"/>
        <v>0</v>
      </c>
      <c r="AG5261" s="9">
        <v>0</v>
      </c>
      <c r="AH5261" s="47"/>
      <c r="AI5261" s="47"/>
      <c r="AJ5261" s="126" t="e">
        <v>#N/A</v>
      </c>
      <c r="AK5261" s="80">
        <f t="shared" si="803"/>
        <v>0</v>
      </c>
      <c r="AM5261" s="85"/>
    </row>
    <row r="5262" spans="1:39" hidden="1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04"/>
        <v>45.899999999999899</v>
      </c>
      <c r="X5262" s="6">
        <f t="shared" si="805"/>
        <v>0</v>
      </c>
      <c r="Y5262" s="13">
        <f t="shared" si="801"/>
        <v>0</v>
      </c>
      <c r="Z5262" s="9">
        <v>0</v>
      </c>
      <c r="AA5262" s="6">
        <v>0</v>
      </c>
      <c r="AB5262" s="4">
        <f t="shared" si="802"/>
        <v>0</v>
      </c>
      <c r="AC5262" s="4">
        <f t="shared" si="806"/>
        <v>0</v>
      </c>
      <c r="AD5262" s="6">
        <v>0</v>
      </c>
      <c r="AE5262" s="9">
        <v>0</v>
      </c>
      <c r="AF5262" s="6">
        <f t="shared" si="807"/>
        <v>0</v>
      </c>
      <c r="AG5262" s="9">
        <v>0</v>
      </c>
      <c r="AH5262" s="47"/>
      <c r="AI5262" s="47"/>
      <c r="AJ5262" s="126" t="e">
        <v>#N/A</v>
      </c>
      <c r="AK5262" s="80">
        <f t="shared" si="803"/>
        <v>0</v>
      </c>
      <c r="AM5262" s="85"/>
    </row>
    <row r="5263" spans="1:39" hidden="1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04"/>
        <v>-2426.1</v>
      </c>
      <c r="X5263" s="6">
        <f t="shared" si="805"/>
        <v>0</v>
      </c>
      <c r="Y5263" s="13">
        <f t="shared" si="801"/>
        <v>0</v>
      </c>
      <c r="Z5263" s="9">
        <v>0</v>
      </c>
      <c r="AA5263" s="6">
        <v>0</v>
      </c>
      <c r="AB5263" s="4">
        <f t="shared" si="802"/>
        <v>0</v>
      </c>
      <c r="AC5263" s="4">
        <f t="shared" si="806"/>
        <v>0</v>
      </c>
      <c r="AD5263" s="6">
        <v>0</v>
      </c>
      <c r="AE5263" s="9">
        <v>0</v>
      </c>
      <c r="AF5263" s="6">
        <f t="shared" si="807"/>
        <v>0</v>
      </c>
      <c r="AG5263" s="9">
        <v>0</v>
      </c>
      <c r="AH5263" s="47"/>
      <c r="AI5263" s="47"/>
      <c r="AJ5263" s="126" t="e">
        <v>#N/A</v>
      </c>
      <c r="AK5263" s="80">
        <f t="shared" si="803"/>
        <v>0</v>
      </c>
      <c r="AM5263" s="85"/>
    </row>
    <row r="5264" spans="1:39" hidden="1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04"/>
        <v>-39965.789999999994</v>
      </c>
      <c r="X5264" s="6">
        <f t="shared" si="805"/>
        <v>17391.849999999999</v>
      </c>
      <c r="Y5264" s="13">
        <f t="shared" si="801"/>
        <v>668.91999999999825</v>
      </c>
      <c r="Z5264" s="9">
        <v>0</v>
      </c>
      <c r="AA5264" s="6">
        <v>0</v>
      </c>
      <c r="AB5264" s="4">
        <f t="shared" si="802"/>
        <v>17391.849999999999</v>
      </c>
      <c r="AC5264" s="4">
        <f t="shared" si="806"/>
        <v>0</v>
      </c>
      <c r="AD5264" s="6">
        <v>16722.93</v>
      </c>
      <c r="AE5264" s="9">
        <v>0.04</v>
      </c>
      <c r="AF5264" s="6">
        <f t="shared" si="807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03"/>
        <v>0</v>
      </c>
      <c r="AM5264" s="85"/>
    </row>
    <row r="5265" spans="1:39" hidden="1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01"/>
        <v>0</v>
      </c>
      <c r="Z5265" s="14">
        <v>0</v>
      </c>
      <c r="AA5265" s="6">
        <v>0</v>
      </c>
      <c r="AB5265" s="4">
        <f t="shared" si="802"/>
        <v>230000</v>
      </c>
      <c r="AC5265" s="4">
        <f t="shared" si="806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03"/>
        <v>0</v>
      </c>
      <c r="AM5265" s="85"/>
    </row>
    <row r="5266" spans="1:39" hidden="1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01"/>
        <v>0</v>
      </c>
      <c r="Z5266" s="14">
        <v>0</v>
      </c>
      <c r="AA5266" s="6">
        <v>0</v>
      </c>
      <c r="AB5266" s="4">
        <f t="shared" si="802"/>
        <v>253068.93</v>
      </c>
      <c r="AC5266" s="4">
        <f t="shared" si="806"/>
        <v>0</v>
      </c>
      <c r="AD5266" s="6">
        <v>253068.93</v>
      </c>
      <c r="AE5266" s="66">
        <v>0</v>
      </c>
      <c r="AF5266" s="6">
        <f t="shared" ref="AF5266:AF5299" si="808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03"/>
        <v>0</v>
      </c>
      <c r="AM5266" s="85"/>
    </row>
    <row r="5267" spans="1:39" hidden="1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3741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01"/>
        <v>0</v>
      </c>
      <c r="Z5267" s="14">
        <v>0</v>
      </c>
      <c r="AA5267" s="6">
        <v>0</v>
      </c>
      <c r="AB5267" s="4">
        <f t="shared" si="802"/>
        <v>473616</v>
      </c>
      <c r="AC5267" s="4">
        <f t="shared" si="806"/>
        <v>64584</v>
      </c>
      <c r="AD5267" s="6">
        <v>538200</v>
      </c>
      <c r="AE5267" s="66">
        <v>0.16</v>
      </c>
      <c r="AF5267" s="6">
        <f t="shared" si="808"/>
        <v>86112</v>
      </c>
      <c r="AG5267" s="14">
        <v>0</v>
      </c>
      <c r="AH5267" s="47"/>
      <c r="AI5267" s="47"/>
      <c r="AJ5267" s="126" t="e">
        <v>#N/A</v>
      </c>
      <c r="AK5267" s="80">
        <f t="shared" si="803"/>
        <v>0</v>
      </c>
      <c r="AM5267" s="85"/>
    </row>
    <row r="5268" spans="1:39" hidden="1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01"/>
        <v>0</v>
      </c>
      <c r="Z5268" s="14">
        <v>0</v>
      </c>
      <c r="AA5268" s="6">
        <v>0</v>
      </c>
      <c r="AB5268" s="4">
        <f t="shared" si="802"/>
        <v>610814.69158878503</v>
      </c>
      <c r="AC5268" s="4">
        <f t="shared" si="806"/>
        <v>42757.028411214938</v>
      </c>
      <c r="AD5268" s="6">
        <v>653571.72</v>
      </c>
      <c r="AE5268" s="66">
        <v>0.04</v>
      </c>
      <c r="AF5268" s="6">
        <f t="shared" si="808"/>
        <v>26142.8688</v>
      </c>
      <c r="AG5268" s="14">
        <v>0</v>
      </c>
      <c r="AH5268" s="47"/>
      <c r="AI5268" s="47"/>
      <c r="AJ5268" s="126" t="e">
        <v>#N/A</v>
      </c>
      <c r="AK5268" s="80">
        <f t="shared" si="803"/>
        <v>0</v>
      </c>
      <c r="AM5268" s="85"/>
    </row>
    <row r="5269" spans="1:39" hidden="1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01"/>
        <v>0</v>
      </c>
      <c r="Z5269" s="14">
        <v>0</v>
      </c>
      <c r="AA5269" s="6">
        <v>0</v>
      </c>
      <c r="AB5269" s="4">
        <f t="shared" si="802"/>
        <v>0</v>
      </c>
      <c r="AC5269" s="4">
        <f t="shared" si="806"/>
        <v>0</v>
      </c>
      <c r="AD5269" s="6">
        <v>0</v>
      </c>
      <c r="AE5269" s="66">
        <v>0</v>
      </c>
      <c r="AF5269" s="6">
        <f t="shared" si="808"/>
        <v>0</v>
      </c>
      <c r="AG5269" s="14">
        <v>0</v>
      </c>
      <c r="AH5269" s="47"/>
      <c r="AI5269" s="47"/>
      <c r="AJ5269" s="126" t="e">
        <v>#N/A</v>
      </c>
      <c r="AK5269" s="80">
        <f t="shared" si="803"/>
        <v>0</v>
      </c>
      <c r="AM5269" s="85"/>
    </row>
    <row r="5270" spans="1:39" hidden="1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09">T5270+U5270-V5270</f>
        <v>177396.81</v>
      </c>
      <c r="X5270" s="6">
        <f t="shared" ref="X5270:X5272" si="810">IF(P5270="折扣",V5270*Q5270,IF(P5270="返现",V5270,V5270/(1+Q5270)))</f>
        <v>109179.44</v>
      </c>
      <c r="Y5270" s="13">
        <f t="shared" si="801"/>
        <v>0</v>
      </c>
      <c r="Z5270" s="14">
        <v>0</v>
      </c>
      <c r="AA5270" s="6">
        <v>0</v>
      </c>
      <c r="AB5270" s="4">
        <f t="shared" si="802"/>
        <v>109179.44</v>
      </c>
      <c r="AC5270" s="4">
        <f t="shared" si="806"/>
        <v>0</v>
      </c>
      <c r="AD5270" s="6">
        <v>109179.44</v>
      </c>
      <c r="AE5270" s="66">
        <v>0.04</v>
      </c>
      <c r="AF5270" s="6">
        <f t="shared" si="808"/>
        <v>4367.1776</v>
      </c>
      <c r="AG5270" s="14">
        <v>0</v>
      </c>
      <c r="AH5270" s="47"/>
      <c r="AI5270" s="47"/>
      <c r="AJ5270" s="126" t="e">
        <v>#N/A</v>
      </c>
      <c r="AK5270" s="80">
        <f t="shared" si="803"/>
        <v>0</v>
      </c>
      <c r="AM5270" s="85"/>
    </row>
    <row r="5271" spans="1:39" hidden="1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3749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09"/>
        <v>11976.590000000018</v>
      </c>
      <c r="X5271" s="6">
        <f t="shared" si="810"/>
        <v>65079.329999999994</v>
      </c>
      <c r="Y5271" s="13">
        <f t="shared" si="801"/>
        <v>0</v>
      </c>
      <c r="Z5271" s="14">
        <v>0</v>
      </c>
      <c r="AA5271" s="6">
        <v>0</v>
      </c>
      <c r="AB5271" s="4">
        <f t="shared" si="802"/>
        <v>65079.329999999994</v>
      </c>
      <c r="AC5271" s="4">
        <f t="shared" si="806"/>
        <v>0</v>
      </c>
      <c r="AD5271" s="6">
        <v>65079.329999999994</v>
      </c>
      <c r="AE5271" s="66">
        <v>0.04</v>
      </c>
      <c r="AF5271" s="6">
        <f t="shared" si="808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03"/>
        <v>0</v>
      </c>
      <c r="AM5271" s="85"/>
    </row>
    <row r="5272" spans="1:39" hidden="1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09"/>
        <v>49999.999999999985</v>
      </c>
      <c r="X5272" s="6">
        <f t="shared" si="810"/>
        <v>0</v>
      </c>
      <c r="Y5272" s="13">
        <f t="shared" si="801"/>
        <v>0</v>
      </c>
      <c r="Z5272" s="14">
        <v>0</v>
      </c>
      <c r="AA5272" s="6">
        <v>0</v>
      </c>
      <c r="AB5272" s="4">
        <f t="shared" si="802"/>
        <v>0</v>
      </c>
      <c r="AC5272" s="4">
        <f t="shared" si="806"/>
        <v>0</v>
      </c>
      <c r="AD5272" s="6">
        <v>0</v>
      </c>
      <c r="AE5272" s="66">
        <v>0.04</v>
      </c>
      <c r="AF5272" s="6">
        <f t="shared" si="808"/>
        <v>0</v>
      </c>
      <c r="AG5272" s="14">
        <v>0</v>
      </c>
      <c r="AH5272" s="47"/>
      <c r="AI5272" s="47"/>
      <c r="AJ5272" s="126" t="e">
        <v>#N/A</v>
      </c>
      <c r="AK5272" s="80">
        <f t="shared" si="803"/>
        <v>0</v>
      </c>
      <c r="AM5272" s="85"/>
    </row>
    <row r="5273" spans="1:39" hidden="1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01"/>
        <v>0</v>
      </c>
      <c r="Z5273" s="14">
        <v>0</v>
      </c>
      <c r="AA5273" s="6">
        <v>0</v>
      </c>
      <c r="AB5273" s="4">
        <f t="shared" si="802"/>
        <v>0</v>
      </c>
      <c r="AC5273" s="4">
        <f t="shared" si="806"/>
        <v>0</v>
      </c>
      <c r="AD5273" s="6">
        <v>0</v>
      </c>
      <c r="AE5273" s="66">
        <v>0</v>
      </c>
      <c r="AF5273" s="6">
        <f t="shared" si="808"/>
        <v>0</v>
      </c>
      <c r="AG5273" s="14">
        <v>0</v>
      </c>
      <c r="AH5273" s="47"/>
      <c r="AI5273" s="47"/>
      <c r="AJ5273" s="126" t="e">
        <v>#N/A</v>
      </c>
      <c r="AK5273" s="80">
        <f t="shared" si="803"/>
        <v>0</v>
      </c>
      <c r="AM5273" s="85"/>
    </row>
    <row r="5274" spans="1:39" hidden="1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01"/>
        <v>0</v>
      </c>
      <c r="Z5274" s="14">
        <v>0</v>
      </c>
      <c r="AA5274" s="6">
        <v>0</v>
      </c>
      <c r="AB5274" s="4">
        <f t="shared" si="802"/>
        <v>0</v>
      </c>
      <c r="AC5274" s="4">
        <f t="shared" si="806"/>
        <v>0</v>
      </c>
      <c r="AD5274" s="6">
        <v>0</v>
      </c>
      <c r="AE5274" s="66">
        <v>0</v>
      </c>
      <c r="AF5274" s="6">
        <f t="shared" si="808"/>
        <v>0</v>
      </c>
      <c r="AG5274" s="14">
        <v>0</v>
      </c>
      <c r="AH5274" s="47"/>
      <c r="AI5274" s="47"/>
      <c r="AJ5274" s="126" t="e">
        <v>#N/A</v>
      </c>
      <c r="AK5274" s="80">
        <f t="shared" si="803"/>
        <v>0</v>
      </c>
      <c r="AM5274" s="85"/>
    </row>
    <row r="5275" spans="1:39" hidden="1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01"/>
        <v>0</v>
      </c>
      <c r="Z5275" s="14">
        <v>0</v>
      </c>
      <c r="AA5275" s="6">
        <v>0</v>
      </c>
      <c r="AB5275" s="4">
        <f t="shared" si="802"/>
        <v>0</v>
      </c>
      <c r="AC5275" s="4">
        <f t="shared" si="806"/>
        <v>0</v>
      </c>
      <c r="AD5275" s="6">
        <v>0</v>
      </c>
      <c r="AE5275" s="66">
        <v>0</v>
      </c>
      <c r="AF5275" s="6">
        <f t="shared" si="808"/>
        <v>0</v>
      </c>
      <c r="AG5275" s="14">
        <v>0</v>
      </c>
      <c r="AH5275" s="47"/>
      <c r="AI5275" s="47"/>
      <c r="AJ5275" s="126" t="e">
        <v>#N/A</v>
      </c>
      <c r="AK5275" s="80">
        <f t="shared" si="803"/>
        <v>0</v>
      </c>
      <c r="AM5275" s="85"/>
    </row>
    <row r="5276" spans="1:39" hidden="1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01"/>
        <v>0</v>
      </c>
      <c r="Z5276" s="14">
        <v>0</v>
      </c>
      <c r="AA5276" s="6">
        <v>0</v>
      </c>
      <c r="AB5276" s="4">
        <f t="shared" si="802"/>
        <v>400000</v>
      </c>
      <c r="AC5276" s="4">
        <f t="shared" si="806"/>
        <v>0</v>
      </c>
      <c r="AD5276" s="67">
        <v>400000</v>
      </c>
      <c r="AE5276" s="66">
        <v>0</v>
      </c>
      <c r="AF5276" s="6">
        <f t="shared" si="808"/>
        <v>0</v>
      </c>
      <c r="AG5276" s="14">
        <v>0</v>
      </c>
      <c r="AH5276" s="47"/>
      <c r="AI5276" s="47"/>
      <c r="AJ5276" s="126" t="e">
        <v>#N/A</v>
      </c>
      <c r="AK5276" s="80">
        <f t="shared" si="803"/>
        <v>0</v>
      </c>
      <c r="AM5276" s="85"/>
    </row>
    <row r="5277" spans="1:39" hidden="1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11">IF(P5277="折扣",V5277*Q5277,IF(P5277="返现",V5277,V5277/(1+Q5277)))</f>
        <v>575000</v>
      </c>
      <c r="Y5277" s="13">
        <f t="shared" si="801"/>
        <v>0</v>
      </c>
      <c r="Z5277" s="14">
        <v>0</v>
      </c>
      <c r="AA5277" s="6">
        <v>0</v>
      </c>
      <c r="AB5277" s="4">
        <f t="shared" si="802"/>
        <v>575000</v>
      </c>
      <c r="AC5277" s="4">
        <f t="shared" si="806"/>
        <v>0</v>
      </c>
      <c r="AD5277" s="67">
        <v>575000</v>
      </c>
      <c r="AE5277" s="66">
        <v>0.06</v>
      </c>
      <c r="AF5277" s="6">
        <f t="shared" si="808"/>
        <v>34500</v>
      </c>
      <c r="AG5277" s="14">
        <v>0</v>
      </c>
      <c r="AH5277" s="47"/>
      <c r="AI5277" s="47"/>
      <c r="AJ5277" s="126" t="e">
        <v>#N/A</v>
      </c>
      <c r="AK5277" s="80">
        <f t="shared" si="803"/>
        <v>0</v>
      </c>
      <c r="AM5277" s="85"/>
    </row>
    <row r="5278" spans="1:39" hidden="1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11"/>
        <v>163600</v>
      </c>
      <c r="Y5278" s="13">
        <f t="shared" si="801"/>
        <v>0</v>
      </c>
      <c r="Z5278" s="14">
        <v>0</v>
      </c>
      <c r="AA5278" s="6">
        <v>0</v>
      </c>
      <c r="AB5278" s="4">
        <f t="shared" si="802"/>
        <v>163600</v>
      </c>
      <c r="AC5278" s="4">
        <f t="shared" si="806"/>
        <v>0</v>
      </c>
      <c r="AD5278" s="67">
        <v>163600</v>
      </c>
      <c r="AE5278" s="66">
        <v>0.06</v>
      </c>
      <c r="AF5278" s="6">
        <f t="shared" si="808"/>
        <v>9816</v>
      </c>
      <c r="AG5278" s="14">
        <v>0</v>
      </c>
      <c r="AH5278" s="47"/>
      <c r="AI5278" s="47"/>
      <c r="AJ5278" s="126" t="e">
        <v>#N/A</v>
      </c>
      <c r="AK5278" s="80">
        <f t="shared" si="803"/>
        <v>0</v>
      </c>
      <c r="AM5278" s="85"/>
    </row>
    <row r="5279" spans="1:39" hidden="1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11"/>
        <v>106029</v>
      </c>
      <c r="Y5279" s="13">
        <f t="shared" si="801"/>
        <v>0</v>
      </c>
      <c r="Z5279" s="14">
        <v>0</v>
      </c>
      <c r="AA5279" s="6">
        <v>0</v>
      </c>
      <c r="AB5279" s="4">
        <f t="shared" si="802"/>
        <v>106029</v>
      </c>
      <c r="AC5279" s="4">
        <f t="shared" si="806"/>
        <v>6171</v>
      </c>
      <c r="AD5279" s="67">
        <v>112200</v>
      </c>
      <c r="AE5279" s="66">
        <v>0.06</v>
      </c>
      <c r="AF5279" s="6">
        <f t="shared" si="808"/>
        <v>6732</v>
      </c>
      <c r="AG5279" s="14">
        <v>0</v>
      </c>
      <c r="AH5279" s="47"/>
      <c r="AI5279" s="47"/>
      <c r="AJ5279" s="126" t="e">
        <v>#N/A</v>
      </c>
      <c r="AK5279" s="80">
        <f t="shared" si="803"/>
        <v>0</v>
      </c>
      <c r="AM5279" s="85"/>
    </row>
    <row r="5280" spans="1:39" hidden="1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11"/>
        <v>237195</v>
      </c>
      <c r="Y5280" s="13">
        <f t="shared" si="801"/>
        <v>0</v>
      </c>
      <c r="Z5280" s="14">
        <v>0</v>
      </c>
      <c r="AA5280" s="6">
        <v>0</v>
      </c>
      <c r="AB5280" s="4">
        <f t="shared" si="802"/>
        <v>237195</v>
      </c>
      <c r="AC5280" s="4">
        <f t="shared" si="806"/>
        <v>13805</v>
      </c>
      <c r="AD5280" s="67">
        <v>251000</v>
      </c>
      <c r="AE5280" s="66">
        <v>0.06</v>
      </c>
      <c r="AF5280" s="6">
        <f t="shared" si="808"/>
        <v>15060</v>
      </c>
      <c r="AG5280" s="14">
        <v>0</v>
      </c>
      <c r="AH5280" s="47"/>
      <c r="AI5280" s="47"/>
      <c r="AJ5280" s="126" t="e">
        <v>#N/A</v>
      </c>
      <c r="AK5280" s="80">
        <f t="shared" si="803"/>
        <v>0</v>
      </c>
      <c r="AM5280" s="85"/>
    </row>
    <row r="5281" spans="1:39" hidden="1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11"/>
        <v>103194</v>
      </c>
      <c r="Y5281" s="13">
        <f t="shared" si="801"/>
        <v>0</v>
      </c>
      <c r="Z5281" s="14">
        <v>0</v>
      </c>
      <c r="AA5281" s="6">
        <v>0</v>
      </c>
      <c r="AB5281" s="4">
        <f t="shared" si="802"/>
        <v>103194</v>
      </c>
      <c r="AC5281" s="4">
        <f t="shared" si="806"/>
        <v>6006</v>
      </c>
      <c r="AD5281" s="67">
        <v>109200</v>
      </c>
      <c r="AE5281" s="66">
        <v>0.06</v>
      </c>
      <c r="AF5281" s="6">
        <f t="shared" si="808"/>
        <v>6552</v>
      </c>
      <c r="AG5281" s="14">
        <v>0</v>
      </c>
      <c r="AH5281" s="47"/>
      <c r="AI5281" s="47"/>
      <c r="AJ5281" s="126" t="e">
        <v>#N/A</v>
      </c>
      <c r="AK5281" s="80">
        <f t="shared" si="803"/>
        <v>0</v>
      </c>
      <c r="AM5281" s="85"/>
    </row>
    <row r="5282" spans="1:39" hidden="1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11"/>
        <v>0</v>
      </c>
      <c r="Y5282" s="13">
        <f t="shared" si="801"/>
        <v>0</v>
      </c>
      <c r="Z5282" s="14">
        <v>0</v>
      </c>
      <c r="AA5282" s="6">
        <v>0</v>
      </c>
      <c r="AB5282" s="4">
        <f t="shared" si="802"/>
        <v>0</v>
      </c>
      <c r="AC5282" s="4">
        <f t="shared" si="806"/>
        <v>0</v>
      </c>
      <c r="AD5282" s="67">
        <v>0</v>
      </c>
      <c r="AE5282" s="66">
        <v>0.06</v>
      </c>
      <c r="AF5282" s="6">
        <f t="shared" si="808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03"/>
        <v>0</v>
      </c>
      <c r="AM5282" s="85"/>
    </row>
    <row r="5283" spans="1:39" hidden="1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11"/>
        <v>155925</v>
      </c>
      <c r="Y5283" s="13">
        <f t="shared" si="801"/>
        <v>0</v>
      </c>
      <c r="Z5283" s="14">
        <v>0</v>
      </c>
      <c r="AA5283" s="6">
        <v>0</v>
      </c>
      <c r="AB5283" s="4">
        <f t="shared" si="802"/>
        <v>155925</v>
      </c>
      <c r="AC5283" s="4">
        <f t="shared" si="806"/>
        <v>9075</v>
      </c>
      <c r="AD5283" s="67">
        <v>165000</v>
      </c>
      <c r="AE5283" s="66">
        <v>0.06</v>
      </c>
      <c r="AF5283" s="6">
        <f t="shared" si="808"/>
        <v>9900</v>
      </c>
      <c r="AG5283" s="14">
        <v>0</v>
      </c>
      <c r="AH5283" s="47"/>
      <c r="AI5283" s="47"/>
      <c r="AJ5283" s="126" t="e">
        <v>#N/A</v>
      </c>
      <c r="AK5283" s="80">
        <f t="shared" si="803"/>
        <v>0</v>
      </c>
      <c r="AM5283" s="85"/>
    </row>
    <row r="5284" spans="1:39" hidden="1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11"/>
        <v>40068</v>
      </c>
      <c r="Y5284" s="13">
        <f t="shared" si="801"/>
        <v>0</v>
      </c>
      <c r="Z5284" s="66">
        <v>0</v>
      </c>
      <c r="AA5284" s="6">
        <v>0</v>
      </c>
      <c r="AB5284" s="4">
        <f t="shared" si="802"/>
        <v>40068</v>
      </c>
      <c r="AC5284" s="4">
        <f t="shared" si="806"/>
        <v>2332</v>
      </c>
      <c r="AD5284" s="67">
        <v>42400</v>
      </c>
      <c r="AE5284" s="66">
        <v>0.06</v>
      </c>
      <c r="AF5284" s="6">
        <f t="shared" si="808"/>
        <v>2544</v>
      </c>
      <c r="AG5284" s="14">
        <v>0</v>
      </c>
      <c r="AH5284" s="47"/>
      <c r="AI5284" s="47"/>
      <c r="AJ5284" s="126" t="e">
        <v>#N/A</v>
      </c>
      <c r="AK5284" s="80">
        <f t="shared" si="803"/>
        <v>0</v>
      </c>
      <c r="AM5284" s="85"/>
    </row>
    <row r="5285" spans="1:39" hidden="1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11"/>
        <v>47250</v>
      </c>
      <c r="Y5285" s="13">
        <f t="shared" si="801"/>
        <v>0</v>
      </c>
      <c r="Z5285" s="14">
        <v>0</v>
      </c>
      <c r="AA5285" s="6">
        <v>0</v>
      </c>
      <c r="AB5285" s="4">
        <f t="shared" si="802"/>
        <v>47250</v>
      </c>
      <c r="AC5285" s="4">
        <f t="shared" si="806"/>
        <v>2750</v>
      </c>
      <c r="AD5285" s="67">
        <v>50000</v>
      </c>
      <c r="AE5285" s="66">
        <v>0.06</v>
      </c>
      <c r="AF5285" s="6">
        <f t="shared" si="808"/>
        <v>3000</v>
      </c>
      <c r="AG5285" s="14">
        <v>0</v>
      </c>
      <c r="AH5285" s="47"/>
      <c r="AI5285" s="47"/>
      <c r="AJ5285" s="126" t="e">
        <v>#N/A</v>
      </c>
      <c r="AK5285" s="80">
        <f t="shared" si="803"/>
        <v>0</v>
      </c>
      <c r="AM5285" s="85"/>
    </row>
    <row r="5286" spans="1:39" hidden="1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11"/>
        <v>0</v>
      </c>
      <c r="Y5286" s="13">
        <f t="shared" si="801"/>
        <v>0</v>
      </c>
      <c r="Z5286" s="14">
        <v>0</v>
      </c>
      <c r="AA5286" s="6">
        <v>0</v>
      </c>
      <c r="AB5286" s="4">
        <f t="shared" si="802"/>
        <v>0</v>
      </c>
      <c r="AC5286" s="4">
        <f t="shared" si="806"/>
        <v>0</v>
      </c>
      <c r="AD5286" s="67">
        <v>0</v>
      </c>
      <c r="AE5286" s="66">
        <v>0.06</v>
      </c>
      <c r="AF5286" s="6">
        <f t="shared" si="808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03"/>
        <v>0</v>
      </c>
      <c r="AM5286" s="85"/>
    </row>
    <row r="5287" spans="1:39" hidden="1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11"/>
        <v>699300</v>
      </c>
      <c r="Y5287" s="13">
        <f t="shared" si="801"/>
        <v>0</v>
      </c>
      <c r="Z5287" s="14">
        <v>0</v>
      </c>
      <c r="AA5287" s="6">
        <v>0</v>
      </c>
      <c r="AB5287" s="4">
        <f t="shared" si="802"/>
        <v>699300</v>
      </c>
      <c r="AC5287" s="4">
        <f t="shared" si="806"/>
        <v>40700</v>
      </c>
      <c r="AD5287" s="67">
        <v>740000</v>
      </c>
      <c r="AE5287" s="66">
        <v>0.06</v>
      </c>
      <c r="AF5287" s="6">
        <f t="shared" si="808"/>
        <v>44400</v>
      </c>
      <c r="AG5287" s="14">
        <v>0</v>
      </c>
      <c r="AH5287" s="47"/>
      <c r="AI5287" s="47"/>
      <c r="AJ5287" s="126" t="e">
        <v>#N/A</v>
      </c>
      <c r="AK5287" s="80">
        <f t="shared" si="803"/>
        <v>0</v>
      </c>
      <c r="AM5287" s="85"/>
    </row>
    <row r="5288" spans="1:39" hidden="1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11"/>
        <v>656775</v>
      </c>
      <c r="Y5288" s="13">
        <f t="shared" si="801"/>
        <v>0</v>
      </c>
      <c r="Z5288" s="14">
        <v>0</v>
      </c>
      <c r="AA5288" s="6">
        <v>0</v>
      </c>
      <c r="AB5288" s="4">
        <f t="shared" si="802"/>
        <v>656775</v>
      </c>
      <c r="AC5288" s="4">
        <f t="shared" si="806"/>
        <v>38225</v>
      </c>
      <c r="AD5288" s="67">
        <v>695000</v>
      </c>
      <c r="AE5288" s="66">
        <v>0.06</v>
      </c>
      <c r="AF5288" s="6">
        <f t="shared" si="808"/>
        <v>41700</v>
      </c>
      <c r="AG5288" s="14">
        <v>0</v>
      </c>
      <c r="AH5288" s="47"/>
      <c r="AI5288" s="47"/>
      <c r="AJ5288" s="126" t="e">
        <v>#N/A</v>
      </c>
      <c r="AK5288" s="80">
        <f t="shared" si="803"/>
        <v>0</v>
      </c>
      <c r="AM5288" s="85"/>
    </row>
    <row r="5289" spans="1:39" hidden="1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11"/>
        <v>99603</v>
      </c>
      <c r="Y5289" s="13">
        <f t="shared" si="801"/>
        <v>0</v>
      </c>
      <c r="Z5289" s="14">
        <v>0</v>
      </c>
      <c r="AA5289" s="6">
        <v>0</v>
      </c>
      <c r="AB5289" s="4">
        <f t="shared" si="802"/>
        <v>99603</v>
      </c>
      <c r="AC5289" s="4">
        <f t="shared" si="806"/>
        <v>5797</v>
      </c>
      <c r="AD5289" s="67">
        <v>105400</v>
      </c>
      <c r="AE5289" s="66">
        <v>0.06</v>
      </c>
      <c r="AF5289" s="6">
        <f t="shared" si="808"/>
        <v>6324</v>
      </c>
      <c r="AG5289" s="14">
        <v>0</v>
      </c>
      <c r="AH5289" s="47"/>
      <c r="AI5289" s="47"/>
      <c r="AJ5289" s="126" t="e">
        <v>#N/A</v>
      </c>
      <c r="AK5289" s="80">
        <f t="shared" si="803"/>
        <v>0</v>
      </c>
      <c r="AM5289" s="85"/>
    </row>
    <row r="5290" spans="1:39" hidden="1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11"/>
        <v>0</v>
      </c>
      <c r="Y5290" s="13">
        <f t="shared" si="801"/>
        <v>0</v>
      </c>
      <c r="Z5290" s="14">
        <v>0</v>
      </c>
      <c r="AA5290" s="6">
        <v>0</v>
      </c>
      <c r="AB5290" s="4">
        <f t="shared" si="802"/>
        <v>0</v>
      </c>
      <c r="AC5290" s="4">
        <f t="shared" si="806"/>
        <v>0</v>
      </c>
      <c r="AD5290" s="67">
        <v>0</v>
      </c>
      <c r="AE5290" s="66">
        <v>0.06</v>
      </c>
      <c r="AF5290" s="6">
        <f t="shared" si="808"/>
        <v>0</v>
      </c>
      <c r="AG5290" s="14">
        <v>0</v>
      </c>
      <c r="AH5290" s="47"/>
      <c r="AI5290" s="47"/>
      <c r="AJ5290" s="126" t="e">
        <v>#N/A</v>
      </c>
      <c r="AK5290" s="80">
        <f t="shared" si="803"/>
        <v>0</v>
      </c>
      <c r="AM5290" s="85"/>
    </row>
    <row r="5291" spans="1:39" hidden="1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11"/>
        <v>360000</v>
      </c>
      <c r="Y5291" s="13">
        <f t="shared" si="801"/>
        <v>0</v>
      </c>
      <c r="Z5291" s="14">
        <v>0</v>
      </c>
      <c r="AA5291" s="6">
        <v>0</v>
      </c>
      <c r="AB5291" s="4">
        <f t="shared" si="802"/>
        <v>360000</v>
      </c>
      <c r="AC5291" s="4">
        <f t="shared" si="806"/>
        <v>0</v>
      </c>
      <c r="AD5291" s="67">
        <v>360000</v>
      </c>
      <c r="AE5291" s="66">
        <v>0.06</v>
      </c>
      <c r="AF5291" s="6">
        <f t="shared" si="808"/>
        <v>21600</v>
      </c>
      <c r="AG5291" s="14">
        <v>0</v>
      </c>
      <c r="AH5291" s="47"/>
      <c r="AI5291" s="47"/>
      <c r="AJ5291" s="126" t="e">
        <v>#N/A</v>
      </c>
      <c r="AK5291" s="80">
        <f t="shared" si="803"/>
        <v>0</v>
      </c>
      <c r="AM5291" s="85"/>
    </row>
    <row r="5292" spans="1:39" hidden="1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11"/>
        <v>108500</v>
      </c>
      <c r="Y5292" s="13">
        <f t="shared" si="801"/>
        <v>0</v>
      </c>
      <c r="Z5292" s="14">
        <v>0</v>
      </c>
      <c r="AA5292" s="6">
        <v>0</v>
      </c>
      <c r="AB5292" s="4">
        <f t="shared" si="802"/>
        <v>108500</v>
      </c>
      <c r="AC5292" s="4">
        <f t="shared" si="806"/>
        <v>0</v>
      </c>
      <c r="AD5292" s="67">
        <v>108500</v>
      </c>
      <c r="AE5292" s="66">
        <v>0.06</v>
      </c>
      <c r="AF5292" s="6">
        <f t="shared" si="808"/>
        <v>6510</v>
      </c>
      <c r="AG5292" s="14">
        <v>0</v>
      </c>
      <c r="AH5292" s="47"/>
      <c r="AI5292" s="47"/>
      <c r="AJ5292" s="126" t="e">
        <v>#N/A</v>
      </c>
      <c r="AK5292" s="80">
        <f t="shared" si="803"/>
        <v>0</v>
      </c>
      <c r="AM5292" s="85"/>
    </row>
    <row r="5293" spans="1:39" hidden="1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11"/>
        <v>42400</v>
      </c>
      <c r="Y5293" s="13">
        <f t="shared" si="801"/>
        <v>0</v>
      </c>
      <c r="Z5293" s="14">
        <v>0</v>
      </c>
      <c r="AA5293" s="6">
        <v>0</v>
      </c>
      <c r="AB5293" s="4">
        <f t="shared" si="802"/>
        <v>42400</v>
      </c>
      <c r="AC5293" s="4">
        <f t="shared" si="806"/>
        <v>0</v>
      </c>
      <c r="AD5293" s="67">
        <v>42400</v>
      </c>
      <c r="AE5293" s="66">
        <v>0.06</v>
      </c>
      <c r="AF5293" s="6">
        <f t="shared" si="808"/>
        <v>2544</v>
      </c>
      <c r="AG5293" s="14">
        <v>0</v>
      </c>
      <c r="AH5293" s="47"/>
      <c r="AI5293" s="47"/>
      <c r="AJ5293" s="126" t="e">
        <v>#N/A</v>
      </c>
      <c r="AK5293" s="80">
        <f t="shared" si="803"/>
        <v>0</v>
      </c>
      <c r="AM5293" s="85"/>
    </row>
    <row r="5294" spans="1:39" hidden="1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11"/>
        <v>26201.759999999998</v>
      </c>
      <c r="Y5294" s="13">
        <f t="shared" si="801"/>
        <v>0</v>
      </c>
      <c r="Z5294" s="14">
        <v>0</v>
      </c>
      <c r="AA5294" s="6">
        <v>0</v>
      </c>
      <c r="AB5294" s="4">
        <f t="shared" si="802"/>
        <v>26201.759999999998</v>
      </c>
      <c r="AC5294" s="4">
        <f t="shared" si="806"/>
        <v>0</v>
      </c>
      <c r="AD5294" s="6">
        <v>26201.759999999998</v>
      </c>
      <c r="AE5294" s="66">
        <v>0</v>
      </c>
      <c r="AF5294" s="6">
        <f t="shared" si="808"/>
        <v>0</v>
      </c>
      <c r="AG5294" s="14">
        <v>0</v>
      </c>
      <c r="AH5294" s="47"/>
      <c r="AI5294" s="47"/>
      <c r="AJ5294" s="126" t="e">
        <v>#N/A</v>
      </c>
      <c r="AK5294" s="80">
        <f t="shared" si="803"/>
        <v>0</v>
      </c>
      <c r="AM5294" s="85"/>
    </row>
    <row r="5295" spans="1:39" hidden="1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11"/>
        <v>30000</v>
      </c>
      <c r="Y5295" s="13">
        <f t="shared" si="801"/>
        <v>0</v>
      </c>
      <c r="Z5295" s="14">
        <v>0</v>
      </c>
      <c r="AA5295" s="6">
        <v>0</v>
      </c>
      <c r="AB5295" s="4">
        <f t="shared" si="802"/>
        <v>30000</v>
      </c>
      <c r="AC5295" s="4">
        <f t="shared" si="806"/>
        <v>0</v>
      </c>
      <c r="AD5295" s="67">
        <v>30000</v>
      </c>
      <c r="AE5295" s="66">
        <v>0.06</v>
      </c>
      <c r="AF5295" s="6">
        <f t="shared" si="808"/>
        <v>1800</v>
      </c>
      <c r="AG5295" s="14">
        <v>0</v>
      </c>
      <c r="AH5295" s="47"/>
      <c r="AI5295" s="47"/>
      <c r="AJ5295" s="126" t="e">
        <v>#N/A</v>
      </c>
      <c r="AK5295" s="80">
        <f t="shared" si="803"/>
        <v>0</v>
      </c>
      <c r="AM5295" s="85"/>
    </row>
    <row r="5296" spans="1:39" hidden="1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11"/>
        <v>25000</v>
      </c>
      <c r="Y5296" s="13">
        <f t="shared" si="801"/>
        <v>3000</v>
      </c>
      <c r="Z5296" s="14">
        <v>0</v>
      </c>
      <c r="AA5296" s="6">
        <v>0</v>
      </c>
      <c r="AB5296" s="4">
        <f t="shared" si="802"/>
        <v>25000</v>
      </c>
      <c r="AC5296" s="4">
        <f t="shared" si="806"/>
        <v>0</v>
      </c>
      <c r="AD5296" s="67">
        <v>22000</v>
      </c>
      <c r="AE5296" s="66">
        <v>0.06</v>
      </c>
      <c r="AF5296" s="6">
        <f t="shared" si="808"/>
        <v>1320</v>
      </c>
      <c r="AG5296" s="14">
        <v>0</v>
      </c>
      <c r="AH5296" s="47"/>
      <c r="AI5296" s="47"/>
      <c r="AJ5296" s="126" t="e">
        <v>#N/A</v>
      </c>
      <c r="AK5296" s="80">
        <f t="shared" si="803"/>
        <v>0</v>
      </c>
      <c r="AM5296" s="85"/>
    </row>
    <row r="5297" spans="1:39" hidden="1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11"/>
        <v>0</v>
      </c>
      <c r="Y5297" s="13">
        <f t="shared" si="801"/>
        <v>0</v>
      </c>
      <c r="Z5297" s="14">
        <v>0</v>
      </c>
      <c r="AA5297" s="6">
        <v>0</v>
      </c>
      <c r="AB5297" s="4">
        <f t="shared" si="802"/>
        <v>0</v>
      </c>
      <c r="AC5297" s="4">
        <f t="shared" si="806"/>
        <v>0</v>
      </c>
      <c r="AD5297" s="67">
        <v>0</v>
      </c>
      <c r="AE5297" s="66">
        <v>0.06</v>
      </c>
      <c r="AF5297" s="6">
        <f t="shared" si="808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03"/>
        <v>0</v>
      </c>
      <c r="AM5297" s="85"/>
    </row>
    <row r="5298" spans="1:39" hidden="1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01"/>
        <v>0</v>
      </c>
      <c r="Z5298" s="14">
        <v>0</v>
      </c>
      <c r="AA5298" s="6">
        <v>0</v>
      </c>
      <c r="AB5298" s="4">
        <f t="shared" si="802"/>
        <v>10000</v>
      </c>
      <c r="AC5298" s="4">
        <f t="shared" si="806"/>
        <v>700</v>
      </c>
      <c r="AD5298" s="67">
        <v>10700</v>
      </c>
      <c r="AE5298" s="66">
        <v>0.12</v>
      </c>
      <c r="AF5298" s="6">
        <f t="shared" si="808"/>
        <v>1284</v>
      </c>
      <c r="AG5298" s="14">
        <v>0</v>
      </c>
      <c r="AH5298" s="47"/>
      <c r="AI5298" s="47"/>
      <c r="AJ5298" s="126" t="e">
        <v>#N/A</v>
      </c>
      <c r="AK5298" s="80">
        <f t="shared" si="803"/>
        <v>0</v>
      </c>
      <c r="AM5298" s="85"/>
    </row>
    <row r="5299" spans="1:39" hidden="1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01"/>
        <v>747.66000000000349</v>
      </c>
      <c r="Z5299" s="14">
        <v>0</v>
      </c>
      <c r="AA5299" s="6">
        <v>0</v>
      </c>
      <c r="AB5299" s="4">
        <f t="shared" si="802"/>
        <v>40000</v>
      </c>
      <c r="AC5299" s="4">
        <f t="shared" si="806"/>
        <v>2000</v>
      </c>
      <c r="AD5299" s="6">
        <v>39252.339999999997</v>
      </c>
      <c r="AE5299" s="66">
        <v>0</v>
      </c>
      <c r="AF5299" s="6">
        <f t="shared" si="808"/>
        <v>0</v>
      </c>
      <c r="AG5299" s="14">
        <v>0</v>
      </c>
      <c r="AH5299" s="47"/>
      <c r="AI5299" s="47"/>
      <c r="AJ5299" s="126" t="e">
        <v>#N/A</v>
      </c>
      <c r="AK5299" s="80">
        <f t="shared" si="803"/>
        <v>0</v>
      </c>
      <c r="AM5299" s="85"/>
    </row>
    <row r="5300" spans="1:39" hidden="1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01"/>
        <v>0</v>
      </c>
      <c r="Z5300" s="9">
        <v>0</v>
      </c>
      <c r="AA5300" s="6">
        <v>0</v>
      </c>
      <c r="AB5300" s="4">
        <f t="shared" si="802"/>
        <v>0</v>
      </c>
      <c r="AC5300" s="4">
        <f t="shared" si="806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03"/>
        <v>0</v>
      </c>
      <c r="AM5300" s="85"/>
    </row>
    <row r="5301" spans="1:39" hidden="1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12">IF(P5301="折扣",V5301*Q5301,IF(P5301="返现",V5301,V5301/(1+Q5301)))</f>
        <v>79999.92</v>
      </c>
      <c r="Y5301" s="13">
        <f t="shared" si="801"/>
        <v>0</v>
      </c>
      <c r="Z5301" s="9">
        <v>0</v>
      </c>
      <c r="AA5301" s="6">
        <v>0</v>
      </c>
      <c r="AB5301" s="4">
        <f t="shared" si="802"/>
        <v>79999.92</v>
      </c>
      <c r="AC5301" s="4">
        <f t="shared" si="806"/>
        <v>0</v>
      </c>
      <c r="AD5301" s="6">
        <v>79999.92</v>
      </c>
      <c r="AE5301" s="66">
        <v>0.09</v>
      </c>
      <c r="AF5301" s="6">
        <f t="shared" ref="AF5301:AF5303" si="813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03"/>
        <v>0</v>
      </c>
      <c r="AM5301" s="85"/>
    </row>
    <row r="5302" spans="1:39" hidden="1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12"/>
        <v>0</v>
      </c>
      <c r="Y5302" s="13">
        <f t="shared" si="801"/>
        <v>0</v>
      </c>
      <c r="Z5302" s="9">
        <v>0</v>
      </c>
      <c r="AA5302" s="6">
        <v>0</v>
      </c>
      <c r="AB5302" s="4">
        <f t="shared" si="802"/>
        <v>0</v>
      </c>
      <c r="AC5302" s="4">
        <f t="shared" si="806"/>
        <v>0</v>
      </c>
      <c r="AD5302" s="6">
        <v>0</v>
      </c>
      <c r="AE5302" s="66">
        <v>0.09</v>
      </c>
      <c r="AF5302" s="6">
        <f t="shared" si="813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03"/>
        <v>0</v>
      </c>
      <c r="AM5302" s="85"/>
    </row>
    <row r="5303" spans="1:39" hidden="1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12"/>
        <v>97146</v>
      </c>
      <c r="Y5303" s="13">
        <f t="shared" si="801"/>
        <v>0</v>
      </c>
      <c r="Z5303" s="14">
        <v>0</v>
      </c>
      <c r="AA5303" s="6">
        <v>0</v>
      </c>
      <c r="AB5303" s="4">
        <f t="shared" si="802"/>
        <v>97146</v>
      </c>
      <c r="AC5303" s="4">
        <f t="shared" si="806"/>
        <v>5654</v>
      </c>
      <c r="AD5303" s="67">
        <v>102800</v>
      </c>
      <c r="AE5303" s="66">
        <v>0.06</v>
      </c>
      <c r="AF5303" s="6">
        <f t="shared" si="813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03"/>
        <v>0</v>
      </c>
      <c r="AM5303" s="85"/>
    </row>
    <row r="5304" spans="1:39" hidden="1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01"/>
        <v>0</v>
      </c>
      <c r="Z5304" s="71">
        <v>0.03</v>
      </c>
      <c r="AA5304" s="72">
        <v>12678.6096</v>
      </c>
      <c r="AB5304" s="4">
        <f t="shared" si="802"/>
        <v>435298.92960000003</v>
      </c>
      <c r="AC5304" s="74">
        <v>0</v>
      </c>
      <c r="AD5304" s="72">
        <f t="shared" ref="AD5304" si="814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03"/>
        <v>0</v>
      </c>
      <c r="AM5304" s="85"/>
    </row>
    <row r="5305" spans="1:39" hidden="1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01"/>
        <v>0</v>
      </c>
      <c r="Z5305" s="71">
        <v>0</v>
      </c>
      <c r="AA5305" s="72">
        <v>0</v>
      </c>
      <c r="AB5305" s="4">
        <f t="shared" si="802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03"/>
        <v>0</v>
      </c>
      <c r="AM5305" s="85"/>
    </row>
    <row r="5306" spans="1:39" hidden="1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15">X5306+AA5306</f>
        <v>8094.0799999999726</v>
      </c>
      <c r="W5306" s="72"/>
      <c r="X5306" s="72">
        <v>8094.0799999999726</v>
      </c>
      <c r="Y5306" s="13">
        <f t="shared" si="801"/>
        <v>0</v>
      </c>
      <c r="Z5306" s="71">
        <v>0</v>
      </c>
      <c r="AA5306" s="72">
        <v>0</v>
      </c>
      <c r="AB5306" s="4">
        <f t="shared" si="802"/>
        <v>8094.0799999999726</v>
      </c>
      <c r="AC5306" s="74"/>
      <c r="AD5306" s="72">
        <f t="shared" ref="AD5306:AD5329" si="816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03"/>
        <v>0</v>
      </c>
      <c r="AM5306" s="85"/>
    </row>
    <row r="5307" spans="1:39" hidden="1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15"/>
        <v>92823.61</v>
      </c>
      <c r="W5307" s="72"/>
      <c r="X5307" s="72">
        <v>92823.61</v>
      </c>
      <c r="Y5307" s="13">
        <f t="shared" si="801"/>
        <v>0</v>
      </c>
      <c r="Z5307" s="71">
        <v>0</v>
      </c>
      <c r="AA5307" s="72">
        <v>0</v>
      </c>
      <c r="AB5307" s="4">
        <f t="shared" si="802"/>
        <v>92823.61</v>
      </c>
      <c r="AC5307" s="74"/>
      <c r="AD5307" s="72">
        <f t="shared" si="816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03"/>
        <v>0</v>
      </c>
      <c r="AM5307" s="85"/>
    </row>
    <row r="5308" spans="1:39" hidden="1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15"/>
        <v>23588.5</v>
      </c>
      <c r="W5308" s="72"/>
      <c r="X5308" s="72">
        <v>23588.5</v>
      </c>
      <c r="Y5308" s="13">
        <f t="shared" si="801"/>
        <v>0</v>
      </c>
      <c r="Z5308" s="71">
        <v>0</v>
      </c>
      <c r="AA5308" s="72">
        <v>0</v>
      </c>
      <c r="AB5308" s="4">
        <f t="shared" si="802"/>
        <v>23588.5</v>
      </c>
      <c r="AC5308" s="74"/>
      <c r="AD5308" s="72">
        <f t="shared" si="816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03"/>
        <v>0</v>
      </c>
      <c r="AM5308" s="85"/>
    </row>
    <row r="5309" spans="1:39" hidden="1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15"/>
        <v>10915.715686274511</v>
      </c>
      <c r="W5309" s="72"/>
      <c r="X5309" s="72">
        <v>10915.715686274511</v>
      </c>
      <c r="Y5309" s="13">
        <f t="shared" si="801"/>
        <v>0</v>
      </c>
      <c r="Z5309" s="71">
        <v>0</v>
      </c>
      <c r="AA5309" s="72">
        <v>0</v>
      </c>
      <c r="AB5309" s="4">
        <f t="shared" si="802"/>
        <v>10915.715686274511</v>
      </c>
      <c r="AC5309" s="74"/>
      <c r="AD5309" s="72">
        <f t="shared" si="816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03"/>
        <v>0</v>
      </c>
      <c r="AM5309" s="85"/>
    </row>
    <row r="5310" spans="1:39" hidden="1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15"/>
        <v>84289</v>
      </c>
      <c r="W5310" s="72"/>
      <c r="X5310" s="72">
        <v>84289</v>
      </c>
      <c r="Y5310" s="13">
        <f t="shared" si="801"/>
        <v>0</v>
      </c>
      <c r="Z5310" s="71">
        <v>0</v>
      </c>
      <c r="AA5310" s="72">
        <v>0</v>
      </c>
      <c r="AB5310" s="4">
        <f t="shared" si="802"/>
        <v>84289</v>
      </c>
      <c r="AC5310" s="74"/>
      <c r="AD5310" s="72">
        <f t="shared" si="816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03"/>
        <v>0</v>
      </c>
      <c r="AM5310" s="85"/>
    </row>
    <row r="5311" spans="1:39" hidden="1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15"/>
        <v>39920.76470588235</v>
      </c>
      <c r="W5311" s="72"/>
      <c r="X5311" s="72">
        <v>39920.76470588235</v>
      </c>
      <c r="Y5311" s="13">
        <f t="shared" si="801"/>
        <v>0</v>
      </c>
      <c r="Z5311" s="71">
        <v>0</v>
      </c>
      <c r="AA5311" s="72">
        <v>0</v>
      </c>
      <c r="AB5311" s="4">
        <f t="shared" si="802"/>
        <v>39920.76470588235</v>
      </c>
      <c r="AC5311" s="74"/>
      <c r="AD5311" s="72">
        <f t="shared" si="816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03"/>
        <v>0</v>
      </c>
      <c r="AM5311" s="85"/>
    </row>
    <row r="5312" spans="1:39" hidden="1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15"/>
        <v>150938.26</v>
      </c>
      <c r="W5312" s="72"/>
      <c r="X5312" s="72">
        <v>150938.26</v>
      </c>
      <c r="Y5312" s="13">
        <f t="shared" si="801"/>
        <v>0</v>
      </c>
      <c r="Z5312" s="71">
        <v>0</v>
      </c>
      <c r="AA5312" s="72">
        <v>0</v>
      </c>
      <c r="AB5312" s="4">
        <f t="shared" si="802"/>
        <v>150938.26</v>
      </c>
      <c r="AC5312" s="74"/>
      <c r="AD5312" s="72">
        <f t="shared" si="816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03"/>
        <v>0</v>
      </c>
      <c r="AM5312" s="85"/>
    </row>
    <row r="5313" spans="1:39" hidden="1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15"/>
        <v>42020.25</v>
      </c>
      <c r="W5313" s="72"/>
      <c r="X5313" s="72">
        <v>42020.25</v>
      </c>
      <c r="Y5313" s="13">
        <f t="shared" si="801"/>
        <v>0</v>
      </c>
      <c r="Z5313" s="71">
        <v>0</v>
      </c>
      <c r="AA5313" s="72">
        <v>0</v>
      </c>
      <c r="AB5313" s="4">
        <f t="shared" si="802"/>
        <v>42020.25</v>
      </c>
      <c r="AC5313" s="74"/>
      <c r="AD5313" s="72">
        <f t="shared" si="816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03"/>
        <v>0</v>
      </c>
      <c r="AM5313" s="85"/>
    </row>
    <row r="5314" spans="1:39" hidden="1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15"/>
        <v>76921.811881188114</v>
      </c>
      <c r="W5314" s="72"/>
      <c r="X5314" s="72">
        <v>76921.811881188114</v>
      </c>
      <c r="Y5314" s="13">
        <f t="shared" si="801"/>
        <v>0</v>
      </c>
      <c r="Z5314" s="71">
        <v>0</v>
      </c>
      <c r="AA5314" s="72">
        <v>0</v>
      </c>
      <c r="AB5314" s="4">
        <f t="shared" si="802"/>
        <v>76921.811881188114</v>
      </c>
      <c r="AC5314" s="74"/>
      <c r="AD5314" s="72">
        <f t="shared" si="816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03"/>
        <v>0</v>
      </c>
      <c r="AM5314" s="85"/>
    </row>
    <row r="5315" spans="1:39" hidden="1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15"/>
        <v>406885.7</v>
      </c>
      <c r="W5315" s="72"/>
      <c r="X5315" s="72">
        <v>406885.7</v>
      </c>
      <c r="Y5315" s="13">
        <f t="shared" ref="Y5315:Y5378" si="817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18">X5315+AA5315</f>
        <v>406885.7</v>
      </c>
      <c r="AC5315" s="74"/>
      <c r="AD5315" s="72">
        <f t="shared" si="816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819">X5315+AA5315-AB5315</f>
        <v>0</v>
      </c>
      <c r="AM5315" s="85"/>
    </row>
    <row r="5316" spans="1:39" hidden="1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15"/>
        <v>137.56</v>
      </c>
      <c r="W5316" s="72"/>
      <c r="X5316" s="72">
        <v>137.56</v>
      </c>
      <c r="Y5316" s="13">
        <f t="shared" si="817"/>
        <v>0</v>
      </c>
      <c r="Z5316" s="71">
        <v>0</v>
      </c>
      <c r="AA5316" s="72">
        <v>0</v>
      </c>
      <c r="AB5316" s="4">
        <f t="shared" si="818"/>
        <v>137.56</v>
      </c>
      <c r="AC5316" s="74"/>
      <c r="AD5316" s="72">
        <f t="shared" si="816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819"/>
        <v>0</v>
      </c>
      <c r="AM5316" s="85"/>
    </row>
    <row r="5317" spans="1:39" hidden="1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15"/>
        <v>1848.48</v>
      </c>
      <c r="W5317" s="72"/>
      <c r="X5317" s="72">
        <v>1848.48</v>
      </c>
      <c r="Y5317" s="13">
        <f t="shared" si="817"/>
        <v>0</v>
      </c>
      <c r="Z5317" s="71">
        <v>0</v>
      </c>
      <c r="AA5317" s="72">
        <v>0</v>
      </c>
      <c r="AB5317" s="4">
        <f t="shared" si="818"/>
        <v>1848.48</v>
      </c>
      <c r="AC5317" s="74"/>
      <c r="AD5317" s="72">
        <f t="shared" si="816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819"/>
        <v>0</v>
      </c>
      <c r="AM5317" s="85"/>
    </row>
    <row r="5318" spans="1:39" hidden="1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15"/>
        <v>1696.6999999999998</v>
      </c>
      <c r="W5318" s="72"/>
      <c r="X5318" s="72">
        <v>1696.6999999999998</v>
      </c>
      <c r="Y5318" s="13">
        <f t="shared" si="817"/>
        <v>0</v>
      </c>
      <c r="Z5318" s="71">
        <v>0</v>
      </c>
      <c r="AA5318" s="72">
        <v>0</v>
      </c>
      <c r="AB5318" s="4">
        <f t="shared" si="818"/>
        <v>1696.6999999999998</v>
      </c>
      <c r="AC5318" s="74"/>
      <c r="AD5318" s="72">
        <f t="shared" si="816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819"/>
        <v>0</v>
      </c>
      <c r="AM5318" s="85"/>
    </row>
    <row r="5319" spans="1:39" hidden="1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15"/>
        <v>33445.199999999997</v>
      </c>
      <c r="W5319" s="72"/>
      <c r="X5319" s="72">
        <v>33445.199999999997</v>
      </c>
      <c r="Y5319" s="13">
        <f t="shared" si="817"/>
        <v>0</v>
      </c>
      <c r="Z5319" s="71">
        <v>0</v>
      </c>
      <c r="AA5319" s="72">
        <v>0</v>
      </c>
      <c r="AB5319" s="4">
        <f t="shared" si="818"/>
        <v>33445.199999999997</v>
      </c>
      <c r="AC5319" s="74"/>
      <c r="AD5319" s="72">
        <f t="shared" si="816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819"/>
        <v>0</v>
      </c>
      <c r="AM5319" s="85"/>
    </row>
    <row r="5320" spans="1:39" hidden="1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15"/>
        <v>3343.8834951456565</v>
      </c>
      <c r="W5320" s="72"/>
      <c r="X5320" s="72">
        <v>3343.8834951456565</v>
      </c>
      <c r="Y5320" s="13">
        <f t="shared" si="817"/>
        <v>0</v>
      </c>
      <c r="Z5320" s="71">
        <v>0</v>
      </c>
      <c r="AA5320" s="72">
        <v>0</v>
      </c>
      <c r="AB5320" s="4">
        <f t="shared" si="818"/>
        <v>3343.8834951456565</v>
      </c>
      <c r="AC5320" s="74"/>
      <c r="AD5320" s="72">
        <f t="shared" si="816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819"/>
        <v>0</v>
      </c>
      <c r="AM5320" s="85"/>
    </row>
    <row r="5321" spans="1:39" hidden="1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15"/>
        <v>25187.299999999974</v>
      </c>
      <c r="W5321" s="72"/>
      <c r="X5321" s="72">
        <v>25187.299999999974</v>
      </c>
      <c r="Y5321" s="13">
        <f t="shared" si="817"/>
        <v>0</v>
      </c>
      <c r="Z5321" s="71">
        <v>0</v>
      </c>
      <c r="AA5321" s="72">
        <v>0</v>
      </c>
      <c r="AB5321" s="4">
        <f t="shared" si="818"/>
        <v>25187.299999999974</v>
      </c>
      <c r="AC5321" s="74"/>
      <c r="AD5321" s="72">
        <f t="shared" si="816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819"/>
        <v>0</v>
      </c>
      <c r="AM5321" s="85"/>
    </row>
    <row r="5322" spans="1:39" hidden="1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15"/>
        <v>8331.0204081632655</v>
      </c>
      <c r="W5322" s="72"/>
      <c r="X5322" s="72">
        <v>8164.4000000000005</v>
      </c>
      <c r="Y5322" s="13">
        <f t="shared" si="817"/>
        <v>0</v>
      </c>
      <c r="Z5322" s="71">
        <v>0.02</v>
      </c>
      <c r="AA5322" s="72">
        <v>166.62040816326532</v>
      </c>
      <c r="AB5322" s="4">
        <f t="shared" si="818"/>
        <v>8331.0204081632655</v>
      </c>
      <c r="AC5322" s="74"/>
      <c r="AD5322" s="72">
        <f t="shared" si="816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819"/>
        <v>0</v>
      </c>
      <c r="AM5322" s="85"/>
    </row>
    <row r="5323" spans="1:39" hidden="1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15"/>
        <v>5498.65</v>
      </c>
      <c r="W5323" s="72"/>
      <c r="X5323" s="72">
        <v>5498.65</v>
      </c>
      <c r="Y5323" s="13">
        <f t="shared" si="817"/>
        <v>0</v>
      </c>
      <c r="Z5323" s="71">
        <v>0</v>
      </c>
      <c r="AA5323" s="72">
        <v>0</v>
      </c>
      <c r="AB5323" s="4">
        <f t="shared" si="818"/>
        <v>5498.65</v>
      </c>
      <c r="AC5323" s="74"/>
      <c r="AD5323" s="72">
        <f t="shared" si="816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819"/>
        <v>0</v>
      </c>
      <c r="AM5323" s="85"/>
    </row>
    <row r="5324" spans="1:39" hidden="1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15"/>
        <v>16827.21</v>
      </c>
      <c r="W5324" s="72"/>
      <c r="X5324" s="72">
        <v>16827.21</v>
      </c>
      <c r="Y5324" s="13">
        <f t="shared" si="817"/>
        <v>0</v>
      </c>
      <c r="Z5324" s="71">
        <v>0</v>
      </c>
      <c r="AA5324" s="72">
        <v>0</v>
      </c>
      <c r="AB5324" s="4">
        <f t="shared" si="818"/>
        <v>16827.21</v>
      </c>
      <c r="AC5324" s="74"/>
      <c r="AD5324" s="72">
        <f t="shared" si="816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819"/>
        <v>0</v>
      </c>
      <c r="AM5324" s="85"/>
    </row>
    <row r="5325" spans="1:39" hidden="1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15"/>
        <v>18163.194174757307</v>
      </c>
      <c r="W5325" s="72"/>
      <c r="X5325" s="72">
        <v>18163.194174757307</v>
      </c>
      <c r="Y5325" s="13">
        <f t="shared" si="817"/>
        <v>0</v>
      </c>
      <c r="Z5325" s="71">
        <v>0</v>
      </c>
      <c r="AA5325" s="72">
        <v>0</v>
      </c>
      <c r="AB5325" s="4">
        <f t="shared" si="818"/>
        <v>18163.194174757307</v>
      </c>
      <c r="AC5325" s="74"/>
      <c r="AD5325" s="72">
        <f t="shared" si="816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819"/>
        <v>0</v>
      </c>
      <c r="AM5325" s="85"/>
    </row>
    <row r="5326" spans="1:39" hidden="1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15"/>
        <v>4354</v>
      </c>
      <c r="W5326" s="72"/>
      <c r="X5326" s="72">
        <v>4354</v>
      </c>
      <c r="Y5326" s="13">
        <f t="shared" si="817"/>
        <v>0</v>
      </c>
      <c r="Z5326" s="71">
        <v>0</v>
      </c>
      <c r="AA5326" s="72">
        <v>0</v>
      </c>
      <c r="AB5326" s="4">
        <f t="shared" si="818"/>
        <v>4354</v>
      </c>
      <c r="AC5326" s="74"/>
      <c r="AD5326" s="72">
        <f t="shared" si="816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819"/>
        <v>0</v>
      </c>
      <c r="AM5326" s="85"/>
    </row>
    <row r="5327" spans="1:39" hidden="1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15"/>
        <v>45588</v>
      </c>
      <c r="W5327" s="72"/>
      <c r="X5327" s="72">
        <v>45588</v>
      </c>
      <c r="Y5327" s="13">
        <f t="shared" si="817"/>
        <v>0</v>
      </c>
      <c r="Z5327" s="71">
        <v>0</v>
      </c>
      <c r="AA5327" s="72">
        <v>0</v>
      </c>
      <c r="AB5327" s="4">
        <f t="shared" si="818"/>
        <v>45588</v>
      </c>
      <c r="AC5327" s="74"/>
      <c r="AD5327" s="72">
        <f t="shared" si="816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819"/>
        <v>0</v>
      </c>
      <c r="AM5327" s="85"/>
    </row>
    <row r="5328" spans="1:39" hidden="1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15"/>
        <v>252.36274509803923</v>
      </c>
      <c r="W5328" s="72"/>
      <c r="X5328" s="72">
        <v>252.36274509803923</v>
      </c>
      <c r="Y5328" s="13">
        <f t="shared" si="817"/>
        <v>0</v>
      </c>
      <c r="Z5328" s="71">
        <v>0</v>
      </c>
      <c r="AA5328" s="72">
        <v>0</v>
      </c>
      <c r="AB5328" s="4">
        <f t="shared" si="818"/>
        <v>252.36274509803923</v>
      </c>
      <c r="AC5328" s="74"/>
      <c r="AD5328" s="72">
        <f t="shared" si="816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819"/>
        <v>0</v>
      </c>
      <c r="AM5328" s="85"/>
    </row>
    <row r="5329" spans="1:39" hidden="1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15"/>
        <v>1400</v>
      </c>
      <c r="W5329" s="72"/>
      <c r="X5329" s="72">
        <v>1400</v>
      </c>
      <c r="Y5329" s="13">
        <f t="shared" si="817"/>
        <v>0</v>
      </c>
      <c r="Z5329" s="71">
        <v>0</v>
      </c>
      <c r="AA5329" s="72">
        <v>0</v>
      </c>
      <c r="AB5329" s="4">
        <f t="shared" si="818"/>
        <v>1400</v>
      </c>
      <c r="AC5329" s="74"/>
      <c r="AD5329" s="72">
        <f t="shared" si="816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819"/>
        <v>0</v>
      </c>
      <c r="AM5329" s="85"/>
    </row>
    <row r="5330" spans="1:39" hidden="1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17"/>
        <v>0</v>
      </c>
      <c r="Z5330" s="2">
        <v>0</v>
      </c>
      <c r="AA5330" s="4">
        <v>0</v>
      </c>
      <c r="AB5330" s="4">
        <f t="shared" si="818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819"/>
        <v>0</v>
      </c>
      <c r="AM5330" s="85"/>
    </row>
    <row r="5331" spans="1:39" hidden="1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820">X5331</f>
        <v>215279.15942028977</v>
      </c>
      <c r="W5331" s="13"/>
      <c r="X5331" s="13">
        <v>215279.15942028977</v>
      </c>
      <c r="Y5331" s="13">
        <f t="shared" si="817"/>
        <v>0</v>
      </c>
      <c r="Z5331" s="2">
        <v>0</v>
      </c>
      <c r="AA5331" s="4">
        <v>0</v>
      </c>
      <c r="AB5331" s="4">
        <f t="shared" si="818"/>
        <v>215279.15942028977</v>
      </c>
      <c r="AC5331" s="4"/>
      <c r="AD5331" s="4">
        <f t="shared" ref="AD5331:AD5332" si="821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819"/>
        <v>0</v>
      </c>
      <c r="AM5331" s="85"/>
    </row>
    <row r="5332" spans="1:39" hidden="1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820"/>
        <v>38482.933333333342</v>
      </c>
      <c r="W5332" s="13"/>
      <c r="X5332" s="13">
        <v>38482.933333333342</v>
      </c>
      <c r="Y5332" s="13">
        <f t="shared" si="817"/>
        <v>0</v>
      </c>
      <c r="Z5332" s="2">
        <v>0</v>
      </c>
      <c r="AA5332" s="4">
        <v>0</v>
      </c>
      <c r="AB5332" s="4">
        <f t="shared" si="818"/>
        <v>38482.933333333342</v>
      </c>
      <c r="AC5332" s="4"/>
      <c r="AD5332" s="4">
        <f t="shared" si="821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819"/>
        <v>0</v>
      </c>
      <c r="AM5332" s="85"/>
    </row>
    <row r="5333" spans="1:39" hidden="1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17"/>
        <v>0</v>
      </c>
      <c r="Z5333" s="77">
        <v>0</v>
      </c>
      <c r="AA5333" s="18"/>
      <c r="AB5333" s="4">
        <f t="shared" si="818"/>
        <v>0</v>
      </c>
      <c r="AC5333" s="18">
        <v>1290604</v>
      </c>
      <c r="AD5333" s="18"/>
      <c r="AE5333" s="2">
        <v>0.05</v>
      </c>
      <c r="AF5333" s="6">
        <f t="shared" ref="AF5333:AF5347" si="822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819"/>
        <v>0</v>
      </c>
      <c r="AM5333" s="85"/>
    </row>
    <row r="5334" spans="1:39" hidden="1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823">T5334+U5334-V5334</f>
        <v>40635.070000000036</v>
      </c>
      <c r="X5334" s="6">
        <f t="shared" ref="X5334:X5339" si="824">IF(P5334="折扣",V5334*Q5334,IF(P5334="返现",V5334,V5334/(1+Q5334)))</f>
        <v>0</v>
      </c>
      <c r="Y5334" s="13">
        <f t="shared" si="817"/>
        <v>0</v>
      </c>
      <c r="Z5334" s="14">
        <v>0</v>
      </c>
      <c r="AA5334" s="6">
        <v>0</v>
      </c>
      <c r="AB5334" s="4">
        <f t="shared" si="818"/>
        <v>0</v>
      </c>
      <c r="AC5334" s="4">
        <f t="shared" ref="AC5334:AC5347" si="825">IF(P5334="返现",X5334*Q5334,V5334-X5334)</f>
        <v>0</v>
      </c>
      <c r="AD5334" s="6">
        <f t="shared" ref="AD5334:AD5335" si="826">V5334</f>
        <v>0</v>
      </c>
      <c r="AE5334" s="2">
        <f>VLOOKUP(I5334,[1]媒体政策预估表!A:N,MATCH(O5334,[1]媒体政策预估表!$A$2:$M$2,0),0)</f>
        <v>0.17</v>
      </c>
      <c r="AF5334" s="6">
        <f t="shared" si="822"/>
        <v>0</v>
      </c>
      <c r="AG5334" s="14">
        <v>0</v>
      </c>
      <c r="AH5334" s="64">
        <f t="shared" ref="AH5334:AH5336" si="827">V5334</f>
        <v>0</v>
      </c>
      <c r="AI5334" s="47"/>
      <c r="AJ5334" s="126" t="e">
        <v>#N/A</v>
      </c>
      <c r="AK5334" s="80">
        <f t="shared" si="819"/>
        <v>0</v>
      </c>
      <c r="AM5334" s="85"/>
    </row>
    <row r="5335" spans="1:39" hidden="1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823"/>
        <v>10000</v>
      </c>
      <c r="X5335" s="6">
        <f t="shared" si="824"/>
        <v>0</v>
      </c>
      <c r="Y5335" s="13">
        <f t="shared" si="817"/>
        <v>0</v>
      </c>
      <c r="Z5335" s="14">
        <v>0</v>
      </c>
      <c r="AA5335" s="6">
        <v>0</v>
      </c>
      <c r="AB5335" s="4">
        <f t="shared" si="818"/>
        <v>0</v>
      </c>
      <c r="AC5335" s="4">
        <f t="shared" si="825"/>
        <v>0</v>
      </c>
      <c r="AD5335" s="6">
        <f t="shared" si="826"/>
        <v>0</v>
      </c>
      <c r="AE5335" s="2">
        <f>VLOOKUP(I5335,[1]媒体政策预估表!A:N,MATCH(O5335,[1]媒体政策预估表!$A$2:$M$2,0),0)</f>
        <v>7.0000000000000007E-2</v>
      </c>
      <c r="AF5335" s="6">
        <f t="shared" si="822"/>
        <v>0</v>
      </c>
      <c r="AG5335" s="14">
        <v>0</v>
      </c>
      <c r="AH5335" s="65">
        <f t="shared" si="827"/>
        <v>0</v>
      </c>
      <c r="AI5335" s="47"/>
      <c r="AJ5335" s="126" t="e">
        <v>#N/A</v>
      </c>
      <c r="AK5335" s="80">
        <f t="shared" si="819"/>
        <v>0</v>
      </c>
      <c r="AM5335" s="85"/>
    </row>
    <row r="5336" spans="1:39" hidden="1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823"/>
        <v>10000</v>
      </c>
      <c r="X5336" s="18">
        <f t="shared" si="824"/>
        <v>0</v>
      </c>
      <c r="Y5336" s="13">
        <f t="shared" si="817"/>
        <v>0</v>
      </c>
      <c r="Z5336" s="14">
        <v>0</v>
      </c>
      <c r="AA5336" s="4">
        <v>0</v>
      </c>
      <c r="AB5336" s="4">
        <f t="shared" si="818"/>
        <v>0</v>
      </c>
      <c r="AC5336" s="6">
        <f t="shared" si="825"/>
        <v>0</v>
      </c>
      <c r="AD5336" s="6">
        <f t="shared" ref="AD5336" si="828">V5336*0.598955254612663</f>
        <v>0</v>
      </c>
      <c r="AE5336" s="2">
        <v>0.12</v>
      </c>
      <c r="AF5336" s="5">
        <f t="shared" si="822"/>
        <v>0</v>
      </c>
      <c r="AG5336" s="14">
        <v>0</v>
      </c>
      <c r="AH5336" s="19">
        <f t="shared" si="827"/>
        <v>0</v>
      </c>
      <c r="AJ5336" s="126" t="e">
        <v>#N/A</v>
      </c>
      <c r="AK5336" s="80">
        <f t="shared" si="819"/>
        <v>0</v>
      </c>
      <c r="AM5336" s="85"/>
    </row>
    <row r="5337" spans="1:39" hidden="1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824"/>
        <v>19018.240000000002</v>
      </c>
      <c r="Y5337" s="13">
        <f t="shared" si="817"/>
        <v>0</v>
      </c>
      <c r="Z5337" s="9">
        <v>0</v>
      </c>
      <c r="AA5337" s="6">
        <v>0</v>
      </c>
      <c r="AB5337" s="4">
        <f t="shared" si="818"/>
        <v>19018.240000000002</v>
      </c>
      <c r="AC5337" s="4">
        <f t="shared" si="825"/>
        <v>0</v>
      </c>
      <c r="AD5337" s="6">
        <v>19018.240000000002</v>
      </c>
      <c r="AE5337" s="66">
        <v>0.08</v>
      </c>
      <c r="AF5337" s="6">
        <f t="shared" si="822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819"/>
        <v>0</v>
      </c>
      <c r="AM5337" s="85"/>
    </row>
    <row r="5338" spans="1:39" hidden="1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3763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829">T5338+U5338-V5338</f>
        <v>31640.199999999997</v>
      </c>
      <c r="X5338" s="13">
        <f t="shared" si="824"/>
        <v>0</v>
      </c>
      <c r="Y5338" s="13">
        <f t="shared" si="817"/>
        <v>0</v>
      </c>
      <c r="Z5338" s="14">
        <v>0</v>
      </c>
      <c r="AA5338" s="6">
        <v>0</v>
      </c>
      <c r="AB5338" s="4">
        <f t="shared" si="818"/>
        <v>0</v>
      </c>
      <c r="AC5338" s="4">
        <f t="shared" si="825"/>
        <v>0</v>
      </c>
      <c r="AD5338" s="6">
        <f t="shared" ref="AD5338:AD5339" si="830">V5338</f>
        <v>0</v>
      </c>
      <c r="AE5338" s="2">
        <f>VLOOKUP(I5338,[1]媒体政策预估表!A:N,MATCH(O5338,[1]媒体政策预估表!$A$2:$M$2,0),0)</f>
        <v>0.17</v>
      </c>
      <c r="AF5338" s="6">
        <f t="shared" si="822"/>
        <v>0</v>
      </c>
      <c r="AG5338" s="14">
        <v>0</v>
      </c>
      <c r="AH5338" s="64">
        <f t="shared" ref="AH5338:AH5339" si="831">V5338</f>
        <v>0</v>
      </c>
      <c r="AI5338" s="47"/>
      <c r="AJ5338" s="126" t="e">
        <v>#N/A</v>
      </c>
      <c r="AK5338" s="80">
        <f t="shared" si="819"/>
        <v>0</v>
      </c>
      <c r="AM5338" s="85"/>
    </row>
    <row r="5339" spans="1:39" hidden="1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829"/>
        <v>1439313.9400000032</v>
      </c>
      <c r="X5339" s="13">
        <f t="shared" si="824"/>
        <v>8560686.0599999968</v>
      </c>
      <c r="Y5339" s="13">
        <f t="shared" si="817"/>
        <v>0</v>
      </c>
      <c r="Z5339" s="2">
        <v>0</v>
      </c>
      <c r="AA5339" s="4">
        <v>0</v>
      </c>
      <c r="AB5339" s="4">
        <f t="shared" si="818"/>
        <v>8560686.0599999968</v>
      </c>
      <c r="AC5339" s="6">
        <f t="shared" si="825"/>
        <v>0</v>
      </c>
      <c r="AD5339" s="13">
        <f t="shared" si="830"/>
        <v>8560686.0599999968</v>
      </c>
      <c r="AE5339" s="2">
        <v>0</v>
      </c>
      <c r="AF5339" s="5">
        <f t="shared" si="822"/>
        <v>0</v>
      </c>
      <c r="AG5339" s="2">
        <v>0</v>
      </c>
      <c r="AH5339" s="5">
        <f t="shared" si="831"/>
        <v>8560686.0599999968</v>
      </c>
      <c r="AJ5339" s="126" t="e">
        <v>#N/A</v>
      </c>
      <c r="AK5339" s="80">
        <f t="shared" si="819"/>
        <v>0</v>
      </c>
      <c r="AM5339" s="85"/>
    </row>
    <row r="5340" spans="1:39" hidden="1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829"/>
        <v>0</v>
      </c>
      <c r="X5340" s="13">
        <f t="shared" ref="X5340:X5341" si="832">IF(P5340="折扣",V5340*Q5340,IF(P5340="返现",V5340,V5340/(1+Q5340+AG5340)))</f>
        <v>106916.66350710901</v>
      </c>
      <c r="Y5340" s="13">
        <f t="shared" si="817"/>
        <v>106916.66350710901</v>
      </c>
      <c r="Z5340" s="2">
        <v>0</v>
      </c>
      <c r="AA5340" s="4">
        <v>0</v>
      </c>
      <c r="AB5340" s="4">
        <f t="shared" si="818"/>
        <v>106916.66350710901</v>
      </c>
      <c r="AC5340" s="6">
        <f t="shared" si="825"/>
        <v>5880.4164928909886</v>
      </c>
      <c r="AD5340" s="4">
        <v>0</v>
      </c>
      <c r="AE5340" s="2">
        <v>0.06</v>
      </c>
      <c r="AF5340" s="5">
        <f t="shared" si="822"/>
        <v>0</v>
      </c>
      <c r="AG5340" s="2">
        <v>0</v>
      </c>
      <c r="AH5340" s="4">
        <f t="shared" ref="AH5340:AH5341" si="833">V5340/(1+AG5340)</f>
        <v>112797.08</v>
      </c>
      <c r="AJ5340" s="126" t="e">
        <v>#N/A</v>
      </c>
      <c r="AK5340" s="80">
        <f t="shared" si="819"/>
        <v>0</v>
      </c>
      <c r="AM5340" s="85"/>
    </row>
    <row r="5341" spans="1:39" hidden="1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829"/>
        <v>30933.549999999974</v>
      </c>
      <c r="X5341" s="13">
        <f t="shared" si="832"/>
        <v>30679.099526066377</v>
      </c>
      <c r="Y5341" s="13">
        <f t="shared" si="817"/>
        <v>30679.099526066377</v>
      </c>
      <c r="Z5341" s="2">
        <v>0</v>
      </c>
      <c r="AA5341" s="4">
        <v>0</v>
      </c>
      <c r="AB5341" s="4">
        <f t="shared" si="818"/>
        <v>30679.099526066377</v>
      </c>
      <c r="AC5341" s="6">
        <f t="shared" si="825"/>
        <v>1687.3504739336495</v>
      </c>
      <c r="AD5341" s="4">
        <v>0</v>
      </c>
      <c r="AE5341" s="2">
        <v>0.06</v>
      </c>
      <c r="AF5341" s="5">
        <f t="shared" si="822"/>
        <v>0</v>
      </c>
      <c r="AG5341" s="2">
        <v>0</v>
      </c>
      <c r="AH5341" s="4">
        <f t="shared" si="833"/>
        <v>32366.450000000026</v>
      </c>
      <c r="AJ5341" s="126" t="e">
        <v>#N/A</v>
      </c>
      <c r="AK5341" s="80">
        <f t="shared" si="819"/>
        <v>0</v>
      </c>
      <c r="AM5341" s="85"/>
    </row>
    <row r="5342" spans="1:39" hidden="1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829"/>
        <v>2.139999997918494</v>
      </c>
      <c r="X5342" s="13">
        <f t="shared" ref="X5342:X5347" si="834">IF(P5342="折扣",V5342*Q5342,IF(P5342="返现",V5342,V5342/(1+Q5342)))</f>
        <v>0</v>
      </c>
      <c r="Y5342" s="13">
        <f t="shared" si="817"/>
        <v>0</v>
      </c>
      <c r="Z5342" s="2">
        <v>0</v>
      </c>
      <c r="AA5342" s="4">
        <v>0</v>
      </c>
      <c r="AB5342" s="4">
        <f t="shared" si="818"/>
        <v>0</v>
      </c>
      <c r="AC5342" s="6">
        <f t="shared" si="825"/>
        <v>0</v>
      </c>
      <c r="AD5342" s="13">
        <f t="shared" ref="AD5342:AD5347" si="835">V5342</f>
        <v>0</v>
      </c>
      <c r="AE5342" s="2">
        <v>0.05</v>
      </c>
      <c r="AF5342" s="5">
        <f t="shared" si="822"/>
        <v>0</v>
      </c>
      <c r="AG5342" s="2">
        <v>0</v>
      </c>
      <c r="AH5342" s="5">
        <f t="shared" ref="AH5342:AH5347" si="836">V5342</f>
        <v>0</v>
      </c>
      <c r="AJ5342" s="126" t="e">
        <v>#N/A</v>
      </c>
      <c r="AK5342" s="80">
        <f t="shared" si="819"/>
        <v>0</v>
      </c>
      <c r="AM5342" s="85"/>
    </row>
    <row r="5343" spans="1:39" hidden="1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829"/>
        <v>7.2899999745932291</v>
      </c>
      <c r="X5343" s="13">
        <f t="shared" si="834"/>
        <v>7364.8365384615381</v>
      </c>
      <c r="Y5343" s="13">
        <f t="shared" si="817"/>
        <v>0</v>
      </c>
      <c r="Z5343" s="2">
        <v>0</v>
      </c>
      <c r="AA5343" s="4">
        <v>0</v>
      </c>
      <c r="AB5343" s="4">
        <f t="shared" si="818"/>
        <v>7364.8365384615381</v>
      </c>
      <c r="AC5343" s="6">
        <f t="shared" si="825"/>
        <v>294.59346153846218</v>
      </c>
      <c r="AD5343" s="13">
        <f t="shared" si="835"/>
        <v>7659.43</v>
      </c>
      <c r="AE5343" s="2">
        <v>0.05</v>
      </c>
      <c r="AF5343" s="5">
        <f t="shared" si="822"/>
        <v>382.97150000000005</v>
      </c>
      <c r="AG5343" s="2">
        <v>0</v>
      </c>
      <c r="AH5343" s="5">
        <f t="shared" si="836"/>
        <v>7659.43</v>
      </c>
      <c r="AJ5343" s="126" t="e">
        <v>#N/A</v>
      </c>
      <c r="AK5343" s="80">
        <f t="shared" si="819"/>
        <v>0</v>
      </c>
      <c r="AM5343" s="85"/>
    </row>
    <row r="5344" spans="1:39" hidden="1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829"/>
        <v>49828.080000001471</v>
      </c>
      <c r="X5344" s="13">
        <f t="shared" si="834"/>
        <v>0</v>
      </c>
      <c r="Y5344" s="13">
        <f t="shared" si="817"/>
        <v>0</v>
      </c>
      <c r="Z5344" s="2">
        <v>0</v>
      </c>
      <c r="AA5344" s="4">
        <v>0</v>
      </c>
      <c r="AB5344" s="4">
        <f t="shared" si="818"/>
        <v>0</v>
      </c>
      <c r="AC5344" s="6">
        <f t="shared" si="825"/>
        <v>0</v>
      </c>
      <c r="AD5344" s="13">
        <f t="shared" si="835"/>
        <v>0</v>
      </c>
      <c r="AE5344" s="2">
        <v>0.05</v>
      </c>
      <c r="AF5344" s="5">
        <f t="shared" si="822"/>
        <v>0</v>
      </c>
      <c r="AG5344" s="2">
        <v>0</v>
      </c>
      <c r="AH5344" s="5">
        <f t="shared" si="836"/>
        <v>0</v>
      </c>
      <c r="AJ5344" s="126" t="e">
        <v>#N/A</v>
      </c>
      <c r="AK5344" s="80">
        <f t="shared" si="819"/>
        <v>0</v>
      </c>
      <c r="AM5344" s="85"/>
    </row>
    <row r="5345" spans="1:39" hidden="1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829"/>
        <v>8.950000000108048</v>
      </c>
      <c r="X5345" s="13">
        <f t="shared" si="834"/>
        <v>3987.4056603773579</v>
      </c>
      <c r="Y5345" s="13">
        <f t="shared" si="817"/>
        <v>0</v>
      </c>
      <c r="Z5345" s="2">
        <v>0</v>
      </c>
      <c r="AA5345" s="4">
        <v>0</v>
      </c>
      <c r="AB5345" s="4">
        <f t="shared" si="818"/>
        <v>3987.4056603773579</v>
      </c>
      <c r="AC5345" s="6">
        <f t="shared" si="825"/>
        <v>239.24433962264175</v>
      </c>
      <c r="AD5345" s="13">
        <f t="shared" si="835"/>
        <v>4226.6499999999996</v>
      </c>
      <c r="AE5345" s="2">
        <v>0.05</v>
      </c>
      <c r="AF5345" s="5">
        <f t="shared" si="822"/>
        <v>211.33249999999998</v>
      </c>
      <c r="AG5345" s="2">
        <v>0</v>
      </c>
      <c r="AH5345" s="5">
        <f t="shared" si="836"/>
        <v>4226.6499999999996</v>
      </c>
      <c r="AJ5345" s="126" t="e">
        <v>#N/A</v>
      </c>
      <c r="AK5345" s="80">
        <f t="shared" si="819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829"/>
        <v>-607.91</v>
      </c>
      <c r="X5346" s="13">
        <f t="shared" si="834"/>
        <v>607.91</v>
      </c>
      <c r="Y5346" s="13">
        <f t="shared" si="817"/>
        <v>0</v>
      </c>
      <c r="Z5346" s="2">
        <v>0</v>
      </c>
      <c r="AA5346" s="4">
        <v>0</v>
      </c>
      <c r="AB5346" s="4">
        <f t="shared" si="818"/>
        <v>607.91</v>
      </c>
      <c r="AC5346" s="6">
        <f t="shared" si="825"/>
        <v>36.474599999999995</v>
      </c>
      <c r="AD5346" s="13">
        <f t="shared" si="835"/>
        <v>607.91</v>
      </c>
      <c r="AE5346" s="2">
        <v>0.05</v>
      </c>
      <c r="AF5346" s="5">
        <f t="shared" si="822"/>
        <v>30.395499999999998</v>
      </c>
      <c r="AG5346" s="2">
        <v>0</v>
      </c>
      <c r="AH5346" s="5">
        <f t="shared" si="836"/>
        <v>607.91</v>
      </c>
      <c r="AJ5346" s="126" t="e">
        <v>#N/A</v>
      </c>
      <c r="AK5346" s="80">
        <f t="shared" si="819"/>
        <v>0</v>
      </c>
      <c r="AM5346" s="85"/>
    </row>
    <row r="5347" spans="1:39" hidden="1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829"/>
        <v>-21307.22</v>
      </c>
      <c r="X5347" s="6">
        <f t="shared" si="834"/>
        <v>20620.13</v>
      </c>
      <c r="Y5347" s="13">
        <f t="shared" si="817"/>
        <v>0</v>
      </c>
      <c r="Z5347" s="14">
        <v>0</v>
      </c>
      <c r="AA5347" s="6">
        <v>0</v>
      </c>
      <c r="AB5347" s="4">
        <f t="shared" si="818"/>
        <v>20620.13</v>
      </c>
      <c r="AC5347" s="4">
        <f t="shared" si="825"/>
        <v>1237.2077999999999</v>
      </c>
      <c r="AD5347" s="6">
        <f t="shared" si="835"/>
        <v>20620.13</v>
      </c>
      <c r="AE5347" s="2">
        <v>0.05</v>
      </c>
      <c r="AF5347" s="6">
        <f t="shared" si="822"/>
        <v>1031.0065000000002</v>
      </c>
      <c r="AG5347" s="14">
        <v>0</v>
      </c>
      <c r="AH5347" s="64">
        <f t="shared" si="836"/>
        <v>20620.13</v>
      </c>
      <c r="AI5347" s="47"/>
      <c r="AJ5347" s="126" t="e">
        <v>#N/A</v>
      </c>
      <c r="AK5347" s="80">
        <f t="shared" si="819"/>
        <v>0</v>
      </c>
      <c r="AM5347" s="85"/>
    </row>
    <row r="5348" spans="1:39" hidden="1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837">T5348+U5348-V5348</f>
        <v>-1064.1199999999999</v>
      </c>
      <c r="X5348" s="13">
        <f t="shared" ref="X5348:X5364" si="838">IF(P5348="折扣",V5348*Q5348,IF(P5348="返现",V5348,V5348/(1+Q5348)))</f>
        <v>456.21</v>
      </c>
      <c r="Y5348" s="13">
        <f t="shared" si="817"/>
        <v>0</v>
      </c>
      <c r="Z5348" s="2">
        <v>0</v>
      </c>
      <c r="AA5348" s="4">
        <v>0</v>
      </c>
      <c r="AB5348" s="4">
        <f t="shared" si="818"/>
        <v>456.21</v>
      </c>
      <c r="AC5348" s="6">
        <f t="shared" ref="AC5348:AC5372" si="839">IF(P5348="返现",X5348*Q5348,V5348-X5348)</f>
        <v>27.372599999999998</v>
      </c>
      <c r="AD5348" s="13">
        <f t="shared" ref="AD5348:AD5364" si="840">V5348</f>
        <v>456.21</v>
      </c>
      <c r="AE5348" s="2">
        <v>0.05</v>
      </c>
      <c r="AF5348" s="5">
        <f t="shared" ref="AF5348:AF5411" si="841">AD5348*AE5348</f>
        <v>22.810500000000001</v>
      </c>
      <c r="AG5348" s="2">
        <v>0</v>
      </c>
      <c r="AH5348" s="5">
        <f t="shared" ref="AH5348:AH5364" si="842">V5348</f>
        <v>456.21</v>
      </c>
      <c r="AJ5348" s="126" t="e">
        <v>#N/A</v>
      </c>
      <c r="AK5348" s="80">
        <f t="shared" si="819"/>
        <v>0</v>
      </c>
      <c r="AM5348" s="85"/>
    </row>
    <row r="5349" spans="1:39" hidden="1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1" t="s">
        <v>3718</v>
      </c>
      <c r="L5349" s="1" t="s">
        <v>35</v>
      </c>
      <c r="N5349" s="3" t="s">
        <v>3719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837"/>
        <v>-24928.979999999996</v>
      </c>
      <c r="X5349" s="13">
        <f t="shared" si="838"/>
        <v>23298.112149532706</v>
      </c>
      <c r="Y5349" s="13">
        <f t="shared" si="817"/>
        <v>0</v>
      </c>
      <c r="Z5349" s="2">
        <v>0</v>
      </c>
      <c r="AA5349" s="4">
        <v>0</v>
      </c>
      <c r="AB5349" s="4">
        <f t="shared" si="818"/>
        <v>23298.112149532706</v>
      </c>
      <c r="AC5349" s="6">
        <f t="shared" si="839"/>
        <v>1630.8678504672898</v>
      </c>
      <c r="AD5349" s="13">
        <f t="shared" si="840"/>
        <v>24928.979999999996</v>
      </c>
      <c r="AE5349" s="2">
        <v>0.05</v>
      </c>
      <c r="AF5349" s="5">
        <f t="shared" si="841"/>
        <v>1246.4489999999998</v>
      </c>
      <c r="AG5349" s="2">
        <v>0</v>
      </c>
      <c r="AH5349" s="5">
        <f t="shared" si="842"/>
        <v>24928.979999999996</v>
      </c>
      <c r="AJ5349" s="126" t="e">
        <v>#N/A</v>
      </c>
      <c r="AK5349" s="80">
        <f t="shared" si="819"/>
        <v>0</v>
      </c>
      <c r="AM5349" s="85"/>
    </row>
    <row r="5350" spans="1:39" hidden="1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1" t="s">
        <v>3718</v>
      </c>
      <c r="L5350" s="1" t="s">
        <v>35</v>
      </c>
      <c r="N5350" s="3" t="s">
        <v>3720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837"/>
        <v>-557959.93000000005</v>
      </c>
      <c r="X5350" s="13">
        <f t="shared" si="838"/>
        <v>557959.93000000005</v>
      </c>
      <c r="Y5350" s="13">
        <f t="shared" si="817"/>
        <v>0</v>
      </c>
      <c r="Z5350" s="2">
        <v>0</v>
      </c>
      <c r="AA5350" s="4">
        <v>0</v>
      </c>
      <c r="AB5350" s="4">
        <f t="shared" si="818"/>
        <v>557959.93000000005</v>
      </c>
      <c r="AC5350" s="6">
        <f t="shared" si="839"/>
        <v>0</v>
      </c>
      <c r="AD5350" s="13">
        <f t="shared" si="840"/>
        <v>557959.93000000005</v>
      </c>
      <c r="AE5350" s="2">
        <v>0.05</v>
      </c>
      <c r="AF5350" s="5">
        <f t="shared" si="841"/>
        <v>27897.996500000005</v>
      </c>
      <c r="AG5350" s="2">
        <v>0</v>
      </c>
      <c r="AH5350" s="5">
        <f t="shared" si="842"/>
        <v>557959.93000000005</v>
      </c>
      <c r="AJ5350" s="126" t="e">
        <v>#N/A</v>
      </c>
      <c r="AK5350" s="80">
        <f t="shared" si="819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1" t="s">
        <v>3718</v>
      </c>
      <c r="L5351" s="1" t="s">
        <v>35</v>
      </c>
      <c r="M5351" s="95"/>
      <c r="N5351" s="3" t="s">
        <v>3720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837"/>
        <v>-656.18000000000006</v>
      </c>
      <c r="X5351" s="13">
        <f t="shared" si="838"/>
        <v>656.18000000000006</v>
      </c>
      <c r="Y5351" s="13">
        <f t="shared" si="817"/>
        <v>0</v>
      </c>
      <c r="Z5351" s="2">
        <v>0</v>
      </c>
      <c r="AA5351" s="4">
        <v>0</v>
      </c>
      <c r="AB5351" s="4">
        <f t="shared" si="818"/>
        <v>656.18000000000006</v>
      </c>
      <c r="AC5351" s="6">
        <f t="shared" si="839"/>
        <v>0</v>
      </c>
      <c r="AD5351" s="13">
        <f t="shared" si="840"/>
        <v>656.18000000000006</v>
      </c>
      <c r="AE5351" s="2">
        <v>0.05</v>
      </c>
      <c r="AF5351" s="5">
        <f t="shared" si="841"/>
        <v>32.809000000000005</v>
      </c>
      <c r="AG5351" s="2">
        <v>0</v>
      </c>
      <c r="AH5351" s="5">
        <f t="shared" si="842"/>
        <v>656.18000000000006</v>
      </c>
      <c r="AJ5351" s="126" t="e">
        <v>#N/A</v>
      </c>
      <c r="AK5351" s="80">
        <f t="shared" si="819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">
        <v>3707</v>
      </c>
      <c r="L5352" s="1" t="s">
        <v>35</v>
      </c>
      <c r="M5352" s="95"/>
      <c r="N5352" s="3" t="s">
        <v>3708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837"/>
        <v>-2.2600000000000051</v>
      </c>
      <c r="X5352" s="13">
        <f t="shared" si="838"/>
        <v>2.2600000000000051</v>
      </c>
      <c r="Y5352" s="13">
        <f t="shared" si="817"/>
        <v>0</v>
      </c>
      <c r="Z5352" s="2">
        <v>0</v>
      </c>
      <c r="AA5352" s="4">
        <v>0</v>
      </c>
      <c r="AB5352" s="4">
        <f t="shared" si="818"/>
        <v>2.2600000000000051</v>
      </c>
      <c r="AC5352" s="6">
        <f t="shared" si="839"/>
        <v>0</v>
      </c>
      <c r="AD5352" s="13">
        <f t="shared" si="840"/>
        <v>2.2600000000000051</v>
      </c>
      <c r="AE5352" s="2">
        <v>0.05</v>
      </c>
      <c r="AF5352" s="5">
        <f t="shared" si="841"/>
        <v>0.11300000000000027</v>
      </c>
      <c r="AG5352" s="2">
        <v>0</v>
      </c>
      <c r="AH5352" s="5">
        <f t="shared" si="842"/>
        <v>2.2600000000000051</v>
      </c>
      <c r="AJ5352" s="126" t="e">
        <v>#N/A</v>
      </c>
      <c r="AK5352" s="80">
        <f t="shared" si="819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">
        <v>3707</v>
      </c>
      <c r="L5353" s="1" t="s">
        <v>35</v>
      </c>
      <c r="M5353" s="95"/>
      <c r="N5353" s="3" t="s">
        <v>3708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838"/>
        <v>5</v>
      </c>
      <c r="Y5353" s="13">
        <f t="shared" si="817"/>
        <v>0</v>
      </c>
      <c r="Z5353" s="2">
        <v>0</v>
      </c>
      <c r="AA5353" s="4">
        <v>0</v>
      </c>
      <c r="AB5353" s="4">
        <f t="shared" si="818"/>
        <v>5</v>
      </c>
      <c r="AC5353" s="6">
        <f t="shared" si="839"/>
        <v>0</v>
      </c>
      <c r="AD5353" s="13">
        <f t="shared" si="840"/>
        <v>5</v>
      </c>
      <c r="AE5353" s="2">
        <v>0.05</v>
      </c>
      <c r="AF5353" s="5">
        <f t="shared" si="841"/>
        <v>0.25</v>
      </c>
      <c r="AG5353" s="2">
        <v>0</v>
      </c>
      <c r="AH5353" s="5">
        <f t="shared" si="842"/>
        <v>5</v>
      </c>
      <c r="AJ5353" s="126" t="e">
        <v>#N/A</v>
      </c>
      <c r="AK5353" s="80">
        <f t="shared" si="819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">
        <v>3707</v>
      </c>
      <c r="L5354" s="1" t="s">
        <v>35</v>
      </c>
      <c r="M5354" s="95"/>
      <c r="N5354" s="3" t="s">
        <v>3721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843">T5354+U5354-V5354</f>
        <v>-844115.07</v>
      </c>
      <c r="X5354" s="13">
        <f t="shared" si="838"/>
        <v>844115.07</v>
      </c>
      <c r="Y5354" s="13">
        <f t="shared" si="817"/>
        <v>0</v>
      </c>
      <c r="Z5354" s="2">
        <v>0</v>
      </c>
      <c r="AA5354" s="4">
        <v>0</v>
      </c>
      <c r="AB5354" s="4">
        <f t="shared" si="818"/>
        <v>844115.07</v>
      </c>
      <c r="AC5354" s="6">
        <f t="shared" si="839"/>
        <v>0</v>
      </c>
      <c r="AD5354" s="13">
        <f t="shared" si="840"/>
        <v>844115.07</v>
      </c>
      <c r="AE5354" s="2">
        <v>0.05</v>
      </c>
      <c r="AF5354" s="5">
        <f t="shared" si="841"/>
        <v>42205.753499999999</v>
      </c>
      <c r="AG5354" s="2">
        <v>0</v>
      </c>
      <c r="AH5354" s="5">
        <f t="shared" si="842"/>
        <v>844115.07</v>
      </c>
      <c r="AJ5354" s="126" t="e">
        <v>#N/A</v>
      </c>
      <c r="AK5354" s="80">
        <f t="shared" si="819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">
        <v>3707</v>
      </c>
      <c r="L5355" s="1" t="s">
        <v>35</v>
      </c>
      <c r="M5355" s="95"/>
      <c r="N5355" s="3" t="s">
        <v>3724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843"/>
        <v>-28016.37</v>
      </c>
      <c r="X5355" s="13">
        <f t="shared" si="838"/>
        <v>26682.257142857139</v>
      </c>
      <c r="Y5355" s="13">
        <f t="shared" si="817"/>
        <v>0</v>
      </c>
      <c r="Z5355" s="2">
        <v>0</v>
      </c>
      <c r="AA5355" s="4">
        <v>0</v>
      </c>
      <c r="AB5355" s="4">
        <f t="shared" si="818"/>
        <v>26682.257142857139</v>
      </c>
      <c r="AC5355" s="6">
        <f t="shared" si="839"/>
        <v>1334.1128571428599</v>
      </c>
      <c r="AD5355" s="13">
        <f t="shared" si="840"/>
        <v>28016.37</v>
      </c>
      <c r="AE5355" s="2">
        <v>0.05</v>
      </c>
      <c r="AF5355" s="5">
        <f t="shared" si="841"/>
        <v>1400.8185000000001</v>
      </c>
      <c r="AG5355" s="2">
        <v>0</v>
      </c>
      <c r="AH5355" s="5">
        <f t="shared" si="842"/>
        <v>28016.37</v>
      </c>
      <c r="AJ5355" s="126" t="e">
        <v>#N/A</v>
      </c>
      <c r="AK5355" s="80">
        <f t="shared" si="819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">
        <v>3707</v>
      </c>
      <c r="L5356" s="1" t="s">
        <v>35</v>
      </c>
      <c r="M5356" s="95"/>
      <c r="N5356" s="3" t="s">
        <v>3727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843"/>
        <v>-1166741.47</v>
      </c>
      <c r="X5356" s="13">
        <f t="shared" si="838"/>
        <v>1111182.3523809523</v>
      </c>
      <c r="Y5356" s="13">
        <f t="shared" si="817"/>
        <v>0</v>
      </c>
      <c r="Z5356" s="2">
        <v>0</v>
      </c>
      <c r="AA5356" s="4">
        <v>0</v>
      </c>
      <c r="AB5356" s="4">
        <f t="shared" si="818"/>
        <v>1111182.3523809523</v>
      </c>
      <c r="AC5356" s="6">
        <f t="shared" si="839"/>
        <v>55559.11761904764</v>
      </c>
      <c r="AD5356" s="13">
        <f t="shared" si="840"/>
        <v>1166741.47</v>
      </c>
      <c r="AE5356" s="2">
        <v>0.05</v>
      </c>
      <c r="AF5356" s="5">
        <f t="shared" si="841"/>
        <v>58337.073499999999</v>
      </c>
      <c r="AG5356" s="2">
        <v>0</v>
      </c>
      <c r="AH5356" s="5">
        <f t="shared" si="842"/>
        <v>1166741.47</v>
      </c>
      <c r="AJ5356" s="126" t="e">
        <v>#N/A</v>
      </c>
      <c r="AK5356" s="80">
        <f t="shared" si="819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1" t="s">
        <v>3718</v>
      </c>
      <c r="L5357" s="1" t="s">
        <v>35</v>
      </c>
      <c r="M5357" s="95"/>
      <c r="N5357" s="3" t="s">
        <v>3720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843"/>
        <v>-15751.620000000577</v>
      </c>
      <c r="X5357" s="13">
        <f t="shared" si="838"/>
        <v>15001.542857143406</v>
      </c>
      <c r="Y5357" s="13">
        <f t="shared" si="817"/>
        <v>0</v>
      </c>
      <c r="Z5357" s="2">
        <v>0</v>
      </c>
      <c r="AA5357" s="4">
        <v>0</v>
      </c>
      <c r="AB5357" s="4">
        <f t="shared" si="818"/>
        <v>15001.542857143406</v>
      </c>
      <c r="AC5357" s="6">
        <f t="shared" si="839"/>
        <v>750.07714285717157</v>
      </c>
      <c r="AD5357" s="13">
        <f t="shared" si="840"/>
        <v>15751.620000000577</v>
      </c>
      <c r="AE5357" s="2">
        <v>0.05</v>
      </c>
      <c r="AF5357" s="5">
        <f t="shared" si="841"/>
        <v>787.58100000002889</v>
      </c>
      <c r="AG5357" s="2">
        <v>0</v>
      </c>
      <c r="AH5357" s="5">
        <f t="shared" si="842"/>
        <v>15751.620000000577</v>
      </c>
      <c r="AJ5357" s="126" t="e">
        <v>#N/A</v>
      </c>
      <c r="AK5357" s="80">
        <f t="shared" si="819"/>
        <v>0</v>
      </c>
      <c r="AM5357" s="85"/>
    </row>
    <row r="5358" spans="1:39" hidden="1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">
        <v>3712</v>
      </c>
      <c r="L5358" s="1" t="s">
        <v>35</v>
      </c>
      <c r="M5358" s="86"/>
      <c r="N5358" s="86" t="s">
        <v>3735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843"/>
        <v>-9.4600000000000009</v>
      </c>
      <c r="X5358" s="6">
        <f t="shared" si="838"/>
        <v>8.7978000000000005</v>
      </c>
      <c r="Y5358" s="13">
        <f t="shared" si="817"/>
        <v>0</v>
      </c>
      <c r="Z5358" s="14">
        <v>0</v>
      </c>
      <c r="AA5358" s="6">
        <v>0</v>
      </c>
      <c r="AB5358" s="4">
        <f t="shared" si="818"/>
        <v>8.7978000000000005</v>
      </c>
      <c r="AC5358" s="4">
        <f t="shared" si="839"/>
        <v>0.66220000000000034</v>
      </c>
      <c r="AD5358" s="6">
        <f t="shared" si="840"/>
        <v>9.4600000000000009</v>
      </c>
      <c r="AE5358" s="2">
        <v>0.06</v>
      </c>
      <c r="AF5358" s="6">
        <f t="shared" si="841"/>
        <v>0.56759999999999999</v>
      </c>
      <c r="AG5358" s="14">
        <v>0</v>
      </c>
      <c r="AH5358" s="64">
        <f t="shared" si="842"/>
        <v>9.4600000000000009</v>
      </c>
      <c r="AI5358" s="47"/>
      <c r="AJ5358" s="126" t="e">
        <v>#N/A</v>
      </c>
      <c r="AK5358" s="80">
        <f t="shared" si="819"/>
        <v>0</v>
      </c>
      <c r="AM5358" s="85"/>
    </row>
    <row r="5359" spans="1:39" hidden="1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">
        <v>3707</v>
      </c>
      <c r="L5359" s="1" t="s">
        <v>35</v>
      </c>
      <c r="M5359" s="86"/>
      <c r="N5359" s="86" t="s">
        <v>3737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843"/>
        <v>-52.21999999999997</v>
      </c>
      <c r="X5359" s="6">
        <f t="shared" si="838"/>
        <v>52.21999999999997</v>
      </c>
      <c r="Y5359" s="13">
        <f t="shared" si="817"/>
        <v>0</v>
      </c>
      <c r="Z5359" s="14">
        <v>0</v>
      </c>
      <c r="AA5359" s="6">
        <v>0</v>
      </c>
      <c r="AB5359" s="4">
        <f t="shared" si="818"/>
        <v>52.21999999999997</v>
      </c>
      <c r="AC5359" s="4">
        <f t="shared" si="839"/>
        <v>3.1331999999999982</v>
      </c>
      <c r="AD5359" s="6">
        <f t="shared" si="840"/>
        <v>52.21999999999997</v>
      </c>
      <c r="AE5359" s="2">
        <v>0.06</v>
      </c>
      <c r="AF5359" s="6">
        <f t="shared" si="841"/>
        <v>3.1331999999999982</v>
      </c>
      <c r="AG5359" s="14">
        <v>0</v>
      </c>
      <c r="AH5359" s="64">
        <f t="shared" si="842"/>
        <v>52.21999999999997</v>
      </c>
      <c r="AI5359" s="47"/>
      <c r="AJ5359" s="126" t="e">
        <v>#N/A</v>
      </c>
      <c r="AK5359" s="80">
        <f t="shared" si="819"/>
        <v>0</v>
      </c>
      <c r="AM5359" s="85"/>
    </row>
    <row r="5360" spans="1:39" hidden="1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">
        <v>3707</v>
      </c>
      <c r="L5360" s="1" t="s">
        <v>35</v>
      </c>
      <c r="M5360" s="86"/>
      <c r="N5360" s="86" t="s">
        <v>3737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843"/>
        <v>-1903755.17</v>
      </c>
      <c r="X5360" s="6">
        <f t="shared" si="838"/>
        <v>1903755.17</v>
      </c>
      <c r="Y5360" s="13">
        <f t="shared" si="817"/>
        <v>0</v>
      </c>
      <c r="Z5360" s="14">
        <v>0</v>
      </c>
      <c r="AA5360" s="6">
        <v>0</v>
      </c>
      <c r="AB5360" s="4">
        <f t="shared" si="818"/>
        <v>1903755.17</v>
      </c>
      <c r="AC5360" s="4">
        <f t="shared" si="839"/>
        <v>114225.31019999999</v>
      </c>
      <c r="AD5360" s="6">
        <f t="shared" si="840"/>
        <v>1903755.17</v>
      </c>
      <c r="AE5360" s="2">
        <v>0.06</v>
      </c>
      <c r="AF5360" s="6">
        <f t="shared" si="841"/>
        <v>114225.31019999999</v>
      </c>
      <c r="AG5360" s="14">
        <v>0</v>
      </c>
      <c r="AH5360" s="64">
        <f t="shared" si="842"/>
        <v>1903755.17</v>
      </c>
      <c r="AI5360" s="47"/>
      <c r="AJ5360" s="126" t="e">
        <v>#N/A</v>
      </c>
      <c r="AK5360" s="80">
        <f t="shared" si="819"/>
        <v>0</v>
      </c>
      <c r="AM5360" s="85"/>
    </row>
    <row r="5361" spans="1:39" hidden="1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">
        <v>3707</v>
      </c>
      <c r="L5361" s="1" t="s">
        <v>35</v>
      </c>
      <c r="M5361" s="86"/>
      <c r="N5361" s="86" t="s">
        <v>3737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843"/>
        <v>-531589.36</v>
      </c>
      <c r="X5361" s="6">
        <f t="shared" si="838"/>
        <v>506275.5809523809</v>
      </c>
      <c r="Y5361" s="13">
        <f t="shared" si="817"/>
        <v>0</v>
      </c>
      <c r="Z5361" s="14">
        <v>0</v>
      </c>
      <c r="AA5361" s="6">
        <v>0</v>
      </c>
      <c r="AB5361" s="4">
        <f t="shared" si="818"/>
        <v>506275.5809523809</v>
      </c>
      <c r="AC5361" s="4">
        <f t="shared" si="839"/>
        <v>25313.779047619086</v>
      </c>
      <c r="AD5361" s="6">
        <f t="shared" si="840"/>
        <v>531589.36</v>
      </c>
      <c r="AE5361" s="2">
        <v>0.06</v>
      </c>
      <c r="AF5361" s="6">
        <f t="shared" si="841"/>
        <v>31895.361599999997</v>
      </c>
      <c r="AG5361" s="14">
        <v>0</v>
      </c>
      <c r="AH5361" s="64">
        <f t="shared" si="842"/>
        <v>531589.36</v>
      </c>
      <c r="AI5361" s="47"/>
      <c r="AJ5361" s="126" t="e">
        <v>#N/A</v>
      </c>
      <c r="AK5361" s="80">
        <f t="shared" si="819"/>
        <v>0</v>
      </c>
      <c r="AM5361" s="85"/>
    </row>
    <row r="5362" spans="1:39" hidden="1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1" t="s">
        <v>3718</v>
      </c>
      <c r="L5362" s="1" t="s">
        <v>35</v>
      </c>
      <c r="M5362" s="86"/>
      <c r="N5362" s="86" t="s">
        <v>3739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843"/>
        <v>-9222.7099999999991</v>
      </c>
      <c r="X5362" s="6">
        <f t="shared" si="838"/>
        <v>8783.5333333333328</v>
      </c>
      <c r="Y5362" s="13">
        <f t="shared" si="817"/>
        <v>0</v>
      </c>
      <c r="Z5362" s="14">
        <v>0</v>
      </c>
      <c r="AA5362" s="6">
        <v>0</v>
      </c>
      <c r="AB5362" s="4">
        <f t="shared" si="818"/>
        <v>8783.5333333333328</v>
      </c>
      <c r="AC5362" s="4">
        <f t="shared" si="839"/>
        <v>439.17666666666628</v>
      </c>
      <c r="AD5362" s="6">
        <f t="shared" si="840"/>
        <v>9222.7099999999991</v>
      </c>
      <c r="AE5362" s="2">
        <v>0.06</v>
      </c>
      <c r="AF5362" s="6">
        <f t="shared" si="841"/>
        <v>553.36259999999993</v>
      </c>
      <c r="AG5362" s="14">
        <v>0</v>
      </c>
      <c r="AH5362" s="64">
        <f t="shared" si="842"/>
        <v>9222.7099999999991</v>
      </c>
      <c r="AI5362" s="47"/>
      <c r="AJ5362" s="126" t="e">
        <v>#N/A</v>
      </c>
      <c r="AK5362" s="80">
        <f t="shared" si="819"/>
        <v>0</v>
      </c>
      <c r="AM5362" s="85"/>
    </row>
    <row r="5363" spans="1:39" hidden="1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">
        <v>3707</v>
      </c>
      <c r="L5363" s="1" t="s">
        <v>35</v>
      </c>
      <c r="M5363" s="86"/>
      <c r="N5363" s="86" t="s">
        <v>3737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843"/>
        <v>-22099.919999999998</v>
      </c>
      <c r="X5363" s="6">
        <f t="shared" si="838"/>
        <v>21047.542857142853</v>
      </c>
      <c r="Y5363" s="13">
        <f t="shared" si="817"/>
        <v>0</v>
      </c>
      <c r="Z5363" s="14">
        <v>0</v>
      </c>
      <c r="AA5363" s="6">
        <v>0</v>
      </c>
      <c r="AB5363" s="4">
        <f t="shared" si="818"/>
        <v>21047.542857142853</v>
      </c>
      <c r="AC5363" s="4">
        <f t="shared" si="839"/>
        <v>1052.3771428571454</v>
      </c>
      <c r="AD5363" s="6">
        <f t="shared" si="840"/>
        <v>22099.919999999998</v>
      </c>
      <c r="AE5363" s="2">
        <v>0.06</v>
      </c>
      <c r="AF5363" s="6">
        <f t="shared" si="841"/>
        <v>1325.9951999999998</v>
      </c>
      <c r="AG5363" s="14">
        <v>0</v>
      </c>
      <c r="AH5363" s="64">
        <f t="shared" si="842"/>
        <v>22099.919999999998</v>
      </c>
      <c r="AI5363" s="47"/>
      <c r="AJ5363" s="126" t="e">
        <v>#N/A</v>
      </c>
      <c r="AK5363" s="80">
        <f t="shared" si="819"/>
        <v>0</v>
      </c>
      <c r="AM5363" s="85"/>
    </row>
    <row r="5364" spans="1:39" hidden="1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1" t="s">
        <v>3718</v>
      </c>
      <c r="L5364" s="1" t="s">
        <v>35</v>
      </c>
      <c r="M5364" s="86"/>
      <c r="N5364" s="86" t="s">
        <v>3719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843"/>
        <v>-813.14</v>
      </c>
      <c r="X5364" s="6">
        <f t="shared" si="838"/>
        <v>774.41904761904755</v>
      </c>
      <c r="Y5364" s="13">
        <f t="shared" si="817"/>
        <v>0</v>
      </c>
      <c r="Z5364" s="14">
        <v>0</v>
      </c>
      <c r="AA5364" s="6">
        <v>0</v>
      </c>
      <c r="AB5364" s="4">
        <f t="shared" si="818"/>
        <v>774.41904761904755</v>
      </c>
      <c r="AC5364" s="4">
        <f t="shared" si="839"/>
        <v>38.72095238095244</v>
      </c>
      <c r="AD5364" s="6">
        <f t="shared" si="840"/>
        <v>813.14</v>
      </c>
      <c r="AE5364" s="2">
        <v>0.06</v>
      </c>
      <c r="AF5364" s="6">
        <f t="shared" si="841"/>
        <v>48.788399999999996</v>
      </c>
      <c r="AG5364" s="14">
        <v>0</v>
      </c>
      <c r="AH5364" s="64">
        <f t="shared" si="842"/>
        <v>813.14</v>
      </c>
      <c r="AI5364" s="47"/>
      <c r="AJ5364" s="126" t="e">
        <v>#N/A</v>
      </c>
      <c r="AK5364" s="80">
        <f t="shared" si="819"/>
        <v>0</v>
      </c>
      <c r="AM5364" s="85"/>
    </row>
    <row r="5365" spans="1:39" hidden="1" x14ac:dyDescent="0.3">
      <c r="A5365" s="85" t="s">
        <v>3747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843"/>
        <v>1727538.0879999995</v>
      </c>
      <c r="X5365" s="13">
        <f t="shared" ref="X5365:X5372" si="844">IF(P5365="折扣",V5365*Q5365,IF(P5365="返现",V5365,V5365/(1+Q5365+AG5365)))</f>
        <v>0</v>
      </c>
      <c r="Y5365" s="13">
        <f t="shared" si="817"/>
        <v>0</v>
      </c>
      <c r="Z5365" s="2">
        <v>0</v>
      </c>
      <c r="AA5365" s="4">
        <v>0</v>
      </c>
      <c r="AB5365" s="4">
        <f t="shared" si="818"/>
        <v>0</v>
      </c>
      <c r="AC5365" s="6">
        <f t="shared" si="839"/>
        <v>0</v>
      </c>
      <c r="AD5365" s="4">
        <v>0</v>
      </c>
      <c r="AE5365" s="2">
        <v>0.06</v>
      </c>
      <c r="AF5365" s="5">
        <f t="shared" si="841"/>
        <v>0</v>
      </c>
      <c r="AG5365" s="2">
        <v>0.06</v>
      </c>
      <c r="AH5365" s="4">
        <f t="shared" ref="AH5365:AH5372" si="845">V5365/(1+AG5365)</f>
        <v>0</v>
      </c>
      <c r="AJ5365" s="126" t="e">
        <v>#N/A</v>
      </c>
      <c r="AK5365" s="80">
        <f t="shared" si="819"/>
        <v>0</v>
      </c>
      <c r="AM5365" s="85"/>
    </row>
    <row r="5366" spans="1:39" hidden="1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843"/>
        <v>4399.6799999999948</v>
      </c>
      <c r="X5366" s="13">
        <f t="shared" si="844"/>
        <v>14829.687203791475</v>
      </c>
      <c r="Y5366" s="13">
        <f t="shared" si="817"/>
        <v>14829.687203791475</v>
      </c>
      <c r="Z5366" s="2">
        <v>0</v>
      </c>
      <c r="AA5366" s="4">
        <v>0</v>
      </c>
      <c r="AB5366" s="4">
        <f t="shared" si="818"/>
        <v>14829.687203791475</v>
      </c>
      <c r="AC5366" s="6">
        <f t="shared" si="839"/>
        <v>815.63279620853064</v>
      </c>
      <c r="AD5366" s="4">
        <v>0</v>
      </c>
      <c r="AE5366" s="2">
        <v>0.06</v>
      </c>
      <c r="AF5366" s="5">
        <f t="shared" si="841"/>
        <v>0</v>
      </c>
      <c r="AG5366" s="2">
        <v>0</v>
      </c>
      <c r="AH5366" s="4">
        <f t="shared" si="845"/>
        <v>15645.320000000005</v>
      </c>
      <c r="AJ5366" s="126" t="e">
        <v>#N/A</v>
      </c>
      <c r="AK5366" s="80">
        <f t="shared" si="819"/>
        <v>0</v>
      </c>
      <c r="AM5366" s="85"/>
    </row>
    <row r="5367" spans="1:39" hidden="1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843"/>
        <v>222216.04000000004</v>
      </c>
      <c r="X5367" s="13">
        <f t="shared" si="844"/>
        <v>119368.68246445495</v>
      </c>
      <c r="Y5367" s="13">
        <f t="shared" si="817"/>
        <v>119368.68246445495</v>
      </c>
      <c r="Z5367" s="2">
        <v>0</v>
      </c>
      <c r="AA5367" s="4">
        <v>0</v>
      </c>
      <c r="AB5367" s="4">
        <f t="shared" si="818"/>
        <v>119368.68246445495</v>
      </c>
      <c r="AC5367" s="6">
        <f t="shared" si="839"/>
        <v>6565.277535545014</v>
      </c>
      <c r="AD5367" s="4">
        <v>0</v>
      </c>
      <c r="AE5367" s="2">
        <v>0.06</v>
      </c>
      <c r="AF5367" s="5">
        <f t="shared" si="841"/>
        <v>0</v>
      </c>
      <c r="AG5367" s="2">
        <v>0</v>
      </c>
      <c r="AH5367" s="4">
        <f t="shared" si="845"/>
        <v>125933.95999999996</v>
      </c>
      <c r="AJ5367" s="126" t="e">
        <v>#N/A</v>
      </c>
      <c r="AK5367" s="80">
        <f t="shared" si="819"/>
        <v>0</v>
      </c>
      <c r="AM5367" s="85"/>
    </row>
    <row r="5368" spans="1:39" hidden="1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843"/>
        <v>0</v>
      </c>
      <c r="X5368" s="13">
        <f t="shared" si="844"/>
        <v>76708.018957345717</v>
      </c>
      <c r="Y5368" s="13">
        <f t="shared" si="817"/>
        <v>76708.018957345717</v>
      </c>
      <c r="Z5368" s="2">
        <v>0</v>
      </c>
      <c r="AA5368" s="4">
        <v>0</v>
      </c>
      <c r="AB5368" s="4">
        <f t="shared" si="818"/>
        <v>76708.018957345717</v>
      </c>
      <c r="AC5368" s="6">
        <f t="shared" si="839"/>
        <v>4218.9410426540126</v>
      </c>
      <c r="AD5368" s="4">
        <v>0</v>
      </c>
      <c r="AE5368" s="2">
        <v>0.06</v>
      </c>
      <c r="AF5368" s="5">
        <f t="shared" si="841"/>
        <v>0</v>
      </c>
      <c r="AG5368" s="2">
        <v>0</v>
      </c>
      <c r="AH5368" s="4">
        <f t="shared" si="845"/>
        <v>80926.95999999973</v>
      </c>
      <c r="AJ5368" s="126" t="e">
        <v>#N/A</v>
      </c>
      <c r="AK5368" s="80">
        <f t="shared" si="819"/>
        <v>0</v>
      </c>
      <c r="AM5368" s="85"/>
    </row>
    <row r="5369" spans="1:39" hidden="1" x14ac:dyDescent="0.3">
      <c r="A5369" s="85" t="s">
        <v>3750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843"/>
        <v>48697.410000000011</v>
      </c>
      <c r="X5369" s="13">
        <f t="shared" si="844"/>
        <v>0</v>
      </c>
      <c r="Y5369" s="13">
        <f t="shared" si="817"/>
        <v>0</v>
      </c>
      <c r="Z5369" s="2">
        <v>0</v>
      </c>
      <c r="AA5369" s="4">
        <v>0</v>
      </c>
      <c r="AB5369" s="4">
        <f t="shared" si="818"/>
        <v>0</v>
      </c>
      <c r="AC5369" s="6">
        <f t="shared" si="839"/>
        <v>0</v>
      </c>
      <c r="AD5369" s="4">
        <v>0</v>
      </c>
      <c r="AE5369" s="2">
        <v>7.0000000000000007E-2</v>
      </c>
      <c r="AF5369" s="5">
        <f t="shared" si="841"/>
        <v>0</v>
      </c>
      <c r="AG5369" s="2">
        <v>0</v>
      </c>
      <c r="AH5369" s="4">
        <f t="shared" si="845"/>
        <v>0</v>
      </c>
      <c r="AJ5369" s="126" t="e">
        <v>#N/A</v>
      </c>
      <c r="AK5369" s="80">
        <f t="shared" si="819"/>
        <v>0</v>
      </c>
      <c r="AM5369" s="85"/>
    </row>
    <row r="5370" spans="1:39" hidden="1" x14ac:dyDescent="0.3">
      <c r="A5370" s="85" t="s">
        <v>3750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843"/>
        <v>5438693.4020000007</v>
      </c>
      <c r="X5370" s="13">
        <f t="shared" si="844"/>
        <v>0</v>
      </c>
      <c r="Y5370" s="13">
        <f t="shared" si="817"/>
        <v>0</v>
      </c>
      <c r="Z5370" s="2">
        <v>0</v>
      </c>
      <c r="AA5370" s="4">
        <v>0</v>
      </c>
      <c r="AB5370" s="4">
        <f t="shared" si="818"/>
        <v>0</v>
      </c>
      <c r="AC5370" s="6">
        <f t="shared" si="839"/>
        <v>0</v>
      </c>
      <c r="AD5370" s="4">
        <v>0</v>
      </c>
      <c r="AE5370" s="2">
        <v>0.06</v>
      </c>
      <c r="AF5370" s="5">
        <f t="shared" si="841"/>
        <v>0</v>
      </c>
      <c r="AG5370" s="2">
        <v>0.06</v>
      </c>
      <c r="AH5370" s="4">
        <f t="shared" si="845"/>
        <v>0</v>
      </c>
      <c r="AJ5370" s="126" t="e">
        <v>#N/A</v>
      </c>
      <c r="AK5370" s="80">
        <f t="shared" si="819"/>
        <v>0</v>
      </c>
      <c r="AM5370" s="85"/>
    </row>
    <row r="5371" spans="1:39" hidden="1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3756</v>
      </c>
      <c r="G5371" s="86" t="s">
        <v>2436</v>
      </c>
      <c r="H5371" s="144">
        <v>123</v>
      </c>
      <c r="I5371" s="86" t="s">
        <v>3757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844"/>
        <v>48676.310679611699</v>
      </c>
      <c r="Y5371" s="13">
        <f t="shared" si="817"/>
        <v>3.637978807091713E-11</v>
      </c>
      <c r="Z5371" s="14">
        <v>0</v>
      </c>
      <c r="AA5371" s="6">
        <v>0</v>
      </c>
      <c r="AB5371" s="4">
        <f t="shared" si="818"/>
        <v>48676.310679611699</v>
      </c>
      <c r="AC5371" s="4">
        <f t="shared" si="839"/>
        <v>0</v>
      </c>
      <c r="AD5371" s="98">
        <v>48676.310679611663</v>
      </c>
      <c r="AE5371" s="2">
        <v>7.0000000000000007E-2</v>
      </c>
      <c r="AF5371" s="6">
        <f t="shared" si="841"/>
        <v>3407.3417475728165</v>
      </c>
      <c r="AG5371" s="14">
        <v>0</v>
      </c>
      <c r="AH5371" s="6">
        <f t="shared" si="845"/>
        <v>48676.310679611699</v>
      </c>
      <c r="AI5371" s="47"/>
      <c r="AJ5371" s="126" t="e">
        <v>#N/A</v>
      </c>
      <c r="AK5371" s="80">
        <f t="shared" si="819"/>
        <v>0</v>
      </c>
      <c r="AM5371" s="85"/>
    </row>
    <row r="5372" spans="1:39" hidden="1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3756</v>
      </c>
      <c r="G5372" s="86" t="s">
        <v>2436</v>
      </c>
      <c r="H5372" s="144">
        <v>123</v>
      </c>
      <c r="I5372" s="86" t="s">
        <v>3758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844"/>
        <v>22.0291262135922</v>
      </c>
      <c r="Y5372" s="13">
        <f t="shared" si="817"/>
        <v>2.4868995751603507E-14</v>
      </c>
      <c r="Z5372" s="14">
        <v>0</v>
      </c>
      <c r="AA5372" s="6">
        <v>0</v>
      </c>
      <c r="AB5372" s="4">
        <f t="shared" si="818"/>
        <v>22.0291262135922</v>
      </c>
      <c r="AC5372" s="4">
        <f t="shared" si="839"/>
        <v>0</v>
      </c>
      <c r="AD5372" s="4">
        <v>22.029126213592175</v>
      </c>
      <c r="AE5372" s="2">
        <v>7.0000000000000007E-2</v>
      </c>
      <c r="AF5372" s="6">
        <f t="shared" si="841"/>
        <v>1.5420388349514524</v>
      </c>
      <c r="AG5372" s="14">
        <v>0</v>
      </c>
      <c r="AH5372" s="6">
        <f t="shared" si="845"/>
        <v>22.0291262135922</v>
      </c>
      <c r="AI5372" s="47"/>
      <c r="AJ5372" s="126" t="e">
        <v>#N/A</v>
      </c>
      <c r="AK5372" s="80">
        <f t="shared" si="819"/>
        <v>0</v>
      </c>
      <c r="AM5372" s="85"/>
    </row>
    <row r="5373" spans="1:39" s="86" customFormat="1" ht="13.25" hidden="1" customHeight="1" x14ac:dyDescent="0.3">
      <c r="A5373" s="89" t="s">
        <v>3792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846">T5373+U5373-V5373</f>
        <v>37986.040000000015</v>
      </c>
      <c r="X5373" s="6">
        <f t="shared" ref="X5373:X5436" si="847">IF(P5373="折扣",V5373*Q5373,IF(P5373="返现",V5373,V5373/(1+Q5373)))</f>
        <v>50212.88</v>
      </c>
      <c r="Y5373" s="13">
        <f t="shared" si="817"/>
        <v>0</v>
      </c>
      <c r="Z5373" s="66">
        <v>0</v>
      </c>
      <c r="AA5373" s="6">
        <v>0</v>
      </c>
      <c r="AB5373" s="4">
        <f t="shared" si="818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841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819"/>
        <v>0</v>
      </c>
      <c r="AL5373" s="85"/>
      <c r="AM5373" s="85"/>
    </row>
    <row r="5374" spans="1:39" s="86" customFormat="1" ht="13.25" hidden="1" customHeight="1" x14ac:dyDescent="0.3">
      <c r="A5374" s="89" t="s">
        <v>3792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846"/>
        <v>1843.6000000000095</v>
      </c>
      <c r="X5374" s="6">
        <f t="shared" si="847"/>
        <v>16534.803921568626</v>
      </c>
      <c r="Y5374" s="13">
        <f t="shared" si="817"/>
        <v>0</v>
      </c>
      <c r="Z5374" s="66">
        <v>0</v>
      </c>
      <c r="AA5374" s="6">
        <v>0</v>
      </c>
      <c r="AB5374" s="4">
        <f t="shared" si="818"/>
        <v>16534.803921568626</v>
      </c>
      <c r="AC5374" s="6">
        <f t="shared" ref="AC5374:AC5437" si="848">IF(P5374="返现",X5374*Q5374,V5374-X5374)</f>
        <v>330.69607843137419</v>
      </c>
      <c r="AD5374" s="6">
        <f t="shared" ref="AD5374:AD5437" si="849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841"/>
        <v>1180.585</v>
      </c>
      <c r="AG5374" s="14">
        <v>0</v>
      </c>
      <c r="AH5374" s="64">
        <f t="shared" ref="AH5374:AH5437" si="850">V5374</f>
        <v>16865.5</v>
      </c>
      <c r="AI5374" s="47"/>
      <c r="AJ5374" s="126" t="e">
        <v>#N/A</v>
      </c>
      <c r="AK5374" s="80">
        <f t="shared" si="819"/>
        <v>0</v>
      </c>
      <c r="AL5374" s="85"/>
      <c r="AM5374" s="85"/>
    </row>
    <row r="5375" spans="1:39" s="86" customFormat="1" ht="13.25" hidden="1" customHeight="1" x14ac:dyDescent="0.3">
      <c r="A5375" s="89" t="s">
        <v>3792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846"/>
        <v>14340.780000000006</v>
      </c>
      <c r="X5375" s="6">
        <f t="shared" si="847"/>
        <v>27607.078431372542</v>
      </c>
      <c r="Y5375" s="13">
        <f t="shared" si="817"/>
        <v>0</v>
      </c>
      <c r="Z5375" s="66">
        <v>0</v>
      </c>
      <c r="AA5375" s="6">
        <v>0</v>
      </c>
      <c r="AB5375" s="4">
        <f t="shared" si="818"/>
        <v>27607.078431372542</v>
      </c>
      <c r="AC5375" s="6">
        <f t="shared" si="848"/>
        <v>552.14156862745222</v>
      </c>
      <c r="AD5375" s="6">
        <f t="shared" si="849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841"/>
        <v>1971.1453999999997</v>
      </c>
      <c r="AG5375" s="14">
        <v>0</v>
      </c>
      <c r="AH5375" s="64">
        <f t="shared" si="850"/>
        <v>28159.219999999994</v>
      </c>
      <c r="AI5375" s="47"/>
      <c r="AJ5375" s="126" t="e">
        <v>#N/A</v>
      </c>
      <c r="AK5375" s="80">
        <f t="shared" si="819"/>
        <v>0</v>
      </c>
      <c r="AL5375" s="85"/>
      <c r="AM5375" s="85"/>
    </row>
    <row r="5376" spans="1:39" s="86" customFormat="1" ht="13.25" hidden="1" customHeight="1" x14ac:dyDescent="0.3">
      <c r="A5376" s="89" t="s">
        <v>3792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3793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846"/>
        <v>16609.09999999998</v>
      </c>
      <c r="X5376" s="6">
        <f t="shared" si="847"/>
        <v>22590.568000000003</v>
      </c>
      <c r="Y5376" s="13">
        <f t="shared" si="817"/>
        <v>0</v>
      </c>
      <c r="Z5376" s="66">
        <v>0</v>
      </c>
      <c r="AA5376" s="6">
        <v>0</v>
      </c>
      <c r="AB5376" s="4">
        <f t="shared" si="818"/>
        <v>22590.568000000003</v>
      </c>
      <c r="AC5376" s="6">
        <f t="shared" si="848"/>
        <v>461.03199999999924</v>
      </c>
      <c r="AD5376" s="6">
        <f t="shared" si="849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841"/>
        <v>1613.6120000000003</v>
      </c>
      <c r="AG5376" s="14">
        <v>0</v>
      </c>
      <c r="AH5376" s="64">
        <f t="shared" si="850"/>
        <v>23051.600000000002</v>
      </c>
      <c r="AI5376" s="47"/>
      <c r="AJ5376" s="126" t="e">
        <v>#N/A</v>
      </c>
      <c r="AK5376" s="80">
        <f t="shared" si="819"/>
        <v>0</v>
      </c>
      <c r="AL5376" s="85"/>
      <c r="AM5376" s="85"/>
    </row>
    <row r="5377" spans="1:39" s="86" customFormat="1" ht="13.25" hidden="1" customHeight="1" x14ac:dyDescent="0.3">
      <c r="A5377" s="89" t="s">
        <v>3794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3795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846"/>
        <v>52364.849999999933</v>
      </c>
      <c r="X5377" s="6">
        <f t="shared" si="847"/>
        <v>100325.48000000003</v>
      </c>
      <c r="Y5377" s="13">
        <f t="shared" si="817"/>
        <v>0</v>
      </c>
      <c r="Z5377" s="66">
        <v>0</v>
      </c>
      <c r="AA5377" s="6">
        <v>0</v>
      </c>
      <c r="AB5377" s="4">
        <f t="shared" si="818"/>
        <v>100325.48000000003</v>
      </c>
      <c r="AC5377" s="6">
        <f t="shared" si="848"/>
        <v>0</v>
      </c>
      <c r="AD5377" s="6">
        <f t="shared" si="849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841"/>
        <v>7022.7836000000025</v>
      </c>
      <c r="AG5377" s="14">
        <v>0</v>
      </c>
      <c r="AH5377" s="64">
        <f t="shared" si="850"/>
        <v>100325.48000000003</v>
      </c>
      <c r="AI5377" s="47"/>
      <c r="AJ5377" s="126" t="e">
        <v>#N/A</v>
      </c>
      <c r="AK5377" s="80">
        <f t="shared" si="819"/>
        <v>0</v>
      </c>
      <c r="AL5377" s="85"/>
      <c r="AM5377" s="85"/>
    </row>
    <row r="5378" spans="1:39" s="86" customFormat="1" ht="13.25" hidden="1" customHeight="1" x14ac:dyDescent="0.3">
      <c r="A5378" s="89" t="s">
        <v>3796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846"/>
        <v>13057.95</v>
      </c>
      <c r="X5378" s="6">
        <f t="shared" si="847"/>
        <v>29519.078431372553</v>
      </c>
      <c r="Y5378" s="13">
        <f t="shared" si="817"/>
        <v>0</v>
      </c>
      <c r="Z5378" s="66">
        <v>0</v>
      </c>
      <c r="AA5378" s="6">
        <v>0</v>
      </c>
      <c r="AB5378" s="4">
        <f t="shared" si="818"/>
        <v>29519.078431372553</v>
      </c>
      <c r="AC5378" s="6">
        <f t="shared" si="848"/>
        <v>590.38156862745018</v>
      </c>
      <c r="AD5378" s="6">
        <f t="shared" si="849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841"/>
        <v>2107.6622000000002</v>
      </c>
      <c r="AG5378" s="14">
        <v>0</v>
      </c>
      <c r="AH5378" s="64">
        <f t="shared" si="850"/>
        <v>30109.460000000003</v>
      </c>
      <c r="AI5378" s="47"/>
      <c r="AJ5378" s="126" t="e">
        <v>#N/A</v>
      </c>
      <c r="AK5378" s="80">
        <f t="shared" si="819"/>
        <v>0</v>
      </c>
      <c r="AL5378" s="85"/>
      <c r="AM5378" s="85"/>
    </row>
    <row r="5379" spans="1:39" s="86" customFormat="1" ht="13.25" hidden="1" customHeight="1" x14ac:dyDescent="0.3">
      <c r="A5379" s="89" t="s">
        <v>3792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846"/>
        <v>14341.469999999987</v>
      </c>
      <c r="X5379" s="6">
        <f t="shared" si="847"/>
        <v>118106.51960784315</v>
      </c>
      <c r="Y5379" s="13">
        <f t="shared" ref="Y5379:Y5442" si="851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852">X5379+AA5379</f>
        <v>118106.51960784315</v>
      </c>
      <c r="AC5379" s="6">
        <f t="shared" si="848"/>
        <v>2362.1303921568615</v>
      </c>
      <c r="AD5379" s="6">
        <f t="shared" si="849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841"/>
        <v>8432.8055000000022</v>
      </c>
      <c r="AG5379" s="14">
        <v>0</v>
      </c>
      <c r="AH5379" s="64">
        <f t="shared" si="850"/>
        <v>120468.65000000001</v>
      </c>
      <c r="AI5379" s="47"/>
      <c r="AJ5379" s="126" t="e">
        <v>#N/A</v>
      </c>
      <c r="AK5379" s="80">
        <f t="shared" ref="AK5379:AK5442" si="853">X5379+AA5379-AB5379</f>
        <v>0</v>
      </c>
      <c r="AL5379" s="85"/>
      <c r="AM5379" s="85"/>
    </row>
    <row r="5380" spans="1:39" s="86" customFormat="1" ht="13.25" hidden="1" customHeight="1" x14ac:dyDescent="0.3">
      <c r="A5380" s="89" t="s">
        <v>3796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846"/>
        <v>374480.32</v>
      </c>
      <c r="X5380" s="6">
        <f t="shared" si="847"/>
        <v>0</v>
      </c>
      <c r="Y5380" s="13">
        <f t="shared" si="851"/>
        <v>0</v>
      </c>
      <c r="Z5380" s="66">
        <v>0</v>
      </c>
      <c r="AA5380" s="6">
        <v>0</v>
      </c>
      <c r="AB5380" s="4">
        <f t="shared" si="852"/>
        <v>0</v>
      </c>
      <c r="AC5380" s="6">
        <f t="shared" si="848"/>
        <v>0</v>
      </c>
      <c r="AD5380" s="6">
        <f t="shared" si="849"/>
        <v>0</v>
      </c>
      <c r="AE5380" s="14">
        <f>VLOOKUP(I5380,[2]媒体政策预估表!A:N,MATCH(O5380,[2]媒体政策预估表!$A$2:$M$2,0),0)</f>
        <v>7.0000000000000007E-2</v>
      </c>
      <c r="AF5380" s="6">
        <f t="shared" si="841"/>
        <v>0</v>
      </c>
      <c r="AG5380" s="14">
        <v>0</v>
      </c>
      <c r="AH5380" s="64">
        <f t="shared" si="850"/>
        <v>0</v>
      </c>
      <c r="AI5380" s="47"/>
      <c r="AJ5380" s="126" t="e">
        <v>#N/A</v>
      </c>
      <c r="AK5380" s="80">
        <f t="shared" si="853"/>
        <v>0</v>
      </c>
      <c r="AL5380" s="85"/>
      <c r="AM5380" s="85"/>
    </row>
    <row r="5381" spans="1:39" s="86" customFormat="1" ht="13.25" hidden="1" customHeight="1" x14ac:dyDescent="0.3">
      <c r="A5381" s="89" t="s">
        <v>3794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3797</v>
      </c>
      <c r="T5381" s="6">
        <v>1015323.5300000003</v>
      </c>
      <c r="U5381" s="6">
        <v>128019.68</v>
      </c>
      <c r="V5381" s="6">
        <v>995429.09</v>
      </c>
      <c r="W5381" s="6">
        <f t="shared" si="846"/>
        <v>147914.12000000023</v>
      </c>
      <c r="X5381" s="6">
        <f>(V5381-335.5)/(1+Q5381)</f>
        <v>990142.87562189065</v>
      </c>
      <c r="Y5381" s="13">
        <f t="shared" si="851"/>
        <v>0</v>
      </c>
      <c r="Z5381" s="66">
        <v>0</v>
      </c>
      <c r="AA5381" s="6">
        <v>0</v>
      </c>
      <c r="AB5381" s="4">
        <f t="shared" si="852"/>
        <v>990142.87562189065</v>
      </c>
      <c r="AC5381" s="6">
        <f t="shared" si="848"/>
        <v>5286.2143781093182</v>
      </c>
      <c r="AD5381" s="6">
        <f t="shared" si="849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841"/>
        <v>69680.036300000007</v>
      </c>
      <c r="AG5381" s="14">
        <v>0</v>
      </c>
      <c r="AH5381" s="64">
        <f t="shared" si="850"/>
        <v>995429.09</v>
      </c>
      <c r="AI5381" s="47"/>
      <c r="AJ5381" s="126" t="e">
        <v>#N/A</v>
      </c>
      <c r="AK5381" s="80">
        <f t="shared" si="853"/>
        <v>0</v>
      </c>
      <c r="AL5381" s="85"/>
      <c r="AM5381" s="85"/>
    </row>
    <row r="5382" spans="1:39" s="86" customFormat="1" ht="13.25" hidden="1" customHeight="1" x14ac:dyDescent="0.3">
      <c r="A5382" s="89" t="s">
        <v>3792</v>
      </c>
      <c r="B5382" s="86" t="s">
        <v>35</v>
      </c>
      <c r="C5382" s="86" t="s">
        <v>36</v>
      </c>
      <c r="D5382" s="86" t="s">
        <v>185</v>
      </c>
      <c r="E5382" s="86" t="s">
        <v>3798</v>
      </c>
      <c r="F5382" s="86" t="s">
        <v>3799</v>
      </c>
      <c r="G5382" s="86" t="s">
        <v>3798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3800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846"/>
        <v>9271.5</v>
      </c>
      <c r="X5382" s="6">
        <f t="shared" si="847"/>
        <v>728.5</v>
      </c>
      <c r="Y5382" s="13">
        <f t="shared" si="851"/>
        <v>0</v>
      </c>
      <c r="Z5382" s="66">
        <v>0</v>
      </c>
      <c r="AA5382" s="6">
        <v>0</v>
      </c>
      <c r="AB5382" s="4">
        <f t="shared" si="852"/>
        <v>728.5</v>
      </c>
      <c r="AC5382" s="6">
        <f t="shared" si="848"/>
        <v>0</v>
      </c>
      <c r="AD5382" s="6">
        <f t="shared" si="849"/>
        <v>728.5</v>
      </c>
      <c r="AE5382" s="14">
        <f>VLOOKUP(I5382,[2]媒体政策预估表!A:N,MATCH(O5382,[2]媒体政策预估表!$A$2:$M$2,0),0)</f>
        <v>7.0000000000000007E-2</v>
      </c>
      <c r="AF5382" s="6">
        <f t="shared" si="841"/>
        <v>50.995000000000005</v>
      </c>
      <c r="AG5382" s="14">
        <v>0</v>
      </c>
      <c r="AH5382" s="64">
        <f t="shared" si="850"/>
        <v>728.5</v>
      </c>
      <c r="AI5382" s="47"/>
      <c r="AJ5382" s="126" t="e">
        <v>#N/A</v>
      </c>
      <c r="AK5382" s="80">
        <f t="shared" si="853"/>
        <v>0</v>
      </c>
      <c r="AL5382" s="85"/>
      <c r="AM5382" s="85"/>
    </row>
    <row r="5383" spans="1:39" s="86" customFormat="1" ht="13.25" hidden="1" customHeight="1" x14ac:dyDescent="0.3">
      <c r="A5383" s="89" t="s">
        <v>3792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846"/>
        <v>107910.92000000004</v>
      </c>
      <c r="X5383" s="6">
        <f t="shared" si="847"/>
        <v>160133.24</v>
      </c>
      <c r="Y5383" s="13">
        <f t="shared" si="851"/>
        <v>0</v>
      </c>
      <c r="Z5383" s="66">
        <v>0</v>
      </c>
      <c r="AA5383" s="6">
        <v>0</v>
      </c>
      <c r="AB5383" s="4">
        <f t="shared" si="852"/>
        <v>160133.24</v>
      </c>
      <c r="AC5383" s="6">
        <f t="shared" si="848"/>
        <v>0</v>
      </c>
      <c r="AD5383" s="6">
        <f t="shared" si="849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841"/>
        <v>11209.326800000001</v>
      </c>
      <c r="AG5383" s="14">
        <v>0</v>
      </c>
      <c r="AH5383" s="64">
        <f t="shared" si="850"/>
        <v>160133.24</v>
      </c>
      <c r="AI5383" s="47"/>
      <c r="AJ5383" s="126" t="e">
        <v>#N/A</v>
      </c>
      <c r="AK5383" s="80">
        <f t="shared" si="853"/>
        <v>0</v>
      </c>
      <c r="AL5383" s="85"/>
      <c r="AM5383" s="85"/>
    </row>
    <row r="5384" spans="1:39" s="86" customFormat="1" ht="13.25" hidden="1" customHeight="1" x14ac:dyDescent="0.3">
      <c r="A5384" s="89" t="s">
        <v>3794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846"/>
        <v>180438.0799999999</v>
      </c>
      <c r="X5384" s="6">
        <f t="shared" si="847"/>
        <v>442130.0500000001</v>
      </c>
      <c r="Y5384" s="13">
        <f t="shared" si="851"/>
        <v>0</v>
      </c>
      <c r="Z5384" s="66">
        <v>0</v>
      </c>
      <c r="AA5384" s="6">
        <v>0</v>
      </c>
      <c r="AB5384" s="4">
        <f t="shared" si="852"/>
        <v>442130.0500000001</v>
      </c>
      <c r="AC5384" s="6">
        <f t="shared" si="848"/>
        <v>0</v>
      </c>
      <c r="AD5384" s="6">
        <f t="shared" si="849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841"/>
        <v>30949.103500000012</v>
      </c>
      <c r="AG5384" s="14">
        <v>0</v>
      </c>
      <c r="AH5384" s="64">
        <f t="shared" si="850"/>
        <v>442130.0500000001</v>
      </c>
      <c r="AI5384" s="47"/>
      <c r="AJ5384" s="126" t="e">
        <v>#N/A</v>
      </c>
      <c r="AK5384" s="80">
        <f t="shared" si="853"/>
        <v>0</v>
      </c>
      <c r="AL5384" s="85"/>
      <c r="AM5384" s="85"/>
    </row>
    <row r="5385" spans="1:39" s="86" customFormat="1" ht="13.25" hidden="1" customHeight="1" x14ac:dyDescent="0.3">
      <c r="A5385" s="89" t="s">
        <v>3794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846"/>
        <v>27745.47</v>
      </c>
      <c r="X5385" s="6">
        <f t="shared" si="847"/>
        <v>28912.961165048542</v>
      </c>
      <c r="Y5385" s="13">
        <f t="shared" si="851"/>
        <v>0</v>
      </c>
      <c r="Z5385" s="66">
        <v>0</v>
      </c>
      <c r="AA5385" s="6">
        <v>0</v>
      </c>
      <c r="AB5385" s="4">
        <f t="shared" si="852"/>
        <v>28912.961165048542</v>
      </c>
      <c r="AC5385" s="6">
        <f t="shared" si="848"/>
        <v>867.38883495145637</v>
      </c>
      <c r="AD5385" s="6">
        <f t="shared" si="849"/>
        <v>29780.35</v>
      </c>
      <c r="AE5385" s="14">
        <f>VLOOKUP(I5385,[2]媒体政策预估表!A:N,MATCH(O5385,[2]媒体政策预估表!$A$2:$M$2,0),0)</f>
        <v>0.11</v>
      </c>
      <c r="AF5385" s="6">
        <f t="shared" si="841"/>
        <v>3275.8384999999998</v>
      </c>
      <c r="AG5385" s="14">
        <v>0</v>
      </c>
      <c r="AH5385" s="64">
        <f t="shared" si="850"/>
        <v>29780.35</v>
      </c>
      <c r="AI5385" s="47"/>
      <c r="AJ5385" s="126" t="e">
        <v>#N/A</v>
      </c>
      <c r="AK5385" s="80">
        <f t="shared" si="853"/>
        <v>0</v>
      </c>
      <c r="AL5385" s="85"/>
      <c r="AM5385" s="85"/>
    </row>
    <row r="5386" spans="1:39" s="86" customFormat="1" ht="13.25" hidden="1" customHeight="1" x14ac:dyDescent="0.3">
      <c r="A5386" s="89" t="s">
        <v>3792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846"/>
        <v>41573.369999999995</v>
      </c>
      <c r="X5386" s="6">
        <f t="shared" si="847"/>
        <v>8181.1941747572855</v>
      </c>
      <c r="Y5386" s="13">
        <f t="shared" si="851"/>
        <v>0</v>
      </c>
      <c r="Z5386" s="66">
        <v>0</v>
      </c>
      <c r="AA5386" s="6">
        <v>0</v>
      </c>
      <c r="AB5386" s="4">
        <f t="shared" si="852"/>
        <v>8181.1941747572855</v>
      </c>
      <c r="AC5386" s="6">
        <f t="shared" si="848"/>
        <v>245.43582524271915</v>
      </c>
      <c r="AD5386" s="6">
        <f t="shared" si="849"/>
        <v>8426.6300000000047</v>
      </c>
      <c r="AE5386" s="14">
        <f>VLOOKUP(I5386,[2]媒体政策预估表!A:N,MATCH(O5386,[2]媒体政策预估表!$A$2:$M$2,0),0)</f>
        <v>0.11</v>
      </c>
      <c r="AF5386" s="6">
        <f t="shared" si="841"/>
        <v>926.92930000000047</v>
      </c>
      <c r="AG5386" s="14">
        <v>0</v>
      </c>
      <c r="AH5386" s="64">
        <f t="shared" si="850"/>
        <v>8426.6300000000047</v>
      </c>
      <c r="AI5386" s="47"/>
      <c r="AJ5386" s="126" t="e">
        <v>#N/A</v>
      </c>
      <c r="AK5386" s="80">
        <f t="shared" si="853"/>
        <v>0</v>
      </c>
      <c r="AL5386" s="85"/>
      <c r="AM5386" s="85"/>
    </row>
    <row r="5387" spans="1:39" s="86" customFormat="1" ht="13.25" hidden="1" customHeight="1" x14ac:dyDescent="0.3">
      <c r="A5387" s="89" t="s">
        <v>3792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846"/>
        <v>432442.33000000031</v>
      </c>
      <c r="X5387" s="6">
        <f t="shared" si="847"/>
        <v>1146856.3299999998</v>
      </c>
      <c r="Y5387" s="13">
        <f t="shared" si="851"/>
        <v>0</v>
      </c>
      <c r="Z5387" s="66">
        <v>0</v>
      </c>
      <c r="AA5387" s="6">
        <v>0</v>
      </c>
      <c r="AB5387" s="4">
        <f t="shared" si="852"/>
        <v>1146856.3299999998</v>
      </c>
      <c r="AC5387" s="6">
        <f t="shared" si="848"/>
        <v>0</v>
      </c>
      <c r="AD5387" s="6">
        <f t="shared" si="849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841"/>
        <v>80279.943099999989</v>
      </c>
      <c r="AG5387" s="14">
        <v>0</v>
      </c>
      <c r="AH5387" s="64">
        <f t="shared" si="850"/>
        <v>1146856.3299999998</v>
      </c>
      <c r="AI5387" s="47"/>
      <c r="AJ5387" s="126" t="e">
        <v>#N/A</v>
      </c>
      <c r="AK5387" s="80">
        <f t="shared" si="853"/>
        <v>0</v>
      </c>
      <c r="AL5387" s="85"/>
      <c r="AM5387" s="85"/>
    </row>
    <row r="5388" spans="1:39" s="86" customFormat="1" ht="13.25" hidden="1" customHeight="1" x14ac:dyDescent="0.3">
      <c r="A5388" s="89" t="s">
        <v>3792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846"/>
        <v>74933.779999999912</v>
      </c>
      <c r="X5388" s="6">
        <f t="shared" si="847"/>
        <v>785594.93000000017</v>
      </c>
      <c r="Y5388" s="13">
        <f t="shared" si="851"/>
        <v>0</v>
      </c>
      <c r="Z5388" s="66">
        <v>0</v>
      </c>
      <c r="AA5388" s="6">
        <v>0</v>
      </c>
      <c r="AB5388" s="4">
        <f t="shared" si="852"/>
        <v>785594.93000000017</v>
      </c>
      <c r="AC5388" s="6">
        <f t="shared" si="848"/>
        <v>0</v>
      </c>
      <c r="AD5388" s="6">
        <f t="shared" si="849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841"/>
        <v>54991.645100000016</v>
      </c>
      <c r="AG5388" s="14">
        <v>0</v>
      </c>
      <c r="AH5388" s="64">
        <f t="shared" si="850"/>
        <v>785594.93000000017</v>
      </c>
      <c r="AI5388" s="47"/>
      <c r="AJ5388" s="126" t="e">
        <v>#N/A</v>
      </c>
      <c r="AK5388" s="80">
        <f t="shared" si="853"/>
        <v>0</v>
      </c>
      <c r="AL5388" s="85"/>
      <c r="AM5388" s="85"/>
    </row>
    <row r="5389" spans="1:39" s="86" customFormat="1" ht="13.25" hidden="1" customHeight="1" x14ac:dyDescent="0.3">
      <c r="A5389" s="89" t="s">
        <v>3792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846"/>
        <v>133454.76999999996</v>
      </c>
      <c r="X5389" s="6">
        <f t="shared" si="847"/>
        <v>239707.34999999998</v>
      </c>
      <c r="Y5389" s="13">
        <f t="shared" si="851"/>
        <v>0</v>
      </c>
      <c r="Z5389" s="66">
        <v>0</v>
      </c>
      <c r="AA5389" s="6">
        <v>0</v>
      </c>
      <c r="AB5389" s="4">
        <f t="shared" si="852"/>
        <v>239707.34999999998</v>
      </c>
      <c r="AC5389" s="6">
        <f t="shared" si="848"/>
        <v>0</v>
      </c>
      <c r="AD5389" s="6">
        <f t="shared" si="849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841"/>
        <v>16779.514500000001</v>
      </c>
      <c r="AG5389" s="14">
        <v>0</v>
      </c>
      <c r="AH5389" s="64">
        <f t="shared" si="850"/>
        <v>239707.34999999998</v>
      </c>
      <c r="AI5389" s="47"/>
      <c r="AJ5389" s="126" t="e">
        <v>#N/A</v>
      </c>
      <c r="AK5389" s="80">
        <f t="shared" si="853"/>
        <v>0</v>
      </c>
      <c r="AL5389" s="85"/>
      <c r="AM5389" s="85"/>
    </row>
    <row r="5390" spans="1:39" s="86" customFormat="1" ht="13.25" hidden="1" customHeight="1" x14ac:dyDescent="0.3">
      <c r="A5390" s="89" t="s">
        <v>3796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846"/>
        <v>-4999.9999999999955</v>
      </c>
      <c r="X5390" s="6">
        <f t="shared" si="847"/>
        <v>1544.8365384615386</v>
      </c>
      <c r="Y5390" s="13">
        <f t="shared" si="851"/>
        <v>0</v>
      </c>
      <c r="Z5390" s="66">
        <v>0</v>
      </c>
      <c r="AA5390" s="6">
        <v>0</v>
      </c>
      <c r="AB5390" s="4">
        <f t="shared" si="852"/>
        <v>1544.8365384615386</v>
      </c>
      <c r="AC5390" s="6">
        <f t="shared" si="848"/>
        <v>61.793461538461543</v>
      </c>
      <c r="AD5390" s="6">
        <f t="shared" si="849"/>
        <v>1606.63</v>
      </c>
      <c r="AE5390" s="14">
        <f>VLOOKUP(I5390,[2]媒体政策预估表!A:N,MATCH(O5390,[2]媒体政策预估表!$A$2:$M$2,0),0)</f>
        <v>0.11</v>
      </c>
      <c r="AF5390" s="6">
        <f t="shared" si="841"/>
        <v>176.72930000000002</v>
      </c>
      <c r="AG5390" s="14">
        <v>0</v>
      </c>
      <c r="AH5390" s="64">
        <f t="shared" si="850"/>
        <v>1606.63</v>
      </c>
      <c r="AI5390" s="47"/>
      <c r="AJ5390" s="126" t="e">
        <v>#N/A</v>
      </c>
      <c r="AK5390" s="80">
        <f t="shared" si="853"/>
        <v>0</v>
      </c>
      <c r="AL5390" s="85"/>
      <c r="AM5390" s="85"/>
    </row>
    <row r="5391" spans="1:39" s="86" customFormat="1" ht="13.25" hidden="1" customHeight="1" x14ac:dyDescent="0.3">
      <c r="A5391" s="89" t="s">
        <v>3792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846"/>
        <v>53588.770000000106</v>
      </c>
      <c r="X5391" s="6">
        <f t="shared" si="847"/>
        <v>177036.20588235292</v>
      </c>
      <c r="Y5391" s="13">
        <f t="shared" si="851"/>
        <v>0</v>
      </c>
      <c r="Z5391" s="66">
        <v>0</v>
      </c>
      <c r="AA5391" s="6">
        <v>0</v>
      </c>
      <c r="AB5391" s="4">
        <f t="shared" si="852"/>
        <v>177036.20588235292</v>
      </c>
      <c r="AC5391" s="6">
        <f t="shared" si="848"/>
        <v>3540.7241176470707</v>
      </c>
      <c r="AD5391" s="6">
        <f t="shared" si="849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841"/>
        <v>12640.385100000001</v>
      </c>
      <c r="AG5391" s="14">
        <v>0</v>
      </c>
      <c r="AH5391" s="64">
        <f t="shared" si="850"/>
        <v>180576.93</v>
      </c>
      <c r="AI5391" s="47"/>
      <c r="AJ5391" s="126" t="e">
        <v>#N/A</v>
      </c>
      <c r="AK5391" s="80">
        <f t="shared" si="853"/>
        <v>0</v>
      </c>
      <c r="AL5391" s="85"/>
      <c r="AM5391" s="85"/>
    </row>
    <row r="5392" spans="1:39" s="86" customFormat="1" ht="13.25" hidden="1" customHeight="1" x14ac:dyDescent="0.3">
      <c r="A5392" s="89" t="s">
        <v>3792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846"/>
        <v>7897.8799999999992</v>
      </c>
      <c r="X5392" s="6">
        <f t="shared" si="847"/>
        <v>10356.58</v>
      </c>
      <c r="Y5392" s="13">
        <f t="shared" si="851"/>
        <v>0</v>
      </c>
      <c r="Z5392" s="66">
        <v>0</v>
      </c>
      <c r="AA5392" s="6">
        <v>0</v>
      </c>
      <c r="AB5392" s="4">
        <f t="shared" si="852"/>
        <v>10356.58</v>
      </c>
      <c r="AC5392" s="6">
        <f t="shared" si="848"/>
        <v>0</v>
      </c>
      <c r="AD5392" s="6">
        <f t="shared" si="849"/>
        <v>10356.58</v>
      </c>
      <c r="AE5392" s="14">
        <f>VLOOKUP(I5392,[2]媒体政策预估表!A:N,MATCH(O5392,[2]媒体政策预估表!$A$2:$M$2,0),0)</f>
        <v>0.11</v>
      </c>
      <c r="AF5392" s="6">
        <f t="shared" si="841"/>
        <v>1139.2238</v>
      </c>
      <c r="AG5392" s="14">
        <v>0</v>
      </c>
      <c r="AH5392" s="64">
        <f t="shared" si="850"/>
        <v>10356.58</v>
      </c>
      <c r="AI5392" s="47"/>
      <c r="AJ5392" s="126" t="e">
        <v>#N/A</v>
      </c>
      <c r="AK5392" s="80">
        <f t="shared" si="853"/>
        <v>0</v>
      </c>
      <c r="AL5392" s="85"/>
      <c r="AM5392" s="85"/>
    </row>
    <row r="5393" spans="1:39" s="86" customFormat="1" ht="13.25" hidden="1" customHeight="1" x14ac:dyDescent="0.3">
      <c r="A5393" s="89" t="s">
        <v>3794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3801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846"/>
        <v>18089.3</v>
      </c>
      <c r="X5393" s="6">
        <f t="shared" si="847"/>
        <v>1910.7</v>
      </c>
      <c r="Y5393" s="13">
        <f t="shared" si="851"/>
        <v>0</v>
      </c>
      <c r="Z5393" s="66">
        <v>0</v>
      </c>
      <c r="AA5393" s="6">
        <v>0</v>
      </c>
      <c r="AB5393" s="4">
        <f t="shared" si="852"/>
        <v>1910.7</v>
      </c>
      <c r="AC5393" s="6">
        <f t="shared" si="848"/>
        <v>0</v>
      </c>
      <c r="AD5393" s="6">
        <f t="shared" si="849"/>
        <v>1910.7</v>
      </c>
      <c r="AE5393" s="14">
        <f>VLOOKUP(I5393,[2]媒体政策预估表!A:N,MATCH(O5393,[2]媒体政策预估表!$A$2:$M$2,0),0)</f>
        <v>0.11</v>
      </c>
      <c r="AF5393" s="6">
        <f t="shared" si="841"/>
        <v>210.17699999999999</v>
      </c>
      <c r="AG5393" s="14">
        <v>0</v>
      </c>
      <c r="AH5393" s="64">
        <f t="shared" si="850"/>
        <v>1910.7</v>
      </c>
      <c r="AI5393" s="47"/>
      <c r="AJ5393" s="126" t="e">
        <v>#N/A</v>
      </c>
      <c r="AK5393" s="80">
        <f t="shared" si="853"/>
        <v>0</v>
      </c>
      <c r="AL5393" s="85"/>
      <c r="AM5393" s="85"/>
    </row>
    <row r="5394" spans="1:39" s="86" customFormat="1" ht="13.25" hidden="1" customHeight="1" x14ac:dyDescent="0.3">
      <c r="A5394" s="89" t="s">
        <v>3794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3802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846"/>
        <v>20000</v>
      </c>
      <c r="X5394" s="6">
        <f t="shared" si="847"/>
        <v>0</v>
      </c>
      <c r="Y5394" s="13">
        <f t="shared" si="851"/>
        <v>0</v>
      </c>
      <c r="Z5394" s="66">
        <v>0</v>
      </c>
      <c r="AA5394" s="6">
        <v>0</v>
      </c>
      <c r="AB5394" s="4">
        <f t="shared" si="852"/>
        <v>0</v>
      </c>
      <c r="AC5394" s="6">
        <f t="shared" si="848"/>
        <v>0</v>
      </c>
      <c r="AD5394" s="6">
        <f t="shared" si="849"/>
        <v>0</v>
      </c>
      <c r="AE5394" s="14">
        <f>VLOOKUP(I5394,[2]媒体政策预估表!A:N,MATCH(O5394,[2]媒体政策预估表!$A$2:$M$2,0),0)</f>
        <v>0.11</v>
      </c>
      <c r="AF5394" s="6">
        <f t="shared" si="841"/>
        <v>0</v>
      </c>
      <c r="AG5394" s="14">
        <v>0</v>
      </c>
      <c r="AH5394" s="64">
        <f t="shared" si="850"/>
        <v>0</v>
      </c>
      <c r="AI5394" s="47"/>
      <c r="AJ5394" s="126" t="e">
        <v>#N/A</v>
      </c>
      <c r="AK5394" s="80">
        <f t="shared" si="853"/>
        <v>0</v>
      </c>
      <c r="AL5394" s="85"/>
      <c r="AM5394" s="85"/>
    </row>
    <row r="5395" spans="1:39" s="86" customFormat="1" ht="13.25" hidden="1" customHeight="1" x14ac:dyDescent="0.3">
      <c r="A5395" s="89" t="s">
        <v>3794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3803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846"/>
        <v>18006.8</v>
      </c>
      <c r="X5395" s="6">
        <f t="shared" si="847"/>
        <v>1993.1999999999998</v>
      </c>
      <c r="Y5395" s="13">
        <f t="shared" si="851"/>
        <v>0</v>
      </c>
      <c r="Z5395" s="66">
        <v>0</v>
      </c>
      <c r="AA5395" s="6">
        <v>0</v>
      </c>
      <c r="AB5395" s="4">
        <f t="shared" si="852"/>
        <v>1993.1999999999998</v>
      </c>
      <c r="AC5395" s="6">
        <f t="shared" si="848"/>
        <v>0</v>
      </c>
      <c r="AD5395" s="6">
        <f t="shared" si="849"/>
        <v>1993.1999999999998</v>
      </c>
      <c r="AE5395" s="14">
        <f>VLOOKUP(I5395,[2]媒体政策预估表!A:N,MATCH(O5395,[2]媒体政策预估表!$A$2:$M$2,0),0)</f>
        <v>0.11</v>
      </c>
      <c r="AF5395" s="6">
        <f t="shared" si="841"/>
        <v>219.25199999999998</v>
      </c>
      <c r="AG5395" s="14">
        <v>0</v>
      </c>
      <c r="AH5395" s="64">
        <f t="shared" si="850"/>
        <v>1993.1999999999998</v>
      </c>
      <c r="AI5395" s="47"/>
      <c r="AJ5395" s="126" t="e">
        <v>#N/A</v>
      </c>
      <c r="AK5395" s="80">
        <f t="shared" si="853"/>
        <v>0</v>
      </c>
      <c r="AL5395" s="85"/>
      <c r="AM5395" s="85"/>
    </row>
    <row r="5396" spans="1:39" s="86" customFormat="1" ht="13.25" hidden="1" customHeight="1" x14ac:dyDescent="0.3">
      <c r="A5396" s="89" t="s">
        <v>3792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3804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846"/>
        <v>0</v>
      </c>
      <c r="X5396" s="6">
        <f t="shared" si="847"/>
        <v>0</v>
      </c>
      <c r="Y5396" s="13">
        <f t="shared" si="851"/>
        <v>0</v>
      </c>
      <c r="Z5396" s="66">
        <v>0</v>
      </c>
      <c r="AA5396" s="6">
        <v>0</v>
      </c>
      <c r="AB5396" s="4">
        <f t="shared" si="852"/>
        <v>0</v>
      </c>
      <c r="AC5396" s="6">
        <f t="shared" si="848"/>
        <v>0</v>
      </c>
      <c r="AD5396" s="6">
        <f t="shared" si="849"/>
        <v>0</v>
      </c>
      <c r="AE5396" s="14">
        <f>VLOOKUP(I5396,[2]媒体政策预估表!A:N,MATCH(O5396,[2]媒体政策预估表!$A$2:$M$2,0),0)</f>
        <v>0.11</v>
      </c>
      <c r="AF5396" s="6">
        <f t="shared" si="841"/>
        <v>0</v>
      </c>
      <c r="AG5396" s="14">
        <v>0</v>
      </c>
      <c r="AH5396" s="64">
        <f t="shared" si="850"/>
        <v>0</v>
      </c>
      <c r="AI5396" s="47"/>
      <c r="AJ5396" s="126" t="e">
        <v>#N/A</v>
      </c>
      <c r="AK5396" s="80">
        <f t="shared" si="853"/>
        <v>0</v>
      </c>
      <c r="AL5396" s="85"/>
      <c r="AM5396" s="85"/>
    </row>
    <row r="5397" spans="1:39" s="86" customFormat="1" ht="13.25" hidden="1" customHeight="1" x14ac:dyDescent="0.3">
      <c r="A5397" s="89" t="s">
        <v>3792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846"/>
        <v>0</v>
      </c>
      <c r="X5397" s="6">
        <f t="shared" si="847"/>
        <v>0</v>
      </c>
      <c r="Y5397" s="13">
        <f t="shared" si="851"/>
        <v>0</v>
      </c>
      <c r="Z5397" s="66">
        <v>0</v>
      </c>
      <c r="AA5397" s="6">
        <v>0</v>
      </c>
      <c r="AB5397" s="4">
        <f t="shared" si="852"/>
        <v>0</v>
      </c>
      <c r="AC5397" s="6">
        <f t="shared" si="848"/>
        <v>0</v>
      </c>
      <c r="AD5397" s="6">
        <f t="shared" si="849"/>
        <v>0</v>
      </c>
      <c r="AE5397" s="14">
        <f>VLOOKUP(I5397,[2]媒体政策预估表!A:N,MATCH(O5397,[2]媒体政策预估表!$A$2:$M$2,0),0)</f>
        <v>0.11</v>
      </c>
      <c r="AF5397" s="6">
        <f t="shared" si="841"/>
        <v>0</v>
      </c>
      <c r="AG5397" s="14">
        <v>0</v>
      </c>
      <c r="AH5397" s="64">
        <f t="shared" si="850"/>
        <v>0</v>
      </c>
      <c r="AI5397" s="47"/>
      <c r="AJ5397" s="126" t="e">
        <v>#N/A</v>
      </c>
      <c r="AK5397" s="80">
        <f t="shared" si="853"/>
        <v>0</v>
      </c>
      <c r="AL5397" s="85"/>
      <c r="AM5397" s="85"/>
    </row>
    <row r="5398" spans="1:39" s="86" customFormat="1" ht="13.25" hidden="1" customHeight="1" x14ac:dyDescent="0.3">
      <c r="A5398" s="89" t="s">
        <v>3794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846"/>
        <v>0</v>
      </c>
      <c r="X5398" s="6">
        <f t="shared" si="847"/>
        <v>0</v>
      </c>
      <c r="Y5398" s="13">
        <f t="shared" si="851"/>
        <v>0</v>
      </c>
      <c r="Z5398" s="66">
        <v>0</v>
      </c>
      <c r="AA5398" s="6">
        <v>0</v>
      </c>
      <c r="AB5398" s="4">
        <f t="shared" si="852"/>
        <v>0</v>
      </c>
      <c r="AC5398" s="6">
        <f t="shared" si="848"/>
        <v>0</v>
      </c>
      <c r="AD5398" s="6">
        <f t="shared" si="849"/>
        <v>0</v>
      </c>
      <c r="AE5398" s="14">
        <f>VLOOKUP(I5398,[2]媒体政策预估表!A:N,MATCH(O5398,[2]媒体政策预估表!$A$2:$M$2,0),0)</f>
        <v>0.11</v>
      </c>
      <c r="AF5398" s="6">
        <f t="shared" si="841"/>
        <v>0</v>
      </c>
      <c r="AG5398" s="14">
        <v>0</v>
      </c>
      <c r="AH5398" s="64">
        <f t="shared" si="850"/>
        <v>0</v>
      </c>
      <c r="AI5398" s="47"/>
      <c r="AJ5398" s="126" t="e">
        <v>#N/A</v>
      </c>
      <c r="AK5398" s="80">
        <f t="shared" si="853"/>
        <v>0</v>
      </c>
      <c r="AL5398" s="85"/>
      <c r="AM5398" s="85"/>
    </row>
    <row r="5399" spans="1:39" s="86" customFormat="1" ht="13.25" hidden="1" customHeight="1" x14ac:dyDescent="0.3">
      <c r="A5399" s="89" t="s">
        <v>3805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846"/>
        <v>1.4551915228366852E-11</v>
      </c>
      <c r="X5399" s="6">
        <f t="shared" si="847"/>
        <v>0</v>
      </c>
      <c r="Y5399" s="13">
        <f t="shared" si="851"/>
        <v>0</v>
      </c>
      <c r="Z5399" s="66">
        <v>0</v>
      </c>
      <c r="AA5399" s="6">
        <v>0</v>
      </c>
      <c r="AB5399" s="4">
        <f t="shared" si="852"/>
        <v>0</v>
      </c>
      <c r="AC5399" s="6">
        <f t="shared" si="848"/>
        <v>0</v>
      </c>
      <c r="AD5399" s="6">
        <f t="shared" si="849"/>
        <v>0</v>
      </c>
      <c r="AE5399" s="14">
        <f>VLOOKUP(I5399,[2]媒体政策预估表!A:N,MATCH(O5399,[2]媒体政策预估表!$A$2:$M$2,0),0)</f>
        <v>0.11</v>
      </c>
      <c r="AF5399" s="6">
        <f t="shared" si="841"/>
        <v>0</v>
      </c>
      <c r="AG5399" s="14">
        <v>0</v>
      </c>
      <c r="AH5399" s="64">
        <f t="shared" si="850"/>
        <v>0</v>
      </c>
      <c r="AI5399" s="47"/>
      <c r="AJ5399" s="126" t="e">
        <v>#N/A</v>
      </c>
      <c r="AK5399" s="80">
        <f t="shared" si="853"/>
        <v>0</v>
      </c>
      <c r="AL5399" s="85"/>
      <c r="AM5399" s="85"/>
    </row>
    <row r="5400" spans="1:39" s="86" customFormat="1" ht="13.25" hidden="1" customHeight="1" x14ac:dyDescent="0.3">
      <c r="A5400" s="89" t="s">
        <v>3792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846"/>
        <v>0</v>
      </c>
      <c r="X5400" s="6">
        <f t="shared" si="847"/>
        <v>0</v>
      </c>
      <c r="Y5400" s="13">
        <f t="shared" si="851"/>
        <v>0</v>
      </c>
      <c r="Z5400" s="66">
        <v>0</v>
      </c>
      <c r="AA5400" s="6">
        <v>0</v>
      </c>
      <c r="AB5400" s="4">
        <f t="shared" si="852"/>
        <v>0</v>
      </c>
      <c r="AC5400" s="6">
        <f t="shared" si="848"/>
        <v>0</v>
      </c>
      <c r="AD5400" s="6">
        <f t="shared" si="849"/>
        <v>0</v>
      </c>
      <c r="AE5400" s="14">
        <f>VLOOKUP(I5400,[2]媒体政策预估表!A:N,MATCH(O5400,[2]媒体政策预估表!$A$2:$M$2,0),0)</f>
        <v>0.11</v>
      </c>
      <c r="AF5400" s="6">
        <f t="shared" si="841"/>
        <v>0</v>
      </c>
      <c r="AG5400" s="14">
        <v>0</v>
      </c>
      <c r="AH5400" s="64">
        <f t="shared" si="850"/>
        <v>0</v>
      </c>
      <c r="AI5400" s="47"/>
      <c r="AJ5400" s="126" t="e">
        <v>#N/A</v>
      </c>
      <c r="AK5400" s="80">
        <f t="shared" si="853"/>
        <v>0</v>
      </c>
      <c r="AL5400" s="85"/>
      <c r="AM5400" s="85"/>
    </row>
    <row r="5401" spans="1:39" s="86" customFormat="1" ht="13.25" hidden="1" customHeight="1" x14ac:dyDescent="0.3">
      <c r="A5401" s="89" t="s">
        <v>3796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846"/>
        <v>36384.439999999995</v>
      </c>
      <c r="X5401" s="6">
        <f t="shared" si="847"/>
        <v>41095.55999999999</v>
      </c>
      <c r="Y5401" s="13">
        <f t="shared" si="851"/>
        <v>0</v>
      </c>
      <c r="Z5401" s="66">
        <v>0</v>
      </c>
      <c r="AA5401" s="6">
        <v>0</v>
      </c>
      <c r="AB5401" s="4">
        <f t="shared" si="852"/>
        <v>41095.55999999999</v>
      </c>
      <c r="AC5401" s="6">
        <f t="shared" si="848"/>
        <v>0</v>
      </c>
      <c r="AD5401" s="6">
        <f t="shared" si="849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841"/>
        <v>2876.6891999999998</v>
      </c>
      <c r="AG5401" s="14">
        <v>0</v>
      </c>
      <c r="AH5401" s="64">
        <f t="shared" si="850"/>
        <v>41095.55999999999</v>
      </c>
      <c r="AI5401" s="47"/>
      <c r="AJ5401" s="126" t="e">
        <v>#N/A</v>
      </c>
      <c r="AK5401" s="80">
        <f t="shared" si="853"/>
        <v>0</v>
      </c>
      <c r="AL5401" s="85"/>
      <c r="AM5401" s="85"/>
    </row>
    <row r="5402" spans="1:39" s="86" customFormat="1" ht="13.25" hidden="1" customHeight="1" x14ac:dyDescent="0.3">
      <c r="A5402" s="89" t="s">
        <v>3806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846"/>
        <v>47925.609999999957</v>
      </c>
      <c r="X5402" s="6">
        <f t="shared" si="847"/>
        <v>165786.52475247523</v>
      </c>
      <c r="Y5402" s="13">
        <f t="shared" si="851"/>
        <v>0</v>
      </c>
      <c r="Z5402" s="66">
        <v>0</v>
      </c>
      <c r="AA5402" s="6">
        <v>0</v>
      </c>
      <c r="AB5402" s="4">
        <f t="shared" si="852"/>
        <v>165786.52475247523</v>
      </c>
      <c r="AC5402" s="6">
        <f t="shared" si="848"/>
        <v>1657.8652475247509</v>
      </c>
      <c r="AD5402" s="6">
        <f t="shared" si="849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841"/>
        <v>11721.1073</v>
      </c>
      <c r="AG5402" s="14">
        <v>0</v>
      </c>
      <c r="AH5402" s="64">
        <f t="shared" si="850"/>
        <v>167444.38999999998</v>
      </c>
      <c r="AI5402" s="47"/>
      <c r="AJ5402" s="126" t="e">
        <v>#N/A</v>
      </c>
      <c r="AK5402" s="80">
        <f t="shared" si="853"/>
        <v>0</v>
      </c>
      <c r="AL5402" s="85"/>
      <c r="AM5402" s="85"/>
    </row>
    <row r="5403" spans="1:39" s="86" customFormat="1" ht="13.25" hidden="1" customHeight="1" x14ac:dyDescent="0.3">
      <c r="A5403" s="89" t="s">
        <v>3792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846"/>
        <v>0</v>
      </c>
      <c r="X5403" s="6">
        <f t="shared" si="847"/>
        <v>343190.6999999996</v>
      </c>
      <c r="Y5403" s="13">
        <f t="shared" si="851"/>
        <v>0</v>
      </c>
      <c r="Z5403" s="66">
        <v>0</v>
      </c>
      <c r="AA5403" s="6">
        <v>0</v>
      </c>
      <c r="AB5403" s="4">
        <f t="shared" si="852"/>
        <v>343190.6999999996</v>
      </c>
      <c r="AC5403" s="6">
        <f t="shared" si="848"/>
        <v>0</v>
      </c>
      <c r="AD5403" s="6">
        <f t="shared" si="849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841"/>
        <v>24023.348999999973</v>
      </c>
      <c r="AG5403" s="14">
        <v>0</v>
      </c>
      <c r="AH5403" s="64">
        <f t="shared" si="850"/>
        <v>343190.6999999996</v>
      </c>
      <c r="AI5403" s="47"/>
      <c r="AJ5403" s="126" t="e">
        <v>#N/A</v>
      </c>
      <c r="AK5403" s="80">
        <f t="shared" si="853"/>
        <v>0</v>
      </c>
      <c r="AL5403" s="85"/>
      <c r="AM5403" s="85"/>
    </row>
    <row r="5404" spans="1:39" s="86" customFormat="1" ht="13.25" hidden="1" customHeight="1" x14ac:dyDescent="0.3">
      <c r="A5404" s="89" t="s">
        <v>3794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3807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846"/>
        <v>215348.57999999949</v>
      </c>
      <c r="X5404" s="6">
        <f t="shared" si="847"/>
        <v>884651.42000000051</v>
      </c>
      <c r="Y5404" s="13">
        <f t="shared" si="851"/>
        <v>0</v>
      </c>
      <c r="Z5404" s="66">
        <v>0</v>
      </c>
      <c r="AA5404" s="6">
        <v>0</v>
      </c>
      <c r="AB5404" s="4">
        <f t="shared" si="852"/>
        <v>884651.42000000051</v>
      </c>
      <c r="AC5404" s="6">
        <f t="shared" si="848"/>
        <v>0</v>
      </c>
      <c r="AD5404" s="6">
        <f t="shared" si="849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841"/>
        <v>61925.599400000043</v>
      </c>
      <c r="AG5404" s="14">
        <v>0</v>
      </c>
      <c r="AH5404" s="64">
        <f t="shared" si="850"/>
        <v>884651.42000000051</v>
      </c>
      <c r="AI5404" s="47"/>
      <c r="AJ5404" s="126" t="e">
        <v>#N/A</v>
      </c>
      <c r="AK5404" s="80">
        <f t="shared" si="853"/>
        <v>0</v>
      </c>
      <c r="AL5404" s="85"/>
      <c r="AM5404" s="85"/>
    </row>
    <row r="5405" spans="1:39" s="86" customFormat="1" ht="13.25" hidden="1" customHeight="1" x14ac:dyDescent="0.3">
      <c r="A5405" s="89" t="s">
        <v>3792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3808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846"/>
        <v>189544.15</v>
      </c>
      <c r="X5405" s="6">
        <f t="shared" si="847"/>
        <v>162438.28712871289</v>
      </c>
      <c r="Y5405" s="13">
        <f t="shared" si="851"/>
        <v>0</v>
      </c>
      <c r="Z5405" s="66">
        <v>0</v>
      </c>
      <c r="AA5405" s="6">
        <v>0</v>
      </c>
      <c r="AB5405" s="4">
        <f t="shared" si="852"/>
        <v>162438.28712871289</v>
      </c>
      <c r="AC5405" s="6">
        <f t="shared" si="848"/>
        <v>1624.3828712871182</v>
      </c>
      <c r="AD5405" s="6">
        <f t="shared" si="849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841"/>
        <v>11484.386900000001</v>
      </c>
      <c r="AG5405" s="14">
        <v>0</v>
      </c>
      <c r="AH5405" s="64">
        <f t="shared" si="850"/>
        <v>164062.67000000001</v>
      </c>
      <c r="AI5405" s="47"/>
      <c r="AJ5405" s="126" t="e">
        <v>#N/A</v>
      </c>
      <c r="AK5405" s="80">
        <f t="shared" si="853"/>
        <v>0</v>
      </c>
      <c r="AL5405" s="85"/>
      <c r="AM5405" s="85"/>
    </row>
    <row r="5406" spans="1:39" s="86" customFormat="1" ht="13.25" hidden="1" customHeight="1" x14ac:dyDescent="0.3">
      <c r="A5406" s="89" t="s">
        <v>3794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846"/>
        <v>5361.7599999999984</v>
      </c>
      <c r="X5406" s="6">
        <f t="shared" si="847"/>
        <v>29530.960000000003</v>
      </c>
      <c r="Y5406" s="13">
        <f t="shared" si="851"/>
        <v>0</v>
      </c>
      <c r="Z5406" s="66">
        <v>0</v>
      </c>
      <c r="AA5406" s="6">
        <v>0</v>
      </c>
      <c r="AB5406" s="4">
        <f t="shared" si="852"/>
        <v>29530.960000000003</v>
      </c>
      <c r="AC5406" s="6">
        <f t="shared" si="848"/>
        <v>0</v>
      </c>
      <c r="AD5406" s="6">
        <f t="shared" si="849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841"/>
        <v>2067.1672000000003</v>
      </c>
      <c r="AG5406" s="14">
        <v>0</v>
      </c>
      <c r="AH5406" s="64">
        <f t="shared" si="850"/>
        <v>29530.960000000003</v>
      </c>
      <c r="AI5406" s="47"/>
      <c r="AJ5406" s="126" t="e">
        <v>#N/A</v>
      </c>
      <c r="AK5406" s="80">
        <f t="shared" si="853"/>
        <v>0</v>
      </c>
      <c r="AL5406" s="85"/>
      <c r="AM5406" s="85"/>
    </row>
    <row r="5407" spans="1:39" s="86" customFormat="1" ht="13.25" hidden="1" customHeight="1" x14ac:dyDescent="0.3">
      <c r="A5407" s="89" t="s">
        <v>3792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3809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846"/>
        <v>135467.01999999993</v>
      </c>
      <c r="X5407" s="6">
        <f t="shared" si="847"/>
        <v>253572.29</v>
      </c>
      <c r="Y5407" s="13">
        <f t="shared" si="851"/>
        <v>0</v>
      </c>
      <c r="Z5407" s="66">
        <v>0</v>
      </c>
      <c r="AA5407" s="6">
        <v>0</v>
      </c>
      <c r="AB5407" s="4">
        <f t="shared" si="852"/>
        <v>253572.29</v>
      </c>
      <c r="AC5407" s="6">
        <f t="shared" si="848"/>
        <v>0</v>
      </c>
      <c r="AD5407" s="6">
        <f t="shared" si="849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841"/>
        <v>17750.060300000001</v>
      </c>
      <c r="AG5407" s="14">
        <v>0</v>
      </c>
      <c r="AH5407" s="64">
        <f t="shared" si="850"/>
        <v>253572.29</v>
      </c>
      <c r="AI5407" s="47"/>
      <c r="AJ5407" s="126" t="e">
        <v>#N/A</v>
      </c>
      <c r="AK5407" s="80">
        <f t="shared" si="853"/>
        <v>0</v>
      </c>
      <c r="AL5407" s="85"/>
      <c r="AM5407" s="85"/>
    </row>
    <row r="5408" spans="1:39" s="86" customFormat="1" ht="13.25" hidden="1" customHeight="1" x14ac:dyDescent="0.3">
      <c r="A5408" s="89" t="s">
        <v>3805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846"/>
        <v>56847.150000000009</v>
      </c>
      <c r="X5408" s="6">
        <f t="shared" si="847"/>
        <v>92081.14999999998</v>
      </c>
      <c r="Y5408" s="13">
        <f t="shared" si="851"/>
        <v>0</v>
      </c>
      <c r="Z5408" s="66">
        <v>0</v>
      </c>
      <c r="AA5408" s="6">
        <v>0</v>
      </c>
      <c r="AB5408" s="4">
        <f t="shared" si="852"/>
        <v>92081.14999999998</v>
      </c>
      <c r="AC5408" s="6">
        <f t="shared" si="848"/>
        <v>0</v>
      </c>
      <c r="AD5408" s="6">
        <f t="shared" si="849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841"/>
        <v>6445.6804999999995</v>
      </c>
      <c r="AG5408" s="14">
        <v>0</v>
      </c>
      <c r="AH5408" s="64">
        <f t="shared" si="850"/>
        <v>92081.14999999998</v>
      </c>
      <c r="AI5408" s="47"/>
      <c r="AJ5408" s="126" t="e">
        <v>#N/A</v>
      </c>
      <c r="AK5408" s="80">
        <f t="shared" si="853"/>
        <v>0</v>
      </c>
      <c r="AL5408" s="85"/>
      <c r="AM5408" s="85"/>
    </row>
    <row r="5409" spans="1:39" s="86" customFormat="1" ht="13.25" hidden="1" customHeight="1" x14ac:dyDescent="0.3">
      <c r="A5409" s="89" t="s">
        <v>3792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846"/>
        <v>47749.580000000016</v>
      </c>
      <c r="X5409" s="6">
        <f t="shared" si="847"/>
        <v>231760.43</v>
      </c>
      <c r="Y5409" s="13">
        <f t="shared" si="851"/>
        <v>0</v>
      </c>
      <c r="Z5409" s="66">
        <v>0</v>
      </c>
      <c r="AA5409" s="6">
        <v>0</v>
      </c>
      <c r="AB5409" s="4">
        <f t="shared" si="852"/>
        <v>231760.43</v>
      </c>
      <c r="AC5409" s="6">
        <f t="shared" si="848"/>
        <v>0</v>
      </c>
      <c r="AD5409" s="6">
        <f t="shared" si="849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841"/>
        <v>16223.230100000001</v>
      </c>
      <c r="AG5409" s="14">
        <v>0</v>
      </c>
      <c r="AH5409" s="64">
        <f t="shared" si="850"/>
        <v>231760.43</v>
      </c>
      <c r="AI5409" s="47"/>
      <c r="AJ5409" s="126" t="e">
        <v>#N/A</v>
      </c>
      <c r="AK5409" s="80">
        <f t="shared" si="853"/>
        <v>0</v>
      </c>
      <c r="AL5409" s="85"/>
      <c r="AM5409" s="85"/>
    </row>
    <row r="5410" spans="1:39" s="86" customFormat="1" ht="13.25" hidden="1" customHeight="1" x14ac:dyDescent="0.3">
      <c r="A5410" s="89" t="s">
        <v>3796</v>
      </c>
      <c r="B5410" s="86" t="s">
        <v>35</v>
      </c>
      <c r="C5410" s="86" t="s">
        <v>65</v>
      </c>
      <c r="D5410" s="86" t="s">
        <v>122</v>
      </c>
      <c r="E5410" s="86" t="s">
        <v>3810</v>
      </c>
      <c r="F5410" s="86" t="s">
        <v>3810</v>
      </c>
      <c r="G5410" s="86" t="s">
        <v>3810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3811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846"/>
        <v>2990</v>
      </c>
      <c r="X5410" s="6">
        <f t="shared" si="847"/>
        <v>1970.5882352941176</v>
      </c>
      <c r="Y5410" s="13">
        <f t="shared" si="851"/>
        <v>0</v>
      </c>
      <c r="Z5410" s="66">
        <v>0</v>
      </c>
      <c r="AA5410" s="6">
        <v>0</v>
      </c>
      <c r="AB5410" s="4">
        <f t="shared" si="852"/>
        <v>1970.5882352941176</v>
      </c>
      <c r="AC5410" s="6">
        <f t="shared" si="848"/>
        <v>39.411764705882433</v>
      </c>
      <c r="AD5410" s="6">
        <f t="shared" si="849"/>
        <v>2010</v>
      </c>
      <c r="AE5410" s="14">
        <f>VLOOKUP(I5410,[2]媒体政策预估表!A:N,MATCH(O5410,[2]媒体政策预估表!$A$2:$M$2,0),0)</f>
        <v>7.0000000000000007E-2</v>
      </c>
      <c r="AF5410" s="6">
        <f t="shared" si="841"/>
        <v>140.70000000000002</v>
      </c>
      <c r="AG5410" s="14">
        <v>0</v>
      </c>
      <c r="AH5410" s="64">
        <f t="shared" si="850"/>
        <v>2010</v>
      </c>
      <c r="AI5410" s="47"/>
      <c r="AJ5410" s="126" t="e">
        <v>#N/A</v>
      </c>
      <c r="AK5410" s="80">
        <f t="shared" si="853"/>
        <v>0</v>
      </c>
      <c r="AL5410" s="85"/>
      <c r="AM5410" s="85"/>
    </row>
    <row r="5411" spans="1:39" s="86" customFormat="1" ht="13.25" hidden="1" customHeight="1" x14ac:dyDescent="0.3">
      <c r="A5411" s="89" t="s">
        <v>3792</v>
      </c>
      <c r="B5411" s="86" t="s">
        <v>35</v>
      </c>
      <c r="C5411" s="86" t="s">
        <v>65</v>
      </c>
      <c r="D5411" s="86" t="s">
        <v>122</v>
      </c>
      <c r="E5411" s="86" t="s">
        <v>3812</v>
      </c>
      <c r="F5411" s="86" t="s">
        <v>3812</v>
      </c>
      <c r="G5411" s="86" t="s">
        <v>3812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3813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846"/>
        <v>2546.46</v>
      </c>
      <c r="X5411" s="6">
        <f t="shared" si="847"/>
        <v>7307.3921568627447</v>
      </c>
      <c r="Y5411" s="13">
        <f t="shared" si="851"/>
        <v>0</v>
      </c>
      <c r="Z5411" s="66">
        <v>0</v>
      </c>
      <c r="AA5411" s="6">
        <v>0</v>
      </c>
      <c r="AB5411" s="4">
        <f t="shared" si="852"/>
        <v>7307.3921568627447</v>
      </c>
      <c r="AC5411" s="6">
        <f t="shared" si="848"/>
        <v>146.14784313725522</v>
      </c>
      <c r="AD5411" s="6">
        <f t="shared" si="849"/>
        <v>7453.54</v>
      </c>
      <c r="AE5411" s="14">
        <f>VLOOKUP(I5411,[2]媒体政策预估表!A:N,MATCH(O5411,[2]媒体政策预估表!$A$2:$M$2,0),0)</f>
        <v>7.0000000000000007E-2</v>
      </c>
      <c r="AF5411" s="6">
        <f t="shared" si="841"/>
        <v>521.7478000000001</v>
      </c>
      <c r="AG5411" s="14">
        <v>0</v>
      </c>
      <c r="AH5411" s="64">
        <f t="shared" si="850"/>
        <v>7453.54</v>
      </c>
      <c r="AI5411" s="47"/>
      <c r="AJ5411" s="126" t="e">
        <v>#N/A</v>
      </c>
      <c r="AK5411" s="80">
        <f t="shared" si="853"/>
        <v>0</v>
      </c>
      <c r="AL5411" s="85"/>
      <c r="AM5411" s="85"/>
    </row>
    <row r="5412" spans="1:39" s="86" customFormat="1" ht="13.25" hidden="1" customHeight="1" x14ac:dyDescent="0.3">
      <c r="A5412" s="89" t="s">
        <v>3794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846"/>
        <v>0</v>
      </c>
      <c r="X5412" s="6">
        <f t="shared" si="847"/>
        <v>0</v>
      </c>
      <c r="Y5412" s="13">
        <f t="shared" si="851"/>
        <v>0</v>
      </c>
      <c r="Z5412" s="66">
        <v>0</v>
      </c>
      <c r="AA5412" s="6">
        <v>0</v>
      </c>
      <c r="AB5412" s="4">
        <f t="shared" si="852"/>
        <v>0</v>
      </c>
      <c r="AC5412" s="6">
        <f t="shared" si="848"/>
        <v>0</v>
      </c>
      <c r="AD5412" s="6">
        <f t="shared" si="849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854">AD5412*AE5412</f>
        <v>0</v>
      </c>
      <c r="AG5412" s="14">
        <v>0</v>
      </c>
      <c r="AH5412" s="64">
        <f t="shared" si="850"/>
        <v>0</v>
      </c>
      <c r="AI5412" s="47"/>
      <c r="AJ5412" s="126" t="e">
        <v>#N/A</v>
      </c>
      <c r="AK5412" s="80">
        <f t="shared" si="853"/>
        <v>0</v>
      </c>
      <c r="AL5412" s="85"/>
      <c r="AM5412" s="85"/>
    </row>
    <row r="5413" spans="1:39" s="86" customFormat="1" ht="13.25" hidden="1" customHeight="1" x14ac:dyDescent="0.3">
      <c r="A5413" s="89" t="s">
        <v>3794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846"/>
        <v>23572.419999999984</v>
      </c>
      <c r="X5413" s="6">
        <f t="shared" si="847"/>
        <v>31111.881188118819</v>
      </c>
      <c r="Y5413" s="13">
        <f t="shared" si="851"/>
        <v>0</v>
      </c>
      <c r="Z5413" s="66">
        <v>0</v>
      </c>
      <c r="AA5413" s="6">
        <v>0</v>
      </c>
      <c r="AB5413" s="4">
        <v>31111.881188118819</v>
      </c>
      <c r="AC5413" s="6">
        <f t="shared" si="848"/>
        <v>311.11881188118787</v>
      </c>
      <c r="AD5413" s="6">
        <f t="shared" si="849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854"/>
        <v>2199.6100000000006</v>
      </c>
      <c r="AG5413" s="14">
        <v>0</v>
      </c>
      <c r="AH5413" s="64">
        <f t="shared" si="850"/>
        <v>31423.000000000007</v>
      </c>
      <c r="AI5413" s="47"/>
      <c r="AJ5413" s="126" t="s">
        <v>4216</v>
      </c>
      <c r="AK5413" s="80">
        <f t="shared" si="853"/>
        <v>0</v>
      </c>
      <c r="AL5413" s="85"/>
      <c r="AM5413" s="85"/>
    </row>
    <row r="5414" spans="1:39" s="86" customFormat="1" ht="13.25" hidden="1" customHeight="1" x14ac:dyDescent="0.3">
      <c r="A5414" s="89" t="s">
        <v>3794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846"/>
        <v>17090.01999999999</v>
      </c>
      <c r="X5414" s="6">
        <f t="shared" si="847"/>
        <v>43998.705882352951</v>
      </c>
      <c r="Y5414" s="13">
        <f t="shared" si="851"/>
        <v>0</v>
      </c>
      <c r="Z5414" s="66">
        <v>0</v>
      </c>
      <c r="AA5414" s="6">
        <v>0</v>
      </c>
      <c r="AB5414" s="4">
        <f t="shared" si="852"/>
        <v>43998.705882352951</v>
      </c>
      <c r="AC5414" s="6">
        <f t="shared" si="848"/>
        <v>879.97411764705612</v>
      </c>
      <c r="AD5414" s="6">
        <f t="shared" si="849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854"/>
        <v>3141.5076000000008</v>
      </c>
      <c r="AG5414" s="14">
        <v>0</v>
      </c>
      <c r="AH5414" s="64">
        <f t="shared" si="850"/>
        <v>44878.680000000008</v>
      </c>
      <c r="AI5414" s="47"/>
      <c r="AJ5414" s="126" t="e">
        <v>#N/A</v>
      </c>
      <c r="AK5414" s="80">
        <f t="shared" si="853"/>
        <v>0</v>
      </c>
      <c r="AL5414" s="85"/>
      <c r="AM5414" s="85"/>
    </row>
    <row r="5415" spans="1:39" s="86" customFormat="1" ht="13.25" hidden="1" customHeight="1" x14ac:dyDescent="0.3">
      <c r="A5415" s="89" t="s">
        <v>3794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846"/>
        <v>14776</v>
      </c>
      <c r="X5415" s="6">
        <f t="shared" si="847"/>
        <v>57905.288461538461</v>
      </c>
      <c r="Y5415" s="13">
        <f t="shared" si="851"/>
        <v>0</v>
      </c>
      <c r="Z5415" s="66">
        <v>0</v>
      </c>
      <c r="AA5415" s="6">
        <v>0</v>
      </c>
      <c r="AB5415" s="4">
        <f t="shared" si="852"/>
        <v>57905.288461538461</v>
      </c>
      <c r="AC5415" s="6">
        <f t="shared" si="848"/>
        <v>2316.211538461539</v>
      </c>
      <c r="AD5415" s="6">
        <f t="shared" si="849"/>
        <v>60221.5</v>
      </c>
      <c r="AE5415" s="14">
        <f>VLOOKUP(I5415,[2]媒体政策预估表!A:N,MATCH(O5415,[2]媒体政策预估表!$A$2:$M$2,0),0)</f>
        <v>7.0000000000000007E-2</v>
      </c>
      <c r="AF5415" s="6">
        <f t="shared" si="854"/>
        <v>4215.5050000000001</v>
      </c>
      <c r="AG5415" s="14">
        <v>0</v>
      </c>
      <c r="AH5415" s="64">
        <f t="shared" si="850"/>
        <v>60221.5</v>
      </c>
      <c r="AI5415" s="47"/>
      <c r="AJ5415" s="126" t="e">
        <v>#N/A</v>
      </c>
      <c r="AK5415" s="80">
        <f t="shared" si="853"/>
        <v>0</v>
      </c>
      <c r="AL5415" s="85"/>
      <c r="AM5415" s="85"/>
    </row>
    <row r="5416" spans="1:39" s="86" customFormat="1" ht="13.25" hidden="1" customHeight="1" x14ac:dyDescent="0.3">
      <c r="A5416" s="89" t="s">
        <v>3794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846"/>
        <v>21903.87</v>
      </c>
      <c r="X5416" s="6">
        <f t="shared" si="847"/>
        <v>21150.05</v>
      </c>
      <c r="Y5416" s="13">
        <f t="shared" si="851"/>
        <v>0</v>
      </c>
      <c r="Z5416" s="66">
        <v>0</v>
      </c>
      <c r="AA5416" s="6">
        <v>0</v>
      </c>
      <c r="AB5416" s="4">
        <f t="shared" si="852"/>
        <v>21150.05</v>
      </c>
      <c r="AC5416" s="6">
        <f t="shared" si="848"/>
        <v>0</v>
      </c>
      <c r="AD5416" s="6">
        <f t="shared" si="849"/>
        <v>21150.05</v>
      </c>
      <c r="AE5416" s="14">
        <f>VLOOKUP(I5416,[2]媒体政策预估表!A:N,MATCH(O5416,[2]媒体政策预估表!$A$2:$M$2,0),0)</f>
        <v>7.0000000000000007E-2</v>
      </c>
      <c r="AF5416" s="6">
        <f t="shared" si="854"/>
        <v>1480.5035</v>
      </c>
      <c r="AG5416" s="14">
        <v>0</v>
      </c>
      <c r="AH5416" s="64">
        <f t="shared" si="850"/>
        <v>21150.05</v>
      </c>
      <c r="AI5416" s="47"/>
      <c r="AJ5416" s="126" t="e">
        <v>#N/A</v>
      </c>
      <c r="AK5416" s="80">
        <f t="shared" si="853"/>
        <v>0</v>
      </c>
      <c r="AL5416" s="85"/>
      <c r="AM5416" s="85"/>
    </row>
    <row r="5417" spans="1:39" s="86" customFormat="1" ht="13.25" hidden="1" customHeight="1" x14ac:dyDescent="0.3">
      <c r="A5417" s="89" t="s">
        <v>3805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846"/>
        <v>10821.5</v>
      </c>
      <c r="X5417" s="6">
        <f t="shared" si="847"/>
        <v>13163.725490196079</v>
      </c>
      <c r="Y5417" s="13">
        <f t="shared" si="851"/>
        <v>0</v>
      </c>
      <c r="Z5417" s="66">
        <v>0</v>
      </c>
      <c r="AA5417" s="6">
        <v>0</v>
      </c>
      <c r="AB5417" s="4">
        <f t="shared" si="852"/>
        <v>13163.725490196079</v>
      </c>
      <c r="AC5417" s="6">
        <f t="shared" si="848"/>
        <v>263.27450980392132</v>
      </c>
      <c r="AD5417" s="6">
        <f t="shared" si="849"/>
        <v>13427</v>
      </c>
      <c r="AE5417" s="14">
        <f>VLOOKUP(I5417,[2]媒体政策预估表!A:N,MATCH(O5417,[2]媒体政策预估表!$A$2:$M$2,0),0)</f>
        <v>7.0000000000000007E-2</v>
      </c>
      <c r="AF5417" s="6">
        <f t="shared" si="854"/>
        <v>939.8900000000001</v>
      </c>
      <c r="AG5417" s="14">
        <v>0</v>
      </c>
      <c r="AH5417" s="64">
        <f t="shared" si="850"/>
        <v>13427</v>
      </c>
      <c r="AI5417" s="47"/>
      <c r="AJ5417" s="126" t="e">
        <v>#N/A</v>
      </c>
      <c r="AK5417" s="80">
        <f t="shared" si="853"/>
        <v>0</v>
      </c>
      <c r="AL5417" s="85"/>
      <c r="AM5417" s="85"/>
    </row>
    <row r="5418" spans="1:39" s="86" customFormat="1" ht="13.25" hidden="1" customHeight="1" x14ac:dyDescent="0.3">
      <c r="A5418" s="89" t="s">
        <v>3805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846"/>
        <v>166742.46999999997</v>
      </c>
      <c r="X5418" s="6">
        <f t="shared" si="847"/>
        <v>405179.84313725482</v>
      </c>
      <c r="Y5418" s="13">
        <f t="shared" si="851"/>
        <v>0</v>
      </c>
      <c r="Z5418" s="66">
        <v>0</v>
      </c>
      <c r="AA5418" s="6">
        <v>0</v>
      </c>
      <c r="AB5418" s="4">
        <f t="shared" si="852"/>
        <v>405179.84313725482</v>
      </c>
      <c r="AC5418" s="6">
        <f t="shared" si="848"/>
        <v>8103.5968627451221</v>
      </c>
      <c r="AD5418" s="6">
        <f t="shared" si="849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854"/>
        <v>28929.840799999998</v>
      </c>
      <c r="AG5418" s="14">
        <v>0</v>
      </c>
      <c r="AH5418" s="64">
        <f t="shared" si="850"/>
        <v>413283.43999999994</v>
      </c>
      <c r="AI5418" s="47"/>
      <c r="AJ5418" s="126" t="e">
        <v>#N/A</v>
      </c>
      <c r="AK5418" s="80">
        <f t="shared" si="853"/>
        <v>0</v>
      </c>
      <c r="AL5418" s="85"/>
      <c r="AM5418" s="85"/>
    </row>
    <row r="5419" spans="1:39" s="86" customFormat="1" ht="13.25" hidden="1" customHeight="1" x14ac:dyDescent="0.3">
      <c r="A5419" s="89" t="s">
        <v>3794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846"/>
        <v>5710.2799999999988</v>
      </c>
      <c r="X5419" s="6">
        <f t="shared" si="847"/>
        <v>58529.979999999996</v>
      </c>
      <c r="Y5419" s="13">
        <f t="shared" si="851"/>
        <v>0</v>
      </c>
      <c r="Z5419" s="66">
        <v>0</v>
      </c>
      <c r="AA5419" s="6">
        <v>0</v>
      </c>
      <c r="AB5419" s="4">
        <f t="shared" si="852"/>
        <v>58529.979999999996</v>
      </c>
      <c r="AC5419" s="6">
        <f t="shared" si="848"/>
        <v>0</v>
      </c>
      <c r="AD5419" s="6">
        <f t="shared" si="849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854"/>
        <v>4097.0986000000003</v>
      </c>
      <c r="AG5419" s="14">
        <v>0</v>
      </c>
      <c r="AH5419" s="64">
        <f t="shared" si="850"/>
        <v>58529.979999999996</v>
      </c>
      <c r="AI5419" s="47"/>
      <c r="AJ5419" s="126" t="e">
        <v>#N/A</v>
      </c>
      <c r="AK5419" s="80">
        <f t="shared" si="853"/>
        <v>0</v>
      </c>
      <c r="AL5419" s="85"/>
      <c r="AM5419" s="85"/>
    </row>
    <row r="5420" spans="1:39" s="86" customFormat="1" ht="13.25" hidden="1" customHeight="1" x14ac:dyDescent="0.3">
      <c r="A5420" s="89" t="s">
        <v>3794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846"/>
        <v>5992.4399999999987</v>
      </c>
      <c r="X5420" s="6">
        <f t="shared" si="847"/>
        <v>22069.07</v>
      </c>
      <c r="Y5420" s="13">
        <f t="shared" si="851"/>
        <v>0</v>
      </c>
      <c r="Z5420" s="66">
        <v>0</v>
      </c>
      <c r="AA5420" s="6">
        <v>0</v>
      </c>
      <c r="AB5420" s="4">
        <f t="shared" si="852"/>
        <v>22069.07</v>
      </c>
      <c r="AC5420" s="6">
        <f t="shared" si="848"/>
        <v>0</v>
      </c>
      <c r="AD5420" s="6">
        <f t="shared" si="849"/>
        <v>22069.07</v>
      </c>
      <c r="AE5420" s="14">
        <f>VLOOKUP(I5420,[2]媒体政策预估表!A:N,MATCH(O5420,[2]媒体政策预估表!$A$2:$M$2,0),0)</f>
        <v>7.0000000000000007E-2</v>
      </c>
      <c r="AF5420" s="6">
        <f t="shared" si="854"/>
        <v>1544.8349000000001</v>
      </c>
      <c r="AG5420" s="14">
        <v>0</v>
      </c>
      <c r="AH5420" s="64">
        <f t="shared" si="850"/>
        <v>22069.07</v>
      </c>
      <c r="AI5420" s="47"/>
      <c r="AJ5420" s="126" t="e">
        <v>#N/A</v>
      </c>
      <c r="AK5420" s="80">
        <f t="shared" si="853"/>
        <v>0</v>
      </c>
      <c r="AL5420" s="85"/>
      <c r="AM5420" s="85"/>
    </row>
    <row r="5421" spans="1:39" s="86" customFormat="1" ht="13.25" hidden="1" customHeight="1" x14ac:dyDescent="0.3">
      <c r="A5421" s="89" t="s">
        <v>3792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846"/>
        <v>217168.97999999986</v>
      </c>
      <c r="X5421" s="6">
        <f t="shared" si="847"/>
        <v>558359.15686274518</v>
      </c>
      <c r="Y5421" s="13">
        <f t="shared" si="851"/>
        <v>0</v>
      </c>
      <c r="Z5421" s="66">
        <v>0</v>
      </c>
      <c r="AA5421" s="6">
        <v>0</v>
      </c>
      <c r="AB5421" s="4">
        <f t="shared" si="852"/>
        <v>558359.15686274518</v>
      </c>
      <c r="AC5421" s="6">
        <f t="shared" si="848"/>
        <v>11167.183137254906</v>
      </c>
      <c r="AD5421" s="6">
        <f t="shared" si="849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854"/>
        <v>39866.84380000001</v>
      </c>
      <c r="AG5421" s="14">
        <v>0</v>
      </c>
      <c r="AH5421" s="64">
        <f t="shared" si="850"/>
        <v>569526.34000000008</v>
      </c>
      <c r="AI5421" s="47"/>
      <c r="AJ5421" s="126" t="e">
        <v>#N/A</v>
      </c>
      <c r="AK5421" s="80">
        <f t="shared" si="853"/>
        <v>0</v>
      </c>
      <c r="AL5421" s="85"/>
      <c r="AM5421" s="85"/>
    </row>
    <row r="5422" spans="1:39" s="86" customFormat="1" ht="13.25" hidden="1" customHeight="1" x14ac:dyDescent="0.3">
      <c r="A5422" s="89" t="s">
        <v>3794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846"/>
        <v>8367.349999999984</v>
      </c>
      <c r="X5422" s="6">
        <f t="shared" si="847"/>
        <v>16519.540000000005</v>
      </c>
      <c r="Y5422" s="13">
        <f t="shared" si="851"/>
        <v>0</v>
      </c>
      <c r="Z5422" s="66">
        <v>0</v>
      </c>
      <c r="AA5422" s="6">
        <v>0</v>
      </c>
      <c r="AB5422" s="4">
        <f t="shared" si="852"/>
        <v>16519.540000000005</v>
      </c>
      <c r="AC5422" s="6">
        <f t="shared" si="848"/>
        <v>0</v>
      </c>
      <c r="AD5422" s="6">
        <f t="shared" si="849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854"/>
        <v>1156.3678000000004</v>
      </c>
      <c r="AG5422" s="14">
        <v>0</v>
      </c>
      <c r="AH5422" s="64">
        <f t="shared" si="850"/>
        <v>16519.540000000005</v>
      </c>
      <c r="AI5422" s="47"/>
      <c r="AJ5422" s="126" t="e">
        <v>#N/A</v>
      </c>
      <c r="AK5422" s="80">
        <f t="shared" si="853"/>
        <v>0</v>
      </c>
      <c r="AL5422" s="85"/>
      <c r="AM5422" s="85"/>
    </row>
    <row r="5423" spans="1:39" s="86" customFormat="1" ht="13.25" hidden="1" customHeight="1" x14ac:dyDescent="0.3">
      <c r="A5423" s="89" t="s">
        <v>3796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846"/>
        <v>12314.800000000003</v>
      </c>
      <c r="X5423" s="6">
        <f t="shared" si="847"/>
        <v>25612.5</v>
      </c>
      <c r="Y5423" s="13">
        <f t="shared" si="851"/>
        <v>0</v>
      </c>
      <c r="Z5423" s="66">
        <v>0</v>
      </c>
      <c r="AA5423" s="6">
        <v>0</v>
      </c>
      <c r="AB5423" s="4">
        <f t="shared" si="852"/>
        <v>25612.5</v>
      </c>
      <c r="AC5423" s="6">
        <f t="shared" si="848"/>
        <v>0</v>
      </c>
      <c r="AD5423" s="6">
        <f t="shared" si="849"/>
        <v>25612.5</v>
      </c>
      <c r="AE5423" s="14">
        <f>VLOOKUP(I5423,[2]媒体政策预估表!A:N,MATCH(O5423,[2]媒体政策预估表!$A$2:$M$2,0),0)</f>
        <v>7.0000000000000007E-2</v>
      </c>
      <c r="AF5423" s="6">
        <f t="shared" si="854"/>
        <v>1792.8750000000002</v>
      </c>
      <c r="AG5423" s="14">
        <v>0</v>
      </c>
      <c r="AH5423" s="64">
        <f t="shared" si="850"/>
        <v>25612.5</v>
      </c>
      <c r="AI5423" s="47"/>
      <c r="AJ5423" s="126" t="e">
        <v>#N/A</v>
      </c>
      <c r="AK5423" s="80">
        <f t="shared" si="853"/>
        <v>0</v>
      </c>
      <c r="AL5423" s="85"/>
      <c r="AM5423" s="85"/>
    </row>
    <row r="5424" spans="1:39" s="86" customFormat="1" ht="13.25" hidden="1" customHeight="1" x14ac:dyDescent="0.3">
      <c r="A5424" s="89" t="s">
        <v>3805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3814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3815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846"/>
        <v>8123.6</v>
      </c>
      <c r="X5424" s="6">
        <f t="shared" si="847"/>
        <v>1876.4</v>
      </c>
      <c r="Y5424" s="13">
        <f t="shared" si="851"/>
        <v>0</v>
      </c>
      <c r="Z5424" s="66">
        <v>0</v>
      </c>
      <c r="AA5424" s="6">
        <v>0</v>
      </c>
      <c r="AB5424" s="4">
        <f t="shared" si="852"/>
        <v>1876.4</v>
      </c>
      <c r="AC5424" s="6">
        <f t="shared" si="848"/>
        <v>0</v>
      </c>
      <c r="AD5424" s="6">
        <f t="shared" si="849"/>
        <v>1876.4</v>
      </c>
      <c r="AE5424" s="14">
        <f>VLOOKUP(I5424,[2]媒体政策预估表!A:N,MATCH(O5424,[2]媒体政策预估表!$A$2:$M$2,0),0)</f>
        <v>7.0000000000000007E-2</v>
      </c>
      <c r="AF5424" s="6">
        <f t="shared" si="854"/>
        <v>131.34800000000001</v>
      </c>
      <c r="AG5424" s="14">
        <v>0</v>
      </c>
      <c r="AH5424" s="64">
        <f t="shared" si="850"/>
        <v>1876.4</v>
      </c>
      <c r="AI5424" s="47"/>
      <c r="AJ5424" s="126" t="e">
        <v>#N/A</v>
      </c>
      <c r="AK5424" s="80">
        <f t="shared" si="853"/>
        <v>0</v>
      </c>
      <c r="AL5424" s="85"/>
      <c r="AM5424" s="85"/>
    </row>
    <row r="5425" spans="1:39" s="86" customFormat="1" ht="13.25" hidden="1" customHeight="1" x14ac:dyDescent="0.3">
      <c r="A5425" s="89" t="s">
        <v>3806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846"/>
        <v>37657.499999999985</v>
      </c>
      <c r="X5425" s="6">
        <f t="shared" si="847"/>
        <v>82898.186274509804</v>
      </c>
      <c r="Y5425" s="13">
        <f t="shared" si="851"/>
        <v>0</v>
      </c>
      <c r="Z5425" s="66">
        <v>0</v>
      </c>
      <c r="AA5425" s="6">
        <v>0</v>
      </c>
      <c r="AB5425" s="4">
        <f t="shared" si="852"/>
        <v>82898.186274509804</v>
      </c>
      <c r="AC5425" s="6">
        <f t="shared" si="848"/>
        <v>1657.9637254902045</v>
      </c>
      <c r="AD5425" s="6">
        <f t="shared" si="849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854"/>
        <v>5918.9305000000013</v>
      </c>
      <c r="AG5425" s="14">
        <v>0</v>
      </c>
      <c r="AH5425" s="64">
        <f t="shared" si="850"/>
        <v>84556.150000000009</v>
      </c>
      <c r="AI5425" s="47"/>
      <c r="AJ5425" s="126" t="e">
        <v>#N/A</v>
      </c>
      <c r="AK5425" s="80">
        <f t="shared" si="853"/>
        <v>0</v>
      </c>
      <c r="AL5425" s="85"/>
      <c r="AM5425" s="85"/>
    </row>
    <row r="5426" spans="1:39" s="86" customFormat="1" ht="13.25" hidden="1" customHeight="1" x14ac:dyDescent="0.3">
      <c r="A5426" s="89" t="s">
        <v>3806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846"/>
        <v>0</v>
      </c>
      <c r="X5426" s="6">
        <f t="shared" si="847"/>
        <v>21528.039215686273</v>
      </c>
      <c r="Y5426" s="13">
        <f t="shared" si="851"/>
        <v>0</v>
      </c>
      <c r="Z5426" s="66">
        <v>0</v>
      </c>
      <c r="AA5426" s="6">
        <v>0</v>
      </c>
      <c r="AB5426" s="4">
        <f t="shared" si="852"/>
        <v>21528.039215686273</v>
      </c>
      <c r="AC5426" s="6">
        <f t="shared" si="848"/>
        <v>430.56078431372589</v>
      </c>
      <c r="AD5426" s="6">
        <f t="shared" si="849"/>
        <v>21958.6</v>
      </c>
      <c r="AE5426" s="14">
        <f>VLOOKUP(I5426,[2]媒体政策预估表!A:N,MATCH(O5426,[2]媒体政策预估表!$A$2:$M$2,0),0)</f>
        <v>7.0000000000000007E-2</v>
      </c>
      <c r="AF5426" s="6">
        <f t="shared" si="854"/>
        <v>1537.1020000000001</v>
      </c>
      <c r="AG5426" s="14">
        <v>0</v>
      </c>
      <c r="AH5426" s="64">
        <f t="shared" si="850"/>
        <v>21958.6</v>
      </c>
      <c r="AI5426" s="47"/>
      <c r="AJ5426" s="126" t="s">
        <v>4219</v>
      </c>
      <c r="AK5426" s="80">
        <f t="shared" si="853"/>
        <v>0</v>
      </c>
      <c r="AL5426" s="150"/>
      <c r="AM5426" s="85"/>
    </row>
    <row r="5427" spans="1:39" s="86" customFormat="1" ht="13.25" hidden="1" customHeight="1" x14ac:dyDescent="0.3">
      <c r="A5427" s="89" t="s">
        <v>3792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846"/>
        <v>9393.6299999999974</v>
      </c>
      <c r="X5427" s="6">
        <f t="shared" si="847"/>
        <v>606.37000000000262</v>
      </c>
      <c r="Y5427" s="13">
        <f t="shared" si="851"/>
        <v>0</v>
      </c>
      <c r="Z5427" s="66">
        <v>0</v>
      </c>
      <c r="AA5427" s="6">
        <v>0</v>
      </c>
      <c r="AB5427" s="4">
        <f t="shared" si="852"/>
        <v>606.37000000000262</v>
      </c>
      <c r="AC5427" s="6">
        <f t="shared" si="848"/>
        <v>0</v>
      </c>
      <c r="AD5427" s="6">
        <f t="shared" si="849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854"/>
        <v>42.445900000000186</v>
      </c>
      <c r="AG5427" s="14">
        <v>0</v>
      </c>
      <c r="AH5427" s="64">
        <f t="shared" si="850"/>
        <v>606.37000000000262</v>
      </c>
      <c r="AI5427" s="47"/>
      <c r="AJ5427" s="126" t="s">
        <v>4219</v>
      </c>
      <c r="AK5427" s="80">
        <f t="shared" si="853"/>
        <v>0</v>
      </c>
      <c r="AL5427" s="150"/>
      <c r="AM5427" s="85"/>
    </row>
    <row r="5428" spans="1:39" s="86" customFormat="1" ht="13.25" hidden="1" customHeight="1" x14ac:dyDescent="0.3">
      <c r="A5428" s="89" t="s">
        <v>3794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3816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846"/>
        <v>0</v>
      </c>
      <c r="X5428" s="6">
        <f t="shared" si="847"/>
        <v>480.76923076923077</v>
      </c>
      <c r="Y5428" s="13">
        <f t="shared" si="851"/>
        <v>0</v>
      </c>
      <c r="Z5428" s="66">
        <v>0</v>
      </c>
      <c r="AA5428" s="6">
        <v>0</v>
      </c>
      <c r="AB5428" s="4">
        <f t="shared" si="852"/>
        <v>480.76923076923077</v>
      </c>
      <c r="AC5428" s="6">
        <f t="shared" si="848"/>
        <v>19.230769230769226</v>
      </c>
      <c r="AD5428" s="6">
        <f t="shared" si="849"/>
        <v>500</v>
      </c>
      <c r="AE5428" s="14">
        <f>VLOOKUP(I5428,[2]媒体政策预估表!A:N,MATCH(O5428,[2]媒体政策预估表!$A$2:$M$2,0),0)</f>
        <v>7.0000000000000007E-2</v>
      </c>
      <c r="AF5428" s="6">
        <f t="shared" si="854"/>
        <v>35</v>
      </c>
      <c r="AG5428" s="14">
        <v>0</v>
      </c>
      <c r="AH5428" s="64">
        <f t="shared" si="850"/>
        <v>500</v>
      </c>
      <c r="AI5428" s="47"/>
      <c r="AJ5428" s="126" t="e">
        <v>#N/A</v>
      </c>
      <c r="AK5428" s="80">
        <f t="shared" si="853"/>
        <v>0</v>
      </c>
      <c r="AL5428" s="85"/>
      <c r="AM5428" s="85"/>
    </row>
    <row r="5429" spans="1:39" s="86" customFormat="1" ht="13.25" hidden="1" customHeight="1" x14ac:dyDescent="0.3">
      <c r="A5429" s="89" t="s">
        <v>3792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846"/>
        <v>55272.5</v>
      </c>
      <c r="X5429" s="6">
        <f t="shared" si="847"/>
        <v>30252.000000000004</v>
      </c>
      <c r="Y5429" s="13">
        <f t="shared" si="851"/>
        <v>0</v>
      </c>
      <c r="Z5429" s="66">
        <v>0</v>
      </c>
      <c r="AA5429" s="6">
        <v>0</v>
      </c>
      <c r="AB5429" s="4">
        <f t="shared" si="852"/>
        <v>30252.000000000004</v>
      </c>
      <c r="AC5429" s="6">
        <f t="shared" si="848"/>
        <v>0</v>
      </c>
      <c r="AD5429" s="6">
        <f t="shared" si="849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854"/>
        <v>2117.6400000000003</v>
      </c>
      <c r="AG5429" s="14">
        <v>0</v>
      </c>
      <c r="AH5429" s="64">
        <f t="shared" si="850"/>
        <v>30252.000000000004</v>
      </c>
      <c r="AI5429" s="47"/>
      <c r="AJ5429" s="126" t="e">
        <v>#N/A</v>
      </c>
      <c r="AK5429" s="80">
        <f t="shared" si="853"/>
        <v>0</v>
      </c>
      <c r="AL5429" s="85"/>
      <c r="AM5429" s="85"/>
    </row>
    <row r="5430" spans="1:39" s="86" customFormat="1" ht="13.25" hidden="1" customHeight="1" x14ac:dyDescent="0.3">
      <c r="A5430" s="89" t="s">
        <v>3805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846"/>
        <v>32236.750000000015</v>
      </c>
      <c r="X5430" s="6">
        <f t="shared" si="847"/>
        <v>113171.03999999996</v>
      </c>
      <c r="Y5430" s="13">
        <f t="shared" si="851"/>
        <v>0</v>
      </c>
      <c r="Z5430" s="66">
        <v>0</v>
      </c>
      <c r="AA5430" s="6">
        <v>0</v>
      </c>
      <c r="AB5430" s="4">
        <f t="shared" si="852"/>
        <v>113171.03999999996</v>
      </c>
      <c r="AC5430" s="6">
        <f t="shared" si="848"/>
        <v>0</v>
      </c>
      <c r="AD5430" s="6">
        <f t="shared" si="849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854"/>
        <v>7921.9727999999986</v>
      </c>
      <c r="AG5430" s="14">
        <v>0</v>
      </c>
      <c r="AH5430" s="64">
        <f t="shared" si="850"/>
        <v>113171.03999999996</v>
      </c>
      <c r="AI5430" s="47"/>
      <c r="AJ5430" s="126" t="e">
        <v>#N/A</v>
      </c>
      <c r="AK5430" s="80">
        <f t="shared" si="853"/>
        <v>0</v>
      </c>
      <c r="AL5430" s="85"/>
      <c r="AM5430" s="85"/>
    </row>
    <row r="5431" spans="1:39" s="86" customFormat="1" ht="13.25" hidden="1" customHeight="1" x14ac:dyDescent="0.3">
      <c r="A5431" s="89" t="s">
        <v>3796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846"/>
        <v>0</v>
      </c>
      <c r="X5431" s="6">
        <f t="shared" si="847"/>
        <v>9689.56</v>
      </c>
      <c r="Y5431" s="13">
        <f t="shared" si="851"/>
        <v>0</v>
      </c>
      <c r="Z5431" s="66">
        <v>0</v>
      </c>
      <c r="AA5431" s="6">
        <v>0</v>
      </c>
      <c r="AB5431" s="4"/>
      <c r="AC5431" s="6">
        <f t="shared" si="848"/>
        <v>0</v>
      </c>
      <c r="AD5431" s="6">
        <f t="shared" si="849"/>
        <v>9689.56</v>
      </c>
      <c r="AE5431" s="14">
        <f>VLOOKUP(I5431,[2]媒体政策预估表!A:N,MATCH(O5431,[2]媒体政策预估表!$A$2:$M$2,0),0)</f>
        <v>7.0000000000000007E-2</v>
      </c>
      <c r="AF5431" s="6">
        <f t="shared" si="854"/>
        <v>678.26920000000007</v>
      </c>
      <c r="AG5431" s="14">
        <v>0</v>
      </c>
      <c r="AH5431" s="64">
        <f t="shared" si="850"/>
        <v>9689.56</v>
      </c>
      <c r="AI5431" s="47"/>
      <c r="AJ5431" s="126">
        <v>112</v>
      </c>
      <c r="AK5431" s="80">
        <f t="shared" si="853"/>
        <v>9689.56</v>
      </c>
      <c r="AL5431" s="85"/>
      <c r="AM5431" s="85"/>
    </row>
    <row r="5432" spans="1:39" s="86" customFormat="1" ht="13.25" hidden="1" customHeight="1" x14ac:dyDescent="0.3">
      <c r="A5432" s="89" t="s">
        <v>3805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3817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846"/>
        <v>1778.0699999999997</v>
      </c>
      <c r="X5432" s="6">
        <f t="shared" si="847"/>
        <v>3221.9300000000003</v>
      </c>
      <c r="Y5432" s="13">
        <f t="shared" si="851"/>
        <v>0</v>
      </c>
      <c r="Z5432" s="66">
        <v>0</v>
      </c>
      <c r="AA5432" s="6">
        <v>0</v>
      </c>
      <c r="AB5432" s="4"/>
      <c r="AC5432" s="6">
        <f t="shared" si="848"/>
        <v>0</v>
      </c>
      <c r="AD5432" s="6">
        <f t="shared" si="849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854"/>
        <v>225.53510000000003</v>
      </c>
      <c r="AG5432" s="14">
        <v>0</v>
      </c>
      <c r="AH5432" s="64">
        <f t="shared" si="850"/>
        <v>3221.9300000000003</v>
      </c>
      <c r="AI5432" s="47"/>
      <c r="AJ5432" s="126">
        <v>112</v>
      </c>
      <c r="AK5432" s="80">
        <f t="shared" si="853"/>
        <v>3221.9300000000003</v>
      </c>
      <c r="AL5432" s="85"/>
      <c r="AM5432" s="85"/>
    </row>
    <row r="5433" spans="1:39" s="86" customFormat="1" ht="13.25" hidden="1" customHeight="1" x14ac:dyDescent="0.3">
      <c r="A5433" s="89" t="s">
        <v>3794</v>
      </c>
      <c r="B5433" s="86" t="s">
        <v>35</v>
      </c>
      <c r="C5433" s="86" t="s">
        <v>144</v>
      </c>
      <c r="D5433" s="86" t="s">
        <v>161</v>
      </c>
      <c r="E5433" s="86" t="s">
        <v>3759</v>
      </c>
      <c r="F5433" s="86" t="s">
        <v>3759</v>
      </c>
      <c r="G5433" s="86" t="s">
        <v>3759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846"/>
        <v>-5979.72</v>
      </c>
      <c r="X5433" s="6">
        <f t="shared" si="847"/>
        <v>0</v>
      </c>
      <c r="Y5433" s="13">
        <f t="shared" si="851"/>
        <v>0</v>
      </c>
      <c r="Z5433" s="66">
        <v>0</v>
      </c>
      <c r="AA5433" s="6">
        <v>0</v>
      </c>
      <c r="AB5433" s="4">
        <f t="shared" si="852"/>
        <v>0</v>
      </c>
      <c r="AC5433" s="6">
        <f t="shared" si="848"/>
        <v>0</v>
      </c>
      <c r="AD5433" s="6">
        <f t="shared" si="849"/>
        <v>0</v>
      </c>
      <c r="AE5433" s="14">
        <f>VLOOKUP(I5433,[2]媒体政策预估表!A:N,MATCH(O5433,[2]媒体政策预估表!$A$2:$M$2,0),0)</f>
        <v>7.0000000000000007E-2</v>
      </c>
      <c r="AF5433" s="6">
        <f t="shared" si="854"/>
        <v>0</v>
      </c>
      <c r="AG5433" s="14">
        <v>0</v>
      </c>
      <c r="AH5433" s="64">
        <f t="shared" si="850"/>
        <v>0</v>
      </c>
      <c r="AI5433" s="47"/>
      <c r="AJ5433" s="126" t="e">
        <v>#N/A</v>
      </c>
      <c r="AK5433" s="80">
        <f t="shared" si="853"/>
        <v>0</v>
      </c>
      <c r="AL5433" s="85"/>
      <c r="AM5433" s="85"/>
    </row>
    <row r="5434" spans="1:39" s="86" customFormat="1" ht="13.25" hidden="1" customHeight="1" x14ac:dyDescent="0.3">
      <c r="A5434" s="89" t="s">
        <v>3796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846"/>
        <v>764008.94</v>
      </c>
      <c r="X5434" s="6">
        <f t="shared" si="847"/>
        <v>199130.11</v>
      </c>
      <c r="Y5434" s="13">
        <f t="shared" si="851"/>
        <v>0</v>
      </c>
      <c r="Z5434" s="66">
        <v>0</v>
      </c>
      <c r="AA5434" s="6">
        <v>0</v>
      </c>
      <c r="AB5434" s="4">
        <f t="shared" si="852"/>
        <v>199130.11</v>
      </c>
      <c r="AC5434" s="6">
        <f t="shared" si="848"/>
        <v>0</v>
      </c>
      <c r="AD5434" s="6">
        <f t="shared" si="849"/>
        <v>199130.11</v>
      </c>
      <c r="AE5434" s="14">
        <f>VLOOKUP(I5434,[2]媒体政策预估表!A:N,MATCH(O5434,[2]媒体政策预估表!$A$2:$M$2,0),0)</f>
        <v>0.11</v>
      </c>
      <c r="AF5434" s="6">
        <f t="shared" si="854"/>
        <v>21904.312099999999</v>
      </c>
      <c r="AG5434" s="14">
        <v>0</v>
      </c>
      <c r="AH5434" s="64">
        <f t="shared" si="850"/>
        <v>199130.11</v>
      </c>
      <c r="AI5434" s="47"/>
      <c r="AJ5434" s="126" t="e">
        <v>#N/A</v>
      </c>
      <c r="AK5434" s="80">
        <f t="shared" si="853"/>
        <v>0</v>
      </c>
      <c r="AL5434" s="85"/>
      <c r="AM5434" s="85"/>
    </row>
    <row r="5435" spans="1:39" s="86" customFormat="1" ht="13.25" hidden="1" customHeight="1" x14ac:dyDescent="0.3">
      <c r="A5435" s="89" t="s">
        <v>3805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846"/>
        <v>-3547333.66</v>
      </c>
      <c r="X5435" s="6">
        <f t="shared" si="847"/>
        <v>1249508.2300000004</v>
      </c>
      <c r="Y5435" s="13">
        <f t="shared" si="851"/>
        <v>0</v>
      </c>
      <c r="Z5435" s="66">
        <v>0</v>
      </c>
      <c r="AA5435" s="6">
        <v>0</v>
      </c>
      <c r="AB5435" s="4">
        <f t="shared" si="852"/>
        <v>1249508.2300000004</v>
      </c>
      <c r="AC5435" s="6">
        <f t="shared" si="848"/>
        <v>0</v>
      </c>
      <c r="AD5435" s="6">
        <f t="shared" si="849"/>
        <v>1249508.2300000004</v>
      </c>
      <c r="AE5435" s="14">
        <f>VLOOKUP(I5435,[2]媒体政策预估表!A:N,MATCH(O5435,[2]媒体政策预估表!$A$2:$M$2,0),0)</f>
        <v>0.11</v>
      </c>
      <c r="AF5435" s="6">
        <f t="shared" si="854"/>
        <v>137445.90530000004</v>
      </c>
      <c r="AG5435" s="14">
        <v>0</v>
      </c>
      <c r="AH5435" s="64">
        <f t="shared" si="850"/>
        <v>1249508.2300000004</v>
      </c>
      <c r="AI5435" s="47"/>
      <c r="AJ5435" s="126" t="e">
        <v>#N/A</v>
      </c>
      <c r="AK5435" s="80">
        <f t="shared" si="853"/>
        <v>0</v>
      </c>
      <c r="AL5435" s="85"/>
      <c r="AM5435" s="85"/>
    </row>
    <row r="5436" spans="1:39" s="86" customFormat="1" ht="13.25" hidden="1" customHeight="1" x14ac:dyDescent="0.3">
      <c r="A5436" s="89" t="s">
        <v>3794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846"/>
        <v>4564949.26</v>
      </c>
      <c r="X5436" s="6">
        <f t="shared" si="847"/>
        <v>761965.21000000008</v>
      </c>
      <c r="Y5436" s="13">
        <f t="shared" si="851"/>
        <v>0</v>
      </c>
      <c r="Z5436" s="66">
        <v>0</v>
      </c>
      <c r="AA5436" s="6">
        <v>0</v>
      </c>
      <c r="AB5436" s="4">
        <f t="shared" si="852"/>
        <v>761965.21000000008</v>
      </c>
      <c r="AC5436" s="6">
        <f t="shared" si="848"/>
        <v>0</v>
      </c>
      <c r="AD5436" s="6">
        <f t="shared" si="849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854"/>
        <v>53337.56470000001</v>
      </c>
      <c r="AG5436" s="14">
        <v>0</v>
      </c>
      <c r="AH5436" s="64">
        <f t="shared" si="850"/>
        <v>761965.21000000008</v>
      </c>
      <c r="AI5436" s="47"/>
      <c r="AJ5436" s="126" t="e">
        <v>#N/A</v>
      </c>
      <c r="AK5436" s="80">
        <f t="shared" si="853"/>
        <v>0</v>
      </c>
      <c r="AL5436" s="85"/>
      <c r="AM5436" s="85"/>
    </row>
    <row r="5437" spans="1:39" s="86" customFormat="1" ht="13.25" hidden="1" customHeight="1" x14ac:dyDescent="0.3">
      <c r="A5437" s="89" t="s">
        <v>3796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855">IF(P5437="折扣",V5437*Q5437,IF(P5437="返现",V5437,V5437/(1+Q5437)))</f>
        <v>1392863.4313725492</v>
      </c>
      <c r="Y5437" s="13">
        <f t="shared" si="851"/>
        <v>0</v>
      </c>
      <c r="Z5437" s="66">
        <v>0</v>
      </c>
      <c r="AA5437" s="6">
        <v>0</v>
      </c>
      <c r="AB5437" s="4">
        <f t="shared" si="852"/>
        <v>1392863.4313725492</v>
      </c>
      <c r="AC5437" s="6">
        <f t="shared" si="848"/>
        <v>27857.268627451034</v>
      </c>
      <c r="AD5437" s="6">
        <f t="shared" si="849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854"/>
        <v>99450.449000000022</v>
      </c>
      <c r="AG5437" s="14">
        <v>0</v>
      </c>
      <c r="AH5437" s="64">
        <f t="shared" si="850"/>
        <v>1420720.7000000002</v>
      </c>
      <c r="AI5437" s="47"/>
      <c r="AJ5437" s="126" t="e">
        <v>#N/A</v>
      </c>
      <c r="AK5437" s="80">
        <f t="shared" si="853"/>
        <v>0</v>
      </c>
      <c r="AL5437" s="85"/>
      <c r="AM5437" s="85"/>
    </row>
    <row r="5438" spans="1:39" s="86" customFormat="1" ht="13.25" hidden="1" customHeight="1" x14ac:dyDescent="0.3">
      <c r="A5438" s="89" t="s">
        <v>3805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3818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856">T5438+U5438-V5438</f>
        <v>1518975.8199999984</v>
      </c>
      <c r="X5438" s="6">
        <f t="shared" si="855"/>
        <v>789182.54901960795</v>
      </c>
      <c r="Y5438" s="13">
        <f t="shared" si="851"/>
        <v>0</v>
      </c>
      <c r="Z5438" s="66">
        <v>0</v>
      </c>
      <c r="AA5438" s="6">
        <v>0</v>
      </c>
      <c r="AB5438" s="4">
        <f t="shared" si="852"/>
        <v>789182.54901960795</v>
      </c>
      <c r="AC5438" s="6">
        <f t="shared" ref="AC5438:AC5501" si="857">IF(P5438="返现",X5438*Q5438,V5438-X5438)</f>
        <v>15783.650980392122</v>
      </c>
      <c r="AD5438" s="6">
        <f t="shared" ref="AD5438:AD5501" si="858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854"/>
        <v>56347.634000000013</v>
      </c>
      <c r="AG5438" s="14">
        <v>0</v>
      </c>
      <c r="AH5438" s="64">
        <f t="shared" ref="AH5438:AH5501" si="859">V5438</f>
        <v>804966.20000000007</v>
      </c>
      <c r="AI5438" s="47"/>
      <c r="AJ5438" s="126" t="e">
        <v>#N/A</v>
      </c>
      <c r="AK5438" s="80">
        <f t="shared" si="853"/>
        <v>0</v>
      </c>
      <c r="AL5438" s="85"/>
      <c r="AM5438" s="85"/>
    </row>
    <row r="5439" spans="1:39" s="86" customFormat="1" ht="13.25" hidden="1" customHeight="1" x14ac:dyDescent="0.3">
      <c r="A5439" s="89" t="s">
        <v>3792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856"/>
        <v>50040.2</v>
      </c>
      <c r="X5439" s="6">
        <f t="shared" si="855"/>
        <v>90067.37000000001</v>
      </c>
      <c r="Y5439" s="13">
        <f t="shared" si="851"/>
        <v>0</v>
      </c>
      <c r="Z5439" s="66">
        <v>0</v>
      </c>
      <c r="AA5439" s="6">
        <v>0</v>
      </c>
      <c r="AB5439" s="4">
        <f t="shared" si="852"/>
        <v>90067.37000000001</v>
      </c>
      <c r="AC5439" s="6">
        <f t="shared" si="857"/>
        <v>0</v>
      </c>
      <c r="AD5439" s="6">
        <f t="shared" si="858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854"/>
        <v>6304.7159000000011</v>
      </c>
      <c r="AG5439" s="14">
        <v>0</v>
      </c>
      <c r="AH5439" s="64">
        <f t="shared" si="859"/>
        <v>90067.37000000001</v>
      </c>
      <c r="AI5439" s="47"/>
      <c r="AJ5439" s="126" t="e">
        <v>#N/A</v>
      </c>
      <c r="AK5439" s="80">
        <f t="shared" si="853"/>
        <v>0</v>
      </c>
      <c r="AL5439" s="85"/>
      <c r="AM5439" s="85"/>
    </row>
    <row r="5440" spans="1:39" s="86" customFormat="1" ht="13.25" hidden="1" customHeight="1" x14ac:dyDescent="0.3">
      <c r="A5440" s="89" t="s">
        <v>3794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856"/>
        <v>184004.15000000014</v>
      </c>
      <c r="X5440" s="6">
        <f t="shared" si="855"/>
        <v>515995.84999999986</v>
      </c>
      <c r="Y5440" s="13">
        <f t="shared" si="851"/>
        <v>0</v>
      </c>
      <c r="Z5440" s="66">
        <v>0</v>
      </c>
      <c r="AA5440" s="6">
        <v>0</v>
      </c>
      <c r="AB5440" s="4">
        <f t="shared" si="852"/>
        <v>515995.84999999986</v>
      </c>
      <c r="AC5440" s="6">
        <f t="shared" si="857"/>
        <v>0</v>
      </c>
      <c r="AD5440" s="6">
        <f t="shared" si="858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854"/>
        <v>36119.709499999997</v>
      </c>
      <c r="AG5440" s="14">
        <v>0</v>
      </c>
      <c r="AH5440" s="64">
        <f t="shared" si="859"/>
        <v>515995.84999999986</v>
      </c>
      <c r="AI5440" s="47"/>
      <c r="AJ5440" s="126" t="e">
        <v>#N/A</v>
      </c>
      <c r="AK5440" s="80">
        <f t="shared" si="853"/>
        <v>0</v>
      </c>
      <c r="AL5440" s="85"/>
      <c r="AM5440" s="85"/>
    </row>
    <row r="5441" spans="1:39" s="86" customFormat="1" ht="13.25" hidden="1" customHeight="1" x14ac:dyDescent="0.3">
      <c r="A5441" s="89" t="s">
        <v>3792</v>
      </c>
      <c r="B5441" s="86" t="s">
        <v>35</v>
      </c>
      <c r="C5441" s="86" t="s">
        <v>164</v>
      </c>
      <c r="D5441" s="86" t="s">
        <v>305</v>
      </c>
      <c r="E5441" s="86" t="s">
        <v>3819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3820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856"/>
        <v>264192.76</v>
      </c>
      <c r="X5441" s="6">
        <f t="shared" si="855"/>
        <v>235807.24</v>
      </c>
      <c r="Y5441" s="13">
        <f t="shared" si="851"/>
        <v>0</v>
      </c>
      <c r="Z5441" s="66">
        <v>0</v>
      </c>
      <c r="AA5441" s="6">
        <v>0</v>
      </c>
      <c r="AB5441" s="4">
        <f t="shared" si="852"/>
        <v>235807.24</v>
      </c>
      <c r="AC5441" s="6">
        <f t="shared" si="857"/>
        <v>0</v>
      </c>
      <c r="AD5441" s="6">
        <f t="shared" si="858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854"/>
        <v>16506.506799999999</v>
      </c>
      <c r="AG5441" s="14">
        <v>0</v>
      </c>
      <c r="AH5441" s="64">
        <f t="shared" si="859"/>
        <v>235807.24</v>
      </c>
      <c r="AI5441" s="47"/>
      <c r="AJ5441" s="126" t="e">
        <v>#N/A</v>
      </c>
      <c r="AK5441" s="80">
        <f t="shared" si="853"/>
        <v>0</v>
      </c>
      <c r="AL5441" s="85"/>
      <c r="AM5441" s="85"/>
    </row>
    <row r="5442" spans="1:39" s="86" customFormat="1" ht="13.25" hidden="1" customHeight="1" x14ac:dyDescent="0.3">
      <c r="A5442" s="89" t="s">
        <v>3792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856"/>
        <v>16701.690000000061</v>
      </c>
      <c r="X5442" s="6">
        <f t="shared" si="855"/>
        <v>273464.23</v>
      </c>
      <c r="Y5442" s="13">
        <f t="shared" si="851"/>
        <v>0</v>
      </c>
      <c r="Z5442" s="66">
        <v>0</v>
      </c>
      <c r="AA5442" s="6">
        <v>0</v>
      </c>
      <c r="AB5442" s="4">
        <f t="shared" si="852"/>
        <v>273464.23</v>
      </c>
      <c r="AC5442" s="6">
        <f t="shared" si="857"/>
        <v>0</v>
      </c>
      <c r="AD5442" s="6">
        <f t="shared" si="858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854"/>
        <v>19142.4961</v>
      </c>
      <c r="AG5442" s="14">
        <v>0</v>
      </c>
      <c r="AH5442" s="64">
        <f t="shared" si="859"/>
        <v>273464.23</v>
      </c>
      <c r="AI5442" s="47"/>
      <c r="AJ5442" s="126" t="e">
        <v>#N/A</v>
      </c>
      <c r="AK5442" s="80">
        <f t="shared" si="853"/>
        <v>0</v>
      </c>
      <c r="AL5442" s="85"/>
      <c r="AM5442" s="85"/>
    </row>
    <row r="5443" spans="1:39" s="86" customFormat="1" ht="13.25" hidden="1" customHeight="1" x14ac:dyDescent="0.3">
      <c r="A5443" s="89" t="s">
        <v>3796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3821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856"/>
        <v>8658.4800000000032</v>
      </c>
      <c r="X5443" s="6">
        <f t="shared" si="855"/>
        <v>23389.774509803916</v>
      </c>
      <c r="Y5443" s="13">
        <f t="shared" ref="Y5443:Y5506" si="860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861">X5443+AA5443</f>
        <v>23389.774509803916</v>
      </c>
      <c r="AC5443" s="6">
        <f t="shared" si="857"/>
        <v>467.79549019608021</v>
      </c>
      <c r="AD5443" s="6">
        <f t="shared" si="858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854"/>
        <v>1670.0298999999998</v>
      </c>
      <c r="AG5443" s="14">
        <v>0</v>
      </c>
      <c r="AH5443" s="64">
        <f t="shared" si="859"/>
        <v>23857.569999999996</v>
      </c>
      <c r="AI5443" s="47"/>
      <c r="AJ5443" s="126" t="e">
        <v>#N/A</v>
      </c>
      <c r="AK5443" s="80">
        <f t="shared" ref="AK5443:AK5506" si="862">X5443+AA5443-AB5443</f>
        <v>0</v>
      </c>
      <c r="AL5443" s="85"/>
      <c r="AM5443" s="85"/>
    </row>
    <row r="5444" spans="1:39" s="86" customFormat="1" ht="13.25" hidden="1" customHeight="1" x14ac:dyDescent="0.3">
      <c r="A5444" s="89" t="s">
        <v>3792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856"/>
        <v>7.2759576141834259E-12</v>
      </c>
      <c r="X5444" s="6">
        <f t="shared" si="855"/>
        <v>0</v>
      </c>
      <c r="Y5444" s="13">
        <f t="shared" si="860"/>
        <v>0</v>
      </c>
      <c r="Z5444" s="66">
        <v>0</v>
      </c>
      <c r="AA5444" s="6">
        <v>0</v>
      </c>
      <c r="AB5444" s="4">
        <f t="shared" si="861"/>
        <v>0</v>
      </c>
      <c r="AC5444" s="6">
        <f t="shared" si="857"/>
        <v>0</v>
      </c>
      <c r="AD5444" s="6">
        <f t="shared" si="858"/>
        <v>0</v>
      </c>
      <c r="AE5444" s="14">
        <f>VLOOKUP(I5444,[2]媒体政策预估表!A:N,MATCH(O5444,[2]媒体政策预估表!$A$2:$M$2,0),0)</f>
        <v>7.0000000000000007E-2</v>
      </c>
      <c r="AF5444" s="6">
        <f t="shared" si="854"/>
        <v>0</v>
      </c>
      <c r="AG5444" s="14">
        <v>0</v>
      </c>
      <c r="AH5444" s="64">
        <f t="shared" si="859"/>
        <v>0</v>
      </c>
      <c r="AI5444" s="47"/>
      <c r="AJ5444" s="126" t="e">
        <v>#N/A</v>
      </c>
      <c r="AK5444" s="80">
        <f t="shared" si="862"/>
        <v>0</v>
      </c>
      <c r="AL5444" s="85"/>
      <c r="AM5444" s="85"/>
    </row>
    <row r="5445" spans="1:39" s="86" customFormat="1" ht="13.25" hidden="1" customHeight="1" x14ac:dyDescent="0.3">
      <c r="A5445" s="89" t="s">
        <v>3794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856"/>
        <v>9670.9100000000108</v>
      </c>
      <c r="X5445" s="6">
        <f t="shared" si="855"/>
        <v>42551.509999999987</v>
      </c>
      <c r="Y5445" s="13">
        <f t="shared" si="860"/>
        <v>0</v>
      </c>
      <c r="Z5445" s="66">
        <v>0</v>
      </c>
      <c r="AA5445" s="6">
        <v>0</v>
      </c>
      <c r="AB5445" s="4">
        <f t="shared" si="861"/>
        <v>42551.509999999987</v>
      </c>
      <c r="AC5445" s="6">
        <f t="shared" si="857"/>
        <v>0</v>
      </c>
      <c r="AD5445" s="6">
        <f t="shared" si="858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854"/>
        <v>2978.6056999999996</v>
      </c>
      <c r="AG5445" s="14">
        <v>0</v>
      </c>
      <c r="AH5445" s="64">
        <f t="shared" si="859"/>
        <v>42551.509999999987</v>
      </c>
      <c r="AI5445" s="47"/>
      <c r="AJ5445" s="126" t="e">
        <v>#N/A</v>
      </c>
      <c r="AK5445" s="80">
        <f t="shared" si="862"/>
        <v>0</v>
      </c>
      <c r="AL5445" s="85"/>
      <c r="AM5445" s="85"/>
    </row>
    <row r="5446" spans="1:39" s="86" customFormat="1" ht="13.25" hidden="1" customHeight="1" x14ac:dyDescent="0.3">
      <c r="A5446" s="89" t="s">
        <v>3794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3822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856"/>
        <v>4799.8</v>
      </c>
      <c r="X5446" s="6">
        <f t="shared" si="855"/>
        <v>5200.2</v>
      </c>
      <c r="Y5446" s="13">
        <f t="shared" si="860"/>
        <v>0</v>
      </c>
      <c r="Z5446" s="66">
        <v>0</v>
      </c>
      <c r="AA5446" s="6">
        <v>0</v>
      </c>
      <c r="AB5446" s="4">
        <f t="shared" si="861"/>
        <v>5200.2</v>
      </c>
      <c r="AC5446" s="6">
        <f t="shared" si="857"/>
        <v>0</v>
      </c>
      <c r="AD5446" s="6">
        <f t="shared" si="858"/>
        <v>5200.2</v>
      </c>
      <c r="AE5446" s="14">
        <f>VLOOKUP(I5446,[2]媒体政策预估表!A:N,MATCH(O5446,[2]媒体政策预估表!$A$2:$M$2,0),0)</f>
        <v>7.0000000000000007E-2</v>
      </c>
      <c r="AF5446" s="6">
        <f t="shared" si="854"/>
        <v>364.01400000000001</v>
      </c>
      <c r="AG5446" s="14">
        <v>0</v>
      </c>
      <c r="AH5446" s="64">
        <f t="shared" si="859"/>
        <v>5200.2</v>
      </c>
      <c r="AI5446" s="47"/>
      <c r="AJ5446" s="126" t="e">
        <v>#N/A</v>
      </c>
      <c r="AK5446" s="80">
        <f t="shared" si="862"/>
        <v>0</v>
      </c>
      <c r="AL5446" s="85"/>
      <c r="AM5446" s="85"/>
    </row>
    <row r="5447" spans="1:39" s="86" customFormat="1" ht="13.25" hidden="1" customHeight="1" x14ac:dyDescent="0.3">
      <c r="A5447" s="89" t="s">
        <v>3792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856"/>
        <v>539950.14000000339</v>
      </c>
      <c r="X5447" s="6">
        <f t="shared" si="855"/>
        <v>7374909.6730769221</v>
      </c>
      <c r="Y5447" s="13">
        <f t="shared" si="860"/>
        <v>0</v>
      </c>
      <c r="Z5447" s="66">
        <v>0</v>
      </c>
      <c r="AA5447" s="6">
        <v>0</v>
      </c>
      <c r="AB5447" s="4">
        <f t="shared" si="861"/>
        <v>7374909.6730769221</v>
      </c>
      <c r="AC5447" s="6">
        <f t="shared" si="857"/>
        <v>294996.38692307752</v>
      </c>
      <c r="AD5447" s="6">
        <f t="shared" si="858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854"/>
        <v>536893.42420000001</v>
      </c>
      <c r="AG5447" s="14">
        <v>0</v>
      </c>
      <c r="AH5447" s="64">
        <f t="shared" si="859"/>
        <v>7669906.0599999996</v>
      </c>
      <c r="AI5447" s="47"/>
      <c r="AJ5447" s="126" t="e">
        <v>#N/A</v>
      </c>
      <c r="AK5447" s="80">
        <f t="shared" si="862"/>
        <v>0</v>
      </c>
      <c r="AL5447" s="85"/>
      <c r="AM5447" s="85"/>
    </row>
    <row r="5448" spans="1:39" s="86" customFormat="1" ht="13.25" hidden="1" customHeight="1" x14ac:dyDescent="0.3">
      <c r="A5448" s="89" t="s">
        <v>3794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856"/>
        <v>40090.940000000017</v>
      </c>
      <c r="X5448" s="6">
        <f t="shared" si="855"/>
        <v>73346.369999999981</v>
      </c>
      <c r="Y5448" s="13">
        <f t="shared" si="860"/>
        <v>0</v>
      </c>
      <c r="Z5448" s="66">
        <v>0</v>
      </c>
      <c r="AA5448" s="6">
        <v>0</v>
      </c>
      <c r="AB5448" s="4">
        <f t="shared" si="861"/>
        <v>73346.369999999981</v>
      </c>
      <c r="AC5448" s="6">
        <f t="shared" si="857"/>
        <v>0</v>
      </c>
      <c r="AD5448" s="6">
        <f t="shared" si="858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854"/>
        <v>5134.245899999999</v>
      </c>
      <c r="AG5448" s="14">
        <v>0</v>
      </c>
      <c r="AH5448" s="64">
        <f t="shared" si="859"/>
        <v>73346.369999999981</v>
      </c>
      <c r="AI5448" s="47"/>
      <c r="AJ5448" s="126" t="e">
        <v>#N/A</v>
      </c>
      <c r="AK5448" s="80">
        <f t="shared" si="862"/>
        <v>0</v>
      </c>
      <c r="AL5448" s="85"/>
      <c r="AM5448" s="85"/>
    </row>
    <row r="5449" spans="1:39" s="86" customFormat="1" ht="13.25" hidden="1" customHeight="1" x14ac:dyDescent="0.3">
      <c r="A5449" s="89" t="s">
        <v>3792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856"/>
        <v>39437.660000000003</v>
      </c>
      <c r="X5449" s="6">
        <f t="shared" si="855"/>
        <v>153256.35999999996</v>
      </c>
      <c r="Y5449" s="13">
        <f t="shared" si="860"/>
        <v>0</v>
      </c>
      <c r="Z5449" s="66">
        <v>0</v>
      </c>
      <c r="AA5449" s="6">
        <v>0</v>
      </c>
      <c r="AB5449" s="4">
        <f t="shared" si="861"/>
        <v>153256.35999999996</v>
      </c>
      <c r="AC5449" s="6">
        <f t="shared" si="857"/>
        <v>0</v>
      </c>
      <c r="AD5449" s="6">
        <f t="shared" si="858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854"/>
        <v>10727.945199999998</v>
      </c>
      <c r="AG5449" s="14">
        <v>0</v>
      </c>
      <c r="AH5449" s="64">
        <f t="shared" si="859"/>
        <v>153256.35999999996</v>
      </c>
      <c r="AI5449" s="47"/>
      <c r="AJ5449" s="126" t="e">
        <v>#N/A</v>
      </c>
      <c r="AK5449" s="80">
        <f t="shared" si="862"/>
        <v>0</v>
      </c>
      <c r="AL5449" s="85"/>
      <c r="AM5449" s="85"/>
    </row>
    <row r="5450" spans="1:39" s="86" customFormat="1" ht="13.25" hidden="1" customHeight="1" x14ac:dyDescent="0.3">
      <c r="A5450" s="89" t="s">
        <v>3806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856"/>
        <v>19844.459999999992</v>
      </c>
      <c r="X5450" s="6">
        <f t="shared" si="855"/>
        <v>92356.290000000008</v>
      </c>
      <c r="Y5450" s="13">
        <f t="shared" si="860"/>
        <v>0</v>
      </c>
      <c r="Z5450" s="66">
        <v>0</v>
      </c>
      <c r="AA5450" s="6">
        <v>0</v>
      </c>
      <c r="AB5450" s="4">
        <f t="shared" si="861"/>
        <v>92356.290000000008</v>
      </c>
      <c r="AC5450" s="6">
        <f t="shared" si="857"/>
        <v>0</v>
      </c>
      <c r="AD5450" s="6">
        <f t="shared" si="858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854"/>
        <v>6464.9403000000011</v>
      </c>
      <c r="AG5450" s="14">
        <v>0</v>
      </c>
      <c r="AH5450" s="64">
        <f t="shared" si="859"/>
        <v>92356.290000000008</v>
      </c>
      <c r="AI5450" s="47"/>
      <c r="AJ5450" s="126" t="e">
        <v>#N/A</v>
      </c>
      <c r="AK5450" s="80">
        <f t="shared" si="862"/>
        <v>0</v>
      </c>
      <c r="AL5450" s="85"/>
      <c r="AM5450" s="85"/>
    </row>
    <row r="5451" spans="1:39" s="86" customFormat="1" ht="13.25" hidden="1" customHeight="1" x14ac:dyDescent="0.3">
      <c r="A5451" s="89" t="s">
        <v>3792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856"/>
        <v>8150.32</v>
      </c>
      <c r="X5451" s="6">
        <f t="shared" si="855"/>
        <v>8509.8316831683169</v>
      </c>
      <c r="Y5451" s="13">
        <f t="shared" si="860"/>
        <v>0</v>
      </c>
      <c r="Z5451" s="66">
        <v>0</v>
      </c>
      <c r="AA5451" s="6">
        <v>0</v>
      </c>
      <c r="AB5451" s="4">
        <f t="shared" si="861"/>
        <v>8509.8316831683169</v>
      </c>
      <c r="AC5451" s="6">
        <f t="shared" si="857"/>
        <v>85.098316831683405</v>
      </c>
      <c r="AD5451" s="6">
        <f t="shared" si="858"/>
        <v>8594.93</v>
      </c>
      <c r="AE5451" s="14">
        <f>VLOOKUP(I5451,[2]媒体政策预估表!A:N,MATCH(O5451,[2]媒体政策预估表!$A$2:$M$2,0),0)</f>
        <v>7.0000000000000007E-2</v>
      </c>
      <c r="AF5451" s="6">
        <f t="shared" si="854"/>
        <v>601.64510000000007</v>
      </c>
      <c r="AG5451" s="14">
        <v>0</v>
      </c>
      <c r="AH5451" s="64">
        <f t="shared" si="859"/>
        <v>8594.93</v>
      </c>
      <c r="AI5451" s="47"/>
      <c r="AJ5451" s="126" t="e">
        <v>#N/A</v>
      </c>
      <c r="AK5451" s="80">
        <f t="shared" si="862"/>
        <v>0</v>
      </c>
      <c r="AL5451" s="85"/>
      <c r="AM5451" s="85"/>
    </row>
    <row r="5452" spans="1:39" s="86" customFormat="1" ht="13.25" hidden="1" customHeight="1" x14ac:dyDescent="0.3">
      <c r="A5452" s="89" t="s">
        <v>3805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856"/>
        <v>12949.450000000012</v>
      </c>
      <c r="X5452" s="6">
        <f t="shared" si="855"/>
        <v>129225.89108910893</v>
      </c>
      <c r="Y5452" s="13">
        <f t="shared" si="860"/>
        <v>0</v>
      </c>
      <c r="Z5452" s="66">
        <v>0</v>
      </c>
      <c r="AA5452" s="6">
        <v>0</v>
      </c>
      <c r="AB5452" s="4">
        <f t="shared" si="861"/>
        <v>129225.89108910893</v>
      </c>
      <c r="AC5452" s="6">
        <f t="shared" si="857"/>
        <v>1292.2589108910906</v>
      </c>
      <c r="AD5452" s="6">
        <f t="shared" si="858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854"/>
        <v>9136.2705000000024</v>
      </c>
      <c r="AG5452" s="14">
        <v>0</v>
      </c>
      <c r="AH5452" s="64">
        <f t="shared" si="859"/>
        <v>130518.15000000002</v>
      </c>
      <c r="AI5452" s="47"/>
      <c r="AJ5452" s="126" t="e">
        <v>#N/A</v>
      </c>
      <c r="AK5452" s="80">
        <f t="shared" si="862"/>
        <v>0</v>
      </c>
      <c r="AL5452" s="85"/>
      <c r="AM5452" s="85"/>
    </row>
    <row r="5453" spans="1:39" s="86" customFormat="1" ht="13.25" hidden="1" customHeight="1" x14ac:dyDescent="0.3">
      <c r="A5453" s="89" t="s">
        <v>3792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856"/>
        <v>39612.309999999983</v>
      </c>
      <c r="X5453" s="6">
        <f t="shared" si="855"/>
        <v>120697.88118811882</v>
      </c>
      <c r="Y5453" s="13">
        <f t="shared" si="860"/>
        <v>0</v>
      </c>
      <c r="Z5453" s="66">
        <v>0</v>
      </c>
      <c r="AA5453" s="6">
        <v>0</v>
      </c>
      <c r="AB5453" s="4">
        <f t="shared" si="861"/>
        <v>120697.88118811882</v>
      </c>
      <c r="AC5453" s="6">
        <f t="shared" si="857"/>
        <v>1206.9788118811848</v>
      </c>
      <c r="AD5453" s="6">
        <f t="shared" si="858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854"/>
        <v>8533.3402000000006</v>
      </c>
      <c r="AG5453" s="14">
        <v>0</v>
      </c>
      <c r="AH5453" s="64">
        <f t="shared" si="859"/>
        <v>121904.86</v>
      </c>
      <c r="AI5453" s="47"/>
      <c r="AJ5453" s="126" t="e">
        <v>#N/A</v>
      </c>
      <c r="AK5453" s="80">
        <f t="shared" si="862"/>
        <v>0</v>
      </c>
      <c r="AL5453" s="85"/>
      <c r="AM5453" s="85"/>
    </row>
    <row r="5454" spans="1:39" s="86" customFormat="1" ht="13.25" hidden="1" customHeight="1" x14ac:dyDescent="0.3">
      <c r="A5454" s="89" t="s">
        <v>3792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856"/>
        <v>-2.4744650772845489E-12</v>
      </c>
      <c r="X5454" s="6">
        <f t="shared" si="855"/>
        <v>10.067307692307693</v>
      </c>
      <c r="Y5454" s="13">
        <f t="shared" si="860"/>
        <v>0</v>
      </c>
      <c r="Z5454" s="66">
        <v>0</v>
      </c>
      <c r="AA5454" s="6">
        <v>0</v>
      </c>
      <c r="AB5454" s="4">
        <f t="shared" si="861"/>
        <v>10.067307692307693</v>
      </c>
      <c r="AC5454" s="6">
        <f t="shared" si="857"/>
        <v>0.40269230769230724</v>
      </c>
      <c r="AD5454" s="6">
        <f t="shared" si="858"/>
        <v>10.47</v>
      </c>
      <c r="AE5454" s="14">
        <f>VLOOKUP(I5454,[2]媒体政策预估表!A:N,MATCH(O5454,[2]媒体政策预估表!$A$2:$M$2,0),0)</f>
        <v>0.11</v>
      </c>
      <c r="AF5454" s="6">
        <f t="shared" si="854"/>
        <v>1.1517000000000002</v>
      </c>
      <c r="AG5454" s="14">
        <v>0</v>
      </c>
      <c r="AH5454" s="64">
        <f t="shared" si="859"/>
        <v>10.47</v>
      </c>
      <c r="AI5454" s="47"/>
      <c r="AJ5454" s="126" t="e">
        <v>#N/A</v>
      </c>
      <c r="AK5454" s="80">
        <f t="shared" si="862"/>
        <v>0</v>
      </c>
      <c r="AL5454" s="85"/>
      <c r="AM5454" s="85"/>
    </row>
    <row r="5455" spans="1:39" s="86" customFormat="1" ht="13.25" hidden="1" customHeight="1" x14ac:dyDescent="0.3">
      <c r="A5455" s="89" t="s">
        <v>3792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856"/>
        <v>1.4566126083082054E-12</v>
      </c>
      <c r="X5455" s="6">
        <f t="shared" si="855"/>
        <v>17.932692307692307</v>
      </c>
      <c r="Y5455" s="13">
        <f t="shared" si="860"/>
        <v>0</v>
      </c>
      <c r="Z5455" s="66">
        <v>0</v>
      </c>
      <c r="AA5455" s="6">
        <v>0</v>
      </c>
      <c r="AB5455" s="4">
        <f t="shared" si="861"/>
        <v>17.932692307692307</v>
      </c>
      <c r="AC5455" s="6">
        <f t="shared" si="857"/>
        <v>0.71730769230769198</v>
      </c>
      <c r="AD5455" s="6">
        <f t="shared" si="858"/>
        <v>18.649999999999999</v>
      </c>
      <c r="AE5455" s="14">
        <f>VLOOKUP(I5455,[2]媒体政策预估表!A:N,MATCH(O5455,[2]媒体政策预估表!$A$2:$M$2,0),0)</f>
        <v>0.11</v>
      </c>
      <c r="AF5455" s="6">
        <f t="shared" si="854"/>
        <v>2.0514999999999999</v>
      </c>
      <c r="AG5455" s="14">
        <v>0</v>
      </c>
      <c r="AH5455" s="64">
        <f t="shared" si="859"/>
        <v>18.649999999999999</v>
      </c>
      <c r="AI5455" s="47"/>
      <c r="AJ5455" s="126" t="e">
        <v>#N/A</v>
      </c>
      <c r="AK5455" s="80">
        <f t="shared" si="862"/>
        <v>0</v>
      </c>
      <c r="AL5455" s="85"/>
      <c r="AM5455" s="85"/>
    </row>
    <row r="5456" spans="1:39" s="86" customFormat="1" ht="13.25" hidden="1" customHeight="1" x14ac:dyDescent="0.3">
      <c r="A5456" s="89" t="s">
        <v>3792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856"/>
        <v>0</v>
      </c>
      <c r="X5456" s="6">
        <f t="shared" si="855"/>
        <v>0</v>
      </c>
      <c r="Y5456" s="13">
        <f t="shared" si="860"/>
        <v>0</v>
      </c>
      <c r="Z5456" s="66">
        <v>0</v>
      </c>
      <c r="AA5456" s="6">
        <v>0</v>
      </c>
      <c r="AB5456" s="4">
        <f t="shared" si="861"/>
        <v>0</v>
      </c>
      <c r="AC5456" s="6">
        <f t="shared" si="857"/>
        <v>0</v>
      </c>
      <c r="AD5456" s="6">
        <f t="shared" si="858"/>
        <v>0</v>
      </c>
      <c r="AE5456" s="14">
        <f>VLOOKUP(I5456,[2]媒体政策预估表!A:N,MATCH(O5456,[2]媒体政策预估表!$A$2:$M$2,0),0)</f>
        <v>0.11</v>
      </c>
      <c r="AF5456" s="6">
        <f t="shared" si="854"/>
        <v>0</v>
      </c>
      <c r="AG5456" s="14">
        <v>0</v>
      </c>
      <c r="AH5456" s="64">
        <f t="shared" si="859"/>
        <v>0</v>
      </c>
      <c r="AI5456" s="47"/>
      <c r="AJ5456" s="126" t="e">
        <v>#N/A</v>
      </c>
      <c r="AK5456" s="80">
        <f t="shared" si="862"/>
        <v>0</v>
      </c>
      <c r="AL5456" s="85"/>
      <c r="AM5456" s="85"/>
    </row>
    <row r="5457" spans="1:39" s="86" customFormat="1" ht="13.25" hidden="1" customHeight="1" x14ac:dyDescent="0.3">
      <c r="A5457" s="89" t="s">
        <v>3792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856"/>
        <v>49307.799999999996</v>
      </c>
      <c r="X5457" s="6">
        <f t="shared" si="855"/>
        <v>30648.1</v>
      </c>
      <c r="Y5457" s="13">
        <f t="shared" si="860"/>
        <v>0</v>
      </c>
      <c r="Z5457" s="66">
        <v>0</v>
      </c>
      <c r="AA5457" s="6">
        <v>0</v>
      </c>
      <c r="AB5457" s="4">
        <f t="shared" si="861"/>
        <v>30648.1</v>
      </c>
      <c r="AC5457" s="6">
        <f t="shared" si="857"/>
        <v>0</v>
      </c>
      <c r="AD5457" s="6">
        <f t="shared" si="858"/>
        <v>30648.1</v>
      </c>
      <c r="AE5457" s="14">
        <f>VLOOKUP(I5457,[2]媒体政策预估表!A:N,MATCH(O5457,[2]媒体政策预估表!$A$2:$M$2,0),0)</f>
        <v>7.0000000000000007E-2</v>
      </c>
      <c r="AF5457" s="6">
        <f t="shared" si="854"/>
        <v>2145.3670000000002</v>
      </c>
      <c r="AG5457" s="14">
        <v>0</v>
      </c>
      <c r="AH5457" s="64">
        <f t="shared" si="859"/>
        <v>30648.1</v>
      </c>
      <c r="AI5457" s="47"/>
      <c r="AJ5457" s="126" t="e">
        <v>#N/A</v>
      </c>
      <c r="AK5457" s="80">
        <f t="shared" si="862"/>
        <v>0</v>
      </c>
      <c r="AL5457" s="85"/>
      <c r="AM5457" s="85"/>
    </row>
    <row r="5458" spans="1:39" s="86" customFormat="1" ht="13.25" hidden="1" customHeight="1" x14ac:dyDescent="0.3">
      <c r="A5458" s="89" t="s">
        <v>3792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856"/>
        <v>201831.44000000003</v>
      </c>
      <c r="X5458" s="6">
        <f t="shared" si="855"/>
        <v>163.26923076923075</v>
      </c>
      <c r="Y5458" s="13">
        <f t="shared" si="860"/>
        <v>0</v>
      </c>
      <c r="Z5458" s="66">
        <v>0</v>
      </c>
      <c r="AA5458" s="6">
        <v>0</v>
      </c>
      <c r="AB5458" s="4">
        <f t="shared" si="861"/>
        <v>163.26923076923075</v>
      </c>
      <c r="AC5458" s="6">
        <f t="shared" si="857"/>
        <v>6.5307692307692378</v>
      </c>
      <c r="AD5458" s="6">
        <f t="shared" si="858"/>
        <v>169.79999999999998</v>
      </c>
      <c r="AE5458" s="14">
        <f>VLOOKUP(I5458,[2]媒体政策预估表!A:N,MATCH(O5458,[2]媒体政策预估表!$A$2:$M$2,0),0)</f>
        <v>0.11</v>
      </c>
      <c r="AF5458" s="6">
        <f t="shared" si="854"/>
        <v>18.677999999999997</v>
      </c>
      <c r="AG5458" s="14">
        <v>0</v>
      </c>
      <c r="AH5458" s="64">
        <f t="shared" si="859"/>
        <v>169.79999999999998</v>
      </c>
      <c r="AI5458" s="47"/>
      <c r="AJ5458" s="126" t="e">
        <v>#N/A</v>
      </c>
      <c r="AK5458" s="80">
        <f t="shared" si="862"/>
        <v>0</v>
      </c>
      <c r="AL5458" s="85"/>
      <c r="AM5458" s="85"/>
    </row>
    <row r="5459" spans="1:39" s="86" customFormat="1" ht="13.25" hidden="1" customHeight="1" x14ac:dyDescent="0.3">
      <c r="A5459" s="89" t="s">
        <v>3796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856"/>
        <v>503233.26</v>
      </c>
      <c r="X5459" s="6">
        <f t="shared" si="855"/>
        <v>0</v>
      </c>
      <c r="Y5459" s="13">
        <f t="shared" si="860"/>
        <v>0</v>
      </c>
      <c r="Z5459" s="66">
        <v>0</v>
      </c>
      <c r="AA5459" s="6">
        <v>0</v>
      </c>
      <c r="AB5459" s="4">
        <f t="shared" si="861"/>
        <v>0</v>
      </c>
      <c r="AC5459" s="6">
        <f t="shared" si="857"/>
        <v>0</v>
      </c>
      <c r="AD5459" s="6">
        <f t="shared" si="858"/>
        <v>0</v>
      </c>
      <c r="AE5459" s="14">
        <f>VLOOKUP(I5459,[2]媒体政策预估表!A:N,MATCH(O5459,[2]媒体政策预估表!$A$2:$M$2,0),0)</f>
        <v>0.11</v>
      </c>
      <c r="AF5459" s="6">
        <f t="shared" si="854"/>
        <v>0</v>
      </c>
      <c r="AG5459" s="14">
        <v>0</v>
      </c>
      <c r="AH5459" s="64">
        <f t="shared" si="859"/>
        <v>0</v>
      </c>
      <c r="AI5459" s="47"/>
      <c r="AJ5459" s="126" t="e">
        <v>#N/A</v>
      </c>
      <c r="AK5459" s="80">
        <f t="shared" si="862"/>
        <v>0</v>
      </c>
      <c r="AL5459" s="85"/>
      <c r="AM5459" s="85"/>
    </row>
    <row r="5460" spans="1:39" s="86" customFormat="1" ht="13.25" hidden="1" customHeight="1" x14ac:dyDescent="0.3">
      <c r="A5460" s="89" t="s">
        <v>3792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856"/>
        <v>977656.77000000014</v>
      </c>
      <c r="X5460" s="6">
        <f t="shared" si="855"/>
        <v>699.24038461538464</v>
      </c>
      <c r="Y5460" s="13">
        <f t="shared" si="860"/>
        <v>0</v>
      </c>
      <c r="Z5460" s="66">
        <v>0</v>
      </c>
      <c r="AA5460" s="6">
        <v>0</v>
      </c>
      <c r="AB5460" s="4">
        <f t="shared" si="861"/>
        <v>699.24038461538464</v>
      </c>
      <c r="AC5460" s="6">
        <f t="shared" si="857"/>
        <v>27.969615384615395</v>
      </c>
      <c r="AD5460" s="6">
        <f t="shared" si="858"/>
        <v>727.21</v>
      </c>
      <c r="AE5460" s="14">
        <f>VLOOKUP(I5460,[2]媒体政策预估表!A:N,MATCH(O5460,[2]媒体政策预估表!$A$2:$M$2,0),0)</f>
        <v>0.11</v>
      </c>
      <c r="AF5460" s="6">
        <f t="shared" si="854"/>
        <v>79.993099999999998</v>
      </c>
      <c r="AG5460" s="14">
        <v>0</v>
      </c>
      <c r="AH5460" s="64">
        <f t="shared" si="859"/>
        <v>727.21</v>
      </c>
      <c r="AI5460" s="47"/>
      <c r="AJ5460" s="126" t="e">
        <v>#N/A</v>
      </c>
      <c r="AK5460" s="80">
        <f t="shared" si="862"/>
        <v>0</v>
      </c>
      <c r="AL5460" s="85"/>
      <c r="AM5460" s="85"/>
    </row>
    <row r="5461" spans="1:39" s="86" customFormat="1" ht="13.25" hidden="1" customHeight="1" x14ac:dyDescent="0.3">
      <c r="A5461" s="89" t="s">
        <v>3792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856"/>
        <v>141067.03</v>
      </c>
      <c r="X5461" s="6">
        <f t="shared" si="855"/>
        <v>77.413461538461547</v>
      </c>
      <c r="Y5461" s="13">
        <f t="shared" si="860"/>
        <v>0</v>
      </c>
      <c r="Z5461" s="66">
        <v>0</v>
      </c>
      <c r="AA5461" s="6">
        <v>0</v>
      </c>
      <c r="AB5461" s="4">
        <f t="shared" si="861"/>
        <v>77.413461538461547</v>
      </c>
      <c r="AC5461" s="6">
        <f t="shared" si="857"/>
        <v>3.0965384615384579</v>
      </c>
      <c r="AD5461" s="6">
        <f t="shared" si="858"/>
        <v>80.510000000000005</v>
      </c>
      <c r="AE5461" s="14">
        <f>VLOOKUP(I5461,[2]媒体政策预估表!A:N,MATCH(O5461,[2]媒体政策预估表!$A$2:$M$2,0),0)</f>
        <v>0.11</v>
      </c>
      <c r="AF5461" s="6">
        <f t="shared" si="854"/>
        <v>8.8561000000000014</v>
      </c>
      <c r="AG5461" s="14">
        <v>0</v>
      </c>
      <c r="AH5461" s="64">
        <f t="shared" si="859"/>
        <v>80.510000000000005</v>
      </c>
      <c r="AI5461" s="47"/>
      <c r="AJ5461" s="126" t="e">
        <v>#N/A</v>
      </c>
      <c r="AK5461" s="80">
        <f t="shared" si="862"/>
        <v>0</v>
      </c>
      <c r="AL5461" s="85"/>
      <c r="AM5461" s="85"/>
    </row>
    <row r="5462" spans="1:39" s="86" customFormat="1" ht="13.25" hidden="1" customHeight="1" x14ac:dyDescent="0.3">
      <c r="A5462" s="89" t="s">
        <v>3794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856"/>
        <v>159905.9</v>
      </c>
      <c r="X5462" s="6">
        <f t="shared" si="855"/>
        <v>90.480769230769226</v>
      </c>
      <c r="Y5462" s="13">
        <f t="shared" si="860"/>
        <v>0</v>
      </c>
      <c r="Z5462" s="66">
        <v>0</v>
      </c>
      <c r="AA5462" s="6">
        <v>0</v>
      </c>
      <c r="AB5462" s="4">
        <f t="shared" si="861"/>
        <v>90.480769230769226</v>
      </c>
      <c r="AC5462" s="6">
        <f t="shared" si="857"/>
        <v>3.6192307692307679</v>
      </c>
      <c r="AD5462" s="6">
        <f t="shared" si="858"/>
        <v>94.1</v>
      </c>
      <c r="AE5462" s="14">
        <f>VLOOKUP(I5462,[2]媒体政策预估表!A:N,MATCH(O5462,[2]媒体政策预估表!$A$2:$M$2,0),0)</f>
        <v>0.11</v>
      </c>
      <c r="AF5462" s="6">
        <f t="shared" si="854"/>
        <v>10.350999999999999</v>
      </c>
      <c r="AG5462" s="14">
        <v>0</v>
      </c>
      <c r="AH5462" s="64">
        <f t="shared" si="859"/>
        <v>94.1</v>
      </c>
      <c r="AI5462" s="47"/>
      <c r="AJ5462" s="126" t="e">
        <v>#N/A</v>
      </c>
      <c r="AK5462" s="80">
        <f t="shared" si="862"/>
        <v>0</v>
      </c>
      <c r="AL5462" s="85"/>
      <c r="AM5462" s="85"/>
    </row>
    <row r="5463" spans="1:39" s="86" customFormat="1" ht="13.25" hidden="1" customHeight="1" x14ac:dyDescent="0.3">
      <c r="A5463" s="89" t="s">
        <v>3794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856"/>
        <v>423100.67</v>
      </c>
      <c r="X5463" s="6">
        <f t="shared" si="855"/>
        <v>0</v>
      </c>
      <c r="Y5463" s="13">
        <f t="shared" si="860"/>
        <v>0</v>
      </c>
      <c r="Z5463" s="66">
        <v>0</v>
      </c>
      <c r="AA5463" s="6">
        <v>0</v>
      </c>
      <c r="AB5463" s="4">
        <f t="shared" si="861"/>
        <v>0</v>
      </c>
      <c r="AC5463" s="6">
        <f t="shared" si="857"/>
        <v>0</v>
      </c>
      <c r="AD5463" s="6">
        <f t="shared" si="858"/>
        <v>0</v>
      </c>
      <c r="AE5463" s="14">
        <f>VLOOKUP(I5463,[2]媒体政策预估表!A:N,MATCH(O5463,[2]媒体政策预估表!$A$2:$M$2,0),0)</f>
        <v>0.11</v>
      </c>
      <c r="AF5463" s="6">
        <f t="shared" si="854"/>
        <v>0</v>
      </c>
      <c r="AG5463" s="14">
        <v>0</v>
      </c>
      <c r="AH5463" s="64">
        <f t="shared" si="859"/>
        <v>0</v>
      </c>
      <c r="AI5463" s="47"/>
      <c r="AJ5463" s="126" t="e">
        <v>#N/A</v>
      </c>
      <c r="AK5463" s="80">
        <f t="shared" si="862"/>
        <v>0</v>
      </c>
      <c r="AL5463" s="85"/>
      <c r="AM5463" s="85"/>
    </row>
    <row r="5464" spans="1:39" s="86" customFormat="1" ht="13.25" hidden="1" customHeight="1" x14ac:dyDescent="0.3">
      <c r="A5464" s="89" t="s">
        <v>3794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856"/>
        <v>479224.2</v>
      </c>
      <c r="X5464" s="6">
        <f t="shared" si="855"/>
        <v>0</v>
      </c>
      <c r="Y5464" s="13">
        <f t="shared" si="860"/>
        <v>0</v>
      </c>
      <c r="Z5464" s="66">
        <v>0</v>
      </c>
      <c r="AA5464" s="6">
        <v>0</v>
      </c>
      <c r="AB5464" s="4">
        <f t="shared" si="861"/>
        <v>0</v>
      </c>
      <c r="AC5464" s="6">
        <f t="shared" si="857"/>
        <v>0</v>
      </c>
      <c r="AD5464" s="6">
        <f t="shared" si="858"/>
        <v>0</v>
      </c>
      <c r="AE5464" s="14">
        <f>VLOOKUP(I5464,[2]媒体政策预估表!A:N,MATCH(O5464,[2]媒体政策预估表!$A$2:$M$2,0),0)</f>
        <v>0.11</v>
      </c>
      <c r="AF5464" s="6">
        <f t="shared" si="854"/>
        <v>0</v>
      </c>
      <c r="AG5464" s="14">
        <v>0</v>
      </c>
      <c r="AH5464" s="64">
        <f t="shared" si="859"/>
        <v>0</v>
      </c>
      <c r="AI5464" s="47"/>
      <c r="AJ5464" s="126" t="e">
        <v>#N/A</v>
      </c>
      <c r="AK5464" s="80">
        <f t="shared" si="862"/>
        <v>0</v>
      </c>
      <c r="AL5464" s="85"/>
      <c r="AM5464" s="85"/>
    </row>
    <row r="5465" spans="1:39" s="86" customFormat="1" ht="13.25" hidden="1" customHeight="1" x14ac:dyDescent="0.3">
      <c r="A5465" s="89" t="s">
        <v>3792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856"/>
        <v>13453.7</v>
      </c>
      <c r="X5465" s="6">
        <f t="shared" si="855"/>
        <v>1620.2254901960785</v>
      </c>
      <c r="Y5465" s="13">
        <f t="shared" si="860"/>
        <v>0</v>
      </c>
      <c r="Z5465" s="66">
        <v>0</v>
      </c>
      <c r="AA5465" s="6">
        <v>0</v>
      </c>
      <c r="AB5465" s="4">
        <f t="shared" si="861"/>
        <v>1620.2254901960785</v>
      </c>
      <c r="AC5465" s="6">
        <f t="shared" si="857"/>
        <v>32.404509803921655</v>
      </c>
      <c r="AD5465" s="6">
        <f t="shared" si="858"/>
        <v>1652.63</v>
      </c>
      <c r="AE5465" s="14">
        <f>VLOOKUP(I5465,[2]媒体政策预估表!A:N,MATCH(O5465,[2]媒体政策预估表!$A$2:$M$2,0),0)</f>
        <v>7.0000000000000007E-2</v>
      </c>
      <c r="AF5465" s="6">
        <f t="shared" si="854"/>
        <v>115.68410000000002</v>
      </c>
      <c r="AG5465" s="14">
        <v>0</v>
      </c>
      <c r="AH5465" s="64">
        <f t="shared" si="859"/>
        <v>1652.63</v>
      </c>
      <c r="AI5465" s="47"/>
      <c r="AJ5465" s="126" t="e">
        <v>#N/A</v>
      </c>
      <c r="AK5465" s="80">
        <f t="shared" si="862"/>
        <v>0</v>
      </c>
      <c r="AL5465" s="85"/>
      <c r="AM5465" s="85"/>
    </row>
    <row r="5466" spans="1:39" s="86" customFormat="1" ht="13.25" hidden="1" customHeight="1" x14ac:dyDescent="0.3">
      <c r="A5466" s="89" t="s">
        <v>3794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856"/>
        <v>211825.37999999948</v>
      </c>
      <c r="X5466" s="6">
        <f t="shared" si="855"/>
        <v>396773.15533980587</v>
      </c>
      <c r="Y5466" s="13">
        <f t="shared" si="860"/>
        <v>0</v>
      </c>
      <c r="Z5466" s="66">
        <v>0</v>
      </c>
      <c r="AA5466" s="6">
        <v>0</v>
      </c>
      <c r="AB5466" s="4">
        <f t="shared" si="861"/>
        <v>396773.15533980587</v>
      </c>
      <c r="AC5466" s="6">
        <f t="shared" si="857"/>
        <v>11903.19466019416</v>
      </c>
      <c r="AD5466" s="6">
        <f t="shared" si="858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854"/>
        <v>28607.344500000007</v>
      </c>
      <c r="AG5466" s="14">
        <v>0</v>
      </c>
      <c r="AH5466" s="64">
        <f t="shared" si="859"/>
        <v>408676.35000000003</v>
      </c>
      <c r="AI5466" s="47"/>
      <c r="AJ5466" s="126" t="e">
        <v>#N/A</v>
      </c>
      <c r="AK5466" s="80">
        <f t="shared" si="862"/>
        <v>0</v>
      </c>
      <c r="AL5466" s="85"/>
      <c r="AM5466" s="85"/>
    </row>
    <row r="5467" spans="1:39" s="86" customFormat="1" ht="13.25" hidden="1" customHeight="1" x14ac:dyDescent="0.3">
      <c r="A5467" s="89" t="s">
        <v>3796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856"/>
        <v>101597.07000000007</v>
      </c>
      <c r="X5467" s="6">
        <f t="shared" si="855"/>
        <v>1091280.8058252425</v>
      </c>
      <c r="Y5467" s="13">
        <f t="shared" si="860"/>
        <v>0</v>
      </c>
      <c r="Z5467" s="66">
        <v>0</v>
      </c>
      <c r="AA5467" s="6">
        <v>0</v>
      </c>
      <c r="AB5467" s="4">
        <f t="shared" si="861"/>
        <v>1091280.8058252425</v>
      </c>
      <c r="AC5467" s="6">
        <f t="shared" si="857"/>
        <v>32738.424174757209</v>
      </c>
      <c r="AD5467" s="6">
        <f t="shared" si="858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854"/>
        <v>78681.346099999995</v>
      </c>
      <c r="AG5467" s="14">
        <v>0</v>
      </c>
      <c r="AH5467" s="64">
        <f t="shared" si="859"/>
        <v>1124019.2299999997</v>
      </c>
      <c r="AI5467" s="47"/>
      <c r="AJ5467" s="126" t="e">
        <v>#N/A</v>
      </c>
      <c r="AK5467" s="80">
        <f t="shared" si="862"/>
        <v>0</v>
      </c>
      <c r="AL5467" s="85"/>
      <c r="AM5467" s="85"/>
    </row>
    <row r="5468" spans="1:39" s="86" customFormat="1" ht="13.25" hidden="1" customHeight="1" x14ac:dyDescent="0.3">
      <c r="A5468" s="89" t="s">
        <v>3805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3823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856"/>
        <v>375000</v>
      </c>
      <c r="X5468" s="6">
        <f t="shared" si="855"/>
        <v>0</v>
      </c>
      <c r="Y5468" s="13">
        <f t="shared" si="860"/>
        <v>0</v>
      </c>
      <c r="Z5468" s="66">
        <v>0</v>
      </c>
      <c r="AA5468" s="6">
        <v>0</v>
      </c>
      <c r="AB5468" s="4">
        <f t="shared" si="861"/>
        <v>0</v>
      </c>
      <c r="AC5468" s="6">
        <f t="shared" si="857"/>
        <v>0</v>
      </c>
      <c r="AD5468" s="6">
        <f t="shared" si="858"/>
        <v>0</v>
      </c>
      <c r="AE5468" s="14">
        <f>VLOOKUP(I5468,[2]媒体政策预估表!A:N,MATCH(O5468,[2]媒体政策预估表!$A$2:$M$2,0),0)</f>
        <v>0.11</v>
      </c>
      <c r="AF5468" s="6">
        <f t="shared" si="854"/>
        <v>0</v>
      </c>
      <c r="AG5468" s="14">
        <v>0</v>
      </c>
      <c r="AH5468" s="64">
        <f t="shared" si="859"/>
        <v>0</v>
      </c>
      <c r="AI5468" s="47"/>
      <c r="AJ5468" s="126" t="e">
        <v>#N/A</v>
      </c>
      <c r="AK5468" s="80">
        <f t="shared" si="862"/>
        <v>0</v>
      </c>
      <c r="AL5468" s="85"/>
      <c r="AM5468" s="85"/>
    </row>
    <row r="5469" spans="1:39" s="86" customFormat="1" ht="13.25" hidden="1" customHeight="1" x14ac:dyDescent="0.3">
      <c r="A5469" s="89" t="s">
        <v>3794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856"/>
        <v>256000</v>
      </c>
      <c r="X5469" s="6">
        <f t="shared" si="855"/>
        <v>0</v>
      </c>
      <c r="Y5469" s="13">
        <f t="shared" si="860"/>
        <v>0</v>
      </c>
      <c r="Z5469" s="66">
        <v>0</v>
      </c>
      <c r="AA5469" s="6">
        <v>0</v>
      </c>
      <c r="AB5469" s="4">
        <f t="shared" si="861"/>
        <v>0</v>
      </c>
      <c r="AC5469" s="6">
        <f t="shared" si="857"/>
        <v>0</v>
      </c>
      <c r="AD5469" s="6">
        <f t="shared" si="858"/>
        <v>0</v>
      </c>
      <c r="AE5469" s="14">
        <f>VLOOKUP(I5469,[2]媒体政策预估表!A:N,MATCH(O5469,[2]媒体政策预估表!$A$2:$M$2,0),0)</f>
        <v>7.0000000000000007E-2</v>
      </c>
      <c r="AF5469" s="6">
        <f t="shared" si="854"/>
        <v>0</v>
      </c>
      <c r="AG5469" s="14">
        <v>0</v>
      </c>
      <c r="AH5469" s="64">
        <f t="shared" si="859"/>
        <v>0</v>
      </c>
      <c r="AI5469" s="47"/>
      <c r="AJ5469" s="126" t="e">
        <v>#N/A</v>
      </c>
      <c r="AK5469" s="80">
        <f t="shared" si="862"/>
        <v>0</v>
      </c>
      <c r="AL5469" s="85"/>
      <c r="AM5469" s="85"/>
    </row>
    <row r="5470" spans="1:39" s="86" customFormat="1" ht="13.25" hidden="1" customHeight="1" x14ac:dyDescent="0.3">
      <c r="A5470" s="89" t="s">
        <v>3806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856"/>
        <v>148960.09000000003</v>
      </c>
      <c r="X5470" s="6">
        <f t="shared" si="855"/>
        <v>153371.34285714282</v>
      </c>
      <c r="Y5470" s="13">
        <f t="shared" si="860"/>
        <v>0</v>
      </c>
      <c r="Z5470" s="66">
        <v>0</v>
      </c>
      <c r="AA5470" s="6">
        <v>0</v>
      </c>
      <c r="AB5470" s="4">
        <f t="shared" si="861"/>
        <v>153371.34285714282</v>
      </c>
      <c r="AC5470" s="6">
        <f t="shared" si="857"/>
        <v>7668.5671428571513</v>
      </c>
      <c r="AD5470" s="6">
        <f t="shared" si="858"/>
        <v>161039.90999999997</v>
      </c>
      <c r="AE5470" s="14">
        <f>VLOOKUP(I5470,[2]媒体政策预估表!A:N,MATCH(O5470,[2]媒体政策预估表!$A$2:$M$2,0),0)</f>
        <v>0.11</v>
      </c>
      <c r="AF5470" s="6">
        <f t="shared" si="854"/>
        <v>17714.390099999997</v>
      </c>
      <c r="AG5470" s="14">
        <v>0</v>
      </c>
      <c r="AH5470" s="64">
        <f t="shared" si="859"/>
        <v>161039.90999999997</v>
      </c>
      <c r="AI5470" s="47"/>
      <c r="AJ5470" s="126" t="e">
        <v>#N/A</v>
      </c>
      <c r="AK5470" s="80">
        <f t="shared" si="862"/>
        <v>0</v>
      </c>
      <c r="AL5470" s="85"/>
      <c r="AM5470" s="85"/>
    </row>
    <row r="5471" spans="1:39" s="86" customFormat="1" ht="13.25" hidden="1" customHeight="1" x14ac:dyDescent="0.3">
      <c r="A5471" s="89" t="s">
        <v>3792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3824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856"/>
        <v>50000</v>
      </c>
      <c r="X5471" s="6">
        <f t="shared" si="855"/>
        <v>0</v>
      </c>
      <c r="Y5471" s="13">
        <f t="shared" si="860"/>
        <v>0</v>
      </c>
      <c r="Z5471" s="66">
        <v>0</v>
      </c>
      <c r="AA5471" s="6">
        <v>0</v>
      </c>
      <c r="AB5471" s="4">
        <f t="shared" si="861"/>
        <v>0</v>
      </c>
      <c r="AC5471" s="6">
        <f t="shared" si="857"/>
        <v>0</v>
      </c>
      <c r="AD5471" s="6">
        <f t="shared" si="858"/>
        <v>0</v>
      </c>
      <c r="AE5471" s="14">
        <f>VLOOKUP(I5471,[2]媒体政策预估表!A:N,MATCH(O5471,[2]媒体政策预估表!$A$2:$M$2,0),0)</f>
        <v>0.11</v>
      </c>
      <c r="AF5471" s="6">
        <f t="shared" si="854"/>
        <v>0</v>
      </c>
      <c r="AG5471" s="14">
        <v>0</v>
      </c>
      <c r="AH5471" s="64">
        <f t="shared" si="859"/>
        <v>0</v>
      </c>
      <c r="AI5471" s="47"/>
      <c r="AJ5471" s="126" t="e">
        <v>#N/A</v>
      </c>
      <c r="AK5471" s="80">
        <f t="shared" si="862"/>
        <v>0</v>
      </c>
      <c r="AL5471" s="85"/>
      <c r="AM5471" s="85"/>
    </row>
    <row r="5472" spans="1:39" s="86" customFormat="1" ht="13.25" hidden="1" customHeight="1" x14ac:dyDescent="0.3">
      <c r="A5472" s="89" t="s">
        <v>3806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3824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856"/>
        <v>50000</v>
      </c>
      <c r="X5472" s="6">
        <f t="shared" si="855"/>
        <v>0</v>
      </c>
      <c r="Y5472" s="13">
        <f t="shared" si="860"/>
        <v>0</v>
      </c>
      <c r="Z5472" s="66">
        <v>0</v>
      </c>
      <c r="AA5472" s="6">
        <v>0</v>
      </c>
      <c r="AB5472" s="4">
        <f t="shared" si="861"/>
        <v>0</v>
      </c>
      <c r="AC5472" s="6">
        <f t="shared" si="857"/>
        <v>0</v>
      </c>
      <c r="AD5472" s="6">
        <f t="shared" si="858"/>
        <v>0</v>
      </c>
      <c r="AE5472" s="14">
        <f>VLOOKUP(I5472,[2]媒体政策预估表!A:N,MATCH(O5472,[2]媒体政策预估表!$A$2:$M$2,0),0)</f>
        <v>7.0000000000000007E-2</v>
      </c>
      <c r="AF5472" s="6">
        <f t="shared" si="854"/>
        <v>0</v>
      </c>
      <c r="AG5472" s="14">
        <v>0</v>
      </c>
      <c r="AH5472" s="64">
        <f t="shared" si="859"/>
        <v>0</v>
      </c>
      <c r="AI5472" s="47"/>
      <c r="AJ5472" s="126" t="e">
        <v>#N/A</v>
      </c>
      <c r="AK5472" s="80">
        <f t="shared" si="862"/>
        <v>0</v>
      </c>
      <c r="AL5472" s="85"/>
      <c r="AM5472" s="85"/>
    </row>
    <row r="5473" spans="1:39" s="86" customFormat="1" ht="13.25" hidden="1" customHeight="1" x14ac:dyDescent="0.3">
      <c r="A5473" s="89" t="s">
        <v>3792</v>
      </c>
      <c r="B5473" s="86" t="s">
        <v>35</v>
      </c>
      <c r="C5473" s="86" t="s">
        <v>164</v>
      </c>
      <c r="D5473" s="86" t="s">
        <v>174</v>
      </c>
      <c r="E5473" s="86" t="s">
        <v>3825</v>
      </c>
      <c r="F5473" s="86" t="s">
        <v>3825</v>
      </c>
      <c r="G5473" s="86" t="s">
        <v>3825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3826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856"/>
        <v>1545.67</v>
      </c>
      <c r="X5473" s="6">
        <f t="shared" si="855"/>
        <v>13190.519607843136</v>
      </c>
      <c r="Y5473" s="13">
        <f t="shared" si="860"/>
        <v>0</v>
      </c>
      <c r="Z5473" s="66">
        <v>0</v>
      </c>
      <c r="AA5473" s="6">
        <v>0</v>
      </c>
      <c r="AB5473" s="4">
        <f t="shared" si="861"/>
        <v>13190.519607843136</v>
      </c>
      <c r="AC5473" s="6">
        <f t="shared" si="857"/>
        <v>263.8103921568636</v>
      </c>
      <c r="AD5473" s="6">
        <f t="shared" si="858"/>
        <v>13454.33</v>
      </c>
      <c r="AE5473" s="14">
        <f>VLOOKUP(I5473,[2]媒体政策预估表!A:N,MATCH(O5473,[2]媒体政策预估表!$A$2:$M$2,0),0)</f>
        <v>7.0000000000000007E-2</v>
      </c>
      <c r="AF5473" s="6">
        <f t="shared" si="854"/>
        <v>941.80310000000009</v>
      </c>
      <c r="AG5473" s="14">
        <v>0</v>
      </c>
      <c r="AH5473" s="64">
        <f t="shared" si="859"/>
        <v>13454.33</v>
      </c>
      <c r="AI5473" s="47"/>
      <c r="AJ5473" s="126" t="e">
        <v>#N/A</v>
      </c>
      <c r="AK5473" s="80">
        <f t="shared" si="862"/>
        <v>0</v>
      </c>
      <c r="AL5473" s="85"/>
      <c r="AM5473" s="85"/>
    </row>
    <row r="5474" spans="1:39" s="86" customFormat="1" ht="13.25" hidden="1" customHeight="1" x14ac:dyDescent="0.3">
      <c r="A5474" s="89" t="s">
        <v>3796</v>
      </c>
      <c r="B5474" s="86" t="s">
        <v>35</v>
      </c>
      <c r="C5474" s="86" t="s">
        <v>164</v>
      </c>
      <c r="D5474" s="86" t="s">
        <v>174</v>
      </c>
      <c r="E5474" s="86" t="s">
        <v>3827</v>
      </c>
      <c r="F5474" s="86" t="s">
        <v>3827</v>
      </c>
      <c r="G5474" s="86" t="s">
        <v>3827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3828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856"/>
        <v>4459.8</v>
      </c>
      <c r="X5474" s="6">
        <f t="shared" si="855"/>
        <v>519.42307692307691</v>
      </c>
      <c r="Y5474" s="13">
        <f t="shared" si="860"/>
        <v>0</v>
      </c>
      <c r="Z5474" s="66">
        <v>0</v>
      </c>
      <c r="AA5474" s="6">
        <v>0</v>
      </c>
      <c r="AB5474" s="4">
        <f t="shared" si="861"/>
        <v>519.42307692307691</v>
      </c>
      <c r="AC5474" s="6">
        <f t="shared" si="857"/>
        <v>20.77692307692314</v>
      </c>
      <c r="AD5474" s="6">
        <f t="shared" si="858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854"/>
        <v>37.814000000000007</v>
      </c>
      <c r="AG5474" s="14">
        <v>0</v>
      </c>
      <c r="AH5474" s="64">
        <f t="shared" si="859"/>
        <v>540.20000000000005</v>
      </c>
      <c r="AI5474" s="47"/>
      <c r="AJ5474" s="126" t="e">
        <v>#N/A</v>
      </c>
      <c r="AK5474" s="80">
        <f t="shared" si="862"/>
        <v>0</v>
      </c>
      <c r="AL5474" s="85"/>
      <c r="AM5474" s="85"/>
    </row>
    <row r="5475" spans="1:39" s="86" customFormat="1" ht="13.25" hidden="1" customHeight="1" x14ac:dyDescent="0.3">
      <c r="A5475" s="89" t="s">
        <v>3794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3829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856"/>
        <v>34791.29</v>
      </c>
      <c r="X5475" s="6">
        <f t="shared" si="855"/>
        <v>14910.5</v>
      </c>
      <c r="Y5475" s="13">
        <f t="shared" si="860"/>
        <v>0</v>
      </c>
      <c r="Z5475" s="66">
        <v>0</v>
      </c>
      <c r="AA5475" s="6">
        <v>0</v>
      </c>
      <c r="AB5475" s="4">
        <f t="shared" si="861"/>
        <v>14910.5</v>
      </c>
      <c r="AC5475" s="6">
        <f t="shared" si="857"/>
        <v>298.21000000000095</v>
      </c>
      <c r="AD5475" s="6">
        <f t="shared" si="858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854"/>
        <v>1064.6097000000002</v>
      </c>
      <c r="AG5475" s="14">
        <v>0</v>
      </c>
      <c r="AH5475" s="64">
        <f t="shared" si="859"/>
        <v>15208.710000000001</v>
      </c>
      <c r="AI5475" s="47"/>
      <c r="AJ5475" s="126" t="e">
        <v>#N/A</v>
      </c>
      <c r="AK5475" s="80">
        <f t="shared" si="862"/>
        <v>0</v>
      </c>
      <c r="AL5475" s="85"/>
      <c r="AM5475" s="85"/>
    </row>
    <row r="5476" spans="1:39" s="86" customFormat="1" ht="13.25" hidden="1" customHeight="1" x14ac:dyDescent="0.3">
      <c r="A5476" s="89" t="s">
        <v>3805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856"/>
        <v>18262.799999999988</v>
      </c>
      <c r="X5476" s="6">
        <f t="shared" si="855"/>
        <v>101737.20000000001</v>
      </c>
      <c r="Y5476" s="13">
        <f t="shared" si="860"/>
        <v>0</v>
      </c>
      <c r="Z5476" s="66">
        <v>0</v>
      </c>
      <c r="AA5476" s="6">
        <v>0</v>
      </c>
      <c r="AB5476" s="4"/>
      <c r="AC5476" s="6">
        <f t="shared" si="857"/>
        <v>0</v>
      </c>
      <c r="AD5476" s="6">
        <f t="shared" si="858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863">AD5476*AE5476</f>
        <v>7121.6040000000012</v>
      </c>
      <c r="AG5476" s="14">
        <v>0</v>
      </c>
      <c r="AH5476" s="64">
        <f t="shared" si="859"/>
        <v>101737.20000000001</v>
      </c>
      <c r="AI5476" s="47"/>
      <c r="AJ5476" s="126">
        <v>109</v>
      </c>
      <c r="AK5476" s="80">
        <f t="shared" si="862"/>
        <v>101737.20000000001</v>
      </c>
      <c r="AL5476" s="85"/>
      <c r="AM5476" s="85"/>
    </row>
    <row r="5477" spans="1:39" s="86" customFormat="1" ht="13.25" hidden="1" customHeight="1" x14ac:dyDescent="0.3">
      <c r="A5477" s="89" t="s">
        <v>3794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856"/>
        <v>39556.520000000019</v>
      </c>
      <c r="X5477" s="6">
        <f t="shared" si="855"/>
        <v>140443.47999999998</v>
      </c>
      <c r="Y5477" s="13">
        <f t="shared" si="860"/>
        <v>0</v>
      </c>
      <c r="Z5477" s="66">
        <v>0</v>
      </c>
      <c r="AA5477" s="6">
        <v>0</v>
      </c>
      <c r="AB5477" s="4"/>
      <c r="AC5477" s="6">
        <f t="shared" si="857"/>
        <v>0</v>
      </c>
      <c r="AD5477" s="6">
        <f t="shared" si="858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863"/>
        <v>9831.0435999999991</v>
      </c>
      <c r="AG5477" s="14">
        <v>0</v>
      </c>
      <c r="AH5477" s="64">
        <f t="shared" si="859"/>
        <v>140443.47999999998</v>
      </c>
      <c r="AI5477" s="47"/>
      <c r="AJ5477" s="126">
        <v>109</v>
      </c>
      <c r="AK5477" s="80">
        <f t="shared" si="862"/>
        <v>140443.47999999998</v>
      </c>
      <c r="AL5477" s="85"/>
      <c r="AM5477" s="85"/>
    </row>
    <row r="5478" spans="1:39" s="86" customFormat="1" ht="13.25" hidden="1" customHeight="1" x14ac:dyDescent="0.3">
      <c r="A5478" s="89" t="s">
        <v>3792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856"/>
        <v>0</v>
      </c>
      <c r="X5478" s="6">
        <f t="shared" si="855"/>
        <v>32170.349999999995</v>
      </c>
      <c r="Y5478" s="13">
        <f t="shared" si="860"/>
        <v>0</v>
      </c>
      <c r="Z5478" s="66">
        <v>0</v>
      </c>
      <c r="AA5478" s="6">
        <v>0</v>
      </c>
      <c r="AB5478" s="4">
        <f t="shared" si="861"/>
        <v>32170.349999999995</v>
      </c>
      <c r="AC5478" s="6">
        <f t="shared" si="857"/>
        <v>0</v>
      </c>
      <c r="AD5478" s="6">
        <f t="shared" si="858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863"/>
        <v>2251.9245000000001</v>
      </c>
      <c r="AG5478" s="14">
        <v>0</v>
      </c>
      <c r="AH5478" s="64">
        <f t="shared" si="859"/>
        <v>32170.349999999995</v>
      </c>
      <c r="AI5478" s="47"/>
      <c r="AJ5478" s="126" t="e">
        <v>#N/A</v>
      </c>
      <c r="AK5478" s="80">
        <f t="shared" si="862"/>
        <v>0</v>
      </c>
      <c r="AL5478" s="85"/>
      <c r="AM5478" s="85"/>
    </row>
    <row r="5479" spans="1:39" s="86" customFormat="1" ht="13.25" hidden="1" customHeight="1" x14ac:dyDescent="0.3">
      <c r="A5479" s="89" t="s">
        <v>3792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856"/>
        <v>25448.93</v>
      </c>
      <c r="X5479" s="6">
        <f t="shared" si="855"/>
        <v>12880.820000000002</v>
      </c>
      <c r="Y5479" s="13">
        <f t="shared" si="860"/>
        <v>0</v>
      </c>
      <c r="Z5479" s="66">
        <v>0</v>
      </c>
      <c r="AA5479" s="6">
        <v>0</v>
      </c>
      <c r="AB5479" s="4">
        <f t="shared" si="861"/>
        <v>12880.820000000002</v>
      </c>
      <c r="AC5479" s="6">
        <f t="shared" si="857"/>
        <v>0</v>
      </c>
      <c r="AD5479" s="6">
        <f t="shared" si="858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863"/>
        <v>901.65740000000017</v>
      </c>
      <c r="AG5479" s="14">
        <v>0</v>
      </c>
      <c r="AH5479" s="64">
        <f t="shared" si="859"/>
        <v>12880.820000000002</v>
      </c>
      <c r="AI5479" s="47"/>
      <c r="AJ5479" s="126" t="e">
        <v>#N/A</v>
      </c>
      <c r="AK5479" s="80">
        <f t="shared" si="862"/>
        <v>0</v>
      </c>
      <c r="AL5479" s="85"/>
      <c r="AM5479" s="85"/>
    </row>
    <row r="5480" spans="1:39" s="86" customFormat="1" ht="13.25" hidden="1" customHeight="1" x14ac:dyDescent="0.3">
      <c r="A5480" s="89" t="s">
        <v>3794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856"/>
        <v>10928</v>
      </c>
      <c r="X5480" s="6">
        <f t="shared" si="855"/>
        <v>57021</v>
      </c>
      <c r="Y5480" s="13">
        <f t="shared" si="860"/>
        <v>0</v>
      </c>
      <c r="Z5480" s="66">
        <v>0</v>
      </c>
      <c r="AA5480" s="6">
        <v>0</v>
      </c>
      <c r="AB5480" s="4">
        <f t="shared" si="861"/>
        <v>57021</v>
      </c>
      <c r="AC5480" s="6">
        <f t="shared" si="857"/>
        <v>0</v>
      </c>
      <c r="AD5480" s="6">
        <f t="shared" si="858"/>
        <v>57021</v>
      </c>
      <c r="AE5480" s="14">
        <f>VLOOKUP(I5480,[2]媒体政策预估表!A:N,MATCH(O5480,[2]媒体政策预估表!$A$2:$M$2,0),0)</f>
        <v>7.0000000000000007E-2</v>
      </c>
      <c r="AF5480" s="6">
        <f t="shared" si="863"/>
        <v>3991.4700000000003</v>
      </c>
      <c r="AG5480" s="14">
        <v>0</v>
      </c>
      <c r="AH5480" s="64">
        <f t="shared" si="859"/>
        <v>57021</v>
      </c>
      <c r="AI5480" s="47"/>
      <c r="AJ5480" s="126" t="e">
        <v>#N/A</v>
      </c>
      <c r="AK5480" s="80">
        <f t="shared" si="862"/>
        <v>0</v>
      </c>
      <c r="AL5480" s="85"/>
      <c r="AM5480" s="85"/>
    </row>
    <row r="5481" spans="1:39" s="86" customFormat="1" ht="13.25" hidden="1" customHeight="1" x14ac:dyDescent="0.3">
      <c r="A5481" s="89" t="s">
        <v>3805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856"/>
        <v>23593.789999999986</v>
      </c>
      <c r="X5481" s="6">
        <f t="shared" si="855"/>
        <v>34180.86</v>
      </c>
      <c r="Y5481" s="13">
        <f t="shared" si="860"/>
        <v>0</v>
      </c>
      <c r="Z5481" s="66">
        <v>0</v>
      </c>
      <c r="AA5481" s="6">
        <v>0</v>
      </c>
      <c r="AB5481" s="4">
        <f t="shared" si="861"/>
        <v>34180.86</v>
      </c>
      <c r="AC5481" s="6">
        <f t="shared" si="857"/>
        <v>0</v>
      </c>
      <c r="AD5481" s="6">
        <f t="shared" si="858"/>
        <v>34180.86</v>
      </c>
      <c r="AE5481" s="14">
        <f>VLOOKUP(I5481,[2]媒体政策预估表!A:N,MATCH(O5481,[2]媒体政策预估表!$A$2:$M$2,0),0)</f>
        <v>7.0000000000000007E-2</v>
      </c>
      <c r="AF5481" s="6">
        <f t="shared" si="863"/>
        <v>2392.6602000000003</v>
      </c>
      <c r="AG5481" s="14">
        <v>0</v>
      </c>
      <c r="AH5481" s="64">
        <f t="shared" si="859"/>
        <v>34180.86</v>
      </c>
      <c r="AI5481" s="47"/>
      <c r="AJ5481" s="126" t="e">
        <v>#N/A</v>
      </c>
      <c r="AK5481" s="80">
        <f t="shared" si="862"/>
        <v>0</v>
      </c>
      <c r="AL5481" s="85"/>
      <c r="AM5481" s="85"/>
    </row>
    <row r="5482" spans="1:39" s="86" customFormat="1" ht="13.25" hidden="1" customHeight="1" x14ac:dyDescent="0.3">
      <c r="A5482" s="89" t="s">
        <v>3794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856"/>
        <v>25183.009999999951</v>
      </c>
      <c r="X5482" s="6">
        <f t="shared" si="855"/>
        <v>116108.29000000004</v>
      </c>
      <c r="Y5482" s="13">
        <f t="shared" si="860"/>
        <v>0</v>
      </c>
      <c r="Z5482" s="66">
        <v>0</v>
      </c>
      <c r="AA5482" s="6">
        <v>0</v>
      </c>
      <c r="AB5482" s="4">
        <f t="shared" si="861"/>
        <v>116108.29000000004</v>
      </c>
      <c r="AC5482" s="6">
        <f t="shared" si="857"/>
        <v>0</v>
      </c>
      <c r="AD5482" s="6">
        <f t="shared" si="858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863"/>
        <v>8127.5803000000033</v>
      </c>
      <c r="AG5482" s="14">
        <v>0</v>
      </c>
      <c r="AH5482" s="64">
        <f t="shared" si="859"/>
        <v>116108.29000000004</v>
      </c>
      <c r="AI5482" s="47"/>
      <c r="AJ5482" s="126" t="e">
        <v>#N/A</v>
      </c>
      <c r="AK5482" s="80">
        <f t="shared" si="862"/>
        <v>0</v>
      </c>
      <c r="AL5482" s="85"/>
      <c r="AM5482" s="85"/>
    </row>
    <row r="5483" spans="1:39" s="86" customFormat="1" ht="13.25" hidden="1" customHeight="1" x14ac:dyDescent="0.3">
      <c r="A5483" s="89" t="s">
        <v>3794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856"/>
        <v>121295.59999999998</v>
      </c>
      <c r="X5483" s="6">
        <f t="shared" si="855"/>
        <v>72722.63</v>
      </c>
      <c r="Y5483" s="13">
        <f t="shared" si="860"/>
        <v>0</v>
      </c>
      <c r="Z5483" s="66">
        <v>0</v>
      </c>
      <c r="AA5483" s="6">
        <v>0</v>
      </c>
      <c r="AB5483" s="4">
        <f t="shared" si="861"/>
        <v>72722.63</v>
      </c>
      <c r="AC5483" s="6">
        <f t="shared" si="857"/>
        <v>0</v>
      </c>
      <c r="AD5483" s="6">
        <f t="shared" si="858"/>
        <v>72722.63</v>
      </c>
      <c r="AE5483" s="14">
        <f>VLOOKUP(I5483,[2]媒体政策预估表!A:N,MATCH(O5483,[2]媒体政策预估表!$A$2:$M$2,0),0)</f>
        <v>7.0000000000000007E-2</v>
      </c>
      <c r="AF5483" s="6">
        <f t="shared" si="863"/>
        <v>5090.5841000000009</v>
      </c>
      <c r="AG5483" s="14">
        <v>0</v>
      </c>
      <c r="AH5483" s="64">
        <f t="shared" si="859"/>
        <v>72722.63</v>
      </c>
      <c r="AI5483" s="47"/>
      <c r="AJ5483" s="126" t="e">
        <v>#N/A</v>
      </c>
      <c r="AK5483" s="80">
        <f t="shared" si="862"/>
        <v>0</v>
      </c>
      <c r="AL5483" s="85"/>
      <c r="AM5483" s="85"/>
    </row>
    <row r="5484" spans="1:39" s="86" customFormat="1" ht="13.25" hidden="1" customHeight="1" x14ac:dyDescent="0.3">
      <c r="A5484" s="89" t="s">
        <v>3794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856"/>
        <v>3787.2000000000044</v>
      </c>
      <c r="X5484" s="6">
        <f t="shared" si="855"/>
        <v>14638.599999999999</v>
      </c>
      <c r="Y5484" s="13">
        <f t="shared" si="860"/>
        <v>0</v>
      </c>
      <c r="Z5484" s="66">
        <v>0</v>
      </c>
      <c r="AA5484" s="6">
        <v>0</v>
      </c>
      <c r="AB5484" s="4">
        <f t="shared" si="861"/>
        <v>14638.599999999999</v>
      </c>
      <c r="AC5484" s="6">
        <f t="shared" si="857"/>
        <v>0</v>
      </c>
      <c r="AD5484" s="6">
        <f t="shared" si="858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863"/>
        <v>1024.702</v>
      </c>
      <c r="AG5484" s="14">
        <v>0</v>
      </c>
      <c r="AH5484" s="64">
        <f t="shared" si="859"/>
        <v>14638.599999999999</v>
      </c>
      <c r="AI5484" s="47"/>
      <c r="AJ5484" s="126" t="e">
        <v>#N/A</v>
      </c>
      <c r="AK5484" s="80">
        <f t="shared" si="862"/>
        <v>0</v>
      </c>
      <c r="AL5484" s="85"/>
      <c r="AM5484" s="85"/>
    </row>
    <row r="5485" spans="1:39" s="86" customFormat="1" ht="13.25" hidden="1" customHeight="1" x14ac:dyDescent="0.3">
      <c r="A5485" s="89" t="s">
        <v>3794</v>
      </c>
      <c r="B5485" s="86" t="s">
        <v>35</v>
      </c>
      <c r="C5485" s="86" t="s">
        <v>184</v>
      </c>
      <c r="D5485" s="86" t="s">
        <v>224</v>
      </c>
      <c r="E5485" s="86" t="s">
        <v>3830</v>
      </c>
      <c r="F5485" s="86" t="s">
        <v>3831</v>
      </c>
      <c r="G5485" s="86" t="s">
        <v>3830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3832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856"/>
        <v>1756</v>
      </c>
      <c r="X5485" s="6">
        <f t="shared" si="855"/>
        <v>8244</v>
      </c>
      <c r="Y5485" s="13">
        <f t="shared" si="860"/>
        <v>0</v>
      </c>
      <c r="Z5485" s="66">
        <v>0</v>
      </c>
      <c r="AA5485" s="6">
        <v>0</v>
      </c>
      <c r="AB5485" s="4">
        <v>8244</v>
      </c>
      <c r="AC5485" s="6">
        <f t="shared" si="857"/>
        <v>0</v>
      </c>
      <c r="AD5485" s="6">
        <f t="shared" si="858"/>
        <v>8244</v>
      </c>
      <c r="AE5485" s="14">
        <f>VLOOKUP(I5485,[2]媒体政策预估表!A:N,MATCH(O5485,[2]媒体政策预估表!$A$2:$M$2,0),0)</f>
        <v>7.0000000000000007E-2</v>
      </c>
      <c r="AF5485" s="6">
        <f t="shared" si="863"/>
        <v>577.08000000000004</v>
      </c>
      <c r="AG5485" s="14">
        <v>0</v>
      </c>
      <c r="AH5485" s="64">
        <f t="shared" si="859"/>
        <v>8244</v>
      </c>
      <c r="AI5485" s="47"/>
      <c r="AJ5485" s="126">
        <v>5</v>
      </c>
      <c r="AK5485" s="80">
        <f t="shared" si="862"/>
        <v>0</v>
      </c>
      <c r="AL5485" s="85"/>
      <c r="AM5485" s="85"/>
    </row>
    <row r="5486" spans="1:39" s="86" customFormat="1" ht="13.25" hidden="1" customHeight="1" x14ac:dyDescent="0.3">
      <c r="A5486" s="89" t="s">
        <v>3792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3833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856"/>
        <v>5000</v>
      </c>
      <c r="X5486" s="6">
        <f t="shared" si="855"/>
        <v>0</v>
      </c>
      <c r="Y5486" s="13">
        <f t="shared" si="860"/>
        <v>0</v>
      </c>
      <c r="Z5486" s="66">
        <v>0</v>
      </c>
      <c r="AA5486" s="6">
        <v>0</v>
      </c>
      <c r="AB5486" s="4">
        <f t="shared" si="861"/>
        <v>0</v>
      </c>
      <c r="AC5486" s="6">
        <f t="shared" si="857"/>
        <v>0</v>
      </c>
      <c r="AD5486" s="6">
        <f t="shared" si="858"/>
        <v>0</v>
      </c>
      <c r="AE5486" s="14">
        <f>VLOOKUP(I5486,[2]媒体政策预估表!A:N,MATCH(O5486,[2]媒体政策预估表!$A$2:$M$2,0),0)</f>
        <v>0.11</v>
      </c>
      <c r="AF5486" s="6">
        <f t="shared" si="863"/>
        <v>0</v>
      </c>
      <c r="AG5486" s="14">
        <v>0</v>
      </c>
      <c r="AH5486" s="64">
        <f t="shared" si="859"/>
        <v>0</v>
      </c>
      <c r="AI5486" s="47"/>
      <c r="AJ5486" s="126" t="e">
        <v>#N/A</v>
      </c>
      <c r="AK5486" s="80">
        <f t="shared" si="862"/>
        <v>0</v>
      </c>
      <c r="AL5486" s="85"/>
      <c r="AM5486" s="85"/>
    </row>
    <row r="5487" spans="1:39" s="86" customFormat="1" ht="13.25" hidden="1" customHeight="1" x14ac:dyDescent="0.3">
      <c r="A5487" s="89" t="s">
        <v>3794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856"/>
        <v>0</v>
      </c>
      <c r="X5487" s="6">
        <f t="shared" si="855"/>
        <v>0</v>
      </c>
      <c r="Y5487" s="13">
        <f t="shared" si="860"/>
        <v>0</v>
      </c>
      <c r="Z5487" s="66">
        <v>0</v>
      </c>
      <c r="AA5487" s="6">
        <v>0</v>
      </c>
      <c r="AB5487" s="4">
        <f t="shared" si="861"/>
        <v>0</v>
      </c>
      <c r="AC5487" s="6">
        <f t="shared" si="857"/>
        <v>0</v>
      </c>
      <c r="AD5487" s="6">
        <f t="shared" si="858"/>
        <v>0</v>
      </c>
      <c r="AE5487" s="14">
        <f>VLOOKUP(I5487,[2]媒体政策预估表!A:N,MATCH(O5487,[2]媒体政策预估表!$A$2:$M$2,0),0)</f>
        <v>7.0000000000000007E-2</v>
      </c>
      <c r="AF5487" s="6">
        <f t="shared" si="863"/>
        <v>0</v>
      </c>
      <c r="AG5487" s="14">
        <v>0</v>
      </c>
      <c r="AH5487" s="64">
        <f t="shared" si="859"/>
        <v>0</v>
      </c>
      <c r="AI5487" s="47"/>
      <c r="AJ5487" s="126" t="e">
        <v>#N/A</v>
      </c>
      <c r="AK5487" s="80">
        <f t="shared" si="862"/>
        <v>0</v>
      </c>
      <c r="AL5487" s="85"/>
      <c r="AM5487" s="85"/>
    </row>
    <row r="5488" spans="1:39" s="86" customFormat="1" ht="13.25" hidden="1" customHeight="1" x14ac:dyDescent="0.3">
      <c r="A5488" s="89" t="s">
        <v>3806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856"/>
        <v>36798.330000000016</v>
      </c>
      <c r="X5488" s="6">
        <f t="shared" si="855"/>
        <v>264970.5</v>
      </c>
      <c r="Y5488" s="13">
        <f t="shared" si="860"/>
        <v>0</v>
      </c>
      <c r="Z5488" s="66">
        <v>0</v>
      </c>
      <c r="AA5488" s="6">
        <v>0</v>
      </c>
      <c r="AB5488" s="4">
        <f t="shared" si="861"/>
        <v>264970.5</v>
      </c>
      <c r="AC5488" s="6">
        <f t="shared" si="857"/>
        <v>0</v>
      </c>
      <c r="AD5488" s="6">
        <f t="shared" si="858"/>
        <v>264970.5</v>
      </c>
      <c r="AE5488" s="14">
        <f>VLOOKUP(I5488,[2]媒体政策预估表!A:N,MATCH(O5488,[2]媒体政策预估表!$A$2:$M$2,0),0)</f>
        <v>7.0000000000000007E-2</v>
      </c>
      <c r="AF5488" s="6">
        <f t="shared" si="863"/>
        <v>18547.935000000001</v>
      </c>
      <c r="AG5488" s="14">
        <v>0</v>
      </c>
      <c r="AH5488" s="64">
        <f t="shared" si="859"/>
        <v>264970.5</v>
      </c>
      <c r="AI5488" s="47"/>
      <c r="AJ5488" s="126" t="e">
        <v>#N/A</v>
      </c>
      <c r="AK5488" s="80">
        <f t="shared" si="862"/>
        <v>0</v>
      </c>
      <c r="AL5488" s="85"/>
      <c r="AM5488" s="85"/>
    </row>
    <row r="5489" spans="1:39" s="86" customFormat="1" ht="13.25" hidden="1" customHeight="1" x14ac:dyDescent="0.3">
      <c r="A5489" s="89" t="s">
        <v>3792</v>
      </c>
      <c r="B5489" s="86" t="s">
        <v>35</v>
      </c>
      <c r="C5489" s="86" t="s">
        <v>184</v>
      </c>
      <c r="D5489" s="86" t="s">
        <v>224</v>
      </c>
      <c r="E5489" s="86" t="s">
        <v>3834</v>
      </c>
      <c r="F5489" s="86" t="s">
        <v>3835</v>
      </c>
      <c r="G5489" s="86" t="s">
        <v>3834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3836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856"/>
        <v>5823.0599999999995</v>
      </c>
      <c r="X5489" s="6">
        <f t="shared" si="855"/>
        <v>4176.9400000000005</v>
      </c>
      <c r="Y5489" s="13">
        <f t="shared" si="860"/>
        <v>0</v>
      </c>
      <c r="Z5489" s="66">
        <v>0</v>
      </c>
      <c r="AA5489" s="6">
        <v>0</v>
      </c>
      <c r="AB5489" s="4">
        <f t="shared" si="861"/>
        <v>4176.9400000000005</v>
      </c>
      <c r="AC5489" s="6">
        <f t="shared" si="857"/>
        <v>0</v>
      </c>
      <c r="AD5489" s="6">
        <f t="shared" si="858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863"/>
        <v>292.38580000000007</v>
      </c>
      <c r="AG5489" s="14">
        <v>0</v>
      </c>
      <c r="AH5489" s="64">
        <f t="shared" si="859"/>
        <v>4176.9400000000005</v>
      </c>
      <c r="AI5489" s="47"/>
      <c r="AJ5489" s="126" t="e">
        <v>#N/A</v>
      </c>
      <c r="AK5489" s="80">
        <f t="shared" si="862"/>
        <v>0</v>
      </c>
      <c r="AL5489" s="85"/>
      <c r="AM5489" s="85"/>
    </row>
    <row r="5490" spans="1:39" s="86" customFormat="1" ht="13.25" hidden="1" customHeight="1" x14ac:dyDescent="0.3">
      <c r="A5490" s="89" t="s">
        <v>3806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856"/>
        <v>313718.51999999979</v>
      </c>
      <c r="X5490" s="6">
        <f t="shared" si="855"/>
        <v>1933316.1408000002</v>
      </c>
      <c r="Y5490" s="13">
        <f t="shared" si="860"/>
        <v>0</v>
      </c>
      <c r="Z5490" s="66">
        <v>0</v>
      </c>
      <c r="AA5490" s="6">
        <v>0</v>
      </c>
      <c r="AB5490" s="4">
        <f t="shared" si="861"/>
        <v>1933316.1408000002</v>
      </c>
      <c r="AC5490" s="6">
        <f t="shared" si="857"/>
        <v>80554.839200000046</v>
      </c>
      <c r="AD5490" s="6">
        <f t="shared" si="858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863"/>
        <v>140970.96860000002</v>
      </c>
      <c r="AG5490" s="14">
        <v>0</v>
      </c>
      <c r="AH5490" s="64">
        <f t="shared" si="859"/>
        <v>2013870.9800000002</v>
      </c>
      <c r="AI5490" s="47"/>
      <c r="AJ5490" s="126" t="e">
        <v>#N/A</v>
      </c>
      <c r="AK5490" s="80">
        <f t="shared" si="862"/>
        <v>0</v>
      </c>
      <c r="AL5490" s="85"/>
      <c r="AM5490" s="85"/>
    </row>
    <row r="5491" spans="1:39" s="86" customFormat="1" ht="13.25" hidden="1" customHeight="1" x14ac:dyDescent="0.3">
      <c r="A5491" s="89" t="s">
        <v>3794</v>
      </c>
      <c r="B5491" s="86" t="s">
        <v>35</v>
      </c>
      <c r="C5491" s="86" t="s">
        <v>184</v>
      </c>
      <c r="D5491" s="86" t="s">
        <v>224</v>
      </c>
      <c r="E5491" s="86" t="s">
        <v>3837</v>
      </c>
      <c r="F5491" s="86" t="s">
        <v>3837</v>
      </c>
      <c r="G5491" s="86" t="s">
        <v>3837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3838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856"/>
        <v>4790.5</v>
      </c>
      <c r="X5491" s="6">
        <f t="shared" si="855"/>
        <v>209.5</v>
      </c>
      <c r="Y5491" s="13">
        <f t="shared" si="860"/>
        <v>0</v>
      </c>
      <c r="Z5491" s="66">
        <v>0</v>
      </c>
      <c r="AA5491" s="6">
        <v>0</v>
      </c>
      <c r="AB5491" s="4">
        <f t="shared" si="861"/>
        <v>209.5</v>
      </c>
      <c r="AC5491" s="6">
        <f t="shared" si="857"/>
        <v>0</v>
      </c>
      <c r="AD5491" s="6">
        <f t="shared" si="858"/>
        <v>209.5</v>
      </c>
      <c r="AE5491" s="14">
        <f>VLOOKUP(I5491,[2]媒体政策预估表!A:N,MATCH(O5491,[2]媒体政策预估表!$A$2:$M$2,0),0)</f>
        <v>7.0000000000000007E-2</v>
      </c>
      <c r="AF5491" s="6">
        <f t="shared" si="863"/>
        <v>14.665000000000001</v>
      </c>
      <c r="AG5491" s="14">
        <v>0</v>
      </c>
      <c r="AH5491" s="64">
        <f t="shared" si="859"/>
        <v>209.5</v>
      </c>
      <c r="AI5491" s="47"/>
      <c r="AJ5491" s="126" t="e">
        <v>#N/A</v>
      </c>
      <c r="AK5491" s="80">
        <f t="shared" si="862"/>
        <v>0</v>
      </c>
      <c r="AL5491" s="85"/>
      <c r="AM5491" s="85"/>
    </row>
    <row r="5492" spans="1:39" s="86" customFormat="1" ht="13.25" hidden="1" customHeight="1" x14ac:dyDescent="0.3">
      <c r="A5492" s="89" t="s">
        <v>3794</v>
      </c>
      <c r="B5492" s="86" t="s">
        <v>35</v>
      </c>
      <c r="C5492" s="86" t="s">
        <v>184</v>
      </c>
      <c r="D5492" s="86" t="s">
        <v>224</v>
      </c>
      <c r="E5492" s="86" t="s">
        <v>3839</v>
      </c>
      <c r="F5492" s="86" t="s">
        <v>4197</v>
      </c>
      <c r="G5492" s="86" t="s">
        <v>4198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3840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856"/>
        <v>3999.2</v>
      </c>
      <c r="X5492" s="6">
        <f t="shared" si="855"/>
        <v>981.17647058823525</v>
      </c>
      <c r="Y5492" s="13">
        <f t="shared" si="860"/>
        <v>0</v>
      </c>
      <c r="Z5492" s="66">
        <v>0</v>
      </c>
      <c r="AA5492" s="6">
        <v>0</v>
      </c>
      <c r="AB5492" s="4">
        <f t="shared" si="861"/>
        <v>981.17647058823525</v>
      </c>
      <c r="AC5492" s="6">
        <f t="shared" si="857"/>
        <v>19.623529411764707</v>
      </c>
      <c r="AD5492" s="6">
        <f t="shared" si="858"/>
        <v>1000.8</v>
      </c>
      <c r="AE5492" s="14">
        <f>VLOOKUP(I5492,[2]媒体政策预估表!A:N,MATCH(O5492,[2]媒体政策预估表!$A$2:$M$2,0),0)</f>
        <v>7.0000000000000007E-2</v>
      </c>
      <c r="AF5492" s="6">
        <f t="shared" si="863"/>
        <v>70.055999999999997</v>
      </c>
      <c r="AG5492" s="14">
        <v>0</v>
      </c>
      <c r="AH5492" s="64">
        <f t="shared" si="859"/>
        <v>1000.8</v>
      </c>
      <c r="AI5492" s="47"/>
      <c r="AJ5492" s="126" t="e">
        <v>#N/A</v>
      </c>
      <c r="AK5492" s="80">
        <f t="shared" si="862"/>
        <v>0</v>
      </c>
      <c r="AL5492" s="85"/>
      <c r="AM5492" s="85"/>
    </row>
    <row r="5493" spans="1:39" s="86" customFormat="1" ht="13.25" hidden="1" customHeight="1" x14ac:dyDescent="0.3">
      <c r="A5493" s="89" t="s">
        <v>3794</v>
      </c>
      <c r="B5493" s="86" t="s">
        <v>35</v>
      </c>
      <c r="C5493" s="86" t="s">
        <v>184</v>
      </c>
      <c r="D5493" s="86" t="s">
        <v>224</v>
      </c>
      <c r="E5493" s="86" t="s">
        <v>3841</v>
      </c>
      <c r="F5493" s="86" t="s">
        <v>3841</v>
      </c>
      <c r="G5493" s="86" t="s">
        <v>3841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3842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856"/>
        <v>3267.6400000000008</v>
      </c>
      <c r="X5493" s="6">
        <f t="shared" si="855"/>
        <v>4069.3599999999992</v>
      </c>
      <c r="Y5493" s="13">
        <f t="shared" si="860"/>
        <v>0</v>
      </c>
      <c r="Z5493" s="66">
        <v>0</v>
      </c>
      <c r="AA5493" s="6">
        <v>0</v>
      </c>
      <c r="AB5493" s="4">
        <f t="shared" si="861"/>
        <v>4069.3599999999992</v>
      </c>
      <c r="AC5493" s="6">
        <f t="shared" si="857"/>
        <v>0</v>
      </c>
      <c r="AD5493" s="6">
        <f t="shared" si="858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863"/>
        <v>284.85519999999997</v>
      </c>
      <c r="AG5493" s="14">
        <v>0</v>
      </c>
      <c r="AH5493" s="64">
        <f t="shared" si="859"/>
        <v>4069.3599999999992</v>
      </c>
      <c r="AI5493" s="47"/>
      <c r="AJ5493" s="126" t="e">
        <v>#N/A</v>
      </c>
      <c r="AK5493" s="80">
        <f t="shared" si="862"/>
        <v>0</v>
      </c>
      <c r="AL5493" s="85"/>
      <c r="AM5493" s="85"/>
    </row>
    <row r="5494" spans="1:39" s="86" customFormat="1" ht="13.25" hidden="1" customHeight="1" x14ac:dyDescent="0.3">
      <c r="A5494" s="89" t="s">
        <v>3796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856"/>
        <v>4301.6999999999971</v>
      </c>
      <c r="X5494" s="6">
        <f t="shared" si="855"/>
        <v>0</v>
      </c>
      <c r="Y5494" s="13">
        <f t="shared" si="860"/>
        <v>0</v>
      </c>
      <c r="Z5494" s="66">
        <v>0</v>
      </c>
      <c r="AA5494" s="6">
        <v>0</v>
      </c>
      <c r="AB5494" s="4">
        <f t="shared" si="861"/>
        <v>0</v>
      </c>
      <c r="AC5494" s="6">
        <f t="shared" si="857"/>
        <v>0</v>
      </c>
      <c r="AD5494" s="6">
        <f t="shared" si="858"/>
        <v>0</v>
      </c>
      <c r="AE5494" s="14">
        <f>VLOOKUP(I5494,[2]媒体政策预估表!A:N,MATCH(O5494,[2]媒体政策预估表!$A$2:$M$2,0),0)</f>
        <v>7.0000000000000007E-2</v>
      </c>
      <c r="AF5494" s="6">
        <f t="shared" si="863"/>
        <v>0</v>
      </c>
      <c r="AG5494" s="14">
        <v>0</v>
      </c>
      <c r="AH5494" s="64">
        <f t="shared" si="859"/>
        <v>0</v>
      </c>
      <c r="AI5494" s="47"/>
      <c r="AJ5494" s="126" t="e">
        <v>#N/A</v>
      </c>
      <c r="AK5494" s="80">
        <f t="shared" si="862"/>
        <v>0</v>
      </c>
      <c r="AL5494" s="85"/>
      <c r="AM5494" s="85"/>
    </row>
    <row r="5495" spans="1:39" s="86" customFormat="1" ht="13.25" hidden="1" customHeight="1" x14ac:dyDescent="0.3">
      <c r="A5495" s="89" t="s">
        <v>3794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856"/>
        <v>25800.100000000006</v>
      </c>
      <c r="X5495" s="6">
        <f t="shared" si="855"/>
        <v>162111.37999999998</v>
      </c>
      <c r="Y5495" s="13">
        <f t="shared" si="860"/>
        <v>0</v>
      </c>
      <c r="Z5495" s="66">
        <v>0</v>
      </c>
      <c r="AA5495" s="6">
        <v>0</v>
      </c>
      <c r="AB5495" s="4">
        <f t="shared" si="861"/>
        <v>162111.37999999998</v>
      </c>
      <c r="AC5495" s="6">
        <f t="shared" si="857"/>
        <v>0</v>
      </c>
      <c r="AD5495" s="6">
        <f t="shared" si="858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863"/>
        <v>11347.7966</v>
      </c>
      <c r="AG5495" s="14">
        <v>0</v>
      </c>
      <c r="AH5495" s="64">
        <f t="shared" si="859"/>
        <v>162111.37999999998</v>
      </c>
      <c r="AI5495" s="47"/>
      <c r="AJ5495" s="126" t="e">
        <v>#N/A</v>
      </c>
      <c r="AK5495" s="80">
        <f t="shared" si="862"/>
        <v>0</v>
      </c>
      <c r="AL5495" s="85"/>
      <c r="AM5495" s="85"/>
    </row>
    <row r="5496" spans="1:39" s="86" customFormat="1" ht="13.25" hidden="1" customHeight="1" x14ac:dyDescent="0.3">
      <c r="A5496" s="89" t="s">
        <v>3792</v>
      </c>
      <c r="B5496" s="86" t="s">
        <v>35</v>
      </c>
      <c r="C5496" s="86" t="s">
        <v>184</v>
      </c>
      <c r="D5496" s="86" t="s">
        <v>224</v>
      </c>
      <c r="E5496" s="86" t="s">
        <v>3843</v>
      </c>
      <c r="F5496" s="86" t="s">
        <v>3843</v>
      </c>
      <c r="G5496" s="86" t="s">
        <v>3843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3844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856"/>
        <v>2996.5</v>
      </c>
      <c r="X5496" s="6">
        <f t="shared" si="855"/>
        <v>2003.5</v>
      </c>
      <c r="Y5496" s="13">
        <f t="shared" si="860"/>
        <v>0</v>
      </c>
      <c r="Z5496" s="66">
        <v>0</v>
      </c>
      <c r="AA5496" s="6">
        <v>0</v>
      </c>
      <c r="AB5496" s="4">
        <f t="shared" si="861"/>
        <v>2003.5</v>
      </c>
      <c r="AC5496" s="6">
        <f t="shared" si="857"/>
        <v>0</v>
      </c>
      <c r="AD5496" s="6">
        <f t="shared" si="858"/>
        <v>2003.5</v>
      </c>
      <c r="AE5496" s="14">
        <f>VLOOKUP(I5496,[2]媒体政策预估表!A:N,MATCH(O5496,[2]媒体政策预估表!$A$2:$M$2,0),0)</f>
        <v>7.0000000000000007E-2</v>
      </c>
      <c r="AF5496" s="6">
        <f t="shared" si="863"/>
        <v>140.245</v>
      </c>
      <c r="AG5496" s="14">
        <v>0</v>
      </c>
      <c r="AH5496" s="64">
        <f t="shared" si="859"/>
        <v>2003.5</v>
      </c>
      <c r="AI5496" s="47"/>
      <c r="AJ5496" s="126" t="e">
        <v>#N/A</v>
      </c>
      <c r="AK5496" s="80">
        <f t="shared" si="862"/>
        <v>0</v>
      </c>
      <c r="AL5496" s="85"/>
      <c r="AM5496" s="85"/>
    </row>
    <row r="5497" spans="1:39" s="86" customFormat="1" ht="13.25" hidden="1" customHeight="1" x14ac:dyDescent="0.3">
      <c r="A5497" s="89" t="s">
        <v>3792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856"/>
        <v>57339.660000000033</v>
      </c>
      <c r="X5497" s="6">
        <f t="shared" si="855"/>
        <v>169814.53999999998</v>
      </c>
      <c r="Y5497" s="13">
        <f t="shared" si="860"/>
        <v>0</v>
      </c>
      <c r="Z5497" s="66">
        <v>0</v>
      </c>
      <c r="AA5497" s="6">
        <v>0</v>
      </c>
      <c r="AB5497" s="4">
        <f t="shared" si="861"/>
        <v>169814.53999999998</v>
      </c>
      <c r="AC5497" s="6">
        <f t="shared" si="857"/>
        <v>0</v>
      </c>
      <c r="AD5497" s="6">
        <f t="shared" si="858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863"/>
        <v>11887.0178</v>
      </c>
      <c r="AG5497" s="14">
        <v>0</v>
      </c>
      <c r="AH5497" s="64">
        <f t="shared" si="859"/>
        <v>169814.53999999998</v>
      </c>
      <c r="AI5497" s="47"/>
      <c r="AJ5497" s="126" t="e">
        <v>#N/A</v>
      </c>
      <c r="AK5497" s="80">
        <f t="shared" si="862"/>
        <v>0</v>
      </c>
      <c r="AL5497" s="85"/>
      <c r="AM5497" s="85"/>
    </row>
    <row r="5498" spans="1:39" s="86" customFormat="1" ht="13.25" hidden="1" customHeight="1" x14ac:dyDescent="0.3">
      <c r="A5498" s="89" t="s">
        <v>3792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3845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3846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856"/>
        <v>50000</v>
      </c>
      <c r="X5498" s="6">
        <f t="shared" si="855"/>
        <v>0</v>
      </c>
      <c r="Y5498" s="13">
        <f t="shared" si="860"/>
        <v>0</v>
      </c>
      <c r="Z5498" s="66">
        <v>0</v>
      </c>
      <c r="AA5498" s="6">
        <v>0</v>
      </c>
      <c r="AB5498" s="4">
        <f t="shared" si="861"/>
        <v>0</v>
      </c>
      <c r="AC5498" s="6">
        <f t="shared" si="857"/>
        <v>0</v>
      </c>
      <c r="AD5498" s="6">
        <f t="shared" si="858"/>
        <v>0</v>
      </c>
      <c r="AE5498" s="14">
        <f>VLOOKUP(I5498,[2]媒体政策预估表!A:N,MATCH(O5498,[2]媒体政策预估表!$A$2:$M$2,0),0)</f>
        <v>0.11</v>
      </c>
      <c r="AF5498" s="6">
        <f t="shared" si="863"/>
        <v>0</v>
      </c>
      <c r="AG5498" s="14">
        <v>0</v>
      </c>
      <c r="AH5498" s="64">
        <f t="shared" si="859"/>
        <v>0</v>
      </c>
      <c r="AI5498" s="47"/>
      <c r="AJ5498" s="126" t="e">
        <v>#N/A</v>
      </c>
      <c r="AK5498" s="80">
        <f t="shared" si="862"/>
        <v>0</v>
      </c>
      <c r="AL5498" s="85"/>
      <c r="AM5498" s="85"/>
    </row>
    <row r="5499" spans="1:39" s="86" customFormat="1" ht="13.25" hidden="1" customHeight="1" x14ac:dyDescent="0.3">
      <c r="A5499" s="89" t="s">
        <v>3792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3845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856"/>
        <v>-50000</v>
      </c>
      <c r="X5499" s="6">
        <f t="shared" si="855"/>
        <v>0</v>
      </c>
      <c r="Y5499" s="13">
        <f t="shared" si="860"/>
        <v>0</v>
      </c>
      <c r="Z5499" s="66">
        <v>0</v>
      </c>
      <c r="AA5499" s="6">
        <v>0</v>
      </c>
      <c r="AB5499" s="4">
        <f t="shared" si="861"/>
        <v>0</v>
      </c>
      <c r="AC5499" s="6">
        <f t="shared" si="857"/>
        <v>0</v>
      </c>
      <c r="AD5499" s="6">
        <f t="shared" si="858"/>
        <v>0</v>
      </c>
      <c r="AE5499" s="14">
        <f>VLOOKUP(I5499,[2]媒体政策预估表!A:N,MATCH(O5499,[2]媒体政策预估表!$A$2:$M$2,0),0)</f>
        <v>0.11</v>
      </c>
      <c r="AF5499" s="6">
        <f t="shared" si="863"/>
        <v>0</v>
      </c>
      <c r="AG5499" s="14">
        <v>0</v>
      </c>
      <c r="AH5499" s="64">
        <f t="shared" si="859"/>
        <v>0</v>
      </c>
      <c r="AI5499" s="47"/>
      <c r="AJ5499" s="126" t="e">
        <v>#N/A</v>
      </c>
      <c r="AK5499" s="80">
        <f t="shared" si="862"/>
        <v>0</v>
      </c>
      <c r="AL5499" s="85"/>
      <c r="AM5499" s="85"/>
    </row>
    <row r="5500" spans="1:39" s="86" customFormat="1" ht="13.25" hidden="1" customHeight="1" x14ac:dyDescent="0.3">
      <c r="A5500" s="89" t="s">
        <v>3794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856"/>
        <v>9055</v>
      </c>
      <c r="X5500" s="6">
        <f t="shared" si="855"/>
        <v>44214</v>
      </c>
      <c r="Y5500" s="13">
        <f t="shared" si="860"/>
        <v>0</v>
      </c>
      <c r="Z5500" s="66">
        <v>0</v>
      </c>
      <c r="AA5500" s="6">
        <v>0</v>
      </c>
      <c r="AB5500" s="4">
        <f t="shared" si="861"/>
        <v>44214</v>
      </c>
      <c r="AC5500" s="6">
        <f t="shared" si="857"/>
        <v>0</v>
      </c>
      <c r="AD5500" s="6">
        <f t="shared" si="858"/>
        <v>44214</v>
      </c>
      <c r="AE5500" s="14">
        <f>VLOOKUP(I5500,[2]媒体政策预估表!A:N,MATCH(O5500,[2]媒体政策预估表!$A$2:$M$2,0),0)</f>
        <v>7.0000000000000007E-2</v>
      </c>
      <c r="AF5500" s="6">
        <f t="shared" si="863"/>
        <v>3094.9800000000005</v>
      </c>
      <c r="AG5500" s="14">
        <v>0</v>
      </c>
      <c r="AH5500" s="64">
        <f t="shared" si="859"/>
        <v>44214</v>
      </c>
      <c r="AI5500" s="47"/>
      <c r="AJ5500" s="126" t="e">
        <v>#N/A</v>
      </c>
      <c r="AK5500" s="80">
        <f t="shared" si="862"/>
        <v>0</v>
      </c>
      <c r="AL5500" s="85"/>
      <c r="AM5500" s="85"/>
    </row>
    <row r="5501" spans="1:39" s="86" customFormat="1" ht="13.25" hidden="1" customHeight="1" x14ac:dyDescent="0.3">
      <c r="A5501" s="89" t="s">
        <v>3794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856"/>
        <v>9959.7200000000012</v>
      </c>
      <c r="X5501" s="6">
        <f t="shared" ref="X5501:X5564" si="864">IF(P5501="折扣",V5501*Q5501,IF(P5501="返现",V5501,V5501/(1+Q5501)))</f>
        <v>43408.28</v>
      </c>
      <c r="Y5501" s="13">
        <f t="shared" si="860"/>
        <v>0</v>
      </c>
      <c r="Z5501" s="66">
        <v>0</v>
      </c>
      <c r="AA5501" s="6">
        <v>0</v>
      </c>
      <c r="AB5501" s="4">
        <f t="shared" si="861"/>
        <v>43408.28</v>
      </c>
      <c r="AC5501" s="6">
        <f t="shared" si="857"/>
        <v>0</v>
      </c>
      <c r="AD5501" s="6">
        <f t="shared" si="858"/>
        <v>43408.28</v>
      </c>
      <c r="AE5501" s="14">
        <f>VLOOKUP(I5501,[2]媒体政策预估表!A:N,MATCH(O5501,[2]媒体政策预估表!$A$2:$M$2,0),0)</f>
        <v>7.0000000000000007E-2</v>
      </c>
      <c r="AF5501" s="6">
        <f t="shared" si="863"/>
        <v>3038.5796</v>
      </c>
      <c r="AG5501" s="14">
        <v>0</v>
      </c>
      <c r="AH5501" s="64">
        <f t="shared" si="859"/>
        <v>43408.28</v>
      </c>
      <c r="AI5501" s="47"/>
      <c r="AJ5501" s="126" t="e">
        <v>#N/A</v>
      </c>
      <c r="AK5501" s="80">
        <f t="shared" si="862"/>
        <v>0</v>
      </c>
      <c r="AL5501" s="85"/>
      <c r="AM5501" s="85"/>
    </row>
    <row r="5502" spans="1:39" s="86" customFormat="1" ht="13.25" hidden="1" customHeight="1" x14ac:dyDescent="0.3">
      <c r="A5502" s="89" t="s">
        <v>3792</v>
      </c>
      <c r="B5502" s="86" t="s">
        <v>35</v>
      </c>
      <c r="C5502" s="86" t="s">
        <v>184</v>
      </c>
      <c r="D5502" s="86" t="s">
        <v>54</v>
      </c>
      <c r="E5502" s="86" t="s">
        <v>3847</v>
      </c>
      <c r="F5502" s="86" t="s">
        <v>3847</v>
      </c>
      <c r="G5502" s="86" t="s">
        <v>3847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3848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865">T5502+U5502-V5502</f>
        <v>6558.760000000002</v>
      </c>
      <c r="X5502" s="6">
        <f t="shared" si="864"/>
        <v>12659.239999999998</v>
      </c>
      <c r="Y5502" s="13">
        <f t="shared" si="860"/>
        <v>0</v>
      </c>
      <c r="Z5502" s="66">
        <v>0</v>
      </c>
      <c r="AA5502" s="6">
        <v>0</v>
      </c>
      <c r="AB5502" s="4">
        <f t="shared" si="861"/>
        <v>12659.239999999998</v>
      </c>
      <c r="AC5502" s="6">
        <f t="shared" ref="AC5502:AC5565" si="866">IF(P5502="返现",X5502*Q5502,V5502-X5502)</f>
        <v>0</v>
      </c>
      <c r="AD5502" s="6">
        <f t="shared" ref="AD5502:AD5565" si="867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863"/>
        <v>1392.5163999999997</v>
      </c>
      <c r="AG5502" s="14">
        <v>0</v>
      </c>
      <c r="AH5502" s="64">
        <f t="shared" ref="AH5502:AH5565" si="868">V5502</f>
        <v>12659.239999999998</v>
      </c>
      <c r="AI5502" s="47"/>
      <c r="AJ5502" s="126" t="e">
        <v>#N/A</v>
      </c>
      <c r="AK5502" s="80">
        <f t="shared" si="862"/>
        <v>0</v>
      </c>
      <c r="AL5502" s="85"/>
      <c r="AM5502" s="85"/>
    </row>
    <row r="5503" spans="1:39" s="86" customFormat="1" ht="13.25" hidden="1" customHeight="1" x14ac:dyDescent="0.3">
      <c r="A5503" s="89" t="s">
        <v>3792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865"/>
        <v>242888.76999999981</v>
      </c>
      <c r="X5503" s="6">
        <f t="shared" si="864"/>
        <v>221157.58</v>
      </c>
      <c r="Y5503" s="13">
        <f t="shared" si="860"/>
        <v>0</v>
      </c>
      <c r="Z5503" s="66">
        <v>0</v>
      </c>
      <c r="AA5503" s="6">
        <v>0</v>
      </c>
      <c r="AB5503" s="4">
        <f t="shared" si="861"/>
        <v>221157.58</v>
      </c>
      <c r="AC5503" s="6">
        <f t="shared" si="866"/>
        <v>0</v>
      </c>
      <c r="AD5503" s="6">
        <f t="shared" si="867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863"/>
        <v>15481.0306</v>
      </c>
      <c r="AG5503" s="14">
        <v>0</v>
      </c>
      <c r="AH5503" s="64">
        <f t="shared" si="868"/>
        <v>221157.58</v>
      </c>
      <c r="AI5503" s="47"/>
      <c r="AJ5503" s="126" t="e">
        <v>#N/A</v>
      </c>
      <c r="AK5503" s="80">
        <f t="shared" si="862"/>
        <v>0</v>
      </c>
      <c r="AL5503" s="85"/>
      <c r="AM5503" s="85"/>
    </row>
    <row r="5504" spans="1:39" s="86" customFormat="1" ht="13.25" hidden="1" customHeight="1" x14ac:dyDescent="0.3">
      <c r="A5504" s="89" t="s">
        <v>3792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865"/>
        <v>34620.53</v>
      </c>
      <c r="X5504" s="6">
        <f t="shared" si="864"/>
        <v>148945.78999999995</v>
      </c>
      <c r="Y5504" s="13">
        <f t="shared" si="860"/>
        <v>0</v>
      </c>
      <c r="Z5504" s="66">
        <v>0</v>
      </c>
      <c r="AA5504" s="6">
        <v>0</v>
      </c>
      <c r="AB5504" s="4">
        <f t="shared" si="861"/>
        <v>148945.78999999995</v>
      </c>
      <c r="AC5504" s="6">
        <f t="shared" si="866"/>
        <v>0</v>
      </c>
      <c r="AD5504" s="6">
        <f t="shared" si="867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863"/>
        <v>10426.205299999998</v>
      </c>
      <c r="AG5504" s="14">
        <v>0</v>
      </c>
      <c r="AH5504" s="64">
        <f t="shared" si="868"/>
        <v>148945.78999999995</v>
      </c>
      <c r="AI5504" s="47"/>
      <c r="AJ5504" s="126" t="e">
        <v>#N/A</v>
      </c>
      <c r="AK5504" s="80">
        <f t="shared" si="862"/>
        <v>0</v>
      </c>
      <c r="AL5504" s="85"/>
      <c r="AM5504" s="85"/>
    </row>
    <row r="5505" spans="1:39" s="86" customFormat="1" ht="13.25" hidden="1" customHeight="1" x14ac:dyDescent="0.3">
      <c r="A5505" s="89" t="s">
        <v>3792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865"/>
        <v>20788.919999999955</v>
      </c>
      <c r="X5505" s="6">
        <f t="shared" si="864"/>
        <v>112692.50980392158</v>
      </c>
      <c r="Y5505" s="13">
        <f t="shared" si="860"/>
        <v>0</v>
      </c>
      <c r="Z5505" s="66">
        <v>0</v>
      </c>
      <c r="AA5505" s="6">
        <v>0</v>
      </c>
      <c r="AB5505" s="4">
        <f t="shared" si="861"/>
        <v>112692.50980392158</v>
      </c>
      <c r="AC5505" s="6">
        <f t="shared" si="866"/>
        <v>2253.8501960784342</v>
      </c>
      <c r="AD5505" s="6">
        <f t="shared" si="867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863"/>
        <v>8046.2452000000021</v>
      </c>
      <c r="AG5505" s="14">
        <v>0</v>
      </c>
      <c r="AH5505" s="64">
        <f t="shared" si="868"/>
        <v>114946.36000000002</v>
      </c>
      <c r="AI5505" s="47"/>
      <c r="AJ5505" s="126" t="e">
        <v>#N/A</v>
      </c>
      <c r="AK5505" s="80">
        <f t="shared" si="862"/>
        <v>0</v>
      </c>
      <c r="AL5505" s="85"/>
      <c r="AM5505" s="85"/>
    </row>
    <row r="5506" spans="1:39" s="86" customFormat="1" ht="13.25" hidden="1" customHeight="1" x14ac:dyDescent="0.3">
      <c r="A5506" s="89" t="s">
        <v>3794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865"/>
        <v>17012.559999999998</v>
      </c>
      <c r="X5506" s="6">
        <f t="shared" si="864"/>
        <v>18736.5</v>
      </c>
      <c r="Y5506" s="13">
        <f t="shared" si="860"/>
        <v>0</v>
      </c>
      <c r="Z5506" s="66">
        <v>0</v>
      </c>
      <c r="AA5506" s="6">
        <v>0</v>
      </c>
      <c r="AB5506" s="4">
        <f t="shared" si="861"/>
        <v>18736.5</v>
      </c>
      <c r="AC5506" s="6">
        <f t="shared" si="866"/>
        <v>0</v>
      </c>
      <c r="AD5506" s="6">
        <f t="shared" si="867"/>
        <v>18736.5</v>
      </c>
      <c r="AE5506" s="14">
        <f>VLOOKUP(I5506,[2]媒体政策预估表!A:N,MATCH(O5506,[2]媒体政策预估表!$A$2:$M$2,0),0)</f>
        <v>7.0000000000000007E-2</v>
      </c>
      <c r="AF5506" s="6">
        <f t="shared" si="863"/>
        <v>1311.5550000000001</v>
      </c>
      <c r="AG5506" s="14">
        <v>0</v>
      </c>
      <c r="AH5506" s="64">
        <f t="shared" si="868"/>
        <v>18736.5</v>
      </c>
      <c r="AI5506" s="47"/>
      <c r="AJ5506" s="126" t="e">
        <v>#N/A</v>
      </c>
      <c r="AK5506" s="80">
        <f t="shared" si="862"/>
        <v>0</v>
      </c>
      <c r="AL5506" s="85"/>
      <c r="AM5506" s="85"/>
    </row>
    <row r="5507" spans="1:39" s="86" customFormat="1" ht="13.25" hidden="1" customHeight="1" x14ac:dyDescent="0.3">
      <c r="A5507" s="89" t="s">
        <v>3792</v>
      </c>
      <c r="B5507" s="86" t="s">
        <v>35</v>
      </c>
      <c r="C5507" s="86" t="s">
        <v>184</v>
      </c>
      <c r="D5507" s="86" t="s">
        <v>3849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865"/>
        <v>117691.96999999997</v>
      </c>
      <c r="X5507" s="6">
        <f t="shared" si="864"/>
        <v>302548.78431372548</v>
      </c>
      <c r="Y5507" s="13">
        <f t="shared" ref="Y5507:Y5570" si="869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870">X5507+AA5507</f>
        <v>302548.78431372548</v>
      </c>
      <c r="AC5507" s="6">
        <f t="shared" si="866"/>
        <v>6050.9756862745271</v>
      </c>
      <c r="AD5507" s="6">
        <f t="shared" si="867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863"/>
        <v>21601.983200000002</v>
      </c>
      <c r="AG5507" s="14">
        <v>0</v>
      </c>
      <c r="AH5507" s="64">
        <f t="shared" si="868"/>
        <v>308599.76</v>
      </c>
      <c r="AI5507" s="47"/>
      <c r="AJ5507" s="126" t="e">
        <v>#N/A</v>
      </c>
      <c r="AK5507" s="80">
        <f t="shared" ref="AK5507:AK5570" si="871">X5507+AA5507-AB5507</f>
        <v>0</v>
      </c>
      <c r="AL5507" s="85"/>
      <c r="AM5507" s="85"/>
    </row>
    <row r="5508" spans="1:39" s="86" customFormat="1" ht="13.25" hidden="1" customHeight="1" x14ac:dyDescent="0.3">
      <c r="A5508" s="89" t="s">
        <v>3792</v>
      </c>
      <c r="B5508" s="86" t="s">
        <v>35</v>
      </c>
      <c r="C5508" s="86" t="s">
        <v>184</v>
      </c>
      <c r="D5508" s="86" t="s">
        <v>3849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865"/>
        <v>7147.9199999999983</v>
      </c>
      <c r="X5508" s="6">
        <f t="shared" si="864"/>
        <v>16494.823529411766</v>
      </c>
      <c r="Y5508" s="13">
        <f t="shared" si="869"/>
        <v>0</v>
      </c>
      <c r="Z5508" s="66">
        <v>0</v>
      </c>
      <c r="AA5508" s="6">
        <v>0</v>
      </c>
      <c r="AB5508" s="4">
        <f t="shared" si="870"/>
        <v>16494.823529411766</v>
      </c>
      <c r="AC5508" s="6">
        <f t="shared" si="866"/>
        <v>329.89647058823539</v>
      </c>
      <c r="AD5508" s="6">
        <f t="shared" si="867"/>
        <v>16824.72</v>
      </c>
      <c r="AE5508" s="14">
        <f>VLOOKUP(I5508,[2]媒体政策预估表!A:N,MATCH(O5508,[2]媒体政策预估表!$A$2:$M$2,0),0)</f>
        <v>0.11</v>
      </c>
      <c r="AF5508" s="6">
        <f t="shared" si="863"/>
        <v>1850.7192000000002</v>
      </c>
      <c r="AG5508" s="14">
        <v>0</v>
      </c>
      <c r="AH5508" s="64">
        <f t="shared" si="868"/>
        <v>16824.72</v>
      </c>
      <c r="AI5508" s="47"/>
      <c r="AJ5508" s="126" t="e">
        <v>#N/A</v>
      </c>
      <c r="AK5508" s="80">
        <f t="shared" si="871"/>
        <v>0</v>
      </c>
      <c r="AL5508" s="85"/>
      <c r="AM5508" s="85"/>
    </row>
    <row r="5509" spans="1:39" s="86" customFormat="1" ht="13.25" hidden="1" customHeight="1" x14ac:dyDescent="0.3">
      <c r="A5509" s="89" t="s">
        <v>3792</v>
      </c>
      <c r="B5509" s="86" t="s">
        <v>35</v>
      </c>
      <c r="C5509" s="86" t="s">
        <v>184</v>
      </c>
      <c r="D5509" s="86" t="s">
        <v>3849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865"/>
        <v>4.5474735088646412E-12</v>
      </c>
      <c r="X5509" s="6">
        <f t="shared" si="864"/>
        <v>2480.29</v>
      </c>
      <c r="Y5509" s="13">
        <f t="shared" si="869"/>
        <v>0</v>
      </c>
      <c r="Z5509" s="66">
        <v>0</v>
      </c>
      <c r="AA5509" s="6">
        <v>0</v>
      </c>
      <c r="AB5509" s="4">
        <f t="shared" si="870"/>
        <v>2480.29</v>
      </c>
      <c r="AC5509" s="6">
        <f t="shared" si="866"/>
        <v>0</v>
      </c>
      <c r="AD5509" s="6">
        <f t="shared" si="867"/>
        <v>2480.29</v>
      </c>
      <c r="AE5509" s="14">
        <f>VLOOKUP(I5509,[2]媒体政策预估表!A:N,MATCH(O5509,[2]媒体政策预估表!$A$2:$M$2,0),0)</f>
        <v>7.0000000000000007E-2</v>
      </c>
      <c r="AF5509" s="6">
        <f t="shared" si="863"/>
        <v>173.62030000000001</v>
      </c>
      <c r="AG5509" s="14">
        <v>0</v>
      </c>
      <c r="AH5509" s="64">
        <f t="shared" si="868"/>
        <v>2480.29</v>
      </c>
      <c r="AI5509" s="47"/>
      <c r="AJ5509" s="126" t="e">
        <v>#N/A</v>
      </c>
      <c r="AK5509" s="80">
        <f t="shared" si="871"/>
        <v>0</v>
      </c>
      <c r="AL5509" s="85"/>
      <c r="AM5509" s="85"/>
    </row>
    <row r="5510" spans="1:39" s="86" customFormat="1" ht="13.25" hidden="1" customHeight="1" x14ac:dyDescent="0.3">
      <c r="A5510" s="89" t="s">
        <v>3794</v>
      </c>
      <c r="B5510" s="86" t="s">
        <v>35</v>
      </c>
      <c r="C5510" s="86" t="s">
        <v>184</v>
      </c>
      <c r="D5510" s="86" t="s">
        <v>3849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865"/>
        <v>45927.399999999863</v>
      </c>
      <c r="X5510" s="6">
        <f t="shared" si="864"/>
        <v>38008.36</v>
      </c>
      <c r="Y5510" s="13">
        <f t="shared" si="869"/>
        <v>0</v>
      </c>
      <c r="Z5510" s="66">
        <v>0</v>
      </c>
      <c r="AA5510" s="6">
        <v>0</v>
      </c>
      <c r="AB5510" s="4">
        <f t="shared" si="870"/>
        <v>38008.36</v>
      </c>
      <c r="AC5510" s="6">
        <f t="shared" si="866"/>
        <v>0</v>
      </c>
      <c r="AD5510" s="6">
        <f t="shared" si="867"/>
        <v>38008.36</v>
      </c>
      <c r="AE5510" s="14">
        <f>VLOOKUP(I5510,[2]媒体政策预估表!A:N,MATCH(O5510,[2]媒体政策预估表!$A$2:$M$2,0),0)</f>
        <v>7.0000000000000007E-2</v>
      </c>
      <c r="AF5510" s="6">
        <f t="shared" si="863"/>
        <v>2660.5852000000004</v>
      </c>
      <c r="AG5510" s="14">
        <v>0</v>
      </c>
      <c r="AH5510" s="64">
        <f t="shared" si="868"/>
        <v>38008.36</v>
      </c>
      <c r="AI5510" s="47"/>
      <c r="AJ5510" s="126" t="e">
        <v>#N/A</v>
      </c>
      <c r="AK5510" s="80">
        <f t="shared" si="871"/>
        <v>0</v>
      </c>
      <c r="AL5510" s="85"/>
      <c r="AM5510" s="85"/>
    </row>
    <row r="5511" spans="1:39" s="86" customFormat="1" ht="13.25" hidden="1" customHeight="1" x14ac:dyDescent="0.3">
      <c r="A5511" s="89" t="s">
        <v>3792</v>
      </c>
      <c r="B5511" s="86" t="s">
        <v>35</v>
      </c>
      <c r="C5511" s="86" t="s">
        <v>184</v>
      </c>
      <c r="D5511" s="86" t="s">
        <v>3849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865"/>
        <v>193784.67000000004</v>
      </c>
      <c r="X5511" s="6">
        <f t="shared" si="864"/>
        <v>801842.82000000007</v>
      </c>
      <c r="Y5511" s="13">
        <f t="shared" si="869"/>
        <v>0</v>
      </c>
      <c r="Z5511" s="66">
        <v>0</v>
      </c>
      <c r="AA5511" s="6">
        <v>0</v>
      </c>
      <c r="AB5511" s="4">
        <f t="shared" si="870"/>
        <v>801842.82000000007</v>
      </c>
      <c r="AC5511" s="6">
        <f t="shared" si="866"/>
        <v>0</v>
      </c>
      <c r="AD5511" s="6">
        <f t="shared" si="867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863"/>
        <v>56128.997400000007</v>
      </c>
      <c r="AG5511" s="14">
        <v>0</v>
      </c>
      <c r="AH5511" s="64">
        <f t="shared" si="868"/>
        <v>801842.82000000007</v>
      </c>
      <c r="AI5511" s="47"/>
      <c r="AJ5511" s="126" t="e">
        <v>#N/A</v>
      </c>
      <c r="AK5511" s="80">
        <f t="shared" si="871"/>
        <v>0</v>
      </c>
      <c r="AL5511" s="85"/>
      <c r="AM5511" s="85"/>
    </row>
    <row r="5512" spans="1:39" s="86" customFormat="1" ht="13.25" hidden="1" customHeight="1" x14ac:dyDescent="0.3">
      <c r="A5512" s="89" t="s">
        <v>3794</v>
      </c>
      <c r="B5512" s="86" t="s">
        <v>35</v>
      </c>
      <c r="C5512" s="86" t="s">
        <v>184</v>
      </c>
      <c r="D5512" s="86" t="s">
        <v>3849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865"/>
        <v>0</v>
      </c>
      <c r="X5512" s="6">
        <f t="shared" si="864"/>
        <v>0</v>
      </c>
      <c r="Y5512" s="13">
        <f t="shared" si="869"/>
        <v>0</v>
      </c>
      <c r="Z5512" s="66">
        <v>0</v>
      </c>
      <c r="AA5512" s="6">
        <v>0</v>
      </c>
      <c r="AB5512" s="4">
        <f t="shared" si="870"/>
        <v>0</v>
      </c>
      <c r="AC5512" s="6">
        <f t="shared" si="866"/>
        <v>0</v>
      </c>
      <c r="AD5512" s="6">
        <f t="shared" si="867"/>
        <v>0</v>
      </c>
      <c r="AE5512" s="14">
        <f>VLOOKUP(I5512,[2]媒体政策预估表!A:N,MATCH(O5512,[2]媒体政策预估表!$A$2:$M$2,0),0)</f>
        <v>7.0000000000000007E-2</v>
      </c>
      <c r="AF5512" s="6">
        <f t="shared" si="863"/>
        <v>0</v>
      </c>
      <c r="AG5512" s="14">
        <v>0</v>
      </c>
      <c r="AH5512" s="64">
        <f t="shared" si="868"/>
        <v>0</v>
      </c>
      <c r="AI5512" s="47"/>
      <c r="AJ5512" s="126" t="e">
        <v>#N/A</v>
      </c>
      <c r="AK5512" s="80">
        <f t="shared" si="871"/>
        <v>0</v>
      </c>
      <c r="AL5512" s="85"/>
      <c r="AM5512" s="85"/>
    </row>
    <row r="5513" spans="1:39" s="86" customFormat="1" ht="13.25" hidden="1" customHeight="1" x14ac:dyDescent="0.3">
      <c r="A5513" s="89" t="s">
        <v>3794</v>
      </c>
      <c r="B5513" s="86" t="s">
        <v>35</v>
      </c>
      <c r="C5513" s="86" t="s">
        <v>184</v>
      </c>
      <c r="D5513" s="86" t="s">
        <v>3849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865"/>
        <v>34116.43</v>
      </c>
      <c r="X5513" s="6">
        <f t="shared" si="864"/>
        <v>42155.245098039217</v>
      </c>
      <c r="Y5513" s="13">
        <f t="shared" si="869"/>
        <v>0</v>
      </c>
      <c r="Z5513" s="66">
        <v>0</v>
      </c>
      <c r="AA5513" s="6">
        <v>0</v>
      </c>
      <c r="AB5513" s="4">
        <f t="shared" si="870"/>
        <v>42155.245098039217</v>
      </c>
      <c r="AC5513" s="6">
        <f t="shared" si="866"/>
        <v>843.10490196078172</v>
      </c>
      <c r="AD5513" s="6">
        <f t="shared" si="867"/>
        <v>42998.35</v>
      </c>
      <c r="AE5513" s="14">
        <f>VLOOKUP(I5513,[2]媒体政策预估表!A:N,MATCH(O5513,[2]媒体政策预估表!$A$2:$M$2,0),0)</f>
        <v>7.0000000000000007E-2</v>
      </c>
      <c r="AF5513" s="6">
        <f t="shared" si="863"/>
        <v>3009.8845000000001</v>
      </c>
      <c r="AG5513" s="14">
        <v>0</v>
      </c>
      <c r="AH5513" s="64">
        <f t="shared" si="868"/>
        <v>42998.35</v>
      </c>
      <c r="AI5513" s="47"/>
      <c r="AJ5513" s="126" t="e">
        <v>#N/A</v>
      </c>
      <c r="AK5513" s="80">
        <f t="shared" si="871"/>
        <v>0</v>
      </c>
      <c r="AL5513" s="85"/>
      <c r="AM5513" s="85"/>
    </row>
    <row r="5514" spans="1:39" s="86" customFormat="1" ht="13.25" hidden="1" customHeight="1" x14ac:dyDescent="0.3">
      <c r="A5514" s="89" t="s">
        <v>3792</v>
      </c>
      <c r="B5514" s="86" t="s">
        <v>35</v>
      </c>
      <c r="C5514" s="86" t="s">
        <v>184</v>
      </c>
      <c r="D5514" s="86" t="s">
        <v>3849</v>
      </c>
      <c r="E5514" s="86" t="s">
        <v>3850</v>
      </c>
      <c r="F5514" s="86" t="s">
        <v>3850</v>
      </c>
      <c r="G5514" s="86" t="s">
        <v>3850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3851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865"/>
        <v>16096.5</v>
      </c>
      <c r="X5514" s="6">
        <f t="shared" si="864"/>
        <v>4372.3300970873788</v>
      </c>
      <c r="Y5514" s="13">
        <f t="shared" si="869"/>
        <v>0</v>
      </c>
      <c r="Z5514" s="66">
        <v>0</v>
      </c>
      <c r="AA5514" s="6">
        <v>0</v>
      </c>
      <c r="AB5514" s="4">
        <f t="shared" si="870"/>
        <v>4372.3300970873788</v>
      </c>
      <c r="AC5514" s="6">
        <f t="shared" si="866"/>
        <v>131.16990291262118</v>
      </c>
      <c r="AD5514" s="6">
        <f t="shared" si="867"/>
        <v>4503.5</v>
      </c>
      <c r="AE5514" s="14">
        <f>VLOOKUP(I5514,[2]媒体政策预估表!A:N,MATCH(O5514,[2]媒体政策预估表!$A$2:$M$2,0),0)</f>
        <v>7.0000000000000007E-2</v>
      </c>
      <c r="AF5514" s="6">
        <f t="shared" si="863"/>
        <v>315.245</v>
      </c>
      <c r="AG5514" s="14">
        <v>0</v>
      </c>
      <c r="AH5514" s="64">
        <f t="shared" si="868"/>
        <v>4503.5</v>
      </c>
      <c r="AI5514" s="47"/>
      <c r="AJ5514" s="126" t="e">
        <v>#N/A</v>
      </c>
      <c r="AK5514" s="80">
        <f t="shared" si="871"/>
        <v>0</v>
      </c>
      <c r="AL5514" s="85"/>
      <c r="AM5514" s="85"/>
    </row>
    <row r="5515" spans="1:39" s="86" customFormat="1" ht="13.25" hidden="1" customHeight="1" x14ac:dyDescent="0.3">
      <c r="A5515" s="89" t="s">
        <v>3852</v>
      </c>
      <c r="B5515" s="86" t="s">
        <v>35</v>
      </c>
      <c r="C5515" s="86" t="s">
        <v>184</v>
      </c>
      <c r="D5515" s="86" t="s">
        <v>3849</v>
      </c>
      <c r="E5515" s="86" t="s">
        <v>3853</v>
      </c>
      <c r="F5515" s="86" t="s">
        <v>3853</v>
      </c>
      <c r="G5515" s="86" t="s">
        <v>3853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3854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865"/>
        <v>5000</v>
      </c>
      <c r="X5515" s="6">
        <f t="shared" si="864"/>
        <v>0</v>
      </c>
      <c r="Y5515" s="13">
        <f t="shared" si="869"/>
        <v>0</v>
      </c>
      <c r="Z5515" s="66">
        <v>0</v>
      </c>
      <c r="AA5515" s="6">
        <v>0</v>
      </c>
      <c r="AB5515" s="4">
        <f t="shared" si="870"/>
        <v>0</v>
      </c>
      <c r="AC5515" s="6">
        <f t="shared" si="866"/>
        <v>0</v>
      </c>
      <c r="AD5515" s="6">
        <f t="shared" si="867"/>
        <v>0</v>
      </c>
      <c r="AE5515" s="14">
        <f>VLOOKUP(I5515,[2]媒体政策预估表!A:N,MATCH(O5515,[2]媒体政策预估表!$A$2:$M$2,0),0)</f>
        <v>7.0000000000000007E-2</v>
      </c>
      <c r="AF5515" s="6">
        <f t="shared" si="863"/>
        <v>0</v>
      </c>
      <c r="AG5515" s="14">
        <v>0</v>
      </c>
      <c r="AH5515" s="64">
        <f t="shared" si="868"/>
        <v>0</v>
      </c>
      <c r="AI5515" s="47"/>
      <c r="AJ5515" s="126" t="e">
        <v>#N/A</v>
      </c>
      <c r="AK5515" s="80">
        <f t="shared" si="871"/>
        <v>0</v>
      </c>
      <c r="AL5515" s="85"/>
      <c r="AM5515" s="85"/>
    </row>
    <row r="5516" spans="1:39" s="86" customFormat="1" ht="13.25" hidden="1" customHeight="1" x14ac:dyDescent="0.3">
      <c r="A5516" s="89" t="s">
        <v>3794</v>
      </c>
      <c r="B5516" s="86" t="s">
        <v>35</v>
      </c>
      <c r="C5516" s="86" t="s">
        <v>184</v>
      </c>
      <c r="D5516" s="86" t="s">
        <v>3849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865"/>
        <v>650000</v>
      </c>
      <c r="X5516" s="6">
        <f t="shared" si="864"/>
        <v>0</v>
      </c>
      <c r="Y5516" s="13">
        <f t="shared" si="869"/>
        <v>0</v>
      </c>
      <c r="Z5516" s="66">
        <v>0</v>
      </c>
      <c r="AA5516" s="6">
        <v>0</v>
      </c>
      <c r="AB5516" s="4">
        <f t="shared" si="870"/>
        <v>0</v>
      </c>
      <c r="AC5516" s="6">
        <f t="shared" si="866"/>
        <v>0</v>
      </c>
      <c r="AD5516" s="6">
        <f t="shared" si="867"/>
        <v>0</v>
      </c>
      <c r="AE5516" s="14">
        <f>VLOOKUP(I5516,[2]媒体政策预估表!A:N,MATCH(O5516,[2]媒体政策预估表!$A$2:$M$2,0),0)</f>
        <v>0.11</v>
      </c>
      <c r="AF5516" s="6">
        <f t="shared" si="863"/>
        <v>0</v>
      </c>
      <c r="AG5516" s="14">
        <v>0</v>
      </c>
      <c r="AH5516" s="64">
        <f t="shared" si="868"/>
        <v>0</v>
      </c>
      <c r="AI5516" s="47"/>
      <c r="AJ5516" s="126" t="e">
        <v>#N/A</v>
      </c>
      <c r="AK5516" s="80">
        <f t="shared" si="871"/>
        <v>0</v>
      </c>
      <c r="AL5516" s="85"/>
      <c r="AM5516" s="85"/>
    </row>
    <row r="5517" spans="1:39" s="86" customFormat="1" ht="13.25" hidden="1" customHeight="1" x14ac:dyDescent="0.3">
      <c r="A5517" s="89" t="s">
        <v>3792</v>
      </c>
      <c r="B5517" s="86" t="s">
        <v>35</v>
      </c>
      <c r="C5517" s="86" t="s">
        <v>184</v>
      </c>
      <c r="D5517" s="86" t="s">
        <v>3849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865"/>
        <v>218777.59999999974</v>
      </c>
      <c r="X5517" s="6">
        <f t="shared" si="864"/>
        <v>661577.7300000001</v>
      </c>
      <c r="Y5517" s="13">
        <f t="shared" si="869"/>
        <v>0</v>
      </c>
      <c r="Z5517" s="66">
        <v>0</v>
      </c>
      <c r="AA5517" s="6">
        <v>0</v>
      </c>
      <c r="AB5517" s="4">
        <f t="shared" si="870"/>
        <v>661577.7300000001</v>
      </c>
      <c r="AC5517" s="6">
        <f t="shared" si="866"/>
        <v>0</v>
      </c>
      <c r="AD5517" s="6">
        <f t="shared" si="867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863"/>
        <v>46310.441100000011</v>
      </c>
      <c r="AG5517" s="14">
        <v>0</v>
      </c>
      <c r="AH5517" s="64">
        <f t="shared" si="868"/>
        <v>661577.7300000001</v>
      </c>
      <c r="AI5517" s="47"/>
      <c r="AJ5517" s="126" t="e">
        <v>#N/A</v>
      </c>
      <c r="AK5517" s="80">
        <f t="shared" si="871"/>
        <v>0</v>
      </c>
      <c r="AL5517" s="85"/>
      <c r="AM5517" s="85"/>
    </row>
    <row r="5518" spans="1:39" s="86" customFormat="1" ht="13.25" hidden="1" customHeight="1" x14ac:dyDescent="0.3">
      <c r="A5518" s="89" t="s">
        <v>3792</v>
      </c>
      <c r="B5518" s="86" t="s">
        <v>35</v>
      </c>
      <c r="C5518" s="86" t="s">
        <v>184</v>
      </c>
      <c r="D5518" s="86" t="s">
        <v>3849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865"/>
        <v>5037.2299999999996</v>
      </c>
      <c r="X5518" s="6">
        <f t="shared" si="864"/>
        <v>18441.810000000001</v>
      </c>
      <c r="Y5518" s="13">
        <f t="shared" si="869"/>
        <v>0</v>
      </c>
      <c r="Z5518" s="66">
        <v>0</v>
      </c>
      <c r="AA5518" s="6">
        <v>0</v>
      </c>
      <c r="AB5518" s="4">
        <f t="shared" si="870"/>
        <v>18441.810000000001</v>
      </c>
      <c r="AC5518" s="6">
        <f t="shared" si="866"/>
        <v>0</v>
      </c>
      <c r="AD5518" s="6">
        <f t="shared" si="867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863"/>
        <v>1290.9267000000002</v>
      </c>
      <c r="AG5518" s="14">
        <v>0</v>
      </c>
      <c r="AH5518" s="64">
        <f t="shared" si="868"/>
        <v>18441.810000000001</v>
      </c>
      <c r="AI5518" s="47"/>
      <c r="AJ5518" s="126" t="e">
        <v>#N/A</v>
      </c>
      <c r="AK5518" s="80">
        <f t="shared" si="871"/>
        <v>0</v>
      </c>
      <c r="AL5518" s="85"/>
      <c r="AM5518" s="85"/>
    </row>
    <row r="5519" spans="1:39" s="86" customFormat="1" ht="13.25" hidden="1" customHeight="1" x14ac:dyDescent="0.3">
      <c r="A5519" s="89" t="s">
        <v>3792</v>
      </c>
      <c r="B5519" s="86" t="s">
        <v>35</v>
      </c>
      <c r="C5519" s="86" t="s">
        <v>184</v>
      </c>
      <c r="D5519" s="86" t="s">
        <v>3849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865"/>
        <v>9.0949470177292824E-13</v>
      </c>
      <c r="X5519" s="6">
        <f t="shared" si="864"/>
        <v>0</v>
      </c>
      <c r="Y5519" s="13">
        <f t="shared" si="869"/>
        <v>0</v>
      </c>
      <c r="Z5519" s="66">
        <v>0</v>
      </c>
      <c r="AA5519" s="6">
        <v>0</v>
      </c>
      <c r="AB5519" s="4">
        <f t="shared" si="870"/>
        <v>0</v>
      </c>
      <c r="AC5519" s="6">
        <f t="shared" si="866"/>
        <v>0</v>
      </c>
      <c r="AD5519" s="6">
        <f t="shared" si="867"/>
        <v>0</v>
      </c>
      <c r="AE5519" s="14">
        <f>VLOOKUP(I5519,[2]媒体政策预估表!A:N,MATCH(O5519,[2]媒体政策预估表!$A$2:$M$2,0),0)</f>
        <v>0.11</v>
      </c>
      <c r="AF5519" s="6">
        <f t="shared" si="863"/>
        <v>0</v>
      </c>
      <c r="AG5519" s="14">
        <v>0</v>
      </c>
      <c r="AH5519" s="64">
        <f t="shared" si="868"/>
        <v>0</v>
      </c>
      <c r="AI5519" s="47"/>
      <c r="AJ5519" s="126" t="e">
        <v>#N/A</v>
      </c>
      <c r="AK5519" s="80">
        <f t="shared" si="871"/>
        <v>0</v>
      </c>
      <c r="AL5519" s="85"/>
      <c r="AM5519" s="85"/>
    </row>
    <row r="5520" spans="1:39" s="86" customFormat="1" ht="13.25" hidden="1" customHeight="1" x14ac:dyDescent="0.3">
      <c r="A5520" s="89" t="s">
        <v>3806</v>
      </c>
      <c r="B5520" s="86" t="s">
        <v>35</v>
      </c>
      <c r="C5520" s="86" t="s">
        <v>184</v>
      </c>
      <c r="D5520" s="86" t="s">
        <v>3849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3855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865"/>
        <v>34269.149999999994</v>
      </c>
      <c r="X5520" s="6">
        <f t="shared" si="864"/>
        <v>115730.85</v>
      </c>
      <c r="Y5520" s="13">
        <f t="shared" si="869"/>
        <v>0</v>
      </c>
      <c r="Z5520" s="66">
        <v>0</v>
      </c>
      <c r="AA5520" s="6">
        <v>0</v>
      </c>
      <c r="AB5520" s="4">
        <f t="shared" si="870"/>
        <v>115730.85</v>
      </c>
      <c r="AC5520" s="6">
        <f t="shared" si="866"/>
        <v>0</v>
      </c>
      <c r="AD5520" s="6">
        <f t="shared" si="867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863"/>
        <v>8101.1595000000016</v>
      </c>
      <c r="AG5520" s="14">
        <v>0</v>
      </c>
      <c r="AH5520" s="64">
        <f t="shared" si="868"/>
        <v>115730.85</v>
      </c>
      <c r="AI5520" s="47"/>
      <c r="AJ5520" s="126" t="e">
        <v>#N/A</v>
      </c>
      <c r="AK5520" s="80">
        <f t="shared" si="871"/>
        <v>0</v>
      </c>
      <c r="AL5520" s="85"/>
      <c r="AM5520" s="85"/>
    </row>
    <row r="5521" spans="1:39" s="86" customFormat="1" ht="13.25" hidden="1" customHeight="1" x14ac:dyDescent="0.3">
      <c r="A5521" s="89" t="s">
        <v>3792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865"/>
        <v>41391.78</v>
      </c>
      <c r="X5521" s="6">
        <f t="shared" si="864"/>
        <v>18159.060000000001</v>
      </c>
      <c r="Y5521" s="13">
        <f t="shared" si="869"/>
        <v>0</v>
      </c>
      <c r="Z5521" s="14">
        <v>0</v>
      </c>
      <c r="AA5521" s="6">
        <v>0</v>
      </c>
      <c r="AB5521" s="4">
        <f t="shared" si="870"/>
        <v>18159.060000000001</v>
      </c>
      <c r="AC5521" s="6">
        <f t="shared" si="866"/>
        <v>1089.5436</v>
      </c>
      <c r="AD5521" s="6">
        <f t="shared" si="867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863"/>
        <v>1271.1342000000002</v>
      </c>
      <c r="AG5521" s="14">
        <v>0</v>
      </c>
      <c r="AH5521" s="64">
        <f t="shared" si="868"/>
        <v>18159.060000000001</v>
      </c>
      <c r="AI5521" s="47"/>
      <c r="AJ5521" s="126" t="e">
        <v>#N/A</v>
      </c>
      <c r="AK5521" s="80">
        <f t="shared" si="871"/>
        <v>0</v>
      </c>
      <c r="AL5521" s="85"/>
      <c r="AM5521" s="85"/>
    </row>
    <row r="5522" spans="1:39" s="86" customFormat="1" ht="13.25" hidden="1" customHeight="1" x14ac:dyDescent="0.3">
      <c r="A5522" s="89" t="s">
        <v>3792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865"/>
        <v>59923.180000000008</v>
      </c>
      <c r="X5522" s="6">
        <f t="shared" si="864"/>
        <v>0</v>
      </c>
      <c r="Y5522" s="13">
        <f t="shared" si="869"/>
        <v>0</v>
      </c>
      <c r="Z5522" s="14">
        <v>0</v>
      </c>
      <c r="AA5522" s="6">
        <v>0</v>
      </c>
      <c r="AB5522" s="4">
        <f t="shared" si="870"/>
        <v>0</v>
      </c>
      <c r="AC5522" s="6">
        <f t="shared" si="866"/>
        <v>0</v>
      </c>
      <c r="AD5522" s="6">
        <f t="shared" si="867"/>
        <v>0</v>
      </c>
      <c r="AE5522" s="14">
        <f>VLOOKUP(I5522,[2]媒体政策预估表!A:N,MATCH(O5522,[2]媒体政策预估表!$A$2:$M$2,0),0)</f>
        <v>7.0000000000000007E-2</v>
      </c>
      <c r="AF5522" s="6">
        <f t="shared" si="863"/>
        <v>0</v>
      </c>
      <c r="AG5522" s="14">
        <v>0</v>
      </c>
      <c r="AH5522" s="64">
        <f t="shared" si="868"/>
        <v>0</v>
      </c>
      <c r="AI5522" s="47"/>
      <c r="AJ5522" s="126" t="e">
        <v>#N/A</v>
      </c>
      <c r="AK5522" s="80">
        <f t="shared" si="871"/>
        <v>0</v>
      </c>
      <c r="AL5522" s="85"/>
      <c r="AM5522" s="85"/>
    </row>
    <row r="5523" spans="1:39" s="86" customFormat="1" ht="13.25" hidden="1" customHeight="1" x14ac:dyDescent="0.3">
      <c r="A5523" s="89" t="s">
        <v>3792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865"/>
        <v>45809.75</v>
      </c>
      <c r="X5523" s="6">
        <f t="shared" si="864"/>
        <v>0</v>
      </c>
      <c r="Y5523" s="13">
        <f t="shared" si="869"/>
        <v>0</v>
      </c>
      <c r="Z5523" s="14">
        <v>0</v>
      </c>
      <c r="AA5523" s="6">
        <v>0</v>
      </c>
      <c r="AB5523" s="4">
        <f t="shared" si="870"/>
        <v>0</v>
      </c>
      <c r="AC5523" s="6">
        <f t="shared" si="866"/>
        <v>0</v>
      </c>
      <c r="AD5523" s="6">
        <f t="shared" si="867"/>
        <v>0</v>
      </c>
      <c r="AE5523" s="14">
        <f>VLOOKUP(I5523,[2]媒体政策预估表!A:N,MATCH(O5523,[2]媒体政策预估表!$A$2:$M$2,0),0)</f>
        <v>0.11</v>
      </c>
      <c r="AF5523" s="6">
        <f t="shared" si="863"/>
        <v>0</v>
      </c>
      <c r="AG5523" s="14">
        <v>0</v>
      </c>
      <c r="AH5523" s="64">
        <f t="shared" si="868"/>
        <v>0</v>
      </c>
      <c r="AI5523" s="47"/>
      <c r="AJ5523" s="126" t="e">
        <v>#N/A</v>
      </c>
      <c r="AK5523" s="80">
        <f t="shared" si="871"/>
        <v>0</v>
      </c>
      <c r="AL5523" s="85"/>
      <c r="AM5523" s="85"/>
    </row>
    <row r="5524" spans="1:39" s="86" customFormat="1" ht="13.25" hidden="1" customHeight="1" x14ac:dyDescent="0.3">
      <c r="A5524" s="89" t="s">
        <v>3805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865"/>
        <v>2017.2499999999986</v>
      </c>
      <c r="X5524" s="6">
        <f t="shared" si="864"/>
        <v>2323.4</v>
      </c>
      <c r="Y5524" s="13">
        <f t="shared" si="869"/>
        <v>0</v>
      </c>
      <c r="Z5524" s="14">
        <v>0</v>
      </c>
      <c r="AA5524" s="6">
        <v>0</v>
      </c>
      <c r="AB5524" s="4">
        <f t="shared" si="870"/>
        <v>2323.4</v>
      </c>
      <c r="AC5524" s="6">
        <f t="shared" si="866"/>
        <v>0</v>
      </c>
      <c r="AD5524" s="6">
        <f t="shared" si="867"/>
        <v>2323.4</v>
      </c>
      <c r="AE5524" s="14">
        <f>VLOOKUP(I5524,[2]媒体政策预估表!A:N,MATCH(O5524,[2]媒体政策预估表!$A$2:$M$2,0),0)</f>
        <v>7.0000000000000007E-2</v>
      </c>
      <c r="AF5524" s="6">
        <f t="shared" si="863"/>
        <v>162.63800000000003</v>
      </c>
      <c r="AG5524" s="14">
        <v>0</v>
      </c>
      <c r="AH5524" s="64">
        <f t="shared" si="868"/>
        <v>2323.4</v>
      </c>
      <c r="AI5524" s="47"/>
      <c r="AJ5524" s="126" t="e">
        <v>#N/A</v>
      </c>
      <c r="AK5524" s="80">
        <f t="shared" si="871"/>
        <v>0</v>
      </c>
      <c r="AL5524" s="85"/>
      <c r="AM5524" s="85"/>
    </row>
    <row r="5525" spans="1:39" s="86" customFormat="1" ht="13.25" hidden="1" customHeight="1" x14ac:dyDescent="0.3">
      <c r="A5525" s="89" t="s">
        <v>3792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865"/>
        <v>22257.57</v>
      </c>
      <c r="X5525" s="6">
        <f t="shared" si="864"/>
        <v>0</v>
      </c>
      <c r="Y5525" s="13">
        <f t="shared" si="869"/>
        <v>0</v>
      </c>
      <c r="Z5525" s="14">
        <v>0</v>
      </c>
      <c r="AA5525" s="6">
        <v>0</v>
      </c>
      <c r="AB5525" s="4">
        <f t="shared" si="870"/>
        <v>0</v>
      </c>
      <c r="AC5525" s="6">
        <f t="shared" si="866"/>
        <v>0</v>
      </c>
      <c r="AD5525" s="6">
        <f t="shared" si="867"/>
        <v>0</v>
      </c>
      <c r="AE5525" s="14">
        <f>VLOOKUP(I5525,[2]媒体政策预估表!A:N,MATCH(O5525,[2]媒体政策预估表!$A$2:$M$2,0),0)</f>
        <v>7.0000000000000007E-2</v>
      </c>
      <c r="AF5525" s="6">
        <f t="shared" si="863"/>
        <v>0</v>
      </c>
      <c r="AG5525" s="14">
        <v>0</v>
      </c>
      <c r="AH5525" s="64">
        <f t="shared" si="868"/>
        <v>0</v>
      </c>
      <c r="AI5525" s="47"/>
      <c r="AJ5525" s="126" t="e">
        <v>#N/A</v>
      </c>
      <c r="AK5525" s="80">
        <f t="shared" si="871"/>
        <v>0</v>
      </c>
      <c r="AL5525" s="85"/>
      <c r="AM5525" s="85"/>
    </row>
    <row r="5526" spans="1:39" s="86" customFormat="1" ht="13.25" hidden="1" customHeight="1" x14ac:dyDescent="0.3">
      <c r="A5526" s="89" t="s">
        <v>3796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865"/>
        <v>40366.769999999997</v>
      </c>
      <c r="X5526" s="6">
        <f t="shared" si="864"/>
        <v>0</v>
      </c>
      <c r="Y5526" s="13">
        <f t="shared" si="869"/>
        <v>0</v>
      </c>
      <c r="Z5526" s="14">
        <v>0</v>
      </c>
      <c r="AA5526" s="6">
        <v>0</v>
      </c>
      <c r="AB5526" s="4">
        <f t="shared" si="870"/>
        <v>0</v>
      </c>
      <c r="AC5526" s="6">
        <f t="shared" si="866"/>
        <v>0</v>
      </c>
      <c r="AD5526" s="6">
        <f t="shared" si="867"/>
        <v>0</v>
      </c>
      <c r="AE5526" s="14">
        <f>VLOOKUP(I5526,[2]媒体政策预估表!A:N,MATCH(O5526,[2]媒体政策预估表!$A$2:$M$2,0),0)</f>
        <v>7.0000000000000007E-2</v>
      </c>
      <c r="AF5526" s="6">
        <f t="shared" si="863"/>
        <v>0</v>
      </c>
      <c r="AG5526" s="14">
        <v>0</v>
      </c>
      <c r="AH5526" s="64">
        <f t="shared" si="868"/>
        <v>0</v>
      </c>
      <c r="AI5526" s="47"/>
      <c r="AJ5526" s="126" t="e">
        <v>#N/A</v>
      </c>
      <c r="AK5526" s="80">
        <f t="shared" si="871"/>
        <v>0</v>
      </c>
      <c r="AL5526" s="85"/>
      <c r="AM5526" s="85"/>
    </row>
    <row r="5527" spans="1:39" s="86" customFormat="1" ht="13.25" hidden="1" customHeight="1" x14ac:dyDescent="0.3">
      <c r="A5527" s="89" t="s">
        <v>3792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865"/>
        <v>527.5</v>
      </c>
      <c r="X5527" s="6">
        <f t="shared" si="864"/>
        <v>4268</v>
      </c>
      <c r="Y5527" s="13">
        <f t="shared" si="869"/>
        <v>0</v>
      </c>
      <c r="Z5527" s="14">
        <v>0</v>
      </c>
      <c r="AA5527" s="6">
        <v>0</v>
      </c>
      <c r="AB5527" s="4">
        <f t="shared" si="870"/>
        <v>4268</v>
      </c>
      <c r="AC5527" s="6">
        <f t="shared" si="866"/>
        <v>0</v>
      </c>
      <c r="AD5527" s="6">
        <f t="shared" si="867"/>
        <v>4268</v>
      </c>
      <c r="AE5527" s="14">
        <f>VLOOKUP(I5527,[2]媒体政策预估表!A:N,MATCH(O5527,[2]媒体政策预估表!$A$2:$M$2,0),0)</f>
        <v>7.0000000000000007E-2</v>
      </c>
      <c r="AF5527" s="6">
        <f t="shared" si="863"/>
        <v>298.76000000000005</v>
      </c>
      <c r="AG5527" s="14">
        <v>0</v>
      </c>
      <c r="AH5527" s="64">
        <f t="shared" si="868"/>
        <v>4268</v>
      </c>
      <c r="AI5527" s="47"/>
      <c r="AJ5527" s="126" t="e">
        <v>#N/A</v>
      </c>
      <c r="AK5527" s="80">
        <f t="shared" si="871"/>
        <v>0</v>
      </c>
      <c r="AL5527" s="85"/>
      <c r="AM5527" s="85"/>
    </row>
    <row r="5528" spans="1:39" s="86" customFormat="1" ht="13.25" hidden="1" customHeight="1" x14ac:dyDescent="0.3">
      <c r="A5528" s="89" t="s">
        <v>3794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865"/>
        <v>18384.61</v>
      </c>
      <c r="X5528" s="6">
        <f t="shared" si="864"/>
        <v>0</v>
      </c>
      <c r="Y5528" s="13">
        <f t="shared" si="869"/>
        <v>0</v>
      </c>
      <c r="Z5528" s="14">
        <v>0</v>
      </c>
      <c r="AA5528" s="6">
        <v>0</v>
      </c>
      <c r="AB5528" s="4">
        <f t="shared" si="870"/>
        <v>0</v>
      </c>
      <c r="AC5528" s="6">
        <f t="shared" si="866"/>
        <v>0</v>
      </c>
      <c r="AD5528" s="6">
        <f t="shared" si="867"/>
        <v>0</v>
      </c>
      <c r="AE5528" s="14">
        <f>VLOOKUP(I5528,[2]媒体政策预估表!A:N,MATCH(O5528,[2]媒体政策预估表!$A$2:$M$2,0),0)</f>
        <v>7.0000000000000007E-2</v>
      </c>
      <c r="AF5528" s="6">
        <f t="shared" si="863"/>
        <v>0</v>
      </c>
      <c r="AG5528" s="14">
        <v>0</v>
      </c>
      <c r="AH5528" s="64">
        <f t="shared" si="868"/>
        <v>0</v>
      </c>
      <c r="AI5528" s="47"/>
      <c r="AJ5528" s="126" t="e">
        <v>#N/A</v>
      </c>
      <c r="AK5528" s="80">
        <f t="shared" si="871"/>
        <v>0</v>
      </c>
      <c r="AL5528" s="85"/>
      <c r="AM5528" s="85"/>
    </row>
    <row r="5529" spans="1:39" s="86" customFormat="1" ht="13.25" hidden="1" customHeight="1" x14ac:dyDescent="0.3">
      <c r="A5529" s="89" t="s">
        <v>3794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865"/>
        <v>8574.5299999999988</v>
      </c>
      <c r="X5529" s="6">
        <f t="shared" si="864"/>
        <v>0</v>
      </c>
      <c r="Y5529" s="13">
        <f t="shared" si="869"/>
        <v>0</v>
      </c>
      <c r="Z5529" s="14">
        <v>0</v>
      </c>
      <c r="AA5529" s="6">
        <v>0</v>
      </c>
      <c r="AB5529" s="4"/>
      <c r="AC5529" s="6">
        <f t="shared" si="866"/>
        <v>0</v>
      </c>
      <c r="AD5529" s="6">
        <f t="shared" si="867"/>
        <v>0</v>
      </c>
      <c r="AE5529" s="14">
        <f>VLOOKUP(I5529,[2]媒体政策预估表!A:N,MATCH(O5529,[2]媒体政策预估表!$A$2:$M$2,0),0)</f>
        <v>7.0000000000000007E-2</v>
      </c>
      <c r="AF5529" s="6">
        <f t="shared" si="863"/>
        <v>0</v>
      </c>
      <c r="AG5529" s="14">
        <v>0</v>
      </c>
      <c r="AH5529" s="64">
        <f t="shared" si="868"/>
        <v>0</v>
      </c>
      <c r="AI5529" s="47"/>
      <c r="AJ5529" s="126">
        <v>21</v>
      </c>
      <c r="AK5529" s="80">
        <f t="shared" si="871"/>
        <v>0</v>
      </c>
      <c r="AL5529" s="85"/>
      <c r="AM5529" s="85"/>
    </row>
    <row r="5530" spans="1:39" s="86" customFormat="1" ht="13.25" hidden="1" customHeight="1" x14ac:dyDescent="0.3">
      <c r="A5530" s="89" t="s">
        <v>3796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3845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865"/>
        <v>198089.60000000001</v>
      </c>
      <c r="X5530" s="6">
        <f t="shared" si="864"/>
        <v>0</v>
      </c>
      <c r="Y5530" s="13">
        <f t="shared" si="869"/>
        <v>0</v>
      </c>
      <c r="Z5530" s="14">
        <v>0</v>
      </c>
      <c r="AA5530" s="6">
        <v>0</v>
      </c>
      <c r="AB5530" s="4">
        <f t="shared" si="870"/>
        <v>0</v>
      </c>
      <c r="AC5530" s="6">
        <f t="shared" si="866"/>
        <v>0</v>
      </c>
      <c r="AD5530" s="6">
        <f t="shared" si="867"/>
        <v>0</v>
      </c>
      <c r="AE5530" s="14">
        <f>VLOOKUP(I5530,[2]媒体政策预估表!A:N,MATCH(O5530,[2]媒体政策预估表!$A$2:$M$2,0),0)</f>
        <v>0.11</v>
      </c>
      <c r="AF5530" s="6">
        <f t="shared" si="863"/>
        <v>0</v>
      </c>
      <c r="AG5530" s="14">
        <v>0</v>
      </c>
      <c r="AH5530" s="64">
        <f t="shared" si="868"/>
        <v>0</v>
      </c>
      <c r="AI5530" s="47"/>
      <c r="AJ5530" s="126" t="e">
        <v>#N/A</v>
      </c>
      <c r="AK5530" s="80">
        <f t="shared" si="871"/>
        <v>0</v>
      </c>
      <c r="AL5530" s="85"/>
      <c r="AM5530" s="85"/>
    </row>
    <row r="5531" spans="1:39" s="86" customFormat="1" ht="13.25" hidden="1" customHeight="1" x14ac:dyDescent="0.3">
      <c r="A5531" s="89" t="s">
        <v>3792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865"/>
        <v>4078.7800000000016</v>
      </c>
      <c r="X5531" s="6">
        <f t="shared" si="864"/>
        <v>0</v>
      </c>
      <c r="Y5531" s="13">
        <f t="shared" si="869"/>
        <v>0</v>
      </c>
      <c r="Z5531" s="14">
        <v>0</v>
      </c>
      <c r="AA5531" s="6">
        <v>0</v>
      </c>
      <c r="AB5531" s="4">
        <f t="shared" si="870"/>
        <v>0</v>
      </c>
      <c r="AC5531" s="6">
        <f t="shared" si="866"/>
        <v>0</v>
      </c>
      <c r="AD5531" s="6">
        <f t="shared" si="867"/>
        <v>0</v>
      </c>
      <c r="AE5531" s="14">
        <f>VLOOKUP(I5531,[2]媒体政策预估表!A:N,MATCH(O5531,[2]媒体政策预估表!$A$2:$M$2,0),0)</f>
        <v>7.0000000000000007E-2</v>
      </c>
      <c r="AF5531" s="6">
        <f t="shared" si="863"/>
        <v>0</v>
      </c>
      <c r="AG5531" s="14">
        <v>0</v>
      </c>
      <c r="AH5531" s="64">
        <f t="shared" si="868"/>
        <v>0</v>
      </c>
      <c r="AI5531" s="47"/>
      <c r="AJ5531" s="126" t="e">
        <v>#N/A</v>
      </c>
      <c r="AK5531" s="80">
        <f t="shared" si="871"/>
        <v>0</v>
      </c>
      <c r="AL5531" s="85"/>
      <c r="AM5531" s="85"/>
    </row>
    <row r="5532" spans="1:39" s="86" customFormat="1" ht="13.25" hidden="1" customHeight="1" x14ac:dyDescent="0.3">
      <c r="A5532" s="89" t="s">
        <v>3794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865"/>
        <v>20000</v>
      </c>
      <c r="X5532" s="6">
        <f t="shared" si="864"/>
        <v>0</v>
      </c>
      <c r="Y5532" s="13">
        <f t="shared" si="869"/>
        <v>0</v>
      </c>
      <c r="Z5532" s="14">
        <v>0</v>
      </c>
      <c r="AA5532" s="6">
        <v>0</v>
      </c>
      <c r="AB5532" s="4">
        <f t="shared" si="870"/>
        <v>0</v>
      </c>
      <c r="AC5532" s="6">
        <f t="shared" si="866"/>
        <v>0</v>
      </c>
      <c r="AD5532" s="6">
        <f t="shared" si="867"/>
        <v>0</v>
      </c>
      <c r="AE5532" s="14">
        <f>VLOOKUP(I5532,[2]媒体政策预估表!A:N,MATCH(O5532,[2]媒体政策预估表!$A$2:$M$2,0),0)</f>
        <v>7.0000000000000007E-2</v>
      </c>
      <c r="AF5532" s="6">
        <f t="shared" si="863"/>
        <v>0</v>
      </c>
      <c r="AG5532" s="14">
        <v>0</v>
      </c>
      <c r="AH5532" s="64">
        <f t="shared" si="868"/>
        <v>0</v>
      </c>
      <c r="AI5532" s="47"/>
      <c r="AJ5532" s="126" t="e">
        <v>#N/A</v>
      </c>
      <c r="AK5532" s="80">
        <f t="shared" si="871"/>
        <v>0</v>
      </c>
      <c r="AL5532" s="85"/>
      <c r="AM5532" s="85"/>
    </row>
    <row r="5533" spans="1:39" s="86" customFormat="1" ht="13.25" hidden="1" customHeight="1" x14ac:dyDescent="0.3">
      <c r="A5533" s="89" t="s">
        <v>3794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865"/>
        <v>20000</v>
      </c>
      <c r="X5533" s="6">
        <f t="shared" si="864"/>
        <v>0</v>
      </c>
      <c r="Y5533" s="13">
        <f t="shared" si="869"/>
        <v>0</v>
      </c>
      <c r="Z5533" s="14">
        <v>0</v>
      </c>
      <c r="AA5533" s="6">
        <v>0</v>
      </c>
      <c r="AB5533" s="4">
        <f t="shared" si="870"/>
        <v>0</v>
      </c>
      <c r="AC5533" s="6">
        <f t="shared" si="866"/>
        <v>0</v>
      </c>
      <c r="AD5533" s="6">
        <f t="shared" si="867"/>
        <v>0</v>
      </c>
      <c r="AE5533" s="14">
        <f>VLOOKUP(I5533,[2]媒体政策预估表!A:N,MATCH(O5533,[2]媒体政策预估表!$A$2:$M$2,0),0)</f>
        <v>7.0000000000000007E-2</v>
      </c>
      <c r="AF5533" s="6">
        <f t="shared" si="863"/>
        <v>0</v>
      </c>
      <c r="AG5533" s="14">
        <v>0</v>
      </c>
      <c r="AH5533" s="64">
        <f t="shared" si="868"/>
        <v>0</v>
      </c>
      <c r="AI5533" s="47"/>
      <c r="AJ5533" s="126" t="e">
        <v>#N/A</v>
      </c>
      <c r="AK5533" s="80">
        <f t="shared" si="871"/>
        <v>0</v>
      </c>
      <c r="AL5533" s="85"/>
      <c r="AM5533" s="85"/>
    </row>
    <row r="5534" spans="1:39" s="86" customFormat="1" ht="13.25" hidden="1" customHeight="1" x14ac:dyDescent="0.3">
      <c r="A5534" s="89" t="s">
        <v>3806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865"/>
        <v>8723.2999999999993</v>
      </c>
      <c r="X5534" s="6">
        <f t="shared" si="864"/>
        <v>1565.8000000000002</v>
      </c>
      <c r="Y5534" s="13">
        <f t="shared" si="869"/>
        <v>0</v>
      </c>
      <c r="Z5534" s="14">
        <v>0</v>
      </c>
      <c r="AA5534" s="6">
        <v>0</v>
      </c>
      <c r="AB5534" s="4">
        <f t="shared" si="870"/>
        <v>1565.8000000000002</v>
      </c>
      <c r="AC5534" s="6">
        <f t="shared" si="866"/>
        <v>0</v>
      </c>
      <c r="AD5534" s="6">
        <f t="shared" si="867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863"/>
        <v>109.60600000000002</v>
      </c>
      <c r="AG5534" s="14">
        <v>0</v>
      </c>
      <c r="AH5534" s="64">
        <f t="shared" si="868"/>
        <v>1565.8000000000002</v>
      </c>
      <c r="AI5534" s="47"/>
      <c r="AJ5534" s="126" t="e">
        <v>#N/A</v>
      </c>
      <c r="AK5534" s="80">
        <f t="shared" si="871"/>
        <v>0</v>
      </c>
      <c r="AL5534" s="85"/>
      <c r="AM5534" s="85"/>
    </row>
    <row r="5535" spans="1:39" s="86" customFormat="1" ht="13.25" hidden="1" customHeight="1" x14ac:dyDescent="0.3">
      <c r="A5535" s="89" t="s">
        <v>3792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865"/>
        <v>87163.900000000009</v>
      </c>
      <c r="X5535" s="6">
        <f t="shared" si="864"/>
        <v>26567.425742574251</v>
      </c>
      <c r="Y5535" s="13">
        <f t="shared" si="869"/>
        <v>0</v>
      </c>
      <c r="Z5535" s="14">
        <v>0</v>
      </c>
      <c r="AA5535" s="6">
        <v>0</v>
      </c>
      <c r="AB5535" s="4">
        <f t="shared" si="870"/>
        <v>26567.425742574251</v>
      </c>
      <c r="AC5535" s="6">
        <f t="shared" si="866"/>
        <v>265.67425742574414</v>
      </c>
      <c r="AD5535" s="6">
        <f t="shared" si="867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863"/>
        <v>1878.3169999999998</v>
      </c>
      <c r="AG5535" s="14">
        <v>0</v>
      </c>
      <c r="AH5535" s="64">
        <f t="shared" si="868"/>
        <v>26833.099999999995</v>
      </c>
      <c r="AI5535" s="47"/>
      <c r="AJ5535" s="126" t="e">
        <v>#N/A</v>
      </c>
      <c r="AK5535" s="80">
        <f t="shared" si="871"/>
        <v>0</v>
      </c>
      <c r="AL5535" s="85"/>
      <c r="AM5535" s="85"/>
    </row>
    <row r="5536" spans="1:39" s="86" customFormat="1" ht="13.25" hidden="1" customHeight="1" x14ac:dyDescent="0.3">
      <c r="A5536" s="89" t="s">
        <v>3792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865"/>
        <v>162845.65000000005</v>
      </c>
      <c r="X5536" s="6">
        <f t="shared" si="864"/>
        <v>0</v>
      </c>
      <c r="Y5536" s="13">
        <f t="shared" si="869"/>
        <v>0</v>
      </c>
      <c r="Z5536" s="14">
        <v>0</v>
      </c>
      <c r="AA5536" s="6">
        <v>0</v>
      </c>
      <c r="AB5536" s="4">
        <f t="shared" si="870"/>
        <v>0</v>
      </c>
      <c r="AC5536" s="6">
        <f t="shared" si="866"/>
        <v>0</v>
      </c>
      <c r="AD5536" s="6">
        <f t="shared" si="867"/>
        <v>0</v>
      </c>
      <c r="AE5536" s="14">
        <f>VLOOKUP(I5536,[2]媒体政策预估表!A:N,MATCH(O5536,[2]媒体政策预估表!$A$2:$M$2,0),0)</f>
        <v>7.0000000000000007E-2</v>
      </c>
      <c r="AF5536" s="6">
        <f t="shared" si="863"/>
        <v>0</v>
      </c>
      <c r="AG5536" s="14">
        <v>0</v>
      </c>
      <c r="AH5536" s="64">
        <f t="shared" si="868"/>
        <v>0</v>
      </c>
      <c r="AI5536" s="47"/>
      <c r="AJ5536" s="126" t="e">
        <v>#N/A</v>
      </c>
      <c r="AK5536" s="80">
        <f t="shared" si="871"/>
        <v>0</v>
      </c>
      <c r="AL5536" s="85"/>
      <c r="AM5536" s="85"/>
    </row>
    <row r="5537" spans="1:39" s="86" customFormat="1" ht="13.25" hidden="1" customHeight="1" x14ac:dyDescent="0.3">
      <c r="A5537" s="89" t="s">
        <v>3794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865"/>
        <v>20000</v>
      </c>
      <c r="X5537" s="6">
        <f t="shared" si="864"/>
        <v>0</v>
      </c>
      <c r="Y5537" s="13">
        <f t="shared" si="869"/>
        <v>0</v>
      </c>
      <c r="Z5537" s="14">
        <v>0</v>
      </c>
      <c r="AA5537" s="6">
        <v>0</v>
      </c>
      <c r="AB5537" s="4">
        <f t="shared" si="870"/>
        <v>0</v>
      </c>
      <c r="AC5537" s="6">
        <f t="shared" si="866"/>
        <v>0</v>
      </c>
      <c r="AD5537" s="6">
        <f t="shared" si="867"/>
        <v>0</v>
      </c>
      <c r="AE5537" s="14">
        <f>VLOOKUP(I5537,[2]媒体政策预估表!A:N,MATCH(O5537,[2]媒体政策预估表!$A$2:$M$2,0),0)</f>
        <v>0.11</v>
      </c>
      <c r="AF5537" s="6">
        <f t="shared" si="863"/>
        <v>0</v>
      </c>
      <c r="AG5537" s="14">
        <v>0</v>
      </c>
      <c r="AH5537" s="64">
        <f t="shared" si="868"/>
        <v>0</v>
      </c>
      <c r="AI5537" s="47"/>
      <c r="AJ5537" s="126" t="e">
        <v>#N/A</v>
      </c>
      <c r="AK5537" s="80">
        <f t="shared" si="871"/>
        <v>0</v>
      </c>
      <c r="AL5537" s="85"/>
      <c r="AM5537" s="85"/>
    </row>
    <row r="5538" spans="1:39" s="86" customFormat="1" ht="13.25" hidden="1" customHeight="1" x14ac:dyDescent="0.3">
      <c r="A5538" s="89" t="s">
        <v>3794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865"/>
        <v>0</v>
      </c>
      <c r="X5538" s="6">
        <f t="shared" si="864"/>
        <v>584.76470588235918</v>
      </c>
      <c r="Y5538" s="13">
        <f t="shared" si="869"/>
        <v>0</v>
      </c>
      <c r="Z5538" s="14">
        <v>0</v>
      </c>
      <c r="AA5538" s="6">
        <v>0</v>
      </c>
      <c r="AB5538" s="4">
        <f t="shared" si="870"/>
        <v>584.76470588235918</v>
      </c>
      <c r="AC5538" s="6">
        <f t="shared" si="866"/>
        <v>11.695294117647222</v>
      </c>
      <c r="AD5538" s="6">
        <f t="shared" si="867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863"/>
        <v>41.75220000000045</v>
      </c>
      <c r="AG5538" s="14">
        <v>0</v>
      </c>
      <c r="AH5538" s="64">
        <f t="shared" si="868"/>
        <v>596.4600000000064</v>
      </c>
      <c r="AI5538" s="47"/>
      <c r="AJ5538" s="126" t="e">
        <v>#N/A</v>
      </c>
      <c r="AK5538" s="80">
        <f t="shared" si="871"/>
        <v>0</v>
      </c>
      <c r="AL5538" s="85"/>
      <c r="AM5538" s="85"/>
    </row>
    <row r="5539" spans="1:39" s="86" customFormat="1" ht="13.25" hidden="1" customHeight="1" x14ac:dyDescent="0.3">
      <c r="A5539" s="89" t="s">
        <v>3792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865"/>
        <v>257365.23999999976</v>
      </c>
      <c r="X5539" s="6">
        <f t="shared" si="864"/>
        <v>876243.99004975124</v>
      </c>
      <c r="Y5539" s="13">
        <f t="shared" si="869"/>
        <v>0</v>
      </c>
      <c r="Z5539" s="14">
        <v>0</v>
      </c>
      <c r="AA5539" s="6">
        <v>0</v>
      </c>
      <c r="AB5539" s="4">
        <f t="shared" si="870"/>
        <v>876243.99004975124</v>
      </c>
      <c r="AC5539" s="6">
        <f t="shared" si="866"/>
        <v>4381.2199502487201</v>
      </c>
      <c r="AD5539" s="6">
        <f t="shared" si="867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863"/>
        <v>61643.7647</v>
      </c>
      <c r="AG5539" s="14">
        <v>0</v>
      </c>
      <c r="AH5539" s="64">
        <f t="shared" si="868"/>
        <v>880625.21</v>
      </c>
      <c r="AI5539" s="47"/>
      <c r="AJ5539" s="126" t="e">
        <v>#N/A</v>
      </c>
      <c r="AK5539" s="80">
        <f t="shared" si="871"/>
        <v>0</v>
      </c>
      <c r="AL5539" s="85"/>
      <c r="AM5539" s="85"/>
    </row>
    <row r="5540" spans="1:39" s="86" customFormat="1" ht="13.25" hidden="1" customHeight="1" x14ac:dyDescent="0.3">
      <c r="A5540" s="89" t="s">
        <v>3792</v>
      </c>
      <c r="B5540" s="86" t="s">
        <v>35</v>
      </c>
      <c r="C5540" s="86" t="s">
        <v>184</v>
      </c>
      <c r="D5540" s="86" t="s">
        <v>3849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865"/>
        <v>42405.41</v>
      </c>
      <c r="X5540" s="6">
        <f t="shared" si="864"/>
        <v>0</v>
      </c>
      <c r="Y5540" s="13">
        <f t="shared" si="869"/>
        <v>0</v>
      </c>
      <c r="Z5540" s="14">
        <v>0</v>
      </c>
      <c r="AA5540" s="6">
        <v>0</v>
      </c>
      <c r="AB5540" s="4">
        <f t="shared" si="870"/>
        <v>0</v>
      </c>
      <c r="AC5540" s="6">
        <f t="shared" si="866"/>
        <v>0</v>
      </c>
      <c r="AD5540" s="6">
        <f t="shared" si="867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872">AD5540*AE5540</f>
        <v>0</v>
      </c>
      <c r="AG5540" s="14">
        <v>0</v>
      </c>
      <c r="AH5540" s="64">
        <f t="shared" si="868"/>
        <v>0</v>
      </c>
      <c r="AI5540" s="47"/>
      <c r="AJ5540" s="126" t="e">
        <v>#N/A</v>
      </c>
      <c r="AK5540" s="80">
        <f t="shared" si="871"/>
        <v>0</v>
      </c>
      <c r="AL5540" s="85"/>
      <c r="AM5540" s="85"/>
    </row>
    <row r="5541" spans="1:39" s="86" customFormat="1" ht="13.25" hidden="1" customHeight="1" x14ac:dyDescent="0.3">
      <c r="A5541" s="89" t="s">
        <v>3792</v>
      </c>
      <c r="B5541" s="86" t="s">
        <v>35</v>
      </c>
      <c r="C5541" s="86" t="s">
        <v>184</v>
      </c>
      <c r="D5541" s="86" t="s">
        <v>3849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865"/>
        <v>0</v>
      </c>
      <c r="X5541" s="6">
        <f t="shared" si="864"/>
        <v>3132.4500000000003</v>
      </c>
      <c r="Y5541" s="13">
        <f t="shared" si="869"/>
        <v>0</v>
      </c>
      <c r="Z5541" s="14">
        <v>0</v>
      </c>
      <c r="AA5541" s="6">
        <v>0</v>
      </c>
      <c r="AB5541" s="4">
        <f t="shared" si="870"/>
        <v>3132.4500000000003</v>
      </c>
      <c r="AC5541" s="6">
        <f t="shared" si="866"/>
        <v>0</v>
      </c>
      <c r="AD5541" s="6">
        <f t="shared" si="867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872"/>
        <v>219.27150000000003</v>
      </c>
      <c r="AG5541" s="14">
        <v>0</v>
      </c>
      <c r="AH5541" s="64">
        <f t="shared" si="868"/>
        <v>3132.4500000000003</v>
      </c>
      <c r="AI5541" s="47"/>
      <c r="AJ5541" s="126" t="e">
        <v>#N/A</v>
      </c>
      <c r="AK5541" s="80">
        <f t="shared" si="871"/>
        <v>0</v>
      </c>
      <c r="AL5541" s="85"/>
      <c r="AM5541" s="85"/>
    </row>
    <row r="5542" spans="1:39" s="86" customFormat="1" ht="13.25" hidden="1" customHeight="1" x14ac:dyDescent="0.3">
      <c r="A5542" s="89" t="s">
        <v>3792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865"/>
        <v>0</v>
      </c>
      <c r="X5542" s="6">
        <f t="shared" si="864"/>
        <v>6957.3900000000012</v>
      </c>
      <c r="Y5542" s="13">
        <f t="shared" si="869"/>
        <v>0</v>
      </c>
      <c r="Z5542" s="14">
        <v>0</v>
      </c>
      <c r="AA5542" s="6">
        <v>0</v>
      </c>
      <c r="AB5542" s="4">
        <f t="shared" si="870"/>
        <v>6957.3900000000012</v>
      </c>
      <c r="AC5542" s="6">
        <f t="shared" si="866"/>
        <v>0</v>
      </c>
      <c r="AD5542" s="6">
        <f t="shared" si="867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872"/>
        <v>487.01730000000015</v>
      </c>
      <c r="AG5542" s="14">
        <v>0</v>
      </c>
      <c r="AH5542" s="64">
        <f t="shared" si="868"/>
        <v>6957.3900000000012</v>
      </c>
      <c r="AI5542" s="47"/>
      <c r="AJ5542" s="126" t="e">
        <v>#N/A</v>
      </c>
      <c r="AK5542" s="80">
        <f t="shared" si="871"/>
        <v>0</v>
      </c>
      <c r="AL5542" s="85"/>
      <c r="AM5542" s="85"/>
    </row>
    <row r="5543" spans="1:39" s="86" customFormat="1" ht="13.25" hidden="1" customHeight="1" x14ac:dyDescent="0.3">
      <c r="A5543" s="89" t="s">
        <v>3792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865"/>
        <v>0</v>
      </c>
      <c r="X5543" s="6">
        <f t="shared" si="864"/>
        <v>745.88118811881191</v>
      </c>
      <c r="Y5543" s="13">
        <f t="shared" si="869"/>
        <v>0</v>
      </c>
      <c r="Z5543" s="14">
        <v>0</v>
      </c>
      <c r="AA5543" s="6">
        <v>0</v>
      </c>
      <c r="AB5543" s="4">
        <f t="shared" si="870"/>
        <v>745.88118811881191</v>
      </c>
      <c r="AC5543" s="6">
        <f t="shared" si="866"/>
        <v>7.4588118811881259</v>
      </c>
      <c r="AD5543" s="6">
        <f t="shared" si="867"/>
        <v>753.34</v>
      </c>
      <c r="AE5543" s="14">
        <f>VLOOKUP(I5543,[2]媒体政策预估表!A:N,MATCH(O5543,[2]媒体政策预估表!$A$2:$M$2,0),0)</f>
        <v>7.0000000000000007E-2</v>
      </c>
      <c r="AF5543" s="6">
        <f t="shared" si="872"/>
        <v>52.733800000000009</v>
      </c>
      <c r="AG5543" s="14">
        <v>0</v>
      </c>
      <c r="AH5543" s="64">
        <f t="shared" si="868"/>
        <v>753.34</v>
      </c>
      <c r="AI5543" s="47"/>
      <c r="AJ5543" s="126" t="e">
        <v>#N/A</v>
      </c>
      <c r="AK5543" s="80">
        <f t="shared" si="871"/>
        <v>0</v>
      </c>
      <c r="AL5543" s="85"/>
      <c r="AM5543" s="85"/>
    </row>
    <row r="5544" spans="1:39" s="86" customFormat="1" ht="13.25" hidden="1" customHeight="1" x14ac:dyDescent="0.3">
      <c r="A5544" s="89" t="s">
        <v>3792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865"/>
        <v>9733.17</v>
      </c>
      <c r="X5544" s="6">
        <f t="shared" si="864"/>
        <v>0</v>
      </c>
      <c r="Y5544" s="13">
        <f t="shared" si="869"/>
        <v>0</v>
      </c>
      <c r="Z5544" s="14">
        <v>0</v>
      </c>
      <c r="AA5544" s="6">
        <v>0</v>
      </c>
      <c r="AB5544" s="4">
        <f t="shared" si="870"/>
        <v>0</v>
      </c>
      <c r="AC5544" s="6">
        <f t="shared" si="866"/>
        <v>0</v>
      </c>
      <c r="AD5544" s="6">
        <f t="shared" si="867"/>
        <v>0</v>
      </c>
      <c r="AE5544" s="14">
        <f>VLOOKUP(I5544,[2]媒体政策预估表!A:N,MATCH(O5544,[2]媒体政策预估表!$A$2:$M$2,0),0)</f>
        <v>7.0000000000000007E-2</v>
      </c>
      <c r="AF5544" s="6">
        <f t="shared" si="872"/>
        <v>0</v>
      </c>
      <c r="AG5544" s="14">
        <v>0</v>
      </c>
      <c r="AH5544" s="64">
        <f t="shared" si="868"/>
        <v>0</v>
      </c>
      <c r="AI5544" s="47"/>
      <c r="AJ5544" s="126" t="e">
        <v>#N/A</v>
      </c>
      <c r="AK5544" s="80">
        <f t="shared" si="871"/>
        <v>0</v>
      </c>
      <c r="AL5544" s="85"/>
      <c r="AM5544" s="85"/>
    </row>
    <row r="5545" spans="1:39" s="86" customFormat="1" ht="13.25" hidden="1" customHeight="1" x14ac:dyDescent="0.3">
      <c r="A5545" s="89" t="s">
        <v>3794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865"/>
        <v>-12504.580000000002</v>
      </c>
      <c r="X5545" s="6">
        <f t="shared" si="864"/>
        <v>0</v>
      </c>
      <c r="Y5545" s="13">
        <f t="shared" si="869"/>
        <v>0</v>
      </c>
      <c r="Z5545" s="14">
        <v>0</v>
      </c>
      <c r="AA5545" s="6">
        <v>0</v>
      </c>
      <c r="AB5545" s="4">
        <f t="shared" si="870"/>
        <v>0</v>
      </c>
      <c r="AC5545" s="6">
        <f t="shared" si="866"/>
        <v>0</v>
      </c>
      <c r="AD5545" s="6">
        <f t="shared" si="867"/>
        <v>0</v>
      </c>
      <c r="AE5545" s="14">
        <f>VLOOKUP(I5545,[2]媒体政策预估表!A:N,MATCH(O5545,[2]媒体政策预估表!$A$2:$M$2,0),0)</f>
        <v>0.11</v>
      </c>
      <c r="AF5545" s="6">
        <f t="shared" si="872"/>
        <v>0</v>
      </c>
      <c r="AG5545" s="14">
        <v>0</v>
      </c>
      <c r="AH5545" s="64">
        <f t="shared" si="868"/>
        <v>0</v>
      </c>
      <c r="AI5545" s="47"/>
      <c r="AJ5545" s="126" t="e">
        <v>#N/A</v>
      </c>
      <c r="AK5545" s="80">
        <f t="shared" si="871"/>
        <v>0</v>
      </c>
      <c r="AL5545" s="85"/>
      <c r="AM5545" s="85"/>
    </row>
    <row r="5546" spans="1:39" s="86" customFormat="1" ht="13.25" hidden="1" customHeight="1" x14ac:dyDescent="0.3">
      <c r="A5546" s="89" t="s">
        <v>3792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865"/>
        <v>23000</v>
      </c>
      <c r="X5546" s="6">
        <f t="shared" si="864"/>
        <v>0</v>
      </c>
      <c r="Y5546" s="13">
        <f t="shared" si="869"/>
        <v>0</v>
      </c>
      <c r="Z5546" s="14">
        <v>0</v>
      </c>
      <c r="AA5546" s="6">
        <v>0</v>
      </c>
      <c r="AB5546" s="4">
        <f t="shared" si="870"/>
        <v>0</v>
      </c>
      <c r="AC5546" s="6">
        <f t="shared" si="866"/>
        <v>0</v>
      </c>
      <c r="AD5546" s="6">
        <f t="shared" si="867"/>
        <v>0</v>
      </c>
      <c r="AE5546" s="14">
        <f>VLOOKUP(I5546,[2]媒体政策预估表!A:N,MATCH(O5546,[2]媒体政策预估表!$A$2:$M$2,0),0)</f>
        <v>7.0000000000000007E-2</v>
      </c>
      <c r="AF5546" s="6">
        <f t="shared" si="872"/>
        <v>0</v>
      </c>
      <c r="AG5546" s="14">
        <v>0</v>
      </c>
      <c r="AH5546" s="64">
        <f t="shared" si="868"/>
        <v>0</v>
      </c>
      <c r="AI5546" s="47"/>
      <c r="AJ5546" s="126" t="e">
        <v>#N/A</v>
      </c>
      <c r="AK5546" s="80">
        <f t="shared" si="871"/>
        <v>0</v>
      </c>
      <c r="AL5546" s="85"/>
      <c r="AM5546" s="85"/>
    </row>
    <row r="5547" spans="1:39" s="86" customFormat="1" ht="13.25" hidden="1" customHeight="1" x14ac:dyDescent="0.3">
      <c r="A5547" s="89" t="s">
        <v>3792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865"/>
        <v>-28035.849999999595</v>
      </c>
      <c r="X5547" s="6">
        <f t="shared" si="864"/>
        <v>0</v>
      </c>
      <c r="Y5547" s="13">
        <f t="shared" si="869"/>
        <v>0</v>
      </c>
      <c r="Z5547" s="14">
        <v>0</v>
      </c>
      <c r="AA5547" s="6">
        <v>0</v>
      </c>
      <c r="AB5547" s="4">
        <f t="shared" si="870"/>
        <v>0</v>
      </c>
      <c r="AC5547" s="6">
        <f t="shared" si="866"/>
        <v>0</v>
      </c>
      <c r="AD5547" s="6">
        <f t="shared" si="867"/>
        <v>0</v>
      </c>
      <c r="AE5547" s="14">
        <f>VLOOKUP(I5547,[2]媒体政策预估表!A:N,MATCH(O5547,[2]媒体政策预估表!$A$2:$M$2,0),0)</f>
        <v>0.11</v>
      </c>
      <c r="AF5547" s="6">
        <f t="shared" si="872"/>
        <v>0</v>
      </c>
      <c r="AG5547" s="14">
        <v>0</v>
      </c>
      <c r="AH5547" s="64">
        <f t="shared" si="868"/>
        <v>0</v>
      </c>
      <c r="AI5547" s="47"/>
      <c r="AJ5547" s="126" t="e">
        <v>#N/A</v>
      </c>
      <c r="AK5547" s="80">
        <f t="shared" si="871"/>
        <v>0</v>
      </c>
      <c r="AL5547" s="85"/>
      <c r="AM5547" s="85"/>
    </row>
    <row r="5548" spans="1:39" s="86" customFormat="1" ht="13.25" hidden="1" customHeight="1" x14ac:dyDescent="0.3">
      <c r="A5548" s="89" t="s">
        <v>3794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865"/>
        <v>38153.85</v>
      </c>
      <c r="X5548" s="6">
        <f t="shared" si="864"/>
        <v>0</v>
      </c>
      <c r="Y5548" s="13">
        <f t="shared" si="869"/>
        <v>0</v>
      </c>
      <c r="Z5548" s="14">
        <v>0</v>
      </c>
      <c r="AA5548" s="6">
        <v>0</v>
      </c>
      <c r="AB5548" s="4">
        <f t="shared" si="870"/>
        <v>0</v>
      </c>
      <c r="AC5548" s="6">
        <f t="shared" si="866"/>
        <v>0</v>
      </c>
      <c r="AD5548" s="6">
        <f t="shared" si="867"/>
        <v>0</v>
      </c>
      <c r="AE5548" s="14">
        <f>VLOOKUP(I5548,[2]媒体政策预估表!A:N,MATCH(O5548,[2]媒体政策预估表!$A$2:$M$2,0),0)</f>
        <v>7.0000000000000007E-2</v>
      </c>
      <c r="AF5548" s="6">
        <f t="shared" si="872"/>
        <v>0</v>
      </c>
      <c r="AG5548" s="14">
        <v>0</v>
      </c>
      <c r="AH5548" s="64">
        <f t="shared" si="868"/>
        <v>0</v>
      </c>
      <c r="AI5548" s="47"/>
      <c r="AJ5548" s="126" t="e">
        <v>#N/A</v>
      </c>
      <c r="AK5548" s="80">
        <f t="shared" si="871"/>
        <v>0</v>
      </c>
      <c r="AL5548" s="85"/>
      <c r="AM5548" s="85"/>
    </row>
    <row r="5549" spans="1:39" s="86" customFormat="1" ht="13.25" hidden="1" customHeight="1" x14ac:dyDescent="0.3">
      <c r="A5549" s="89" t="s">
        <v>3792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865"/>
        <v>71927.750000000058</v>
      </c>
      <c r="X5549" s="6">
        <f t="shared" si="864"/>
        <v>76541.609999999986</v>
      </c>
      <c r="Y5549" s="13">
        <f t="shared" si="869"/>
        <v>0</v>
      </c>
      <c r="Z5549" s="14">
        <v>0</v>
      </c>
      <c r="AA5549" s="6">
        <v>0</v>
      </c>
      <c r="AB5549" s="4">
        <f t="shared" si="870"/>
        <v>76541.609999999986</v>
      </c>
      <c r="AC5549" s="6">
        <f t="shared" si="866"/>
        <v>0</v>
      </c>
      <c r="AD5549" s="6">
        <f t="shared" si="867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872"/>
        <v>5357.9126999999999</v>
      </c>
      <c r="AG5549" s="14">
        <v>0</v>
      </c>
      <c r="AH5549" s="64">
        <f t="shared" si="868"/>
        <v>76541.609999999986</v>
      </c>
      <c r="AI5549" s="47"/>
      <c r="AJ5549" s="126" t="e">
        <v>#N/A</v>
      </c>
      <c r="AK5549" s="80">
        <f t="shared" si="871"/>
        <v>0</v>
      </c>
      <c r="AL5549" s="85"/>
      <c r="AM5549" s="85"/>
    </row>
    <row r="5550" spans="1:39" s="86" customFormat="1" ht="13.25" hidden="1" customHeight="1" x14ac:dyDescent="0.3">
      <c r="A5550" s="89" t="s">
        <v>3792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865"/>
        <v>4748.3600000000006</v>
      </c>
      <c r="X5550" s="6">
        <f t="shared" si="864"/>
        <v>0</v>
      </c>
      <c r="Y5550" s="13">
        <f t="shared" si="869"/>
        <v>0</v>
      </c>
      <c r="Z5550" s="14">
        <v>0</v>
      </c>
      <c r="AA5550" s="6">
        <v>0</v>
      </c>
      <c r="AB5550" s="4">
        <f t="shared" si="870"/>
        <v>0</v>
      </c>
      <c r="AC5550" s="6">
        <f t="shared" si="866"/>
        <v>0</v>
      </c>
      <c r="AD5550" s="6">
        <f t="shared" si="867"/>
        <v>0</v>
      </c>
      <c r="AE5550" s="14">
        <f>VLOOKUP(I5550,[2]媒体政策预估表!A:N,MATCH(O5550,[2]媒体政策预估表!$A$2:$M$2,0),0)</f>
        <v>0.11</v>
      </c>
      <c r="AF5550" s="6">
        <f t="shared" si="872"/>
        <v>0</v>
      </c>
      <c r="AG5550" s="14">
        <v>0</v>
      </c>
      <c r="AH5550" s="64">
        <f t="shared" si="868"/>
        <v>0</v>
      </c>
      <c r="AI5550" s="47"/>
      <c r="AJ5550" s="126" t="e">
        <v>#N/A</v>
      </c>
      <c r="AK5550" s="80">
        <f t="shared" si="871"/>
        <v>0</v>
      </c>
      <c r="AL5550" s="85"/>
      <c r="AM5550" s="85"/>
    </row>
    <row r="5551" spans="1:39" s="86" customFormat="1" ht="13.25" hidden="1" customHeight="1" x14ac:dyDescent="0.3">
      <c r="A5551" s="89" t="s">
        <v>3805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865"/>
        <v>5148.5200000000004</v>
      </c>
      <c r="X5551" s="6">
        <f t="shared" si="864"/>
        <v>0</v>
      </c>
      <c r="Y5551" s="13">
        <f t="shared" si="869"/>
        <v>0</v>
      </c>
      <c r="Z5551" s="14">
        <v>0</v>
      </c>
      <c r="AA5551" s="6">
        <v>0</v>
      </c>
      <c r="AB5551" s="4">
        <f t="shared" si="870"/>
        <v>0</v>
      </c>
      <c r="AC5551" s="6">
        <f t="shared" si="866"/>
        <v>0</v>
      </c>
      <c r="AD5551" s="6">
        <f t="shared" si="867"/>
        <v>0</v>
      </c>
      <c r="AE5551" s="14">
        <f>VLOOKUP(I5551,[2]媒体政策预估表!A:N,MATCH(O5551,[2]媒体政策预估表!$A$2:$M$2,0),0)</f>
        <v>0.11</v>
      </c>
      <c r="AF5551" s="6">
        <f t="shared" si="872"/>
        <v>0</v>
      </c>
      <c r="AG5551" s="14">
        <v>0</v>
      </c>
      <c r="AH5551" s="64">
        <f t="shared" si="868"/>
        <v>0</v>
      </c>
      <c r="AI5551" s="47"/>
      <c r="AJ5551" s="126" t="e">
        <v>#N/A</v>
      </c>
      <c r="AK5551" s="80">
        <f t="shared" si="871"/>
        <v>0</v>
      </c>
      <c r="AL5551" s="85"/>
      <c r="AM5551" s="85"/>
    </row>
    <row r="5552" spans="1:39" s="86" customFormat="1" ht="13.25" hidden="1" customHeight="1" x14ac:dyDescent="0.3">
      <c r="A5552" s="89" t="s">
        <v>3796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865"/>
        <v>4748.1100000000006</v>
      </c>
      <c r="X5552" s="6">
        <f t="shared" si="864"/>
        <v>0</v>
      </c>
      <c r="Y5552" s="13">
        <f t="shared" si="869"/>
        <v>0</v>
      </c>
      <c r="Z5552" s="14">
        <v>0</v>
      </c>
      <c r="AA5552" s="6">
        <v>0</v>
      </c>
      <c r="AB5552" s="4">
        <f t="shared" si="870"/>
        <v>0</v>
      </c>
      <c r="AC5552" s="6">
        <f t="shared" si="866"/>
        <v>0</v>
      </c>
      <c r="AD5552" s="6">
        <f t="shared" si="867"/>
        <v>0</v>
      </c>
      <c r="AE5552" s="14">
        <f>VLOOKUP(I5552,[2]媒体政策预估表!A:N,MATCH(O5552,[2]媒体政策预估表!$A$2:$M$2,0),0)</f>
        <v>0.11</v>
      </c>
      <c r="AF5552" s="6">
        <f t="shared" si="872"/>
        <v>0</v>
      </c>
      <c r="AG5552" s="14">
        <v>0</v>
      </c>
      <c r="AH5552" s="64">
        <f t="shared" si="868"/>
        <v>0</v>
      </c>
      <c r="AI5552" s="47"/>
      <c r="AJ5552" s="126" t="e">
        <v>#N/A</v>
      </c>
      <c r="AK5552" s="80">
        <f t="shared" si="871"/>
        <v>0</v>
      </c>
      <c r="AL5552" s="85"/>
      <c r="AM5552" s="85"/>
    </row>
    <row r="5553" spans="1:39" s="86" customFormat="1" ht="13.25" hidden="1" customHeight="1" x14ac:dyDescent="0.3">
      <c r="A5553" s="89" t="s">
        <v>3806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865"/>
        <v>5148.5200000000004</v>
      </c>
      <c r="X5553" s="6">
        <f t="shared" si="864"/>
        <v>0</v>
      </c>
      <c r="Y5553" s="13">
        <f t="shared" si="869"/>
        <v>0</v>
      </c>
      <c r="Z5553" s="14">
        <v>0</v>
      </c>
      <c r="AA5553" s="6">
        <v>0</v>
      </c>
      <c r="AB5553" s="4">
        <f t="shared" si="870"/>
        <v>0</v>
      </c>
      <c r="AC5553" s="6">
        <f t="shared" si="866"/>
        <v>0</v>
      </c>
      <c r="AD5553" s="6">
        <f t="shared" si="867"/>
        <v>0</v>
      </c>
      <c r="AE5553" s="14">
        <f>VLOOKUP(I5553,[2]媒体政策预估表!A:N,MATCH(O5553,[2]媒体政策预估表!$A$2:$M$2,0),0)</f>
        <v>0.11</v>
      </c>
      <c r="AF5553" s="6">
        <f t="shared" si="872"/>
        <v>0</v>
      </c>
      <c r="AG5553" s="14">
        <v>0</v>
      </c>
      <c r="AH5553" s="64">
        <f t="shared" si="868"/>
        <v>0</v>
      </c>
      <c r="AI5553" s="47"/>
      <c r="AJ5553" s="126" t="e">
        <v>#N/A</v>
      </c>
      <c r="AK5553" s="80">
        <f t="shared" si="871"/>
        <v>0</v>
      </c>
      <c r="AL5553" s="85"/>
      <c r="AM5553" s="85"/>
    </row>
    <row r="5554" spans="1:39" s="86" customFormat="1" ht="13.25" hidden="1" customHeight="1" x14ac:dyDescent="0.3">
      <c r="A5554" s="89" t="s">
        <v>3806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865"/>
        <v>2536.8000000000002</v>
      </c>
      <c r="X5554" s="6">
        <f t="shared" si="864"/>
        <v>0</v>
      </c>
      <c r="Y5554" s="13">
        <f t="shared" si="869"/>
        <v>0</v>
      </c>
      <c r="Z5554" s="14">
        <v>0</v>
      </c>
      <c r="AA5554" s="6">
        <v>0</v>
      </c>
      <c r="AB5554" s="4">
        <f t="shared" si="870"/>
        <v>0</v>
      </c>
      <c r="AC5554" s="6">
        <f t="shared" si="866"/>
        <v>0</v>
      </c>
      <c r="AD5554" s="6">
        <f t="shared" si="867"/>
        <v>0</v>
      </c>
      <c r="AE5554" s="14">
        <f>VLOOKUP(I5554,[2]媒体政策预估表!A:N,MATCH(O5554,[2]媒体政策预估表!$A$2:$M$2,0),0)</f>
        <v>0.11</v>
      </c>
      <c r="AF5554" s="6">
        <f t="shared" si="872"/>
        <v>0</v>
      </c>
      <c r="AG5554" s="14">
        <v>0</v>
      </c>
      <c r="AH5554" s="64">
        <f t="shared" si="868"/>
        <v>0</v>
      </c>
      <c r="AI5554" s="47"/>
      <c r="AJ5554" s="126" t="e">
        <v>#N/A</v>
      </c>
      <c r="AK5554" s="80">
        <f t="shared" si="871"/>
        <v>0</v>
      </c>
      <c r="AL5554" s="85"/>
      <c r="AM5554" s="85"/>
    </row>
    <row r="5555" spans="1:39" s="86" customFormat="1" ht="13.25" hidden="1" customHeight="1" x14ac:dyDescent="0.3">
      <c r="A5555" s="89" t="s">
        <v>3805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865"/>
        <v>145885.33000000013</v>
      </c>
      <c r="X5555" s="6">
        <f t="shared" si="864"/>
        <v>348202.12745098036</v>
      </c>
      <c r="Y5555" s="13">
        <f t="shared" si="869"/>
        <v>0</v>
      </c>
      <c r="Z5555" s="14">
        <v>0</v>
      </c>
      <c r="AA5555" s="6">
        <v>0</v>
      </c>
      <c r="AB5555" s="4">
        <f t="shared" si="870"/>
        <v>348202.12745098036</v>
      </c>
      <c r="AC5555" s="6">
        <f t="shared" si="866"/>
        <v>6964.0425490196212</v>
      </c>
      <c r="AD5555" s="6">
        <f t="shared" si="867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872"/>
        <v>24861.6319</v>
      </c>
      <c r="AG5555" s="14">
        <v>0</v>
      </c>
      <c r="AH5555" s="64">
        <f t="shared" si="868"/>
        <v>355166.17</v>
      </c>
      <c r="AI5555" s="47"/>
      <c r="AJ5555" s="126" t="e">
        <v>#N/A</v>
      </c>
      <c r="AK5555" s="80">
        <f t="shared" si="871"/>
        <v>0</v>
      </c>
      <c r="AL5555" s="85"/>
      <c r="AM5555" s="85"/>
    </row>
    <row r="5556" spans="1:39" s="86" customFormat="1" ht="13.25" hidden="1" customHeight="1" x14ac:dyDescent="0.3">
      <c r="A5556" s="89" t="s">
        <v>3796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865"/>
        <v>0</v>
      </c>
      <c r="X5556" s="6">
        <f t="shared" si="864"/>
        <v>141197.76190476192</v>
      </c>
      <c r="Y5556" s="13">
        <f t="shared" si="869"/>
        <v>0</v>
      </c>
      <c r="Z5556" s="14">
        <v>0</v>
      </c>
      <c r="AA5556" s="6">
        <v>0</v>
      </c>
      <c r="AB5556" s="4">
        <f t="shared" si="870"/>
        <v>141197.76190476192</v>
      </c>
      <c r="AC5556" s="6">
        <f t="shared" si="866"/>
        <v>7059.8880952381005</v>
      </c>
      <c r="AD5556" s="6">
        <f t="shared" si="867"/>
        <v>148257.65000000002</v>
      </c>
      <c r="AE5556" s="14">
        <f>VLOOKUP(I5556,[2]媒体政策预估表!A:N,MATCH(O5556,[2]媒体政策预估表!$A$2:$M$2,0),0)</f>
        <v>0.11</v>
      </c>
      <c r="AF5556" s="6">
        <f t="shared" si="872"/>
        <v>16308.341500000002</v>
      </c>
      <c r="AG5556" s="14">
        <v>0</v>
      </c>
      <c r="AH5556" s="64">
        <f t="shared" si="868"/>
        <v>148257.65000000002</v>
      </c>
      <c r="AI5556" s="47"/>
      <c r="AJ5556" s="126" t="e">
        <v>#N/A</v>
      </c>
      <c r="AK5556" s="80">
        <f t="shared" si="871"/>
        <v>0</v>
      </c>
      <c r="AL5556" s="85"/>
      <c r="AM5556" s="85"/>
    </row>
    <row r="5557" spans="1:39" s="86" customFormat="1" ht="13.25" hidden="1" customHeight="1" x14ac:dyDescent="0.3">
      <c r="A5557" s="89" t="s">
        <v>3792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865"/>
        <v>0</v>
      </c>
      <c r="X5557" s="6">
        <f t="shared" si="864"/>
        <v>24658.599999999991</v>
      </c>
      <c r="Y5557" s="13">
        <f t="shared" si="869"/>
        <v>0</v>
      </c>
      <c r="Z5557" s="14">
        <v>0</v>
      </c>
      <c r="AA5557" s="6">
        <v>0</v>
      </c>
      <c r="AB5557" s="4">
        <f t="shared" si="870"/>
        <v>24658.599999999991</v>
      </c>
      <c r="AC5557" s="6">
        <f t="shared" si="866"/>
        <v>0</v>
      </c>
      <c r="AD5557" s="6">
        <f t="shared" si="867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872"/>
        <v>1726.1019999999996</v>
      </c>
      <c r="AG5557" s="14">
        <v>0</v>
      </c>
      <c r="AH5557" s="64">
        <f t="shared" si="868"/>
        <v>24658.599999999991</v>
      </c>
      <c r="AI5557" s="47"/>
      <c r="AJ5557" s="126" t="e">
        <v>#N/A</v>
      </c>
      <c r="AK5557" s="80">
        <f t="shared" si="871"/>
        <v>0</v>
      </c>
      <c r="AL5557" s="85"/>
      <c r="AM5557" s="85"/>
    </row>
    <row r="5558" spans="1:39" s="86" customFormat="1" ht="13.25" hidden="1" customHeight="1" x14ac:dyDescent="0.3">
      <c r="A5558" s="89" t="s">
        <v>3852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865"/>
        <v>358.90000000000077</v>
      </c>
      <c r="X5558" s="6">
        <f t="shared" si="864"/>
        <v>1477.1568627450977</v>
      </c>
      <c r="Y5558" s="13">
        <f t="shared" si="869"/>
        <v>0</v>
      </c>
      <c r="Z5558" s="14">
        <v>0</v>
      </c>
      <c r="AA5558" s="6">
        <v>0</v>
      </c>
      <c r="AB5558" s="4">
        <f t="shared" si="870"/>
        <v>1477.1568627450977</v>
      </c>
      <c r="AC5558" s="6">
        <f t="shared" si="866"/>
        <v>29.543137254901922</v>
      </c>
      <c r="AD5558" s="6">
        <f t="shared" si="867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872"/>
        <v>105.46899999999998</v>
      </c>
      <c r="AG5558" s="14">
        <v>0</v>
      </c>
      <c r="AH5558" s="64">
        <f t="shared" si="868"/>
        <v>1506.6999999999996</v>
      </c>
      <c r="AI5558" s="47"/>
      <c r="AJ5558" s="126" t="e">
        <v>#N/A</v>
      </c>
      <c r="AK5558" s="80">
        <f t="shared" si="871"/>
        <v>0</v>
      </c>
      <c r="AL5558" s="85"/>
      <c r="AM5558" s="85"/>
    </row>
    <row r="5559" spans="1:39" s="86" customFormat="1" ht="13.25" hidden="1" customHeight="1" x14ac:dyDescent="0.3">
      <c r="A5559" s="89" t="s">
        <v>3794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865"/>
        <v>0</v>
      </c>
      <c r="X5559" s="6">
        <f t="shared" si="864"/>
        <v>35689.5</v>
      </c>
      <c r="Y5559" s="13">
        <f t="shared" si="869"/>
        <v>0</v>
      </c>
      <c r="Z5559" s="14">
        <v>0</v>
      </c>
      <c r="AA5559" s="6">
        <v>0</v>
      </c>
      <c r="AB5559" s="4"/>
      <c r="AC5559" s="6">
        <f t="shared" si="866"/>
        <v>0</v>
      </c>
      <c r="AD5559" s="6">
        <f t="shared" si="867"/>
        <v>35689.5</v>
      </c>
      <c r="AE5559" s="14">
        <f>VLOOKUP(I5559,[2]媒体政策预估表!A:N,MATCH(O5559,[2]媒体政策预估表!$A$2:$M$2,0),0)</f>
        <v>7.0000000000000007E-2</v>
      </c>
      <c r="AF5559" s="6">
        <f t="shared" si="872"/>
        <v>2498.2650000000003</v>
      </c>
      <c r="AG5559" s="14">
        <v>0</v>
      </c>
      <c r="AH5559" s="64">
        <f t="shared" si="868"/>
        <v>35689.5</v>
      </c>
      <c r="AI5559" s="47"/>
      <c r="AJ5559" s="126">
        <v>109</v>
      </c>
      <c r="AK5559" s="80">
        <f t="shared" si="871"/>
        <v>35689.5</v>
      </c>
      <c r="AL5559" s="85"/>
      <c r="AM5559" s="85"/>
    </row>
    <row r="5560" spans="1:39" s="86" customFormat="1" ht="13.25" hidden="1" customHeight="1" x14ac:dyDescent="0.3">
      <c r="A5560" s="89" t="s">
        <v>3794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865"/>
        <v>4499.8999999999996</v>
      </c>
      <c r="X5560" s="6">
        <f t="shared" si="864"/>
        <v>0</v>
      </c>
      <c r="Y5560" s="13">
        <f t="shared" si="869"/>
        <v>0</v>
      </c>
      <c r="Z5560" s="14">
        <v>0</v>
      </c>
      <c r="AA5560" s="6">
        <v>0</v>
      </c>
      <c r="AB5560" s="4">
        <f t="shared" si="870"/>
        <v>0</v>
      </c>
      <c r="AC5560" s="6">
        <f t="shared" si="866"/>
        <v>0</v>
      </c>
      <c r="AD5560" s="6">
        <f t="shared" si="867"/>
        <v>0</v>
      </c>
      <c r="AE5560" s="14">
        <f>VLOOKUP(I5560,[2]媒体政策预估表!A:N,MATCH(O5560,[2]媒体政策预估表!$A$2:$M$2,0),0)</f>
        <v>0.11</v>
      </c>
      <c r="AF5560" s="6">
        <f t="shared" si="872"/>
        <v>0</v>
      </c>
      <c r="AG5560" s="14">
        <v>0</v>
      </c>
      <c r="AH5560" s="64">
        <f t="shared" si="868"/>
        <v>0</v>
      </c>
      <c r="AI5560" s="47"/>
      <c r="AJ5560" s="126" t="e">
        <v>#N/A</v>
      </c>
      <c r="AK5560" s="80">
        <f t="shared" si="871"/>
        <v>0</v>
      </c>
      <c r="AL5560" s="85"/>
      <c r="AM5560" s="85"/>
    </row>
    <row r="5561" spans="1:39" s="86" customFormat="1" ht="13.25" hidden="1" customHeight="1" x14ac:dyDescent="0.3">
      <c r="A5561" s="89" t="s">
        <v>3794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865"/>
        <v>953.17000000000007</v>
      </c>
      <c r="X5561" s="6">
        <f t="shared" si="864"/>
        <v>6999.833333333333</v>
      </c>
      <c r="Y5561" s="13">
        <f t="shared" si="869"/>
        <v>0</v>
      </c>
      <c r="Z5561" s="14">
        <v>0</v>
      </c>
      <c r="AA5561" s="6">
        <v>0</v>
      </c>
      <c r="AB5561" s="4">
        <f t="shared" si="870"/>
        <v>6999.833333333333</v>
      </c>
      <c r="AC5561" s="6">
        <f t="shared" si="866"/>
        <v>139.9966666666669</v>
      </c>
      <c r="AD5561" s="6">
        <f t="shared" si="867"/>
        <v>7139.83</v>
      </c>
      <c r="AE5561" s="14">
        <f>VLOOKUP(I5561,[2]媒体政策预估表!A:N,MATCH(O5561,[2]媒体政策预估表!$A$2:$M$2,0),0)</f>
        <v>7.0000000000000007E-2</v>
      </c>
      <c r="AF5561" s="6">
        <f t="shared" si="872"/>
        <v>499.78810000000004</v>
      </c>
      <c r="AG5561" s="14">
        <v>0</v>
      </c>
      <c r="AH5561" s="64">
        <f t="shared" si="868"/>
        <v>7139.83</v>
      </c>
      <c r="AI5561" s="47"/>
      <c r="AJ5561" s="126" t="e">
        <v>#N/A</v>
      </c>
      <c r="AK5561" s="80">
        <f t="shared" si="871"/>
        <v>0</v>
      </c>
      <c r="AL5561" s="85"/>
      <c r="AM5561" s="85"/>
    </row>
    <row r="5562" spans="1:39" s="86" customFormat="1" ht="13.25" hidden="1" customHeight="1" x14ac:dyDescent="0.3">
      <c r="A5562" s="89" t="s">
        <v>3792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865"/>
        <v>7962.2000000000216</v>
      </c>
      <c r="X5562" s="6">
        <f t="shared" si="864"/>
        <v>0</v>
      </c>
      <c r="Y5562" s="13">
        <f t="shared" si="869"/>
        <v>0</v>
      </c>
      <c r="Z5562" s="14">
        <v>0</v>
      </c>
      <c r="AA5562" s="6">
        <v>0</v>
      </c>
      <c r="AB5562" s="4"/>
      <c r="AC5562" s="6">
        <f t="shared" si="866"/>
        <v>0</v>
      </c>
      <c r="AD5562" s="6">
        <f t="shared" si="867"/>
        <v>0</v>
      </c>
      <c r="AE5562" s="14">
        <f>VLOOKUP(I5562,[2]媒体政策预估表!A:N,MATCH(O5562,[2]媒体政策预估表!$A$2:$M$2,0),0)</f>
        <v>0.11</v>
      </c>
      <c r="AF5562" s="6">
        <f t="shared" si="872"/>
        <v>0</v>
      </c>
      <c r="AG5562" s="14">
        <v>0</v>
      </c>
      <c r="AH5562" s="64">
        <f t="shared" si="868"/>
        <v>0</v>
      </c>
      <c r="AI5562" s="47"/>
      <c r="AJ5562" s="126">
        <v>21</v>
      </c>
      <c r="AK5562" s="80">
        <f t="shared" si="871"/>
        <v>0</v>
      </c>
      <c r="AL5562" s="85"/>
      <c r="AM5562" s="85"/>
    </row>
    <row r="5563" spans="1:39" s="86" customFormat="1" ht="13.25" hidden="1" customHeight="1" x14ac:dyDescent="0.3">
      <c r="A5563" s="89" t="s">
        <v>3805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865"/>
        <v>20000</v>
      </c>
      <c r="X5563" s="6">
        <f t="shared" si="864"/>
        <v>0</v>
      </c>
      <c r="Y5563" s="13">
        <f t="shared" si="869"/>
        <v>0</v>
      </c>
      <c r="Z5563" s="14">
        <v>0</v>
      </c>
      <c r="AA5563" s="6">
        <v>0</v>
      </c>
      <c r="AB5563" s="4"/>
      <c r="AC5563" s="6">
        <f t="shared" si="866"/>
        <v>0</v>
      </c>
      <c r="AD5563" s="6">
        <f t="shared" si="867"/>
        <v>0</v>
      </c>
      <c r="AE5563" s="14">
        <f>VLOOKUP(I5563,[2]媒体政策预估表!A:N,MATCH(O5563,[2]媒体政策预估表!$A$2:$M$2,0),0)</f>
        <v>7.0000000000000007E-2</v>
      </c>
      <c r="AF5563" s="6">
        <f t="shared" si="872"/>
        <v>0</v>
      </c>
      <c r="AG5563" s="14">
        <v>0</v>
      </c>
      <c r="AH5563" s="64">
        <f t="shared" si="868"/>
        <v>0</v>
      </c>
      <c r="AI5563" s="47"/>
      <c r="AJ5563" s="126">
        <v>96</v>
      </c>
      <c r="AK5563" s="80">
        <f t="shared" si="871"/>
        <v>0</v>
      </c>
      <c r="AL5563" s="85"/>
      <c r="AM5563" s="85"/>
    </row>
    <row r="5564" spans="1:39" s="86" customFormat="1" ht="13.25" hidden="1" customHeight="1" x14ac:dyDescent="0.3">
      <c r="A5564" s="89" t="s">
        <v>3805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865"/>
        <v>50000</v>
      </c>
      <c r="X5564" s="6">
        <f t="shared" si="864"/>
        <v>0</v>
      </c>
      <c r="Y5564" s="13">
        <f t="shared" si="869"/>
        <v>0</v>
      </c>
      <c r="Z5564" s="14">
        <v>0</v>
      </c>
      <c r="AA5564" s="6">
        <v>0</v>
      </c>
      <c r="AB5564" s="4">
        <f t="shared" si="870"/>
        <v>0</v>
      </c>
      <c r="AC5564" s="6">
        <f t="shared" si="866"/>
        <v>0</v>
      </c>
      <c r="AD5564" s="6">
        <f t="shared" si="867"/>
        <v>0</v>
      </c>
      <c r="AE5564" s="14">
        <f>VLOOKUP(I5564,[2]媒体政策预估表!A:N,MATCH(O5564,[2]媒体政策预估表!$A$2:$M$2,0),0)</f>
        <v>7.0000000000000007E-2</v>
      </c>
      <c r="AF5564" s="6">
        <f t="shared" si="872"/>
        <v>0</v>
      </c>
      <c r="AG5564" s="14">
        <v>0</v>
      </c>
      <c r="AH5564" s="64">
        <f t="shared" si="868"/>
        <v>0</v>
      </c>
      <c r="AI5564" s="47"/>
      <c r="AJ5564" s="126" t="e">
        <v>#N/A</v>
      </c>
      <c r="AK5564" s="80">
        <f t="shared" si="871"/>
        <v>0</v>
      </c>
      <c r="AL5564" s="85"/>
      <c r="AM5564" s="85"/>
    </row>
    <row r="5565" spans="1:39" s="86" customFormat="1" ht="13.25" hidden="1" customHeight="1" x14ac:dyDescent="0.3">
      <c r="A5565" s="89" t="s">
        <v>3792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865"/>
        <v>0</v>
      </c>
      <c r="X5565" s="6">
        <f t="shared" ref="X5565:X5628" si="873">IF(P5565="折扣",V5565*Q5565,IF(P5565="返现",V5565,V5565/(1+Q5565)))</f>
        <v>5903.7299999999959</v>
      </c>
      <c r="Y5565" s="13">
        <f t="shared" si="869"/>
        <v>0</v>
      </c>
      <c r="Z5565" s="14">
        <v>0</v>
      </c>
      <c r="AA5565" s="6">
        <v>0</v>
      </c>
      <c r="AB5565" s="4">
        <f t="shared" si="870"/>
        <v>5903.7299999999959</v>
      </c>
      <c r="AC5565" s="6">
        <f t="shared" si="866"/>
        <v>0</v>
      </c>
      <c r="AD5565" s="6">
        <f t="shared" si="867"/>
        <v>5903.7299999999959</v>
      </c>
      <c r="AE5565" s="14">
        <f>VLOOKUP(I5565,[2]媒体政策预估表!A:N,MATCH(O5565,[2]媒体政策预估表!$A$2:$M$2,0),0)</f>
        <v>0.11</v>
      </c>
      <c r="AF5565" s="6">
        <f t="shared" si="872"/>
        <v>649.41029999999955</v>
      </c>
      <c r="AG5565" s="14">
        <v>0</v>
      </c>
      <c r="AH5565" s="64">
        <f t="shared" si="868"/>
        <v>5903.7299999999959</v>
      </c>
      <c r="AI5565" s="47"/>
      <c r="AJ5565" s="126" t="e">
        <v>#N/A</v>
      </c>
      <c r="AK5565" s="80">
        <f t="shared" si="871"/>
        <v>0</v>
      </c>
      <c r="AL5565" s="85"/>
      <c r="AM5565" s="85"/>
    </row>
    <row r="5566" spans="1:39" s="86" customFormat="1" ht="13.25" hidden="1" customHeight="1" x14ac:dyDescent="0.3">
      <c r="A5566" s="89" t="s">
        <v>3852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874">T5566+U5566-V5566</f>
        <v>23706.28</v>
      </c>
      <c r="X5566" s="6">
        <f t="shared" si="873"/>
        <v>30641.176470588234</v>
      </c>
      <c r="Y5566" s="13">
        <f t="shared" si="869"/>
        <v>0</v>
      </c>
      <c r="Z5566" s="14">
        <v>0</v>
      </c>
      <c r="AA5566" s="6">
        <v>0</v>
      </c>
      <c r="AB5566" s="4">
        <f t="shared" si="870"/>
        <v>30641.176470588234</v>
      </c>
      <c r="AC5566" s="6">
        <f t="shared" ref="AC5566:AC5629" si="875">IF(P5566="返现",X5566*Q5566,V5566-X5566)</f>
        <v>612.82352941176578</v>
      </c>
      <c r="AD5566" s="6">
        <f t="shared" ref="AD5566:AD5629" si="876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872"/>
        <v>2187.7800000000002</v>
      </c>
      <c r="AG5566" s="14">
        <v>0</v>
      </c>
      <c r="AH5566" s="64">
        <f t="shared" ref="AH5566:AH5629" si="877">V5566</f>
        <v>31254</v>
      </c>
      <c r="AI5566" s="47"/>
      <c r="AJ5566" s="126" t="e">
        <v>#N/A</v>
      </c>
      <c r="AK5566" s="80">
        <f t="shared" si="871"/>
        <v>0</v>
      </c>
      <c r="AL5566" s="85"/>
      <c r="AM5566" s="85"/>
    </row>
    <row r="5567" spans="1:39" s="86" customFormat="1" ht="13.25" hidden="1" customHeight="1" x14ac:dyDescent="0.3">
      <c r="A5567" s="89" t="s">
        <v>3794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874"/>
        <v>5000</v>
      </c>
      <c r="X5567" s="6">
        <f t="shared" si="873"/>
        <v>0</v>
      </c>
      <c r="Y5567" s="13">
        <f t="shared" si="869"/>
        <v>0</v>
      </c>
      <c r="Z5567" s="14">
        <v>0</v>
      </c>
      <c r="AA5567" s="6">
        <v>0</v>
      </c>
      <c r="AB5567" s="4">
        <f t="shared" si="870"/>
        <v>0</v>
      </c>
      <c r="AC5567" s="6">
        <f t="shared" si="875"/>
        <v>0</v>
      </c>
      <c r="AD5567" s="6">
        <f t="shared" si="876"/>
        <v>0</v>
      </c>
      <c r="AE5567" s="14">
        <f>VLOOKUP(I5567,[2]媒体政策预估表!A:N,MATCH(O5567,[2]媒体政策预估表!$A$2:$M$2,0),0)</f>
        <v>7.0000000000000007E-2</v>
      </c>
      <c r="AF5567" s="6">
        <f t="shared" si="872"/>
        <v>0</v>
      </c>
      <c r="AG5567" s="14">
        <v>0</v>
      </c>
      <c r="AH5567" s="64">
        <f t="shared" si="877"/>
        <v>0</v>
      </c>
      <c r="AI5567" s="47"/>
      <c r="AJ5567" s="126" t="e">
        <v>#N/A</v>
      </c>
      <c r="AK5567" s="80">
        <f t="shared" si="871"/>
        <v>0</v>
      </c>
      <c r="AL5567" s="85"/>
      <c r="AM5567" s="85"/>
    </row>
    <row r="5568" spans="1:39" s="86" customFormat="1" ht="13.25" hidden="1" customHeight="1" x14ac:dyDescent="0.3">
      <c r="A5568" s="89" t="s">
        <v>3792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874"/>
        <v>5000</v>
      </c>
      <c r="X5568" s="6">
        <f t="shared" si="873"/>
        <v>0</v>
      </c>
      <c r="Y5568" s="13">
        <f t="shared" si="869"/>
        <v>0</v>
      </c>
      <c r="Z5568" s="14">
        <v>0</v>
      </c>
      <c r="AA5568" s="6">
        <v>0</v>
      </c>
      <c r="AB5568" s="4">
        <f t="shared" si="870"/>
        <v>0</v>
      </c>
      <c r="AC5568" s="6">
        <f t="shared" si="875"/>
        <v>0</v>
      </c>
      <c r="AD5568" s="6">
        <f t="shared" si="876"/>
        <v>0</v>
      </c>
      <c r="AE5568" s="14">
        <f>VLOOKUP(I5568,[2]媒体政策预估表!A:N,MATCH(O5568,[2]媒体政策预估表!$A$2:$M$2,0),0)</f>
        <v>7.0000000000000007E-2</v>
      </c>
      <c r="AF5568" s="6">
        <f t="shared" si="872"/>
        <v>0</v>
      </c>
      <c r="AG5568" s="14">
        <v>0</v>
      </c>
      <c r="AH5568" s="64">
        <f t="shared" si="877"/>
        <v>0</v>
      </c>
      <c r="AI5568" s="47"/>
      <c r="AJ5568" s="126" t="e">
        <v>#N/A</v>
      </c>
      <c r="AK5568" s="80">
        <f t="shared" si="871"/>
        <v>0</v>
      </c>
      <c r="AL5568" s="85"/>
      <c r="AM5568" s="85"/>
    </row>
    <row r="5569" spans="1:39" s="86" customFormat="1" ht="13.25" hidden="1" customHeight="1" x14ac:dyDescent="0.3">
      <c r="A5569" s="89" t="s">
        <v>3805</v>
      </c>
      <c r="B5569" s="86" t="s">
        <v>35</v>
      </c>
      <c r="C5569" s="86" t="s">
        <v>184</v>
      </c>
      <c r="D5569" s="86" t="s">
        <v>3849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874"/>
        <v>182208.97</v>
      </c>
      <c r="X5569" s="6">
        <f t="shared" si="873"/>
        <v>0</v>
      </c>
      <c r="Y5569" s="13">
        <f t="shared" si="869"/>
        <v>0</v>
      </c>
      <c r="Z5569" s="14">
        <v>0</v>
      </c>
      <c r="AA5569" s="6">
        <v>0</v>
      </c>
      <c r="AB5569" s="4">
        <f t="shared" si="870"/>
        <v>0</v>
      </c>
      <c r="AC5569" s="6">
        <f t="shared" si="875"/>
        <v>0</v>
      </c>
      <c r="AD5569" s="6">
        <f t="shared" si="876"/>
        <v>0</v>
      </c>
      <c r="AE5569" s="14">
        <f>VLOOKUP(I5569,[2]媒体政策预估表!A:N,MATCH(O5569,[2]媒体政策预估表!$A$2:$M$2,0),0)</f>
        <v>7.0000000000000007E-2</v>
      </c>
      <c r="AF5569" s="6">
        <f t="shared" si="872"/>
        <v>0</v>
      </c>
      <c r="AG5569" s="14">
        <v>0</v>
      </c>
      <c r="AH5569" s="64">
        <f t="shared" si="877"/>
        <v>0</v>
      </c>
      <c r="AI5569" s="47"/>
      <c r="AJ5569" s="126" t="e">
        <v>#N/A</v>
      </c>
      <c r="AK5569" s="80">
        <f t="shared" si="871"/>
        <v>0</v>
      </c>
      <c r="AL5569" s="85"/>
      <c r="AM5569" s="85"/>
    </row>
    <row r="5570" spans="1:39" s="86" customFormat="1" ht="13.25" hidden="1" customHeight="1" x14ac:dyDescent="0.3">
      <c r="A5570" s="89" t="s">
        <v>3792</v>
      </c>
      <c r="B5570" s="86" t="s">
        <v>35</v>
      </c>
      <c r="C5570" s="86" t="s">
        <v>184</v>
      </c>
      <c r="D5570" s="86" t="s">
        <v>3849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874"/>
        <v>8692.9</v>
      </c>
      <c r="X5570" s="6">
        <f t="shared" si="873"/>
        <v>0</v>
      </c>
      <c r="Y5570" s="13">
        <f t="shared" si="869"/>
        <v>0</v>
      </c>
      <c r="Z5570" s="14">
        <v>0</v>
      </c>
      <c r="AA5570" s="6">
        <v>0</v>
      </c>
      <c r="AB5570" s="4">
        <f t="shared" si="870"/>
        <v>0</v>
      </c>
      <c r="AC5570" s="6">
        <f t="shared" si="875"/>
        <v>0</v>
      </c>
      <c r="AD5570" s="6">
        <f t="shared" si="876"/>
        <v>0</v>
      </c>
      <c r="AE5570" s="14">
        <f>VLOOKUP(I5570,[2]媒体政策预估表!A:N,MATCH(O5570,[2]媒体政策预估表!$A$2:$M$2,0),0)</f>
        <v>0.11</v>
      </c>
      <c r="AF5570" s="6">
        <f t="shared" si="872"/>
        <v>0</v>
      </c>
      <c r="AG5570" s="14">
        <v>0</v>
      </c>
      <c r="AH5570" s="64">
        <f t="shared" si="877"/>
        <v>0</v>
      </c>
      <c r="AI5570" s="47"/>
      <c r="AJ5570" s="126" t="e">
        <v>#N/A</v>
      </c>
      <c r="AK5570" s="80">
        <f t="shared" si="871"/>
        <v>0</v>
      </c>
      <c r="AL5570" s="85"/>
      <c r="AM5570" s="85"/>
    </row>
    <row r="5571" spans="1:39" s="86" customFormat="1" ht="13.25" hidden="1" customHeight="1" x14ac:dyDescent="0.3">
      <c r="A5571" s="89" t="s">
        <v>3794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874"/>
        <v>3590.0700000000029</v>
      </c>
      <c r="X5571" s="6">
        <f t="shared" si="873"/>
        <v>134.60784313725492</v>
      </c>
      <c r="Y5571" s="13">
        <f t="shared" ref="Y5571:Y5634" si="878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879">X5571+AA5571</f>
        <v>134.60784313725492</v>
      </c>
      <c r="AC5571" s="6">
        <f t="shared" si="875"/>
        <v>2.6921568627450938</v>
      </c>
      <c r="AD5571" s="6">
        <f t="shared" si="876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872"/>
        <v>9.6110000000000024</v>
      </c>
      <c r="AG5571" s="14">
        <v>0</v>
      </c>
      <c r="AH5571" s="64">
        <f t="shared" si="877"/>
        <v>137.30000000000001</v>
      </c>
      <c r="AI5571" s="47"/>
      <c r="AJ5571" s="126" t="e">
        <v>#N/A</v>
      </c>
      <c r="AK5571" s="80">
        <f t="shared" ref="AK5571:AK5634" si="880">X5571+AA5571-AB5571</f>
        <v>0</v>
      </c>
      <c r="AL5571" s="85"/>
      <c r="AM5571" s="85"/>
    </row>
    <row r="5572" spans="1:39" s="86" customFormat="1" ht="13.25" hidden="1" customHeight="1" x14ac:dyDescent="0.3">
      <c r="A5572" s="89" t="s">
        <v>3794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874"/>
        <v>0</v>
      </c>
      <c r="X5572" s="6">
        <f t="shared" si="873"/>
        <v>1151.67</v>
      </c>
      <c r="Y5572" s="13">
        <f t="shared" si="878"/>
        <v>0</v>
      </c>
      <c r="Z5572" s="14">
        <v>0</v>
      </c>
      <c r="AA5572" s="6">
        <v>0</v>
      </c>
      <c r="AB5572" s="4">
        <f t="shared" si="879"/>
        <v>1151.67</v>
      </c>
      <c r="AC5572" s="6">
        <f t="shared" si="875"/>
        <v>0</v>
      </c>
      <c r="AD5572" s="6">
        <f t="shared" si="876"/>
        <v>1151.67</v>
      </c>
      <c r="AE5572" s="14">
        <f>VLOOKUP(I5572,[2]媒体政策预估表!A:N,MATCH(O5572,[2]媒体政策预估表!$A$2:$M$2,0),0)</f>
        <v>7.0000000000000007E-2</v>
      </c>
      <c r="AF5572" s="6">
        <f t="shared" si="872"/>
        <v>80.616900000000015</v>
      </c>
      <c r="AG5572" s="14">
        <v>0</v>
      </c>
      <c r="AH5572" s="64">
        <f t="shared" si="877"/>
        <v>1151.67</v>
      </c>
      <c r="AI5572" s="47"/>
      <c r="AJ5572" s="126" t="e">
        <v>#N/A</v>
      </c>
      <c r="AK5572" s="80">
        <f t="shared" si="880"/>
        <v>0</v>
      </c>
      <c r="AL5572" s="85"/>
      <c r="AM5572" s="85"/>
    </row>
    <row r="5573" spans="1:39" s="86" customFormat="1" ht="13.25" hidden="1" customHeight="1" x14ac:dyDescent="0.3">
      <c r="A5573" s="89" t="s">
        <v>3792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874"/>
        <v>14489</v>
      </c>
      <c r="X5573" s="6">
        <f t="shared" si="873"/>
        <v>0</v>
      </c>
      <c r="Y5573" s="13">
        <f t="shared" si="878"/>
        <v>0</v>
      </c>
      <c r="Z5573" s="14">
        <v>0</v>
      </c>
      <c r="AA5573" s="6">
        <v>0</v>
      </c>
      <c r="AB5573" s="4">
        <f t="shared" si="879"/>
        <v>0</v>
      </c>
      <c r="AC5573" s="6">
        <f t="shared" si="875"/>
        <v>0</v>
      </c>
      <c r="AD5573" s="6">
        <f t="shared" si="876"/>
        <v>0</v>
      </c>
      <c r="AE5573" s="14">
        <f>VLOOKUP(I5573,[2]媒体政策预估表!A:N,MATCH(O5573,[2]媒体政策预估表!$A$2:$M$2,0),0)</f>
        <v>7.0000000000000007E-2</v>
      </c>
      <c r="AF5573" s="6">
        <f t="shared" si="872"/>
        <v>0</v>
      </c>
      <c r="AG5573" s="14">
        <v>0</v>
      </c>
      <c r="AH5573" s="64">
        <f t="shared" si="877"/>
        <v>0</v>
      </c>
      <c r="AI5573" s="47"/>
      <c r="AJ5573" s="126" t="e">
        <v>#N/A</v>
      </c>
      <c r="AK5573" s="80">
        <f t="shared" si="880"/>
        <v>0</v>
      </c>
      <c r="AL5573" s="85"/>
      <c r="AM5573" s="85"/>
    </row>
    <row r="5574" spans="1:39" s="86" customFormat="1" ht="13.25" hidden="1" customHeight="1" x14ac:dyDescent="0.3">
      <c r="A5574" s="89" t="s">
        <v>3794</v>
      </c>
      <c r="B5574" s="86" t="s">
        <v>35</v>
      </c>
      <c r="C5574" s="86" t="s">
        <v>144</v>
      </c>
      <c r="D5574" s="86" t="s">
        <v>161</v>
      </c>
      <c r="E5574" s="86" t="s">
        <v>3759</v>
      </c>
      <c r="F5574" s="86" t="s">
        <v>3759</v>
      </c>
      <c r="G5574" s="86" t="s">
        <v>3759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874"/>
        <v>5979.7199999999993</v>
      </c>
      <c r="X5574" s="6">
        <f t="shared" si="873"/>
        <v>0</v>
      </c>
      <c r="Y5574" s="13">
        <f t="shared" si="878"/>
        <v>0</v>
      </c>
      <c r="Z5574" s="14">
        <v>0</v>
      </c>
      <c r="AA5574" s="6">
        <v>0</v>
      </c>
      <c r="AB5574" s="4">
        <f t="shared" si="879"/>
        <v>0</v>
      </c>
      <c r="AC5574" s="6">
        <f t="shared" si="875"/>
        <v>0</v>
      </c>
      <c r="AD5574" s="6">
        <f t="shared" si="876"/>
        <v>0</v>
      </c>
      <c r="AE5574" s="14">
        <f>VLOOKUP(I5574,[2]媒体政策预估表!A:N,MATCH(O5574,[2]媒体政策预估表!$A$2:$M$2,0),0)</f>
        <v>7.0000000000000007E-2</v>
      </c>
      <c r="AF5574" s="6">
        <f t="shared" si="872"/>
        <v>0</v>
      </c>
      <c r="AG5574" s="14">
        <v>0</v>
      </c>
      <c r="AH5574" s="64">
        <f t="shared" si="877"/>
        <v>0</v>
      </c>
      <c r="AI5574" s="47"/>
      <c r="AJ5574" s="126" t="e">
        <v>#N/A</v>
      </c>
      <c r="AK5574" s="80">
        <f t="shared" si="880"/>
        <v>0</v>
      </c>
      <c r="AL5574" s="85"/>
      <c r="AM5574" s="85"/>
    </row>
    <row r="5575" spans="1:39" s="86" customFormat="1" ht="13.25" hidden="1" customHeight="1" x14ac:dyDescent="0.3">
      <c r="A5575" s="89" t="s">
        <v>3794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874"/>
        <v>51558.780000000006</v>
      </c>
      <c r="X5575" s="6">
        <f t="shared" si="873"/>
        <v>5621.9500000000016</v>
      </c>
      <c r="Y5575" s="13">
        <f t="shared" si="878"/>
        <v>0</v>
      </c>
      <c r="Z5575" s="14">
        <v>0</v>
      </c>
      <c r="AA5575" s="6">
        <v>0</v>
      </c>
      <c r="AB5575" s="4">
        <f t="shared" si="879"/>
        <v>5621.9500000000016</v>
      </c>
      <c r="AC5575" s="6">
        <f t="shared" si="875"/>
        <v>0</v>
      </c>
      <c r="AD5575" s="6">
        <f t="shared" si="876"/>
        <v>5621.9500000000016</v>
      </c>
      <c r="AE5575" s="14">
        <f>VLOOKUP(I5575,[2]媒体政策预估表!A:N,MATCH(O5575,[2]媒体政策预估表!$A$2:$M$2,0),0)</f>
        <v>0.11</v>
      </c>
      <c r="AF5575" s="6">
        <f t="shared" si="872"/>
        <v>618.4145000000002</v>
      </c>
      <c r="AG5575" s="14">
        <v>0</v>
      </c>
      <c r="AH5575" s="64">
        <f t="shared" si="877"/>
        <v>5621.9500000000016</v>
      </c>
      <c r="AI5575" s="47"/>
      <c r="AJ5575" s="126" t="e">
        <v>#N/A</v>
      </c>
      <c r="AK5575" s="80">
        <f t="shared" si="880"/>
        <v>0</v>
      </c>
      <c r="AL5575" s="85"/>
      <c r="AM5575" s="85"/>
    </row>
    <row r="5576" spans="1:39" s="86" customFormat="1" ht="13.25" hidden="1" customHeight="1" x14ac:dyDescent="0.3">
      <c r="A5576" s="89" t="s">
        <v>3794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874"/>
        <v>44808.289999999994</v>
      </c>
      <c r="X5576" s="6">
        <f t="shared" si="873"/>
        <v>25952.080000000002</v>
      </c>
      <c r="Y5576" s="13">
        <f t="shared" si="878"/>
        <v>0</v>
      </c>
      <c r="Z5576" s="14">
        <v>0</v>
      </c>
      <c r="AA5576" s="6">
        <v>0</v>
      </c>
      <c r="AB5576" s="4">
        <f t="shared" si="879"/>
        <v>25952.080000000002</v>
      </c>
      <c r="AC5576" s="6">
        <f t="shared" si="875"/>
        <v>0</v>
      </c>
      <c r="AD5576" s="6">
        <f t="shared" si="876"/>
        <v>25952.080000000002</v>
      </c>
      <c r="AE5576" s="14">
        <f>VLOOKUP(I5576,[2]媒体政策预估表!A:N,MATCH(O5576,[2]媒体政策预估表!$A$2:$M$2,0),0)</f>
        <v>0.11</v>
      </c>
      <c r="AF5576" s="6">
        <f t="shared" si="872"/>
        <v>2854.7288000000003</v>
      </c>
      <c r="AG5576" s="14">
        <v>0</v>
      </c>
      <c r="AH5576" s="64">
        <f t="shared" si="877"/>
        <v>25952.080000000002</v>
      </c>
      <c r="AI5576" s="47"/>
      <c r="AJ5576" s="126" t="e">
        <v>#N/A</v>
      </c>
      <c r="AK5576" s="80">
        <f t="shared" si="880"/>
        <v>0</v>
      </c>
      <c r="AL5576" s="85"/>
      <c r="AM5576" s="85"/>
    </row>
    <row r="5577" spans="1:39" s="86" customFormat="1" ht="13.25" hidden="1" customHeight="1" x14ac:dyDescent="0.3">
      <c r="A5577" s="89" t="s">
        <v>3794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874"/>
        <v>7072.96</v>
      </c>
      <c r="X5577" s="6">
        <f t="shared" si="873"/>
        <v>0</v>
      </c>
      <c r="Y5577" s="13">
        <f t="shared" si="878"/>
        <v>0</v>
      </c>
      <c r="Z5577" s="14">
        <v>0</v>
      </c>
      <c r="AA5577" s="6">
        <v>0</v>
      </c>
      <c r="AB5577" s="4">
        <f t="shared" si="879"/>
        <v>0</v>
      </c>
      <c r="AC5577" s="6">
        <f t="shared" si="875"/>
        <v>0</v>
      </c>
      <c r="AD5577" s="6">
        <f t="shared" si="876"/>
        <v>0</v>
      </c>
      <c r="AE5577" s="14">
        <f>VLOOKUP(I5577,[2]媒体政策预估表!A:N,MATCH(O5577,[2]媒体政策预估表!$A$2:$M$2,0),0)</f>
        <v>7.0000000000000007E-2</v>
      </c>
      <c r="AF5577" s="6">
        <f t="shared" si="872"/>
        <v>0</v>
      </c>
      <c r="AG5577" s="14">
        <v>0</v>
      </c>
      <c r="AH5577" s="64">
        <f t="shared" si="877"/>
        <v>0</v>
      </c>
      <c r="AI5577" s="47"/>
      <c r="AJ5577" s="126" t="e">
        <v>#N/A</v>
      </c>
      <c r="AK5577" s="80">
        <f t="shared" si="880"/>
        <v>0</v>
      </c>
      <c r="AL5577" s="85"/>
      <c r="AM5577" s="85"/>
    </row>
    <row r="5578" spans="1:39" s="86" customFormat="1" ht="13.25" hidden="1" customHeight="1" x14ac:dyDescent="0.3">
      <c r="A5578" s="89" t="s">
        <v>3796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874"/>
        <v>9587.7999999999993</v>
      </c>
      <c r="X5578" s="6">
        <f t="shared" si="873"/>
        <v>0</v>
      </c>
      <c r="Y5578" s="13">
        <f t="shared" si="878"/>
        <v>0</v>
      </c>
      <c r="Z5578" s="14">
        <v>0</v>
      </c>
      <c r="AA5578" s="6">
        <v>0</v>
      </c>
      <c r="AB5578" s="4">
        <f t="shared" si="879"/>
        <v>0</v>
      </c>
      <c r="AC5578" s="6">
        <f t="shared" si="875"/>
        <v>0</v>
      </c>
      <c r="AD5578" s="6">
        <f t="shared" si="876"/>
        <v>0</v>
      </c>
      <c r="AE5578" s="14">
        <f>VLOOKUP(I5578,[2]媒体政策预估表!A:N,MATCH(O5578,[2]媒体政策预估表!$A$2:$M$2,0),0)</f>
        <v>0.11</v>
      </c>
      <c r="AF5578" s="6">
        <f t="shared" si="872"/>
        <v>0</v>
      </c>
      <c r="AG5578" s="14">
        <v>0</v>
      </c>
      <c r="AH5578" s="64">
        <f t="shared" si="877"/>
        <v>0</v>
      </c>
      <c r="AI5578" s="47"/>
      <c r="AJ5578" s="126" t="e">
        <v>#N/A</v>
      </c>
      <c r="AK5578" s="80">
        <f t="shared" si="880"/>
        <v>0</v>
      </c>
      <c r="AL5578" s="85"/>
      <c r="AM5578" s="85"/>
    </row>
    <row r="5579" spans="1:39" s="86" customFormat="1" ht="13.25" hidden="1" customHeight="1" x14ac:dyDescent="0.3">
      <c r="A5579" s="89" t="s">
        <v>3792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874"/>
        <v>13155.789999999999</v>
      </c>
      <c r="X5579" s="6">
        <f t="shared" si="873"/>
        <v>0</v>
      </c>
      <c r="Y5579" s="13">
        <f t="shared" si="878"/>
        <v>0</v>
      </c>
      <c r="Z5579" s="14">
        <v>0</v>
      </c>
      <c r="AA5579" s="6">
        <v>0</v>
      </c>
      <c r="AB5579" s="4">
        <f t="shared" si="879"/>
        <v>0</v>
      </c>
      <c r="AC5579" s="6">
        <f t="shared" si="875"/>
        <v>0</v>
      </c>
      <c r="AD5579" s="6">
        <f t="shared" si="876"/>
        <v>0</v>
      </c>
      <c r="AE5579" s="14">
        <f>VLOOKUP(I5579,[2]媒体政策预估表!A:N,MATCH(O5579,[2]媒体政策预估表!$A$2:$M$2,0),0)</f>
        <v>0.11</v>
      </c>
      <c r="AF5579" s="6">
        <f t="shared" si="872"/>
        <v>0</v>
      </c>
      <c r="AG5579" s="14">
        <v>0</v>
      </c>
      <c r="AH5579" s="64">
        <f t="shared" si="877"/>
        <v>0</v>
      </c>
      <c r="AI5579" s="47"/>
      <c r="AJ5579" s="126" t="e">
        <v>#N/A</v>
      </c>
      <c r="AK5579" s="80">
        <f t="shared" si="880"/>
        <v>0</v>
      </c>
      <c r="AL5579" s="85"/>
      <c r="AM5579" s="85"/>
    </row>
    <row r="5580" spans="1:39" s="86" customFormat="1" ht="13.25" hidden="1" customHeight="1" x14ac:dyDescent="0.3">
      <c r="A5580" s="89" t="s">
        <v>3796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874"/>
        <v>6979.41</v>
      </c>
      <c r="X5580" s="6">
        <f t="shared" si="873"/>
        <v>0</v>
      </c>
      <c r="Y5580" s="13">
        <f t="shared" si="878"/>
        <v>0</v>
      </c>
      <c r="Z5580" s="14">
        <v>0</v>
      </c>
      <c r="AA5580" s="6">
        <v>0</v>
      </c>
      <c r="AB5580" s="4">
        <f t="shared" si="879"/>
        <v>0</v>
      </c>
      <c r="AC5580" s="6">
        <f t="shared" si="875"/>
        <v>0</v>
      </c>
      <c r="AD5580" s="6">
        <f t="shared" si="876"/>
        <v>0</v>
      </c>
      <c r="AE5580" s="14">
        <f>VLOOKUP(I5580,[2]媒体政策预估表!A:N,MATCH(O5580,[2]媒体政策预估表!$A$2:$M$2,0),0)</f>
        <v>7.0000000000000007E-2</v>
      </c>
      <c r="AF5580" s="6">
        <f t="shared" si="872"/>
        <v>0</v>
      </c>
      <c r="AG5580" s="14">
        <v>0</v>
      </c>
      <c r="AH5580" s="64">
        <f t="shared" si="877"/>
        <v>0</v>
      </c>
      <c r="AI5580" s="47"/>
      <c r="AJ5580" s="126" t="e">
        <v>#N/A</v>
      </c>
      <c r="AK5580" s="80">
        <f t="shared" si="880"/>
        <v>0</v>
      </c>
      <c r="AL5580" s="85"/>
      <c r="AM5580" s="85"/>
    </row>
    <row r="5581" spans="1:39" s="86" customFormat="1" ht="13.25" hidden="1" customHeight="1" x14ac:dyDescent="0.3">
      <c r="A5581" s="89" t="s">
        <v>3792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874"/>
        <v>57461.060000000056</v>
      </c>
      <c r="X5581" s="6">
        <f t="shared" si="873"/>
        <v>269062.30392156861</v>
      </c>
      <c r="Y5581" s="13">
        <f t="shared" si="878"/>
        <v>0</v>
      </c>
      <c r="Z5581" s="14">
        <v>0</v>
      </c>
      <c r="AA5581" s="6">
        <v>0</v>
      </c>
      <c r="AB5581" s="4">
        <f t="shared" si="879"/>
        <v>269062.30392156861</v>
      </c>
      <c r="AC5581" s="6">
        <f t="shared" si="875"/>
        <v>5381.2460784313735</v>
      </c>
      <c r="AD5581" s="6">
        <f t="shared" si="876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872"/>
        <v>19211.048500000001</v>
      </c>
      <c r="AG5581" s="14">
        <v>0</v>
      </c>
      <c r="AH5581" s="64">
        <f t="shared" si="877"/>
        <v>274443.55</v>
      </c>
      <c r="AI5581" s="47"/>
      <c r="AJ5581" s="126" t="e">
        <v>#N/A</v>
      </c>
      <c r="AK5581" s="80">
        <f t="shared" si="880"/>
        <v>0</v>
      </c>
      <c r="AL5581" s="85"/>
      <c r="AM5581" s="85"/>
    </row>
    <row r="5582" spans="1:39" s="86" customFormat="1" ht="13.25" hidden="1" customHeight="1" x14ac:dyDescent="0.3">
      <c r="A5582" s="89" t="s">
        <v>3794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874"/>
        <v>1441</v>
      </c>
      <c r="X5582" s="6">
        <f t="shared" si="873"/>
        <v>0</v>
      </c>
      <c r="Y5582" s="13">
        <f t="shared" si="878"/>
        <v>0</v>
      </c>
      <c r="Z5582" s="14">
        <v>0</v>
      </c>
      <c r="AA5582" s="6">
        <v>0</v>
      </c>
      <c r="AB5582" s="4">
        <f t="shared" si="879"/>
        <v>0</v>
      </c>
      <c r="AC5582" s="6">
        <f t="shared" si="875"/>
        <v>0</v>
      </c>
      <c r="AD5582" s="6">
        <f t="shared" si="876"/>
        <v>0</v>
      </c>
      <c r="AE5582" s="14">
        <f>VLOOKUP(I5582,[2]媒体政策预估表!A:N,MATCH(O5582,[2]媒体政策预估表!$A$2:$M$2,0),0)</f>
        <v>7.0000000000000007E-2</v>
      </c>
      <c r="AF5582" s="6">
        <f t="shared" si="872"/>
        <v>0</v>
      </c>
      <c r="AG5582" s="14">
        <v>0</v>
      </c>
      <c r="AH5582" s="64">
        <f t="shared" si="877"/>
        <v>0</v>
      </c>
      <c r="AI5582" s="47"/>
      <c r="AJ5582" s="126" t="e">
        <v>#N/A</v>
      </c>
      <c r="AK5582" s="80">
        <f t="shared" si="880"/>
        <v>0</v>
      </c>
      <c r="AL5582" s="85"/>
      <c r="AM5582" s="85"/>
    </row>
    <row r="5583" spans="1:39" s="86" customFormat="1" ht="13.25" hidden="1" customHeight="1" x14ac:dyDescent="0.3">
      <c r="A5583" s="89" t="s">
        <v>3792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874"/>
        <v>10000</v>
      </c>
      <c r="X5583" s="6">
        <f t="shared" si="873"/>
        <v>0</v>
      </c>
      <c r="Y5583" s="13">
        <f t="shared" si="878"/>
        <v>0</v>
      </c>
      <c r="Z5583" s="14">
        <v>0</v>
      </c>
      <c r="AA5583" s="6">
        <v>0</v>
      </c>
      <c r="AB5583" s="4">
        <f t="shared" si="879"/>
        <v>0</v>
      </c>
      <c r="AC5583" s="6">
        <f t="shared" si="875"/>
        <v>0</v>
      </c>
      <c r="AD5583" s="6">
        <f t="shared" si="876"/>
        <v>0</v>
      </c>
      <c r="AE5583" s="14">
        <f>VLOOKUP(I5583,[2]媒体政策预估表!A:N,MATCH(O5583,[2]媒体政策预估表!$A$2:$M$2,0),0)</f>
        <v>7.0000000000000007E-2</v>
      </c>
      <c r="AF5583" s="6">
        <f t="shared" si="872"/>
        <v>0</v>
      </c>
      <c r="AG5583" s="14">
        <v>0</v>
      </c>
      <c r="AH5583" s="64">
        <f t="shared" si="877"/>
        <v>0</v>
      </c>
      <c r="AI5583" s="47"/>
      <c r="AJ5583" s="126" t="e">
        <v>#N/A</v>
      </c>
      <c r="AK5583" s="80">
        <f t="shared" si="880"/>
        <v>0</v>
      </c>
      <c r="AL5583" s="85"/>
      <c r="AM5583" s="85"/>
    </row>
    <row r="5584" spans="1:39" s="86" customFormat="1" ht="13.25" hidden="1" customHeight="1" x14ac:dyDescent="0.3">
      <c r="A5584" s="89" t="s">
        <v>3794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3856</v>
      </c>
      <c r="T5584" s="6">
        <v>-73667.62</v>
      </c>
      <c r="U5584" s="6"/>
      <c r="V5584" s="6">
        <v>0</v>
      </c>
      <c r="W5584" s="6">
        <f t="shared" si="874"/>
        <v>-73667.62</v>
      </c>
      <c r="X5584" s="6">
        <v>108913.31</v>
      </c>
      <c r="Y5584" s="13">
        <f t="shared" si="878"/>
        <v>108913.31</v>
      </c>
      <c r="Z5584" s="14">
        <v>0</v>
      </c>
      <c r="AA5584" s="6">
        <v>0</v>
      </c>
      <c r="AB5584" s="4">
        <f t="shared" si="879"/>
        <v>108913.31</v>
      </c>
      <c r="AC5584" s="6">
        <f t="shared" si="875"/>
        <v>-108913.31</v>
      </c>
      <c r="AD5584" s="6">
        <f t="shared" si="876"/>
        <v>0</v>
      </c>
      <c r="AE5584" s="14">
        <f>VLOOKUP(I5584,[2]媒体政策预估表!A:N,MATCH(O5584,[2]媒体政策预估表!$A$2:$M$2,0),0)</f>
        <v>7.0000000000000007E-2</v>
      </c>
      <c r="AF5584" s="6">
        <f t="shared" si="872"/>
        <v>0</v>
      </c>
      <c r="AG5584" s="14">
        <v>0</v>
      </c>
      <c r="AH5584" s="64">
        <f t="shared" si="877"/>
        <v>0</v>
      </c>
      <c r="AI5584" s="47"/>
      <c r="AJ5584" s="126" t="e">
        <v>#N/A</v>
      </c>
      <c r="AK5584" s="80">
        <f t="shared" si="880"/>
        <v>0</v>
      </c>
      <c r="AL5584" s="85"/>
      <c r="AM5584" s="85"/>
    </row>
    <row r="5585" spans="1:39" s="86" customFormat="1" ht="13.25" hidden="1" customHeight="1" x14ac:dyDescent="0.3">
      <c r="A5585" s="89" t="s">
        <v>3794</v>
      </c>
      <c r="B5585" s="86" t="s">
        <v>35</v>
      </c>
      <c r="C5585" s="86" t="s">
        <v>184</v>
      </c>
      <c r="D5585" s="86" t="s">
        <v>3849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874"/>
        <v>2257.9300000000017</v>
      </c>
      <c r="X5585" s="6">
        <f t="shared" si="873"/>
        <v>0</v>
      </c>
      <c r="Y5585" s="13">
        <f t="shared" si="878"/>
        <v>0</v>
      </c>
      <c r="Z5585" s="14">
        <v>0</v>
      </c>
      <c r="AA5585" s="6">
        <v>0</v>
      </c>
      <c r="AB5585" s="4">
        <f t="shared" si="879"/>
        <v>0</v>
      </c>
      <c r="AC5585" s="6">
        <f t="shared" si="875"/>
        <v>0</v>
      </c>
      <c r="AD5585" s="6">
        <f t="shared" si="876"/>
        <v>0</v>
      </c>
      <c r="AE5585" s="14">
        <f>VLOOKUP(I5585,[2]媒体政策预估表!A:N,MATCH(O5585,[2]媒体政策预估表!$A$2:$M$2,0),0)</f>
        <v>7.0000000000000007E-2</v>
      </c>
      <c r="AF5585" s="6">
        <f t="shared" si="872"/>
        <v>0</v>
      </c>
      <c r="AG5585" s="14">
        <v>0</v>
      </c>
      <c r="AH5585" s="64">
        <f t="shared" si="877"/>
        <v>0</v>
      </c>
      <c r="AI5585" s="47"/>
      <c r="AJ5585" s="126" t="e">
        <v>#N/A</v>
      </c>
      <c r="AK5585" s="80">
        <f t="shared" si="880"/>
        <v>0</v>
      </c>
      <c r="AL5585" s="85"/>
      <c r="AM5585" s="85"/>
    </row>
    <row r="5586" spans="1:39" s="86" customFormat="1" ht="13.25" hidden="1" customHeight="1" x14ac:dyDescent="0.3">
      <c r="A5586" s="89" t="s">
        <v>3794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874"/>
        <v>30000</v>
      </c>
      <c r="X5586" s="6">
        <f t="shared" si="873"/>
        <v>0</v>
      </c>
      <c r="Y5586" s="13">
        <f t="shared" si="878"/>
        <v>0</v>
      </c>
      <c r="Z5586" s="14">
        <v>0</v>
      </c>
      <c r="AA5586" s="6">
        <v>0</v>
      </c>
      <c r="AB5586" s="4">
        <f t="shared" si="879"/>
        <v>0</v>
      </c>
      <c r="AC5586" s="6">
        <f t="shared" si="875"/>
        <v>0</v>
      </c>
      <c r="AD5586" s="6">
        <f t="shared" si="876"/>
        <v>0</v>
      </c>
      <c r="AE5586" s="14">
        <f>VLOOKUP(I5586,[2]媒体政策预估表!A:N,MATCH(O5586,[2]媒体政策预估表!$A$2:$M$2,0),0)</f>
        <v>7.0000000000000007E-2</v>
      </c>
      <c r="AF5586" s="6">
        <f t="shared" si="872"/>
        <v>0</v>
      </c>
      <c r="AG5586" s="14">
        <v>0</v>
      </c>
      <c r="AH5586" s="64">
        <f t="shared" si="877"/>
        <v>0</v>
      </c>
      <c r="AI5586" s="47"/>
      <c r="AJ5586" s="126" t="e">
        <v>#N/A</v>
      </c>
      <c r="AK5586" s="80">
        <f t="shared" si="880"/>
        <v>0</v>
      </c>
      <c r="AL5586" s="85"/>
      <c r="AM5586" s="85"/>
    </row>
    <row r="5587" spans="1:39" s="86" customFormat="1" ht="13.25" hidden="1" customHeight="1" x14ac:dyDescent="0.3">
      <c r="A5587" s="89" t="s">
        <v>3796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873"/>
        <v>0</v>
      </c>
      <c r="Y5587" s="13">
        <f t="shared" si="878"/>
        <v>0</v>
      </c>
      <c r="Z5587" s="14">
        <v>0</v>
      </c>
      <c r="AA5587" s="6">
        <v>0</v>
      </c>
      <c r="AB5587" s="4"/>
      <c r="AC5587" s="6">
        <f t="shared" si="875"/>
        <v>0</v>
      </c>
      <c r="AD5587" s="6">
        <f t="shared" si="876"/>
        <v>0</v>
      </c>
      <c r="AE5587" s="14">
        <f>VLOOKUP(I5587,[2]媒体政策预估表!A:N,MATCH(O5587,[2]媒体政策预估表!$A$2:$M$2,0),0)</f>
        <v>7.0000000000000007E-2</v>
      </c>
      <c r="AF5587" s="6">
        <f t="shared" si="872"/>
        <v>0</v>
      </c>
      <c r="AG5587" s="14">
        <v>0</v>
      </c>
      <c r="AH5587" s="64">
        <f t="shared" si="877"/>
        <v>0</v>
      </c>
      <c r="AI5587" s="47"/>
      <c r="AJ5587" s="126">
        <v>112</v>
      </c>
      <c r="AK5587" s="80">
        <f t="shared" si="880"/>
        <v>0</v>
      </c>
      <c r="AL5587" s="85"/>
      <c r="AM5587" s="85"/>
    </row>
    <row r="5588" spans="1:39" s="86" customFormat="1" ht="13.25" hidden="1" customHeight="1" x14ac:dyDescent="0.3">
      <c r="A5588" s="89" t="s">
        <v>3852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874"/>
        <v>5000</v>
      </c>
      <c r="X5588" s="6">
        <f t="shared" si="873"/>
        <v>0</v>
      </c>
      <c r="Y5588" s="13">
        <f t="shared" si="878"/>
        <v>0</v>
      </c>
      <c r="Z5588" s="14">
        <v>0</v>
      </c>
      <c r="AA5588" s="6">
        <v>0</v>
      </c>
      <c r="AB5588" s="4">
        <f t="shared" si="879"/>
        <v>0</v>
      </c>
      <c r="AC5588" s="6">
        <f t="shared" si="875"/>
        <v>0</v>
      </c>
      <c r="AD5588" s="6">
        <f t="shared" si="876"/>
        <v>0</v>
      </c>
      <c r="AE5588" s="14">
        <f>VLOOKUP(I5588,[2]媒体政策预估表!A:N,MATCH(O5588,[2]媒体政策预估表!$A$2:$M$2,0),0)</f>
        <v>7.0000000000000007E-2</v>
      </c>
      <c r="AF5588" s="6">
        <f t="shared" si="872"/>
        <v>0</v>
      </c>
      <c r="AG5588" s="14">
        <v>0</v>
      </c>
      <c r="AH5588" s="64">
        <f t="shared" si="877"/>
        <v>0</v>
      </c>
      <c r="AI5588" s="47"/>
      <c r="AJ5588" s="126" t="e">
        <v>#N/A</v>
      </c>
      <c r="AK5588" s="80">
        <f t="shared" si="880"/>
        <v>0</v>
      </c>
      <c r="AL5588" s="85"/>
      <c r="AM5588" s="85"/>
    </row>
    <row r="5589" spans="1:39" s="86" customFormat="1" ht="13.25" hidden="1" customHeight="1" x14ac:dyDescent="0.3">
      <c r="A5589" s="89" t="s">
        <v>3794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874"/>
        <v>5000</v>
      </c>
      <c r="X5589" s="6">
        <f t="shared" si="873"/>
        <v>0</v>
      </c>
      <c r="Y5589" s="13">
        <f t="shared" si="878"/>
        <v>0</v>
      </c>
      <c r="Z5589" s="14">
        <v>0</v>
      </c>
      <c r="AA5589" s="6">
        <v>0</v>
      </c>
      <c r="AB5589" s="4">
        <f t="shared" si="879"/>
        <v>0</v>
      </c>
      <c r="AC5589" s="6">
        <f t="shared" si="875"/>
        <v>0</v>
      </c>
      <c r="AD5589" s="6">
        <f t="shared" si="876"/>
        <v>0</v>
      </c>
      <c r="AE5589" s="14">
        <f>VLOOKUP(I5589,[2]媒体政策预估表!A:N,MATCH(O5589,[2]媒体政策预估表!$A$2:$M$2,0),0)</f>
        <v>0.11</v>
      </c>
      <c r="AF5589" s="6">
        <f t="shared" si="872"/>
        <v>0</v>
      </c>
      <c r="AG5589" s="14">
        <v>0</v>
      </c>
      <c r="AH5589" s="64">
        <f t="shared" si="877"/>
        <v>0</v>
      </c>
      <c r="AI5589" s="47"/>
      <c r="AJ5589" s="126" t="e">
        <v>#N/A</v>
      </c>
      <c r="AK5589" s="80">
        <f t="shared" si="880"/>
        <v>0</v>
      </c>
      <c r="AL5589" s="85"/>
      <c r="AM5589" s="85"/>
    </row>
    <row r="5590" spans="1:39" s="86" customFormat="1" ht="13.25" hidden="1" customHeight="1" x14ac:dyDescent="0.3">
      <c r="A5590" s="89" t="s">
        <v>3794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874"/>
        <v>98000</v>
      </c>
      <c r="X5590" s="6">
        <f t="shared" si="873"/>
        <v>0</v>
      </c>
      <c r="Y5590" s="13">
        <f t="shared" si="878"/>
        <v>0</v>
      </c>
      <c r="Z5590" s="14">
        <v>0</v>
      </c>
      <c r="AA5590" s="6">
        <v>0</v>
      </c>
      <c r="AB5590" s="4">
        <f t="shared" si="879"/>
        <v>0</v>
      </c>
      <c r="AC5590" s="6">
        <f t="shared" si="875"/>
        <v>0</v>
      </c>
      <c r="AD5590" s="6">
        <f t="shared" si="876"/>
        <v>0</v>
      </c>
      <c r="AE5590" s="14">
        <f>VLOOKUP(I5590,[2]媒体政策预估表!A:N,MATCH(O5590,[2]媒体政策预估表!$A$2:$M$2,0),0)</f>
        <v>0.11</v>
      </c>
      <c r="AF5590" s="6">
        <f t="shared" si="872"/>
        <v>0</v>
      </c>
      <c r="AG5590" s="14">
        <v>0</v>
      </c>
      <c r="AH5590" s="64">
        <f t="shared" si="877"/>
        <v>0</v>
      </c>
      <c r="AI5590" s="47"/>
      <c r="AJ5590" s="126" t="e">
        <v>#N/A</v>
      </c>
      <c r="AK5590" s="80">
        <f t="shared" si="880"/>
        <v>0</v>
      </c>
      <c r="AL5590" s="85"/>
      <c r="AM5590" s="85"/>
    </row>
    <row r="5591" spans="1:39" s="86" customFormat="1" ht="13.25" hidden="1" customHeight="1" x14ac:dyDescent="0.3">
      <c r="A5591" s="89" t="s">
        <v>3794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874"/>
        <v>5000</v>
      </c>
      <c r="X5591" s="6">
        <f t="shared" si="873"/>
        <v>0</v>
      </c>
      <c r="Y5591" s="13">
        <f t="shared" si="878"/>
        <v>0</v>
      </c>
      <c r="Z5591" s="14">
        <v>0</v>
      </c>
      <c r="AA5591" s="6">
        <v>0</v>
      </c>
      <c r="AB5591" s="4">
        <f t="shared" si="879"/>
        <v>0</v>
      </c>
      <c r="AC5591" s="6">
        <f t="shared" si="875"/>
        <v>0</v>
      </c>
      <c r="AD5591" s="6">
        <f t="shared" si="876"/>
        <v>0</v>
      </c>
      <c r="AE5591" s="14">
        <f>VLOOKUP(I5591,[2]媒体政策预估表!A:N,MATCH(O5591,[2]媒体政策预估表!$A$2:$M$2,0),0)</f>
        <v>0.11</v>
      </c>
      <c r="AF5591" s="6">
        <f t="shared" si="872"/>
        <v>0</v>
      </c>
      <c r="AG5591" s="14">
        <v>0</v>
      </c>
      <c r="AH5591" s="64">
        <f t="shared" si="877"/>
        <v>0</v>
      </c>
      <c r="AI5591" s="47"/>
      <c r="AJ5591" s="126" t="e">
        <v>#N/A</v>
      </c>
      <c r="AK5591" s="80">
        <f t="shared" si="880"/>
        <v>0</v>
      </c>
      <c r="AL5591" s="85"/>
      <c r="AM5591" s="85"/>
    </row>
    <row r="5592" spans="1:39" s="86" customFormat="1" ht="13.25" hidden="1" customHeight="1" x14ac:dyDescent="0.3">
      <c r="A5592" s="89" t="s">
        <v>3792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874"/>
        <v>9834.090000000002</v>
      </c>
      <c r="X5592" s="6">
        <f t="shared" si="873"/>
        <v>0</v>
      </c>
      <c r="Y5592" s="13">
        <f t="shared" si="878"/>
        <v>0</v>
      </c>
      <c r="Z5592" s="14">
        <v>0</v>
      </c>
      <c r="AA5592" s="6">
        <v>0</v>
      </c>
      <c r="AB5592" s="4">
        <f t="shared" si="879"/>
        <v>0</v>
      </c>
      <c r="AC5592" s="6">
        <f t="shared" si="875"/>
        <v>0</v>
      </c>
      <c r="AD5592" s="6">
        <f t="shared" si="876"/>
        <v>0</v>
      </c>
      <c r="AE5592" s="14">
        <f>VLOOKUP(I5592,[2]媒体政策预估表!A:N,MATCH(O5592,[2]媒体政策预估表!$A$2:$M$2,0),0)</f>
        <v>0.11</v>
      </c>
      <c r="AF5592" s="6">
        <f t="shared" si="872"/>
        <v>0</v>
      </c>
      <c r="AG5592" s="14">
        <v>0</v>
      </c>
      <c r="AH5592" s="64">
        <f t="shared" si="877"/>
        <v>0</v>
      </c>
      <c r="AI5592" s="47"/>
      <c r="AJ5592" s="126" t="e">
        <v>#N/A</v>
      </c>
      <c r="AK5592" s="80">
        <f t="shared" si="880"/>
        <v>0</v>
      </c>
      <c r="AL5592" s="85"/>
      <c r="AM5592" s="85"/>
    </row>
    <row r="5593" spans="1:39" s="86" customFormat="1" ht="13.25" hidden="1" customHeight="1" x14ac:dyDescent="0.3">
      <c r="A5593" s="89" t="s">
        <v>3805</v>
      </c>
      <c r="B5593" s="86" t="s">
        <v>35</v>
      </c>
      <c r="C5593" s="86" t="s">
        <v>3857</v>
      </c>
      <c r="D5593" s="86" t="s">
        <v>3858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874"/>
        <v>512</v>
      </c>
      <c r="X5593" s="6">
        <f t="shared" si="873"/>
        <v>0</v>
      </c>
      <c r="Y5593" s="13">
        <f t="shared" si="878"/>
        <v>0</v>
      </c>
      <c r="Z5593" s="14">
        <v>0</v>
      </c>
      <c r="AA5593" s="6">
        <v>0</v>
      </c>
      <c r="AB5593" s="4">
        <f t="shared" si="879"/>
        <v>0</v>
      </c>
      <c r="AC5593" s="6">
        <f t="shared" si="875"/>
        <v>0</v>
      </c>
      <c r="AD5593" s="6">
        <f t="shared" si="876"/>
        <v>0</v>
      </c>
      <c r="AE5593" s="14">
        <f>VLOOKUP(I5593,[2]媒体政策预估表!A:N,MATCH(O5593,[2]媒体政策预估表!$A$2:$M$2,0),0)</f>
        <v>0.11</v>
      </c>
      <c r="AF5593" s="6">
        <f t="shared" si="872"/>
        <v>0</v>
      </c>
      <c r="AG5593" s="14">
        <v>0</v>
      </c>
      <c r="AH5593" s="64">
        <f t="shared" si="877"/>
        <v>0</v>
      </c>
      <c r="AI5593" s="47"/>
      <c r="AJ5593" s="126" t="e">
        <v>#N/A</v>
      </c>
      <c r="AK5593" s="80">
        <f t="shared" si="880"/>
        <v>0</v>
      </c>
      <c r="AL5593" s="85"/>
      <c r="AM5593" s="85"/>
    </row>
    <row r="5594" spans="1:39" s="86" customFormat="1" ht="13.25" hidden="1" customHeight="1" x14ac:dyDescent="0.3">
      <c r="A5594" s="89" t="s">
        <v>3792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874"/>
        <v>0.22</v>
      </c>
      <c r="X5594" s="6">
        <f t="shared" si="873"/>
        <v>0</v>
      </c>
      <c r="Y5594" s="13">
        <f t="shared" si="878"/>
        <v>0</v>
      </c>
      <c r="Z5594" s="14">
        <v>0</v>
      </c>
      <c r="AA5594" s="6">
        <v>0</v>
      </c>
      <c r="AB5594" s="4"/>
      <c r="AC5594" s="6">
        <f t="shared" si="875"/>
        <v>0</v>
      </c>
      <c r="AD5594" s="6">
        <f t="shared" si="876"/>
        <v>0</v>
      </c>
      <c r="AE5594" s="14">
        <f>VLOOKUP(I5594,[2]媒体政策预估表!A:N,MATCH(O5594,[2]媒体政策预估表!$A$2:$M$2,0),0)</f>
        <v>0.11</v>
      </c>
      <c r="AF5594" s="6">
        <f t="shared" si="872"/>
        <v>0</v>
      </c>
      <c r="AG5594" s="14">
        <v>0</v>
      </c>
      <c r="AH5594" s="64">
        <f t="shared" si="877"/>
        <v>0</v>
      </c>
      <c r="AI5594" s="47"/>
      <c r="AJ5594" s="126">
        <v>71</v>
      </c>
      <c r="AK5594" s="80">
        <f t="shared" si="880"/>
        <v>0</v>
      </c>
      <c r="AL5594" s="85"/>
      <c r="AM5594" s="85"/>
    </row>
    <row r="5595" spans="1:39" s="86" customFormat="1" ht="13.25" hidden="1" customHeight="1" x14ac:dyDescent="0.3">
      <c r="A5595" s="89" t="s">
        <v>3805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874"/>
        <v>0.94</v>
      </c>
      <c r="X5595" s="6">
        <f t="shared" si="873"/>
        <v>0</v>
      </c>
      <c r="Y5595" s="13">
        <f t="shared" si="878"/>
        <v>0</v>
      </c>
      <c r="Z5595" s="14">
        <v>0</v>
      </c>
      <c r="AA5595" s="6">
        <v>0</v>
      </c>
      <c r="AB5595" s="4"/>
      <c r="AC5595" s="6">
        <f t="shared" si="875"/>
        <v>0</v>
      </c>
      <c r="AD5595" s="6">
        <f t="shared" si="876"/>
        <v>0</v>
      </c>
      <c r="AE5595" s="14">
        <f>VLOOKUP(I5595,[2]媒体政策预估表!A:N,MATCH(O5595,[2]媒体政策预估表!$A$2:$M$2,0),0)</f>
        <v>0.11</v>
      </c>
      <c r="AF5595" s="6">
        <f t="shared" si="872"/>
        <v>0</v>
      </c>
      <c r="AG5595" s="14">
        <v>0</v>
      </c>
      <c r="AH5595" s="64">
        <f t="shared" si="877"/>
        <v>0</v>
      </c>
      <c r="AI5595" s="47"/>
      <c r="AJ5595" s="126">
        <v>71</v>
      </c>
      <c r="AK5595" s="80">
        <f t="shared" si="880"/>
        <v>0</v>
      </c>
      <c r="AL5595" s="85"/>
      <c r="AM5595" s="85"/>
    </row>
    <row r="5596" spans="1:39" s="86" customFormat="1" ht="13.25" hidden="1" customHeight="1" x14ac:dyDescent="0.3">
      <c r="A5596" s="89" t="s">
        <v>3806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874"/>
        <v>0.43</v>
      </c>
      <c r="X5596" s="6">
        <f t="shared" si="873"/>
        <v>0</v>
      </c>
      <c r="Y5596" s="13">
        <f t="shared" si="878"/>
        <v>0</v>
      </c>
      <c r="Z5596" s="14">
        <v>0</v>
      </c>
      <c r="AA5596" s="6">
        <v>0</v>
      </c>
      <c r="AB5596" s="4"/>
      <c r="AC5596" s="6">
        <f t="shared" si="875"/>
        <v>0</v>
      </c>
      <c r="AD5596" s="6">
        <f t="shared" si="876"/>
        <v>0</v>
      </c>
      <c r="AE5596" s="14">
        <f>VLOOKUP(I5596,[2]媒体政策预估表!A:N,MATCH(O5596,[2]媒体政策预估表!$A$2:$M$2,0),0)</f>
        <v>0.11</v>
      </c>
      <c r="AF5596" s="6">
        <f t="shared" si="872"/>
        <v>0</v>
      </c>
      <c r="AG5596" s="14">
        <v>0</v>
      </c>
      <c r="AH5596" s="64">
        <f t="shared" si="877"/>
        <v>0</v>
      </c>
      <c r="AI5596" s="47"/>
      <c r="AJ5596" s="126">
        <v>71</v>
      </c>
      <c r="AK5596" s="80">
        <f t="shared" si="880"/>
        <v>0</v>
      </c>
      <c r="AL5596" s="85"/>
      <c r="AM5596" s="85"/>
    </row>
    <row r="5597" spans="1:39" s="86" customFormat="1" ht="13.25" hidden="1" customHeight="1" x14ac:dyDescent="0.3">
      <c r="A5597" s="89" t="s">
        <v>3852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874"/>
        <v>0.24</v>
      </c>
      <c r="X5597" s="6">
        <f t="shared" si="873"/>
        <v>0</v>
      </c>
      <c r="Y5597" s="13">
        <f t="shared" si="878"/>
        <v>0</v>
      </c>
      <c r="Z5597" s="14">
        <v>0</v>
      </c>
      <c r="AA5597" s="6">
        <v>0</v>
      </c>
      <c r="AB5597" s="4"/>
      <c r="AC5597" s="6">
        <f t="shared" si="875"/>
        <v>0</v>
      </c>
      <c r="AD5597" s="6">
        <f t="shared" si="876"/>
        <v>0</v>
      </c>
      <c r="AE5597" s="14">
        <f>VLOOKUP(I5597,[2]媒体政策预估表!A:N,MATCH(O5597,[2]媒体政策预估表!$A$2:$M$2,0),0)</f>
        <v>0.11</v>
      </c>
      <c r="AF5597" s="6">
        <f t="shared" si="872"/>
        <v>0</v>
      </c>
      <c r="AG5597" s="14">
        <v>0</v>
      </c>
      <c r="AH5597" s="64">
        <f t="shared" si="877"/>
        <v>0</v>
      </c>
      <c r="AI5597" s="47"/>
      <c r="AJ5597" s="126">
        <v>71</v>
      </c>
      <c r="AK5597" s="80">
        <f t="shared" si="880"/>
        <v>0</v>
      </c>
      <c r="AL5597" s="85"/>
      <c r="AM5597" s="85"/>
    </row>
    <row r="5598" spans="1:39" s="86" customFormat="1" ht="13.25" hidden="1" customHeight="1" x14ac:dyDescent="0.3">
      <c r="A5598" s="89" t="s">
        <v>3805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874"/>
        <v>28964.959999999999</v>
      </c>
      <c r="X5598" s="6">
        <f t="shared" si="873"/>
        <v>0</v>
      </c>
      <c r="Y5598" s="13">
        <f t="shared" si="878"/>
        <v>0</v>
      </c>
      <c r="Z5598" s="14">
        <v>0</v>
      </c>
      <c r="AA5598" s="6">
        <v>0</v>
      </c>
      <c r="AB5598" s="4"/>
      <c r="AC5598" s="6">
        <f t="shared" si="875"/>
        <v>0</v>
      </c>
      <c r="AD5598" s="6">
        <f t="shared" si="876"/>
        <v>0</v>
      </c>
      <c r="AE5598" s="14">
        <f>VLOOKUP(I5598,[2]媒体政策预估表!A:N,MATCH(O5598,[2]媒体政策预估表!$A$2:$M$2,0),0)</f>
        <v>0.11</v>
      </c>
      <c r="AF5598" s="6">
        <f t="shared" si="872"/>
        <v>0</v>
      </c>
      <c r="AG5598" s="14">
        <v>0</v>
      </c>
      <c r="AH5598" s="64">
        <f t="shared" si="877"/>
        <v>0</v>
      </c>
      <c r="AI5598" s="47"/>
      <c r="AJ5598" s="126">
        <v>71</v>
      </c>
      <c r="AK5598" s="80">
        <f t="shared" si="880"/>
        <v>0</v>
      </c>
      <c r="AL5598" s="85"/>
      <c r="AM5598" s="85"/>
    </row>
    <row r="5599" spans="1:39" s="86" customFormat="1" ht="13.25" hidden="1" customHeight="1" x14ac:dyDescent="0.3">
      <c r="A5599" s="89" t="s">
        <v>3794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874"/>
        <v>14781</v>
      </c>
      <c r="X5599" s="6">
        <f t="shared" si="873"/>
        <v>0</v>
      </c>
      <c r="Y5599" s="13">
        <f t="shared" si="878"/>
        <v>0</v>
      </c>
      <c r="Z5599" s="14">
        <v>0</v>
      </c>
      <c r="AA5599" s="6">
        <v>0</v>
      </c>
      <c r="AB5599" s="4"/>
      <c r="AC5599" s="6">
        <f t="shared" si="875"/>
        <v>0</v>
      </c>
      <c r="AD5599" s="6">
        <f t="shared" si="876"/>
        <v>0</v>
      </c>
      <c r="AE5599" s="14">
        <f>VLOOKUP(I5599,[2]媒体政策预估表!A:N,MATCH(O5599,[2]媒体政策预估表!$A$2:$M$2,0),0)</f>
        <v>0.11</v>
      </c>
      <c r="AF5599" s="6">
        <f t="shared" si="872"/>
        <v>0</v>
      </c>
      <c r="AG5599" s="14">
        <v>0</v>
      </c>
      <c r="AH5599" s="64">
        <f t="shared" si="877"/>
        <v>0</v>
      </c>
      <c r="AI5599" s="47"/>
      <c r="AJ5599" s="126">
        <v>71</v>
      </c>
      <c r="AK5599" s="80">
        <f t="shared" si="880"/>
        <v>0</v>
      </c>
      <c r="AL5599" s="85"/>
      <c r="AM5599" s="85"/>
    </row>
    <row r="5600" spans="1:39" s="86" customFormat="1" ht="13.25" hidden="1" customHeight="1" x14ac:dyDescent="0.3">
      <c r="A5600" s="89" t="s">
        <v>3806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874"/>
        <v>-20000</v>
      </c>
      <c r="X5600" s="6">
        <f t="shared" si="873"/>
        <v>0</v>
      </c>
      <c r="Y5600" s="13">
        <f t="shared" si="878"/>
        <v>0</v>
      </c>
      <c r="Z5600" s="14">
        <v>0</v>
      </c>
      <c r="AA5600" s="6">
        <v>0</v>
      </c>
      <c r="AB5600" s="4"/>
      <c r="AC5600" s="6">
        <f t="shared" si="875"/>
        <v>0</v>
      </c>
      <c r="AD5600" s="6">
        <f t="shared" si="876"/>
        <v>0</v>
      </c>
      <c r="AE5600" s="14">
        <f>VLOOKUP(I5600,[2]媒体政策预估表!A:N,MATCH(O5600,[2]媒体政策预估表!$A$2:$M$2,0),0)</f>
        <v>0.11</v>
      </c>
      <c r="AF5600" s="6">
        <f t="shared" si="872"/>
        <v>0</v>
      </c>
      <c r="AG5600" s="14">
        <v>0</v>
      </c>
      <c r="AH5600" s="64">
        <f t="shared" si="877"/>
        <v>0</v>
      </c>
      <c r="AI5600" s="47"/>
      <c r="AJ5600" s="126">
        <v>96</v>
      </c>
      <c r="AK5600" s="80">
        <f t="shared" si="880"/>
        <v>0</v>
      </c>
      <c r="AL5600" s="85"/>
      <c r="AM5600" s="85"/>
    </row>
    <row r="5601" spans="1:39" s="86" customFormat="1" ht="13.25" hidden="1" customHeight="1" x14ac:dyDescent="0.3">
      <c r="A5601" s="89" t="s">
        <v>3794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874"/>
        <v>14240.56</v>
      </c>
      <c r="X5601" s="6">
        <f t="shared" si="873"/>
        <v>0</v>
      </c>
      <c r="Y5601" s="13">
        <f t="shared" si="878"/>
        <v>0</v>
      </c>
      <c r="Z5601" s="14">
        <v>0</v>
      </c>
      <c r="AA5601" s="6">
        <v>0</v>
      </c>
      <c r="AB5601" s="4">
        <f t="shared" si="879"/>
        <v>0</v>
      </c>
      <c r="AC5601" s="6">
        <f t="shared" si="875"/>
        <v>0</v>
      </c>
      <c r="AD5601" s="6">
        <f t="shared" si="876"/>
        <v>0</v>
      </c>
      <c r="AE5601" s="14">
        <f>VLOOKUP(I5601,[2]媒体政策预估表!A:N,MATCH(O5601,[2]媒体政策预估表!$A$2:$M$2,0),0)</f>
        <v>7.0000000000000007E-2</v>
      </c>
      <c r="AF5601" s="6">
        <f t="shared" si="872"/>
        <v>0</v>
      </c>
      <c r="AG5601" s="14">
        <v>0</v>
      </c>
      <c r="AH5601" s="64">
        <f t="shared" si="877"/>
        <v>0</v>
      </c>
      <c r="AI5601" s="47"/>
      <c r="AJ5601" s="126" t="e">
        <v>#N/A</v>
      </c>
      <c r="AK5601" s="80">
        <f t="shared" si="880"/>
        <v>0</v>
      </c>
      <c r="AL5601" s="85"/>
      <c r="AM5601" s="85"/>
    </row>
    <row r="5602" spans="1:39" s="86" customFormat="1" ht="13.25" hidden="1" customHeight="1" x14ac:dyDescent="0.3">
      <c r="A5602" s="89" t="s">
        <v>3792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874"/>
        <v>11576.1</v>
      </c>
      <c r="X5602" s="6">
        <f t="shared" si="873"/>
        <v>0</v>
      </c>
      <c r="Y5602" s="13">
        <f t="shared" si="878"/>
        <v>0</v>
      </c>
      <c r="Z5602" s="14">
        <v>0</v>
      </c>
      <c r="AA5602" s="6">
        <v>0</v>
      </c>
      <c r="AB5602" s="4">
        <f t="shared" si="879"/>
        <v>0</v>
      </c>
      <c r="AC5602" s="6">
        <f t="shared" si="875"/>
        <v>0</v>
      </c>
      <c r="AD5602" s="6">
        <f t="shared" si="876"/>
        <v>0</v>
      </c>
      <c r="AE5602" s="14">
        <f>VLOOKUP(I5602,[2]媒体政策预估表!A:N,MATCH(O5602,[2]媒体政策预估表!$A$2:$M$2,0),0)</f>
        <v>7.0000000000000007E-2</v>
      </c>
      <c r="AF5602" s="6">
        <f t="shared" si="872"/>
        <v>0</v>
      </c>
      <c r="AG5602" s="14">
        <v>0</v>
      </c>
      <c r="AH5602" s="64">
        <f t="shared" si="877"/>
        <v>0</v>
      </c>
      <c r="AI5602" s="47"/>
      <c r="AJ5602" s="126" t="e">
        <v>#N/A</v>
      </c>
      <c r="AK5602" s="80">
        <f t="shared" si="880"/>
        <v>0</v>
      </c>
      <c r="AL5602" s="85"/>
      <c r="AM5602" s="85"/>
    </row>
    <row r="5603" spans="1:39" s="86" customFormat="1" ht="13.25" hidden="1" customHeight="1" x14ac:dyDescent="0.3">
      <c r="A5603" s="89" t="s">
        <v>3792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874"/>
        <v>3153.85</v>
      </c>
      <c r="X5603" s="6">
        <f t="shared" si="873"/>
        <v>0</v>
      </c>
      <c r="Y5603" s="13">
        <f t="shared" si="878"/>
        <v>0</v>
      </c>
      <c r="Z5603" s="14">
        <v>0</v>
      </c>
      <c r="AA5603" s="6">
        <v>0</v>
      </c>
      <c r="AB5603" s="4">
        <f t="shared" si="879"/>
        <v>0</v>
      </c>
      <c r="AC5603" s="6">
        <f t="shared" si="875"/>
        <v>0</v>
      </c>
      <c r="AD5603" s="6">
        <f t="shared" si="876"/>
        <v>0</v>
      </c>
      <c r="AE5603" s="14">
        <f>VLOOKUP(I5603,[2]媒体政策预估表!A:N,MATCH(O5603,[2]媒体政策预估表!$A$2:$M$2,0),0)</f>
        <v>0.11</v>
      </c>
      <c r="AF5603" s="6">
        <f t="shared" si="872"/>
        <v>0</v>
      </c>
      <c r="AG5603" s="14">
        <v>0</v>
      </c>
      <c r="AH5603" s="64">
        <f t="shared" si="877"/>
        <v>0</v>
      </c>
      <c r="AI5603" s="47"/>
      <c r="AJ5603" s="126" t="e">
        <v>#N/A</v>
      </c>
      <c r="AK5603" s="80">
        <f t="shared" si="880"/>
        <v>0</v>
      </c>
      <c r="AL5603" s="85"/>
      <c r="AM5603" s="85"/>
    </row>
    <row r="5604" spans="1:39" s="86" customFormat="1" ht="13.25" hidden="1" customHeight="1" x14ac:dyDescent="0.3">
      <c r="A5604" s="89" t="s">
        <v>3792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874"/>
        <v>0.17</v>
      </c>
      <c r="X5604" s="6">
        <f t="shared" si="873"/>
        <v>0</v>
      </c>
      <c r="Y5604" s="13">
        <f t="shared" si="878"/>
        <v>0</v>
      </c>
      <c r="Z5604" s="14">
        <v>0</v>
      </c>
      <c r="AA5604" s="6">
        <v>0</v>
      </c>
      <c r="AB5604" s="4">
        <f t="shared" si="879"/>
        <v>0</v>
      </c>
      <c r="AC5604" s="6">
        <f t="shared" si="875"/>
        <v>0</v>
      </c>
      <c r="AD5604" s="6">
        <f t="shared" si="876"/>
        <v>0</v>
      </c>
      <c r="AE5604" s="14">
        <f>VLOOKUP(I5604,[2]媒体政策预估表!A:N,MATCH(O5604,[2]媒体政策预估表!$A$2:$M$2,0),0)</f>
        <v>0.11</v>
      </c>
      <c r="AF5604" s="6">
        <f t="shared" ref="AF5604:AF5667" si="881">AD5604*AE5604</f>
        <v>0</v>
      </c>
      <c r="AG5604" s="14">
        <v>0</v>
      </c>
      <c r="AH5604" s="64">
        <f t="shared" si="877"/>
        <v>0</v>
      </c>
      <c r="AI5604" s="47"/>
      <c r="AJ5604" s="126" t="e">
        <v>#N/A</v>
      </c>
      <c r="AK5604" s="80">
        <f t="shared" si="880"/>
        <v>0</v>
      </c>
      <c r="AL5604" s="85"/>
      <c r="AM5604" s="85"/>
    </row>
    <row r="5605" spans="1:39" s="86" customFormat="1" ht="13.25" hidden="1" customHeight="1" x14ac:dyDescent="0.3">
      <c r="A5605" s="89" t="s">
        <v>3794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874"/>
        <v>0.97</v>
      </c>
      <c r="X5605" s="6">
        <f t="shared" si="873"/>
        <v>0</v>
      </c>
      <c r="Y5605" s="13">
        <f t="shared" si="878"/>
        <v>0</v>
      </c>
      <c r="Z5605" s="14">
        <v>0</v>
      </c>
      <c r="AA5605" s="6">
        <v>0</v>
      </c>
      <c r="AB5605" s="4">
        <f t="shared" si="879"/>
        <v>0</v>
      </c>
      <c r="AC5605" s="6">
        <f t="shared" si="875"/>
        <v>0</v>
      </c>
      <c r="AD5605" s="6">
        <f t="shared" si="876"/>
        <v>0</v>
      </c>
      <c r="AE5605" s="14">
        <f>VLOOKUP(I5605,[2]媒体政策预估表!A:N,MATCH(O5605,[2]媒体政策预估表!$A$2:$M$2,0),0)</f>
        <v>0.11</v>
      </c>
      <c r="AF5605" s="6">
        <f t="shared" si="881"/>
        <v>0</v>
      </c>
      <c r="AG5605" s="14">
        <v>0</v>
      </c>
      <c r="AH5605" s="64">
        <f t="shared" si="877"/>
        <v>0</v>
      </c>
      <c r="AI5605" s="47"/>
      <c r="AJ5605" s="126" t="e">
        <v>#N/A</v>
      </c>
      <c r="AK5605" s="80">
        <f t="shared" si="880"/>
        <v>0</v>
      </c>
      <c r="AL5605" s="85"/>
      <c r="AM5605" s="85"/>
    </row>
    <row r="5606" spans="1:39" s="86" customFormat="1" ht="13.25" hidden="1" customHeight="1" x14ac:dyDescent="0.3">
      <c r="A5606" s="89" t="s">
        <v>3794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874"/>
        <v>18046</v>
      </c>
      <c r="X5606" s="6">
        <f t="shared" si="873"/>
        <v>0</v>
      </c>
      <c r="Y5606" s="13">
        <f t="shared" si="878"/>
        <v>0</v>
      </c>
      <c r="Z5606" s="14">
        <v>0</v>
      </c>
      <c r="AA5606" s="6">
        <v>0</v>
      </c>
      <c r="AB5606" s="4">
        <f t="shared" si="879"/>
        <v>0</v>
      </c>
      <c r="AC5606" s="6">
        <f t="shared" si="875"/>
        <v>0</v>
      </c>
      <c r="AD5606" s="6">
        <f t="shared" si="876"/>
        <v>0</v>
      </c>
      <c r="AE5606" s="14">
        <f>VLOOKUP(I5606,[2]媒体政策预估表!A:N,MATCH(O5606,[2]媒体政策预估表!$A$2:$M$2,0),0)</f>
        <v>7.0000000000000007E-2</v>
      </c>
      <c r="AF5606" s="6">
        <f t="shared" si="881"/>
        <v>0</v>
      </c>
      <c r="AG5606" s="14">
        <v>0</v>
      </c>
      <c r="AH5606" s="64">
        <f t="shared" si="877"/>
        <v>0</v>
      </c>
      <c r="AI5606" s="47"/>
      <c r="AJ5606" s="126" t="e">
        <v>#N/A</v>
      </c>
      <c r="AK5606" s="80">
        <f t="shared" si="880"/>
        <v>0</v>
      </c>
      <c r="AL5606" s="85"/>
      <c r="AM5606" s="85"/>
    </row>
    <row r="5607" spans="1:39" s="86" customFormat="1" ht="13.25" hidden="1" customHeight="1" x14ac:dyDescent="0.3">
      <c r="A5607" s="89" t="s">
        <v>3792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874"/>
        <v>19672.349999999999</v>
      </c>
      <c r="X5607" s="6">
        <f t="shared" si="873"/>
        <v>0</v>
      </c>
      <c r="Y5607" s="13">
        <f t="shared" si="878"/>
        <v>0</v>
      </c>
      <c r="Z5607" s="14">
        <v>0</v>
      </c>
      <c r="AA5607" s="6">
        <v>0</v>
      </c>
      <c r="AB5607" s="4">
        <f t="shared" si="879"/>
        <v>0</v>
      </c>
      <c r="AC5607" s="6">
        <f t="shared" si="875"/>
        <v>0</v>
      </c>
      <c r="AD5607" s="6">
        <f t="shared" si="876"/>
        <v>0</v>
      </c>
      <c r="AE5607" s="14">
        <f>VLOOKUP(I5607,[2]媒体政策预估表!A:N,MATCH(O5607,[2]媒体政策预估表!$A$2:$M$2,0),0)</f>
        <v>0.11</v>
      </c>
      <c r="AF5607" s="6">
        <f t="shared" si="881"/>
        <v>0</v>
      </c>
      <c r="AG5607" s="14">
        <v>0</v>
      </c>
      <c r="AH5607" s="64">
        <f t="shared" si="877"/>
        <v>0</v>
      </c>
      <c r="AI5607" s="47"/>
      <c r="AJ5607" s="126" t="e">
        <v>#N/A</v>
      </c>
      <c r="AK5607" s="80">
        <f t="shared" si="880"/>
        <v>0</v>
      </c>
      <c r="AL5607" s="85"/>
      <c r="AM5607" s="85"/>
    </row>
    <row r="5608" spans="1:39" s="86" customFormat="1" ht="13.25" hidden="1" customHeight="1" x14ac:dyDescent="0.3">
      <c r="A5608" s="89" t="s">
        <v>3792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874"/>
        <v>6422</v>
      </c>
      <c r="X5608" s="6">
        <f t="shared" si="873"/>
        <v>0</v>
      </c>
      <c r="Y5608" s="13">
        <f t="shared" si="878"/>
        <v>0</v>
      </c>
      <c r="Z5608" s="14">
        <v>0</v>
      </c>
      <c r="AA5608" s="6">
        <v>0</v>
      </c>
      <c r="AB5608" s="4">
        <f t="shared" si="879"/>
        <v>0</v>
      </c>
      <c r="AC5608" s="6">
        <f t="shared" si="875"/>
        <v>0</v>
      </c>
      <c r="AD5608" s="6">
        <f t="shared" si="876"/>
        <v>0</v>
      </c>
      <c r="AE5608" s="14">
        <f>VLOOKUP(I5608,[2]媒体政策预估表!A:N,MATCH(O5608,[2]媒体政策预估表!$A$2:$M$2,0),0)</f>
        <v>7.0000000000000007E-2</v>
      </c>
      <c r="AF5608" s="6">
        <f t="shared" si="881"/>
        <v>0</v>
      </c>
      <c r="AG5608" s="14">
        <v>0</v>
      </c>
      <c r="AH5608" s="64">
        <f t="shared" si="877"/>
        <v>0</v>
      </c>
      <c r="AI5608" s="47"/>
      <c r="AJ5608" s="126" t="e">
        <v>#N/A</v>
      </c>
      <c r="AK5608" s="80">
        <f t="shared" si="880"/>
        <v>0</v>
      </c>
      <c r="AL5608" s="85"/>
      <c r="AM5608" s="85"/>
    </row>
    <row r="5609" spans="1:39" s="86" customFormat="1" ht="13.25" hidden="1" customHeight="1" x14ac:dyDescent="0.3">
      <c r="A5609" s="89" t="s">
        <v>3805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874"/>
        <v>971.2</v>
      </c>
      <c r="X5609" s="6">
        <f t="shared" si="873"/>
        <v>0</v>
      </c>
      <c r="Y5609" s="13">
        <f t="shared" si="878"/>
        <v>0</v>
      </c>
      <c r="Z5609" s="14">
        <v>0</v>
      </c>
      <c r="AA5609" s="6">
        <v>0</v>
      </c>
      <c r="AB5609" s="4">
        <f t="shared" si="879"/>
        <v>0</v>
      </c>
      <c r="AC5609" s="6">
        <f t="shared" si="875"/>
        <v>0</v>
      </c>
      <c r="AD5609" s="6">
        <f t="shared" si="876"/>
        <v>0</v>
      </c>
      <c r="AE5609" s="14">
        <f>VLOOKUP(I5609,[2]媒体政策预估表!A:N,MATCH(O5609,[2]媒体政策预估表!$A$2:$M$2,0),0)</f>
        <v>7.0000000000000007E-2</v>
      </c>
      <c r="AF5609" s="6">
        <f t="shared" si="881"/>
        <v>0</v>
      </c>
      <c r="AG5609" s="14">
        <v>0</v>
      </c>
      <c r="AH5609" s="64">
        <f t="shared" si="877"/>
        <v>0</v>
      </c>
      <c r="AI5609" s="47"/>
      <c r="AJ5609" s="126" t="e">
        <v>#N/A</v>
      </c>
      <c r="AK5609" s="80">
        <f t="shared" si="880"/>
        <v>0</v>
      </c>
      <c r="AL5609" s="85"/>
      <c r="AM5609" s="85"/>
    </row>
    <row r="5610" spans="1:39" s="86" customFormat="1" ht="13.25" hidden="1" customHeight="1" x14ac:dyDescent="0.3">
      <c r="A5610" s="89" t="s">
        <v>3794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874"/>
        <v>15309.18</v>
      </c>
      <c r="X5610" s="6">
        <f t="shared" si="873"/>
        <v>0</v>
      </c>
      <c r="Y5610" s="13">
        <f t="shared" si="878"/>
        <v>0</v>
      </c>
      <c r="Z5610" s="14">
        <v>0</v>
      </c>
      <c r="AA5610" s="6">
        <v>0</v>
      </c>
      <c r="AB5610" s="4">
        <f t="shared" si="879"/>
        <v>0</v>
      </c>
      <c r="AC5610" s="6">
        <f t="shared" si="875"/>
        <v>0</v>
      </c>
      <c r="AD5610" s="6">
        <f t="shared" si="876"/>
        <v>0</v>
      </c>
      <c r="AE5610" s="14">
        <f>VLOOKUP(I5610,[2]媒体政策预估表!A:N,MATCH(O5610,[2]媒体政策预估表!$A$2:$M$2,0),0)</f>
        <v>7.0000000000000007E-2</v>
      </c>
      <c r="AF5610" s="6">
        <f t="shared" si="881"/>
        <v>0</v>
      </c>
      <c r="AG5610" s="14">
        <v>0</v>
      </c>
      <c r="AH5610" s="64">
        <f t="shared" si="877"/>
        <v>0</v>
      </c>
      <c r="AI5610" s="47"/>
      <c r="AJ5610" s="126" t="e">
        <v>#N/A</v>
      </c>
      <c r="AK5610" s="80">
        <f t="shared" si="880"/>
        <v>0</v>
      </c>
      <c r="AL5610" s="85"/>
      <c r="AM5610" s="85"/>
    </row>
    <row r="5611" spans="1:39" s="86" customFormat="1" ht="13.25" hidden="1" customHeight="1" x14ac:dyDescent="0.3">
      <c r="A5611" s="89" t="s">
        <v>3792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874"/>
        <v>9705.75</v>
      </c>
      <c r="X5611" s="6">
        <f t="shared" si="873"/>
        <v>0</v>
      </c>
      <c r="Y5611" s="13">
        <f t="shared" si="878"/>
        <v>0</v>
      </c>
      <c r="Z5611" s="14">
        <v>0</v>
      </c>
      <c r="AA5611" s="6">
        <v>0</v>
      </c>
      <c r="AB5611" s="4">
        <f t="shared" si="879"/>
        <v>0</v>
      </c>
      <c r="AC5611" s="6">
        <f t="shared" si="875"/>
        <v>0</v>
      </c>
      <c r="AD5611" s="6">
        <f t="shared" si="876"/>
        <v>0</v>
      </c>
      <c r="AE5611" s="14">
        <f>VLOOKUP(I5611,[2]媒体政策预估表!A:N,MATCH(O5611,[2]媒体政策预估表!$A$2:$M$2,0),0)</f>
        <v>7.0000000000000007E-2</v>
      </c>
      <c r="AF5611" s="6">
        <f t="shared" si="881"/>
        <v>0</v>
      </c>
      <c r="AG5611" s="14">
        <v>0</v>
      </c>
      <c r="AH5611" s="64">
        <f t="shared" si="877"/>
        <v>0</v>
      </c>
      <c r="AI5611" s="47"/>
      <c r="AJ5611" s="126" t="e">
        <v>#N/A</v>
      </c>
      <c r="AK5611" s="80">
        <f t="shared" si="880"/>
        <v>0</v>
      </c>
      <c r="AL5611" s="85"/>
      <c r="AM5611" s="85"/>
    </row>
    <row r="5612" spans="1:39" s="86" customFormat="1" ht="13.25" hidden="1" customHeight="1" x14ac:dyDescent="0.3">
      <c r="A5612" s="89" t="s">
        <v>3796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874"/>
        <v>36787.019999999997</v>
      </c>
      <c r="X5612" s="6">
        <f t="shared" si="873"/>
        <v>0</v>
      </c>
      <c r="Y5612" s="13">
        <f t="shared" si="878"/>
        <v>0</v>
      </c>
      <c r="Z5612" s="14">
        <v>0</v>
      </c>
      <c r="AA5612" s="6">
        <v>0</v>
      </c>
      <c r="AB5612" s="4">
        <f t="shared" si="879"/>
        <v>0</v>
      </c>
      <c r="AC5612" s="6">
        <f t="shared" si="875"/>
        <v>0</v>
      </c>
      <c r="AD5612" s="6">
        <f t="shared" si="876"/>
        <v>0</v>
      </c>
      <c r="AE5612" s="14">
        <f>VLOOKUP(I5612,[2]媒体政策预估表!A:N,MATCH(O5612,[2]媒体政策预估表!$A$2:$M$2,0),0)</f>
        <v>7.0000000000000007E-2</v>
      </c>
      <c r="AF5612" s="6">
        <f t="shared" si="881"/>
        <v>0</v>
      </c>
      <c r="AG5612" s="14">
        <v>0</v>
      </c>
      <c r="AH5612" s="64">
        <f t="shared" si="877"/>
        <v>0</v>
      </c>
      <c r="AI5612" s="47"/>
      <c r="AJ5612" s="126" t="e">
        <v>#N/A</v>
      </c>
      <c r="AK5612" s="80">
        <f t="shared" si="880"/>
        <v>0</v>
      </c>
      <c r="AL5612" s="85"/>
      <c r="AM5612" s="85"/>
    </row>
    <row r="5613" spans="1:39" s="86" customFormat="1" ht="13.25" hidden="1" customHeight="1" x14ac:dyDescent="0.3">
      <c r="A5613" s="89" t="s">
        <v>3794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874"/>
        <v>2099.6</v>
      </c>
      <c r="X5613" s="6">
        <f t="shared" si="873"/>
        <v>0</v>
      </c>
      <c r="Y5613" s="13">
        <f t="shared" si="878"/>
        <v>0</v>
      </c>
      <c r="Z5613" s="14">
        <v>0</v>
      </c>
      <c r="AA5613" s="6">
        <v>0</v>
      </c>
      <c r="AB5613" s="4">
        <f t="shared" si="879"/>
        <v>0</v>
      </c>
      <c r="AC5613" s="6">
        <f t="shared" si="875"/>
        <v>0</v>
      </c>
      <c r="AD5613" s="6">
        <f t="shared" si="876"/>
        <v>0</v>
      </c>
      <c r="AE5613" s="14">
        <f>VLOOKUP(I5613,[2]媒体政策预估表!A:N,MATCH(O5613,[2]媒体政策预估表!$A$2:$M$2,0),0)</f>
        <v>7.0000000000000007E-2</v>
      </c>
      <c r="AF5613" s="6">
        <f t="shared" si="881"/>
        <v>0</v>
      </c>
      <c r="AG5613" s="14">
        <v>0</v>
      </c>
      <c r="AH5613" s="64">
        <f t="shared" si="877"/>
        <v>0</v>
      </c>
      <c r="AI5613" s="47"/>
      <c r="AJ5613" s="126" t="e">
        <v>#N/A</v>
      </c>
      <c r="AK5613" s="80">
        <f t="shared" si="880"/>
        <v>0</v>
      </c>
      <c r="AL5613" s="85"/>
      <c r="AM5613" s="85"/>
    </row>
    <row r="5614" spans="1:39" s="86" customFormat="1" ht="13.25" hidden="1" customHeight="1" x14ac:dyDescent="0.3">
      <c r="A5614" s="89" t="s">
        <v>3794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874"/>
        <v>193.16</v>
      </c>
      <c r="X5614" s="6">
        <f t="shared" si="873"/>
        <v>0</v>
      </c>
      <c r="Y5614" s="13">
        <f t="shared" si="878"/>
        <v>0</v>
      </c>
      <c r="Z5614" s="14">
        <v>0</v>
      </c>
      <c r="AA5614" s="6">
        <v>0</v>
      </c>
      <c r="AB5614" s="4">
        <f t="shared" si="879"/>
        <v>0</v>
      </c>
      <c r="AC5614" s="6">
        <f t="shared" si="875"/>
        <v>0</v>
      </c>
      <c r="AD5614" s="6">
        <f t="shared" si="876"/>
        <v>0</v>
      </c>
      <c r="AE5614" s="14">
        <f>VLOOKUP(I5614,[2]媒体政策预估表!A:N,MATCH(O5614,[2]媒体政策预估表!$A$2:$M$2,0),0)</f>
        <v>7.0000000000000007E-2</v>
      </c>
      <c r="AF5614" s="6">
        <f t="shared" si="881"/>
        <v>0</v>
      </c>
      <c r="AG5614" s="14">
        <v>0</v>
      </c>
      <c r="AH5614" s="64">
        <f t="shared" si="877"/>
        <v>0</v>
      </c>
      <c r="AI5614" s="47"/>
      <c r="AJ5614" s="126" t="e">
        <v>#N/A</v>
      </c>
      <c r="AK5614" s="80">
        <f t="shared" si="880"/>
        <v>0</v>
      </c>
      <c r="AL5614" s="85"/>
      <c r="AM5614" s="85"/>
    </row>
    <row r="5615" spans="1:39" s="86" customFormat="1" ht="13.25" hidden="1" customHeight="1" x14ac:dyDescent="0.3">
      <c r="A5615" s="89" t="s">
        <v>3796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874"/>
        <v>4000.15</v>
      </c>
      <c r="X5615" s="6">
        <f t="shared" si="873"/>
        <v>0</v>
      </c>
      <c r="Y5615" s="13">
        <f t="shared" si="878"/>
        <v>0</v>
      </c>
      <c r="Z5615" s="14">
        <v>0</v>
      </c>
      <c r="AA5615" s="6">
        <v>0</v>
      </c>
      <c r="AB5615" s="4">
        <f t="shared" si="879"/>
        <v>0</v>
      </c>
      <c r="AC5615" s="6">
        <f t="shared" si="875"/>
        <v>0</v>
      </c>
      <c r="AD5615" s="6">
        <f t="shared" si="876"/>
        <v>0</v>
      </c>
      <c r="AE5615" s="14">
        <f>VLOOKUP(I5615,[2]媒体政策预估表!A:N,MATCH(O5615,[2]媒体政策预估表!$A$2:$M$2,0),0)</f>
        <v>7.0000000000000007E-2</v>
      </c>
      <c r="AF5615" s="6">
        <f t="shared" si="881"/>
        <v>0</v>
      </c>
      <c r="AG5615" s="14">
        <v>0</v>
      </c>
      <c r="AH5615" s="64">
        <f t="shared" si="877"/>
        <v>0</v>
      </c>
      <c r="AI5615" s="47"/>
      <c r="AJ5615" s="126" t="e">
        <v>#N/A</v>
      </c>
      <c r="AK5615" s="80">
        <f t="shared" si="880"/>
        <v>0</v>
      </c>
      <c r="AL5615" s="85"/>
      <c r="AM5615" s="85"/>
    </row>
    <row r="5616" spans="1:39" s="86" customFormat="1" ht="13.25" hidden="1" customHeight="1" x14ac:dyDescent="0.3">
      <c r="A5616" s="89" t="s">
        <v>3794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874"/>
        <v>15691</v>
      </c>
      <c r="X5616" s="6">
        <f t="shared" si="873"/>
        <v>0</v>
      </c>
      <c r="Y5616" s="13">
        <f t="shared" si="878"/>
        <v>0</v>
      </c>
      <c r="Z5616" s="14">
        <v>0</v>
      </c>
      <c r="AA5616" s="6">
        <v>0</v>
      </c>
      <c r="AB5616" s="4">
        <f t="shared" si="879"/>
        <v>0</v>
      </c>
      <c r="AC5616" s="6">
        <f t="shared" si="875"/>
        <v>0</v>
      </c>
      <c r="AD5616" s="6">
        <f t="shared" si="876"/>
        <v>0</v>
      </c>
      <c r="AE5616" s="14">
        <f>VLOOKUP(I5616,[2]媒体政策预估表!A:N,MATCH(O5616,[2]媒体政策预估表!$A$2:$M$2,0),0)</f>
        <v>7.0000000000000007E-2</v>
      </c>
      <c r="AF5616" s="6">
        <f t="shared" si="881"/>
        <v>0</v>
      </c>
      <c r="AG5616" s="14">
        <v>0</v>
      </c>
      <c r="AH5616" s="64">
        <f t="shared" si="877"/>
        <v>0</v>
      </c>
      <c r="AI5616" s="47"/>
      <c r="AJ5616" s="126" t="e">
        <v>#N/A</v>
      </c>
      <c r="AK5616" s="80">
        <f t="shared" si="880"/>
        <v>0</v>
      </c>
      <c r="AL5616" s="85"/>
      <c r="AM5616" s="85"/>
    </row>
    <row r="5617" spans="1:39" s="86" customFormat="1" ht="13.25" hidden="1" customHeight="1" x14ac:dyDescent="0.3">
      <c r="A5617" s="89" t="s">
        <v>3794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874"/>
        <v>4469.6000000000004</v>
      </c>
      <c r="X5617" s="6">
        <f t="shared" si="873"/>
        <v>0</v>
      </c>
      <c r="Y5617" s="13">
        <f t="shared" si="878"/>
        <v>0</v>
      </c>
      <c r="Z5617" s="14">
        <v>0</v>
      </c>
      <c r="AA5617" s="6">
        <v>0</v>
      </c>
      <c r="AB5617" s="4">
        <f t="shared" si="879"/>
        <v>0</v>
      </c>
      <c r="AC5617" s="6">
        <f t="shared" si="875"/>
        <v>0</v>
      </c>
      <c r="AD5617" s="6">
        <f t="shared" si="876"/>
        <v>0</v>
      </c>
      <c r="AE5617" s="14">
        <f>VLOOKUP(I5617,[2]媒体政策预估表!A:N,MATCH(O5617,[2]媒体政策预估表!$A$2:$M$2,0),0)</f>
        <v>7.0000000000000007E-2</v>
      </c>
      <c r="AF5617" s="6">
        <f t="shared" si="881"/>
        <v>0</v>
      </c>
      <c r="AG5617" s="14">
        <v>0</v>
      </c>
      <c r="AH5617" s="64">
        <f t="shared" si="877"/>
        <v>0</v>
      </c>
      <c r="AI5617" s="47"/>
      <c r="AJ5617" s="126" t="e">
        <v>#N/A</v>
      </c>
      <c r="AK5617" s="80">
        <f t="shared" si="880"/>
        <v>0</v>
      </c>
      <c r="AL5617" s="85"/>
      <c r="AM5617" s="85"/>
    </row>
    <row r="5618" spans="1:39" s="86" customFormat="1" ht="13.25" hidden="1" customHeight="1" x14ac:dyDescent="0.3">
      <c r="A5618" s="89" t="s">
        <v>3796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874"/>
        <v>6886.9</v>
      </c>
      <c r="X5618" s="6">
        <f t="shared" si="873"/>
        <v>0</v>
      </c>
      <c r="Y5618" s="13">
        <f t="shared" si="878"/>
        <v>0</v>
      </c>
      <c r="Z5618" s="14">
        <v>0</v>
      </c>
      <c r="AA5618" s="6">
        <v>0</v>
      </c>
      <c r="AB5618" s="4">
        <f t="shared" si="879"/>
        <v>0</v>
      </c>
      <c r="AC5618" s="6">
        <f t="shared" si="875"/>
        <v>0</v>
      </c>
      <c r="AD5618" s="6">
        <f t="shared" si="876"/>
        <v>0</v>
      </c>
      <c r="AE5618" s="14">
        <f>VLOOKUP(I5618,[2]媒体政策预估表!A:N,MATCH(O5618,[2]媒体政策预估表!$A$2:$M$2,0),0)</f>
        <v>7.0000000000000007E-2</v>
      </c>
      <c r="AF5618" s="6">
        <f t="shared" si="881"/>
        <v>0</v>
      </c>
      <c r="AG5618" s="14">
        <v>0</v>
      </c>
      <c r="AH5618" s="64">
        <f t="shared" si="877"/>
        <v>0</v>
      </c>
      <c r="AI5618" s="47"/>
      <c r="AJ5618" s="126" t="e">
        <v>#N/A</v>
      </c>
      <c r="AK5618" s="80">
        <f t="shared" si="880"/>
        <v>0</v>
      </c>
      <c r="AL5618" s="85"/>
      <c r="AM5618" s="85"/>
    </row>
    <row r="5619" spans="1:39" s="86" customFormat="1" ht="13.25" hidden="1" customHeight="1" x14ac:dyDescent="0.3">
      <c r="A5619" s="89" t="s">
        <v>3806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874"/>
        <v>2384.46</v>
      </c>
      <c r="X5619" s="6">
        <f t="shared" si="873"/>
        <v>0</v>
      </c>
      <c r="Y5619" s="13">
        <f t="shared" si="878"/>
        <v>0</v>
      </c>
      <c r="Z5619" s="14">
        <v>0</v>
      </c>
      <c r="AA5619" s="6">
        <v>0</v>
      </c>
      <c r="AB5619" s="4">
        <f t="shared" si="879"/>
        <v>0</v>
      </c>
      <c r="AC5619" s="6">
        <f t="shared" si="875"/>
        <v>0</v>
      </c>
      <c r="AD5619" s="6">
        <f t="shared" si="876"/>
        <v>0</v>
      </c>
      <c r="AE5619" s="14">
        <f>VLOOKUP(I5619,[2]媒体政策预估表!A:N,MATCH(O5619,[2]媒体政策预估表!$A$2:$M$2,0),0)</f>
        <v>7.0000000000000007E-2</v>
      </c>
      <c r="AF5619" s="6">
        <f t="shared" si="881"/>
        <v>0</v>
      </c>
      <c r="AG5619" s="14">
        <v>0</v>
      </c>
      <c r="AH5619" s="64">
        <f t="shared" si="877"/>
        <v>0</v>
      </c>
      <c r="AI5619" s="47"/>
      <c r="AJ5619" s="126" t="e">
        <v>#N/A</v>
      </c>
      <c r="AK5619" s="80">
        <f t="shared" si="880"/>
        <v>0</v>
      </c>
      <c r="AL5619" s="85"/>
      <c r="AM5619" s="85"/>
    </row>
    <row r="5620" spans="1:39" s="86" customFormat="1" ht="13.25" hidden="1" customHeight="1" x14ac:dyDescent="0.3">
      <c r="A5620" s="89" t="s">
        <v>3792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874"/>
        <v>27993.81</v>
      </c>
      <c r="X5620" s="6">
        <f t="shared" si="873"/>
        <v>0</v>
      </c>
      <c r="Y5620" s="13">
        <f t="shared" si="878"/>
        <v>0</v>
      </c>
      <c r="Z5620" s="14">
        <v>0</v>
      </c>
      <c r="AA5620" s="6">
        <v>0</v>
      </c>
      <c r="AB5620" s="4">
        <f t="shared" si="879"/>
        <v>0</v>
      </c>
      <c r="AC5620" s="6">
        <f t="shared" si="875"/>
        <v>0</v>
      </c>
      <c r="AD5620" s="6">
        <f t="shared" si="876"/>
        <v>0</v>
      </c>
      <c r="AE5620" s="14">
        <f>VLOOKUP(I5620,[2]媒体政策预估表!A:N,MATCH(O5620,[2]媒体政策预估表!$A$2:$M$2,0),0)</f>
        <v>7.0000000000000007E-2</v>
      </c>
      <c r="AF5620" s="6">
        <f t="shared" si="881"/>
        <v>0</v>
      </c>
      <c r="AG5620" s="14">
        <v>0</v>
      </c>
      <c r="AH5620" s="64">
        <f t="shared" si="877"/>
        <v>0</v>
      </c>
      <c r="AI5620" s="47"/>
      <c r="AJ5620" s="126" t="e">
        <v>#N/A</v>
      </c>
      <c r="AK5620" s="80">
        <f t="shared" si="880"/>
        <v>0</v>
      </c>
      <c r="AL5620" s="85"/>
      <c r="AM5620" s="85"/>
    </row>
    <row r="5621" spans="1:39" s="86" customFormat="1" ht="13.25" hidden="1" customHeight="1" x14ac:dyDescent="0.3">
      <c r="A5621" s="89" t="s">
        <v>3794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874"/>
        <v>768.6</v>
      </c>
      <c r="X5621" s="6">
        <f t="shared" si="873"/>
        <v>0</v>
      </c>
      <c r="Y5621" s="13">
        <f t="shared" si="878"/>
        <v>0</v>
      </c>
      <c r="Z5621" s="14">
        <v>0</v>
      </c>
      <c r="AA5621" s="6">
        <v>0</v>
      </c>
      <c r="AB5621" s="4">
        <f t="shared" si="879"/>
        <v>0</v>
      </c>
      <c r="AC5621" s="6">
        <f t="shared" si="875"/>
        <v>0</v>
      </c>
      <c r="AD5621" s="6">
        <f t="shared" si="876"/>
        <v>0</v>
      </c>
      <c r="AE5621" s="14">
        <f>VLOOKUP(I5621,[2]媒体政策预估表!A:N,MATCH(O5621,[2]媒体政策预估表!$A$2:$M$2,0),0)</f>
        <v>7.0000000000000007E-2</v>
      </c>
      <c r="AF5621" s="6">
        <f t="shared" si="881"/>
        <v>0</v>
      </c>
      <c r="AG5621" s="14">
        <v>0</v>
      </c>
      <c r="AH5621" s="64">
        <f t="shared" si="877"/>
        <v>0</v>
      </c>
      <c r="AI5621" s="47"/>
      <c r="AJ5621" s="126" t="e">
        <v>#N/A</v>
      </c>
      <c r="AK5621" s="80">
        <f t="shared" si="880"/>
        <v>0</v>
      </c>
      <c r="AL5621" s="85"/>
      <c r="AM5621" s="85"/>
    </row>
    <row r="5622" spans="1:39" s="86" customFormat="1" ht="13.25" hidden="1" customHeight="1" x14ac:dyDescent="0.3">
      <c r="A5622" s="89" t="s">
        <v>3794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874"/>
        <v>6557.88</v>
      </c>
      <c r="X5622" s="6">
        <f t="shared" si="873"/>
        <v>0</v>
      </c>
      <c r="Y5622" s="13">
        <f t="shared" si="878"/>
        <v>0</v>
      </c>
      <c r="Z5622" s="14">
        <v>0</v>
      </c>
      <c r="AA5622" s="6">
        <v>0</v>
      </c>
      <c r="AB5622" s="4">
        <f t="shared" si="879"/>
        <v>0</v>
      </c>
      <c r="AC5622" s="6">
        <f t="shared" si="875"/>
        <v>0</v>
      </c>
      <c r="AD5622" s="6">
        <f t="shared" si="876"/>
        <v>0</v>
      </c>
      <c r="AE5622" s="14">
        <f>VLOOKUP(I5622,[2]媒体政策预估表!A:N,MATCH(O5622,[2]媒体政策预估表!$A$2:$M$2,0),0)</f>
        <v>7.0000000000000007E-2</v>
      </c>
      <c r="AF5622" s="6">
        <f t="shared" si="881"/>
        <v>0</v>
      </c>
      <c r="AG5622" s="14">
        <v>0</v>
      </c>
      <c r="AH5622" s="64">
        <f t="shared" si="877"/>
        <v>0</v>
      </c>
      <c r="AI5622" s="47"/>
      <c r="AJ5622" s="126" t="e">
        <v>#N/A</v>
      </c>
      <c r="AK5622" s="80">
        <f t="shared" si="880"/>
        <v>0</v>
      </c>
      <c r="AL5622" s="85"/>
      <c r="AM5622" s="85"/>
    </row>
    <row r="5623" spans="1:39" s="86" customFormat="1" ht="13.25" hidden="1" customHeight="1" x14ac:dyDescent="0.3">
      <c r="A5623" s="89" t="s">
        <v>3796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874"/>
        <v>150.1</v>
      </c>
      <c r="X5623" s="6">
        <f t="shared" si="873"/>
        <v>0</v>
      </c>
      <c r="Y5623" s="13">
        <f t="shared" si="878"/>
        <v>0</v>
      </c>
      <c r="Z5623" s="14">
        <v>0</v>
      </c>
      <c r="AA5623" s="6">
        <v>0</v>
      </c>
      <c r="AB5623" s="4">
        <f t="shared" si="879"/>
        <v>0</v>
      </c>
      <c r="AC5623" s="6">
        <f t="shared" si="875"/>
        <v>0</v>
      </c>
      <c r="AD5623" s="6">
        <f t="shared" si="876"/>
        <v>0</v>
      </c>
      <c r="AE5623" s="14">
        <f>VLOOKUP(I5623,[2]媒体政策预估表!A:N,MATCH(O5623,[2]媒体政策预估表!$A$2:$M$2,0),0)</f>
        <v>7.0000000000000007E-2</v>
      </c>
      <c r="AF5623" s="6">
        <f t="shared" si="881"/>
        <v>0</v>
      </c>
      <c r="AG5623" s="14">
        <v>0</v>
      </c>
      <c r="AH5623" s="64">
        <f t="shared" si="877"/>
        <v>0</v>
      </c>
      <c r="AI5623" s="47"/>
      <c r="AJ5623" s="126" t="e">
        <v>#N/A</v>
      </c>
      <c r="AK5623" s="80">
        <f t="shared" si="880"/>
        <v>0</v>
      </c>
      <c r="AL5623" s="85"/>
      <c r="AM5623" s="85"/>
    </row>
    <row r="5624" spans="1:39" s="86" customFormat="1" ht="13.25" hidden="1" customHeight="1" x14ac:dyDescent="0.3">
      <c r="A5624" s="89" t="s">
        <v>3792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874"/>
        <v>1336.7</v>
      </c>
      <c r="X5624" s="6">
        <f t="shared" si="873"/>
        <v>0</v>
      </c>
      <c r="Y5624" s="13">
        <f t="shared" si="878"/>
        <v>0</v>
      </c>
      <c r="Z5624" s="14">
        <v>0</v>
      </c>
      <c r="AA5624" s="6">
        <v>0</v>
      </c>
      <c r="AB5624" s="4">
        <f t="shared" si="879"/>
        <v>0</v>
      </c>
      <c r="AC5624" s="6">
        <f t="shared" si="875"/>
        <v>0</v>
      </c>
      <c r="AD5624" s="6">
        <f t="shared" si="876"/>
        <v>0</v>
      </c>
      <c r="AE5624" s="14">
        <f>VLOOKUP(I5624,[2]媒体政策预估表!A:N,MATCH(O5624,[2]媒体政策预估表!$A$2:$M$2,0),0)</f>
        <v>7.0000000000000007E-2</v>
      </c>
      <c r="AF5624" s="6">
        <f t="shared" si="881"/>
        <v>0</v>
      </c>
      <c r="AG5624" s="14">
        <v>0</v>
      </c>
      <c r="AH5624" s="64">
        <f t="shared" si="877"/>
        <v>0</v>
      </c>
      <c r="AI5624" s="47"/>
      <c r="AJ5624" s="126" t="e">
        <v>#N/A</v>
      </c>
      <c r="AK5624" s="80">
        <f t="shared" si="880"/>
        <v>0</v>
      </c>
      <c r="AL5624" s="85"/>
      <c r="AM5624" s="85"/>
    </row>
    <row r="5625" spans="1:39" s="86" customFormat="1" ht="13.25" hidden="1" customHeight="1" x14ac:dyDescent="0.3">
      <c r="A5625" s="89" t="s">
        <v>3794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874"/>
        <v>356.31</v>
      </c>
      <c r="X5625" s="6">
        <f t="shared" si="873"/>
        <v>0</v>
      </c>
      <c r="Y5625" s="13">
        <f t="shared" si="878"/>
        <v>0</v>
      </c>
      <c r="Z5625" s="14">
        <v>0</v>
      </c>
      <c r="AA5625" s="6">
        <v>0</v>
      </c>
      <c r="AB5625" s="4">
        <f t="shared" si="879"/>
        <v>0</v>
      </c>
      <c r="AC5625" s="6">
        <f t="shared" si="875"/>
        <v>0</v>
      </c>
      <c r="AD5625" s="6">
        <f t="shared" si="876"/>
        <v>0</v>
      </c>
      <c r="AE5625" s="14">
        <f>VLOOKUP(I5625,[2]媒体政策预估表!A:N,MATCH(O5625,[2]媒体政策预估表!$A$2:$M$2,0),0)</f>
        <v>7.0000000000000007E-2</v>
      </c>
      <c r="AF5625" s="6">
        <f t="shared" si="881"/>
        <v>0</v>
      </c>
      <c r="AG5625" s="14">
        <v>0</v>
      </c>
      <c r="AH5625" s="64">
        <f t="shared" si="877"/>
        <v>0</v>
      </c>
      <c r="AI5625" s="47"/>
      <c r="AJ5625" s="126" t="e">
        <v>#N/A</v>
      </c>
      <c r="AK5625" s="80">
        <f t="shared" si="880"/>
        <v>0</v>
      </c>
      <c r="AL5625" s="85"/>
      <c r="AM5625" s="85"/>
    </row>
    <row r="5626" spans="1:39" s="86" customFormat="1" ht="13.25" hidden="1" customHeight="1" x14ac:dyDescent="0.3">
      <c r="A5626" s="89" t="s">
        <v>3852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874"/>
        <v>10166.4</v>
      </c>
      <c r="X5626" s="6">
        <f t="shared" si="873"/>
        <v>0</v>
      </c>
      <c r="Y5626" s="13">
        <f t="shared" si="878"/>
        <v>0</v>
      </c>
      <c r="Z5626" s="14">
        <v>0</v>
      </c>
      <c r="AA5626" s="6">
        <v>0</v>
      </c>
      <c r="AB5626" s="4">
        <f t="shared" si="879"/>
        <v>0</v>
      </c>
      <c r="AC5626" s="6">
        <f t="shared" si="875"/>
        <v>0</v>
      </c>
      <c r="AD5626" s="6">
        <f t="shared" si="876"/>
        <v>0</v>
      </c>
      <c r="AE5626" s="14">
        <f>VLOOKUP(I5626,[2]媒体政策预估表!A:N,MATCH(O5626,[2]媒体政策预估表!$A$2:$M$2,0),0)</f>
        <v>7.0000000000000007E-2</v>
      </c>
      <c r="AF5626" s="6">
        <f t="shared" si="881"/>
        <v>0</v>
      </c>
      <c r="AG5626" s="14">
        <v>0</v>
      </c>
      <c r="AH5626" s="64">
        <f t="shared" si="877"/>
        <v>0</v>
      </c>
      <c r="AI5626" s="47"/>
      <c r="AJ5626" s="126" t="e">
        <v>#N/A</v>
      </c>
      <c r="AK5626" s="80">
        <f t="shared" si="880"/>
        <v>0</v>
      </c>
      <c r="AL5626" s="85"/>
      <c r="AM5626" s="85"/>
    </row>
    <row r="5627" spans="1:39" s="86" customFormat="1" ht="13.25" hidden="1" customHeight="1" x14ac:dyDescent="0.3">
      <c r="A5627" s="89" t="s">
        <v>3796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874"/>
        <v>145.04</v>
      </c>
      <c r="X5627" s="6">
        <f t="shared" si="873"/>
        <v>0</v>
      </c>
      <c r="Y5627" s="13">
        <f t="shared" si="878"/>
        <v>0</v>
      </c>
      <c r="Z5627" s="14">
        <v>0</v>
      </c>
      <c r="AA5627" s="6">
        <v>0</v>
      </c>
      <c r="AB5627" s="4">
        <f t="shared" si="879"/>
        <v>0</v>
      </c>
      <c r="AC5627" s="6">
        <f t="shared" si="875"/>
        <v>0</v>
      </c>
      <c r="AD5627" s="6">
        <f t="shared" si="876"/>
        <v>0</v>
      </c>
      <c r="AE5627" s="14">
        <f>VLOOKUP(I5627,[2]媒体政策预估表!A:N,MATCH(O5627,[2]媒体政策预估表!$A$2:$M$2,0),0)</f>
        <v>7.0000000000000007E-2</v>
      </c>
      <c r="AF5627" s="6">
        <f t="shared" si="881"/>
        <v>0</v>
      </c>
      <c r="AG5627" s="14">
        <v>0</v>
      </c>
      <c r="AH5627" s="64">
        <f t="shared" si="877"/>
        <v>0</v>
      </c>
      <c r="AI5627" s="47"/>
      <c r="AJ5627" s="126" t="e">
        <v>#N/A</v>
      </c>
      <c r="AK5627" s="80">
        <f t="shared" si="880"/>
        <v>0</v>
      </c>
      <c r="AL5627" s="85"/>
      <c r="AM5627" s="85"/>
    </row>
    <row r="5628" spans="1:39" s="86" customFormat="1" ht="13.25" hidden="1" customHeight="1" x14ac:dyDescent="0.3">
      <c r="A5628" s="89" t="s">
        <v>3792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874"/>
        <v>4027.61</v>
      </c>
      <c r="X5628" s="6">
        <f t="shared" si="873"/>
        <v>0</v>
      </c>
      <c r="Y5628" s="13">
        <f t="shared" si="878"/>
        <v>0</v>
      </c>
      <c r="Z5628" s="14">
        <v>0</v>
      </c>
      <c r="AA5628" s="6">
        <v>0</v>
      </c>
      <c r="AB5628" s="4">
        <f t="shared" si="879"/>
        <v>0</v>
      </c>
      <c r="AC5628" s="6">
        <f t="shared" si="875"/>
        <v>0</v>
      </c>
      <c r="AD5628" s="6">
        <f t="shared" si="876"/>
        <v>0</v>
      </c>
      <c r="AE5628" s="14">
        <f>VLOOKUP(I5628,[2]媒体政策预估表!A:N,MATCH(O5628,[2]媒体政策预估表!$A$2:$M$2,0),0)</f>
        <v>7.0000000000000007E-2</v>
      </c>
      <c r="AF5628" s="6">
        <f t="shared" si="881"/>
        <v>0</v>
      </c>
      <c r="AG5628" s="14">
        <v>0</v>
      </c>
      <c r="AH5628" s="64">
        <f t="shared" si="877"/>
        <v>0</v>
      </c>
      <c r="AI5628" s="47"/>
      <c r="AJ5628" s="126" t="e">
        <v>#N/A</v>
      </c>
      <c r="AK5628" s="80">
        <f t="shared" si="880"/>
        <v>0</v>
      </c>
      <c r="AL5628" s="85"/>
      <c r="AM5628" s="85"/>
    </row>
    <row r="5629" spans="1:39" s="86" customFormat="1" ht="13.25" hidden="1" customHeight="1" x14ac:dyDescent="0.3">
      <c r="A5629" s="89" t="s">
        <v>3794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874"/>
        <v>5617.1800000000012</v>
      </c>
      <c r="X5629" s="6">
        <f t="shared" ref="X5629:X5692" si="882">IF(P5629="折扣",V5629*Q5629,IF(P5629="返现",V5629,V5629/(1+Q5629)))</f>
        <v>0</v>
      </c>
      <c r="Y5629" s="13">
        <f t="shared" si="878"/>
        <v>0</v>
      </c>
      <c r="Z5629" s="14">
        <v>0</v>
      </c>
      <c r="AA5629" s="6">
        <v>0</v>
      </c>
      <c r="AB5629" s="4">
        <f t="shared" si="879"/>
        <v>0</v>
      </c>
      <c r="AC5629" s="6">
        <f t="shared" si="875"/>
        <v>0</v>
      </c>
      <c r="AD5629" s="6">
        <f t="shared" si="876"/>
        <v>0</v>
      </c>
      <c r="AE5629" s="14">
        <f>VLOOKUP(I5629,[2]媒体政策预估表!A:N,MATCH(O5629,[2]媒体政策预估表!$A$2:$M$2,0),0)</f>
        <v>7.0000000000000007E-2</v>
      </c>
      <c r="AF5629" s="6">
        <f t="shared" si="881"/>
        <v>0</v>
      </c>
      <c r="AG5629" s="14">
        <v>0</v>
      </c>
      <c r="AH5629" s="64">
        <f t="shared" si="877"/>
        <v>0</v>
      </c>
      <c r="AI5629" s="47"/>
      <c r="AJ5629" s="126" t="e">
        <v>#N/A</v>
      </c>
      <c r="AK5629" s="80">
        <f t="shared" si="880"/>
        <v>0</v>
      </c>
      <c r="AL5629" s="85"/>
      <c r="AM5629" s="85"/>
    </row>
    <row r="5630" spans="1:39" s="86" customFormat="1" ht="13.25" hidden="1" customHeight="1" x14ac:dyDescent="0.3">
      <c r="A5630" s="89" t="s">
        <v>3792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883">T5630+U5630-V5630</f>
        <v>8.6</v>
      </c>
      <c r="X5630" s="6">
        <f t="shared" si="882"/>
        <v>0</v>
      </c>
      <c r="Y5630" s="13">
        <f t="shared" si="878"/>
        <v>0</v>
      </c>
      <c r="Z5630" s="14">
        <v>0</v>
      </c>
      <c r="AA5630" s="6">
        <v>0</v>
      </c>
      <c r="AB5630" s="4">
        <f t="shared" si="879"/>
        <v>0</v>
      </c>
      <c r="AC5630" s="6">
        <f t="shared" ref="AC5630:AC5693" si="884">IF(P5630="返现",X5630*Q5630,V5630-X5630)</f>
        <v>0</v>
      </c>
      <c r="AD5630" s="6">
        <f t="shared" ref="AD5630:AD5693" si="885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881"/>
        <v>0</v>
      </c>
      <c r="AG5630" s="14">
        <v>0</v>
      </c>
      <c r="AH5630" s="64">
        <f t="shared" ref="AH5630:AH5693" si="886">V5630</f>
        <v>0</v>
      </c>
      <c r="AI5630" s="47"/>
      <c r="AJ5630" s="126" t="e">
        <v>#N/A</v>
      </c>
      <c r="AK5630" s="80">
        <f t="shared" si="880"/>
        <v>0</v>
      </c>
      <c r="AL5630" s="85"/>
      <c r="AM5630" s="85"/>
    </row>
    <row r="5631" spans="1:39" s="86" customFormat="1" ht="13.25" hidden="1" customHeight="1" x14ac:dyDescent="0.3">
      <c r="A5631" s="89" t="s">
        <v>3794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883"/>
        <v>117244.06</v>
      </c>
      <c r="X5631" s="6">
        <f t="shared" si="882"/>
        <v>0</v>
      </c>
      <c r="Y5631" s="13">
        <f t="shared" si="878"/>
        <v>0</v>
      </c>
      <c r="Z5631" s="14">
        <v>0</v>
      </c>
      <c r="AA5631" s="6">
        <v>0</v>
      </c>
      <c r="AB5631" s="4">
        <f t="shared" si="879"/>
        <v>0</v>
      </c>
      <c r="AC5631" s="6">
        <f t="shared" si="884"/>
        <v>0</v>
      </c>
      <c r="AD5631" s="6">
        <f t="shared" si="885"/>
        <v>0</v>
      </c>
      <c r="AE5631" s="14">
        <f>VLOOKUP(I5631,[2]媒体政策预估表!A:N,MATCH(O5631,[2]媒体政策预估表!$A$2:$M$2,0),0)</f>
        <v>7.0000000000000007E-2</v>
      </c>
      <c r="AF5631" s="6">
        <f t="shared" si="881"/>
        <v>0</v>
      </c>
      <c r="AG5631" s="14">
        <v>0</v>
      </c>
      <c r="AH5631" s="64">
        <f t="shared" si="886"/>
        <v>0</v>
      </c>
      <c r="AI5631" s="47"/>
      <c r="AJ5631" s="126" t="e">
        <v>#N/A</v>
      </c>
      <c r="AK5631" s="80">
        <f t="shared" si="880"/>
        <v>0</v>
      </c>
      <c r="AL5631" s="85"/>
      <c r="AM5631" s="85"/>
    </row>
    <row r="5632" spans="1:39" s="86" customFormat="1" ht="13.25" hidden="1" customHeight="1" x14ac:dyDescent="0.3">
      <c r="A5632" s="89" t="s">
        <v>3792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883"/>
        <v>484</v>
      </c>
      <c r="X5632" s="6">
        <f t="shared" si="882"/>
        <v>0</v>
      </c>
      <c r="Y5632" s="13">
        <f t="shared" si="878"/>
        <v>0</v>
      </c>
      <c r="Z5632" s="14">
        <v>0</v>
      </c>
      <c r="AA5632" s="6">
        <v>0</v>
      </c>
      <c r="AB5632" s="4">
        <f t="shared" si="879"/>
        <v>0</v>
      </c>
      <c r="AC5632" s="6">
        <f t="shared" si="884"/>
        <v>0</v>
      </c>
      <c r="AD5632" s="6">
        <f t="shared" si="885"/>
        <v>0</v>
      </c>
      <c r="AE5632" s="14">
        <f>VLOOKUP(I5632,[2]媒体政策预估表!A:N,MATCH(O5632,[2]媒体政策预估表!$A$2:$M$2,0),0)</f>
        <v>7.0000000000000007E-2</v>
      </c>
      <c r="AF5632" s="6">
        <f t="shared" si="881"/>
        <v>0</v>
      </c>
      <c r="AG5632" s="14">
        <v>0</v>
      </c>
      <c r="AH5632" s="64">
        <f t="shared" si="886"/>
        <v>0</v>
      </c>
      <c r="AI5632" s="47"/>
      <c r="AJ5632" s="126" t="e">
        <v>#N/A</v>
      </c>
      <c r="AK5632" s="80">
        <f t="shared" si="880"/>
        <v>0</v>
      </c>
      <c r="AL5632" s="85"/>
      <c r="AM5632" s="85"/>
    </row>
    <row r="5633" spans="1:39" s="86" customFormat="1" ht="13.25" hidden="1" customHeight="1" x14ac:dyDescent="0.3">
      <c r="A5633" s="89" t="s">
        <v>3792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883"/>
        <v>778.26</v>
      </c>
      <c r="X5633" s="6">
        <f t="shared" si="882"/>
        <v>0</v>
      </c>
      <c r="Y5633" s="13">
        <f t="shared" si="878"/>
        <v>0</v>
      </c>
      <c r="Z5633" s="14">
        <v>0</v>
      </c>
      <c r="AA5633" s="6">
        <v>0</v>
      </c>
      <c r="AB5633" s="4">
        <f t="shared" si="879"/>
        <v>0</v>
      </c>
      <c r="AC5633" s="6">
        <f t="shared" si="884"/>
        <v>0</v>
      </c>
      <c r="AD5633" s="6">
        <f t="shared" si="885"/>
        <v>0</v>
      </c>
      <c r="AE5633" s="14">
        <f>VLOOKUP(I5633,[2]媒体政策预估表!A:N,MATCH(O5633,[2]媒体政策预估表!$A$2:$M$2,0),0)</f>
        <v>7.0000000000000007E-2</v>
      </c>
      <c r="AF5633" s="6">
        <f t="shared" si="881"/>
        <v>0</v>
      </c>
      <c r="AG5633" s="14">
        <v>0</v>
      </c>
      <c r="AH5633" s="64">
        <f t="shared" si="886"/>
        <v>0</v>
      </c>
      <c r="AI5633" s="47"/>
      <c r="AJ5633" s="126" t="e">
        <v>#N/A</v>
      </c>
      <c r="AK5633" s="80">
        <f t="shared" si="880"/>
        <v>0</v>
      </c>
      <c r="AL5633" s="85"/>
      <c r="AM5633" s="85"/>
    </row>
    <row r="5634" spans="1:39" s="86" customFormat="1" ht="13.25" hidden="1" customHeight="1" x14ac:dyDescent="0.3">
      <c r="A5634" s="89" t="s">
        <v>3792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883"/>
        <v>10200</v>
      </c>
      <c r="X5634" s="6">
        <f t="shared" si="882"/>
        <v>0</v>
      </c>
      <c r="Y5634" s="13">
        <f t="shared" si="878"/>
        <v>0</v>
      </c>
      <c r="Z5634" s="14">
        <v>0</v>
      </c>
      <c r="AA5634" s="6">
        <v>0</v>
      </c>
      <c r="AB5634" s="4">
        <f t="shared" si="879"/>
        <v>0</v>
      </c>
      <c r="AC5634" s="6">
        <f t="shared" si="884"/>
        <v>0</v>
      </c>
      <c r="AD5634" s="6">
        <f t="shared" si="885"/>
        <v>0</v>
      </c>
      <c r="AE5634" s="14">
        <f>VLOOKUP(I5634,[2]媒体政策预估表!A:N,MATCH(O5634,[2]媒体政策预估表!$A$2:$M$2,0),0)</f>
        <v>0.11</v>
      </c>
      <c r="AF5634" s="6">
        <f t="shared" si="881"/>
        <v>0</v>
      </c>
      <c r="AG5634" s="14">
        <v>0</v>
      </c>
      <c r="AH5634" s="64">
        <f t="shared" si="886"/>
        <v>0</v>
      </c>
      <c r="AI5634" s="47"/>
      <c r="AJ5634" s="126" t="e">
        <v>#N/A</v>
      </c>
      <c r="AK5634" s="80">
        <f t="shared" si="880"/>
        <v>0</v>
      </c>
      <c r="AL5634" s="85"/>
      <c r="AM5634" s="85"/>
    </row>
    <row r="5635" spans="1:39" s="86" customFormat="1" ht="13.25" hidden="1" customHeight="1" x14ac:dyDescent="0.3">
      <c r="A5635" s="89" t="s">
        <v>3792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883"/>
        <v>49.5</v>
      </c>
      <c r="X5635" s="6">
        <f t="shared" si="882"/>
        <v>0</v>
      </c>
      <c r="Y5635" s="13">
        <f t="shared" ref="Y5635:Y5698" si="887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888">X5635+AA5635</f>
        <v>0</v>
      </c>
      <c r="AC5635" s="6">
        <f t="shared" si="884"/>
        <v>0</v>
      </c>
      <c r="AD5635" s="6">
        <f t="shared" si="885"/>
        <v>0</v>
      </c>
      <c r="AE5635" s="14">
        <f>VLOOKUP(I5635,[2]媒体政策预估表!A:N,MATCH(O5635,[2]媒体政策预估表!$A$2:$M$2,0),0)</f>
        <v>7.0000000000000007E-2</v>
      </c>
      <c r="AF5635" s="6">
        <f t="shared" si="881"/>
        <v>0</v>
      </c>
      <c r="AG5635" s="14">
        <v>0</v>
      </c>
      <c r="AH5635" s="64">
        <f t="shared" si="886"/>
        <v>0</v>
      </c>
      <c r="AI5635" s="47"/>
      <c r="AJ5635" s="126" t="e">
        <v>#N/A</v>
      </c>
      <c r="AK5635" s="80">
        <f t="shared" ref="AK5635:AK5698" si="889">X5635+AA5635-AB5635</f>
        <v>0</v>
      </c>
      <c r="AL5635" s="85"/>
      <c r="AM5635" s="85"/>
    </row>
    <row r="5636" spans="1:39" s="86" customFormat="1" ht="13.25" hidden="1" customHeight="1" x14ac:dyDescent="0.3">
      <c r="A5636" s="89" t="s">
        <v>3792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883"/>
        <v>3542.3</v>
      </c>
      <c r="X5636" s="6">
        <f t="shared" si="882"/>
        <v>0</v>
      </c>
      <c r="Y5636" s="13">
        <f t="shared" si="887"/>
        <v>0</v>
      </c>
      <c r="Z5636" s="14">
        <v>0</v>
      </c>
      <c r="AA5636" s="6">
        <v>0</v>
      </c>
      <c r="AB5636" s="4">
        <f t="shared" si="888"/>
        <v>0</v>
      </c>
      <c r="AC5636" s="6">
        <f t="shared" si="884"/>
        <v>0</v>
      </c>
      <c r="AD5636" s="6">
        <f t="shared" si="885"/>
        <v>0</v>
      </c>
      <c r="AE5636" s="14">
        <f>VLOOKUP(I5636,[2]媒体政策预估表!A:N,MATCH(O5636,[2]媒体政策预估表!$A$2:$M$2,0),0)</f>
        <v>7.0000000000000007E-2</v>
      </c>
      <c r="AF5636" s="6">
        <f t="shared" si="881"/>
        <v>0</v>
      </c>
      <c r="AG5636" s="14">
        <v>0</v>
      </c>
      <c r="AH5636" s="64">
        <f t="shared" si="886"/>
        <v>0</v>
      </c>
      <c r="AI5636" s="47"/>
      <c r="AJ5636" s="126" t="e">
        <v>#N/A</v>
      </c>
      <c r="AK5636" s="80">
        <f t="shared" si="889"/>
        <v>0</v>
      </c>
      <c r="AL5636" s="85"/>
      <c r="AM5636" s="85"/>
    </row>
    <row r="5637" spans="1:39" s="86" customFormat="1" ht="13.25" hidden="1" customHeight="1" x14ac:dyDescent="0.3">
      <c r="A5637" s="89" t="s">
        <v>3806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883"/>
        <v>4203.45</v>
      </c>
      <c r="X5637" s="6">
        <f t="shared" si="882"/>
        <v>0</v>
      </c>
      <c r="Y5637" s="13">
        <f t="shared" si="887"/>
        <v>0</v>
      </c>
      <c r="Z5637" s="14">
        <v>0</v>
      </c>
      <c r="AA5637" s="6">
        <v>0</v>
      </c>
      <c r="AB5637" s="4">
        <f t="shared" si="888"/>
        <v>0</v>
      </c>
      <c r="AC5637" s="6">
        <f t="shared" si="884"/>
        <v>0</v>
      </c>
      <c r="AD5637" s="6">
        <f t="shared" si="885"/>
        <v>0</v>
      </c>
      <c r="AE5637" s="14">
        <f>VLOOKUP(I5637,[2]媒体政策预估表!A:N,MATCH(O5637,[2]媒体政策预估表!$A$2:$M$2,0),0)</f>
        <v>7.0000000000000007E-2</v>
      </c>
      <c r="AF5637" s="6">
        <f t="shared" si="881"/>
        <v>0</v>
      </c>
      <c r="AG5637" s="14">
        <v>0</v>
      </c>
      <c r="AH5637" s="64">
        <f t="shared" si="886"/>
        <v>0</v>
      </c>
      <c r="AI5637" s="47"/>
      <c r="AJ5637" s="126" t="e">
        <v>#N/A</v>
      </c>
      <c r="AK5637" s="80">
        <f t="shared" si="889"/>
        <v>0</v>
      </c>
      <c r="AL5637" s="85"/>
      <c r="AM5637" s="85"/>
    </row>
    <row r="5638" spans="1:39" s="86" customFormat="1" ht="13.25" hidden="1" customHeight="1" x14ac:dyDescent="0.3">
      <c r="A5638" s="89" t="s">
        <v>3794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883"/>
        <v>33599.269999999997</v>
      </c>
      <c r="X5638" s="6">
        <f t="shared" si="882"/>
        <v>0</v>
      </c>
      <c r="Y5638" s="13">
        <f t="shared" si="887"/>
        <v>0</v>
      </c>
      <c r="Z5638" s="14">
        <v>0</v>
      </c>
      <c r="AA5638" s="6">
        <v>0</v>
      </c>
      <c r="AB5638" s="4">
        <f t="shared" si="888"/>
        <v>0</v>
      </c>
      <c r="AC5638" s="6">
        <f t="shared" si="884"/>
        <v>0</v>
      </c>
      <c r="AD5638" s="6">
        <f t="shared" si="885"/>
        <v>0</v>
      </c>
      <c r="AE5638" s="14">
        <f>VLOOKUP(I5638,[2]媒体政策预估表!A:N,MATCH(O5638,[2]媒体政策预估表!$A$2:$M$2,0),0)</f>
        <v>7.0000000000000007E-2</v>
      </c>
      <c r="AF5638" s="6">
        <f t="shared" si="881"/>
        <v>0</v>
      </c>
      <c r="AG5638" s="14">
        <v>0</v>
      </c>
      <c r="AH5638" s="64">
        <f t="shared" si="886"/>
        <v>0</v>
      </c>
      <c r="AI5638" s="47"/>
      <c r="AJ5638" s="126" t="e">
        <v>#N/A</v>
      </c>
      <c r="AK5638" s="80">
        <f t="shared" si="889"/>
        <v>0</v>
      </c>
      <c r="AL5638" s="85"/>
      <c r="AM5638" s="85"/>
    </row>
    <row r="5639" spans="1:39" s="86" customFormat="1" ht="13.25" hidden="1" customHeight="1" x14ac:dyDescent="0.3">
      <c r="A5639" s="89" t="s">
        <v>3794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883"/>
        <v>5730.1</v>
      </c>
      <c r="X5639" s="6">
        <f t="shared" si="882"/>
        <v>0</v>
      </c>
      <c r="Y5639" s="13">
        <f t="shared" si="887"/>
        <v>0</v>
      </c>
      <c r="Z5639" s="14">
        <v>0</v>
      </c>
      <c r="AA5639" s="6">
        <v>0</v>
      </c>
      <c r="AB5639" s="4">
        <f t="shared" si="888"/>
        <v>0</v>
      </c>
      <c r="AC5639" s="6">
        <f t="shared" si="884"/>
        <v>0</v>
      </c>
      <c r="AD5639" s="6">
        <f t="shared" si="885"/>
        <v>0</v>
      </c>
      <c r="AE5639" s="14">
        <f>VLOOKUP(I5639,[2]媒体政策预估表!A:N,MATCH(O5639,[2]媒体政策预估表!$A$2:$M$2,0),0)</f>
        <v>7.0000000000000007E-2</v>
      </c>
      <c r="AF5639" s="6">
        <f t="shared" si="881"/>
        <v>0</v>
      </c>
      <c r="AG5639" s="14">
        <v>0</v>
      </c>
      <c r="AH5639" s="64">
        <f t="shared" si="886"/>
        <v>0</v>
      </c>
      <c r="AI5639" s="47"/>
      <c r="AJ5639" s="126" t="e">
        <v>#N/A</v>
      </c>
      <c r="AK5639" s="80">
        <f t="shared" si="889"/>
        <v>0</v>
      </c>
      <c r="AL5639" s="85"/>
      <c r="AM5639" s="85"/>
    </row>
    <row r="5640" spans="1:39" s="86" customFormat="1" ht="13.25" hidden="1" customHeight="1" x14ac:dyDescent="0.3">
      <c r="A5640" s="89" t="s">
        <v>3792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883"/>
        <v>4648.87</v>
      </c>
      <c r="X5640" s="6">
        <f t="shared" si="882"/>
        <v>0</v>
      </c>
      <c r="Y5640" s="13">
        <f t="shared" si="887"/>
        <v>0</v>
      </c>
      <c r="Z5640" s="14">
        <v>0</v>
      </c>
      <c r="AA5640" s="6">
        <v>0</v>
      </c>
      <c r="AB5640" s="4">
        <f t="shared" si="888"/>
        <v>0</v>
      </c>
      <c r="AC5640" s="6">
        <f t="shared" si="884"/>
        <v>0</v>
      </c>
      <c r="AD5640" s="6">
        <f t="shared" si="885"/>
        <v>0</v>
      </c>
      <c r="AE5640" s="14">
        <f>VLOOKUP(I5640,[2]媒体政策预估表!A:N,MATCH(O5640,[2]媒体政策预估表!$A$2:$M$2,0),0)</f>
        <v>0.11</v>
      </c>
      <c r="AF5640" s="6">
        <f t="shared" si="881"/>
        <v>0</v>
      </c>
      <c r="AG5640" s="14">
        <v>0</v>
      </c>
      <c r="AH5640" s="64">
        <f t="shared" si="886"/>
        <v>0</v>
      </c>
      <c r="AI5640" s="47"/>
      <c r="AJ5640" s="126" t="e">
        <v>#N/A</v>
      </c>
      <c r="AK5640" s="80">
        <f t="shared" si="889"/>
        <v>0</v>
      </c>
      <c r="AL5640" s="85"/>
      <c r="AM5640" s="85"/>
    </row>
    <row r="5641" spans="1:39" s="86" customFormat="1" ht="13.25" hidden="1" customHeight="1" x14ac:dyDescent="0.3">
      <c r="A5641" s="89" t="s">
        <v>3792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883"/>
        <v>110</v>
      </c>
      <c r="X5641" s="6">
        <f t="shared" si="882"/>
        <v>0</v>
      </c>
      <c r="Y5641" s="13">
        <f t="shared" si="887"/>
        <v>0</v>
      </c>
      <c r="Z5641" s="14">
        <v>0</v>
      </c>
      <c r="AA5641" s="6">
        <v>0</v>
      </c>
      <c r="AB5641" s="4">
        <f t="shared" si="888"/>
        <v>0</v>
      </c>
      <c r="AC5641" s="6">
        <f t="shared" si="884"/>
        <v>0</v>
      </c>
      <c r="AD5641" s="6">
        <f t="shared" si="885"/>
        <v>0</v>
      </c>
      <c r="AE5641" s="14">
        <f>VLOOKUP(I5641,[2]媒体政策预估表!A:N,MATCH(O5641,[2]媒体政策预估表!$A$2:$M$2,0),0)</f>
        <v>7.0000000000000007E-2</v>
      </c>
      <c r="AF5641" s="6">
        <f t="shared" si="881"/>
        <v>0</v>
      </c>
      <c r="AG5641" s="14">
        <v>0</v>
      </c>
      <c r="AH5641" s="64">
        <f t="shared" si="886"/>
        <v>0</v>
      </c>
      <c r="AI5641" s="47"/>
      <c r="AJ5641" s="126" t="e">
        <v>#N/A</v>
      </c>
      <c r="AK5641" s="80">
        <f t="shared" si="889"/>
        <v>0</v>
      </c>
      <c r="AL5641" s="85"/>
      <c r="AM5641" s="85"/>
    </row>
    <row r="5642" spans="1:39" s="86" customFormat="1" ht="13.25" hidden="1" customHeight="1" x14ac:dyDescent="0.3">
      <c r="A5642" s="89" t="s">
        <v>3792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883"/>
        <v>9231.0499999999993</v>
      </c>
      <c r="X5642" s="6">
        <f t="shared" si="882"/>
        <v>0</v>
      </c>
      <c r="Y5642" s="13">
        <f t="shared" si="887"/>
        <v>0</v>
      </c>
      <c r="Z5642" s="14">
        <v>0</v>
      </c>
      <c r="AA5642" s="6">
        <v>0</v>
      </c>
      <c r="AB5642" s="4">
        <f t="shared" si="888"/>
        <v>0</v>
      </c>
      <c r="AC5642" s="6">
        <f t="shared" si="884"/>
        <v>0</v>
      </c>
      <c r="AD5642" s="6">
        <f t="shared" si="885"/>
        <v>0</v>
      </c>
      <c r="AE5642" s="14">
        <f>VLOOKUP(I5642,[2]媒体政策预估表!A:N,MATCH(O5642,[2]媒体政策预估表!$A$2:$M$2,0),0)</f>
        <v>7.0000000000000007E-2</v>
      </c>
      <c r="AF5642" s="6">
        <f t="shared" si="881"/>
        <v>0</v>
      </c>
      <c r="AG5642" s="14">
        <v>0</v>
      </c>
      <c r="AH5642" s="64">
        <f t="shared" si="886"/>
        <v>0</v>
      </c>
      <c r="AI5642" s="47"/>
      <c r="AJ5642" s="126" t="e">
        <v>#N/A</v>
      </c>
      <c r="AK5642" s="80">
        <f t="shared" si="889"/>
        <v>0</v>
      </c>
      <c r="AL5642" s="85"/>
      <c r="AM5642" s="85"/>
    </row>
    <row r="5643" spans="1:39" s="86" customFormat="1" ht="13.25" hidden="1" customHeight="1" x14ac:dyDescent="0.3">
      <c r="A5643" s="89" t="s">
        <v>3792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883"/>
        <v>11400</v>
      </c>
      <c r="X5643" s="6">
        <f t="shared" si="882"/>
        <v>0</v>
      </c>
      <c r="Y5643" s="13">
        <f t="shared" si="887"/>
        <v>0</v>
      </c>
      <c r="Z5643" s="14">
        <v>0</v>
      </c>
      <c r="AA5643" s="6">
        <v>0</v>
      </c>
      <c r="AB5643" s="4">
        <f t="shared" si="888"/>
        <v>0</v>
      </c>
      <c r="AC5643" s="6">
        <f t="shared" si="884"/>
        <v>0</v>
      </c>
      <c r="AD5643" s="6">
        <f t="shared" si="885"/>
        <v>0</v>
      </c>
      <c r="AE5643" s="14">
        <f>VLOOKUP(I5643,[2]媒体政策预估表!A:N,MATCH(O5643,[2]媒体政策预估表!$A$2:$M$2,0),0)</f>
        <v>7.0000000000000007E-2</v>
      </c>
      <c r="AF5643" s="6">
        <f t="shared" si="881"/>
        <v>0</v>
      </c>
      <c r="AG5643" s="14">
        <v>0</v>
      </c>
      <c r="AH5643" s="64">
        <f t="shared" si="886"/>
        <v>0</v>
      </c>
      <c r="AI5643" s="47"/>
      <c r="AJ5643" s="126" t="e">
        <v>#N/A</v>
      </c>
      <c r="AK5643" s="80">
        <f t="shared" si="889"/>
        <v>0</v>
      </c>
      <c r="AL5643" s="85"/>
      <c r="AM5643" s="85"/>
    </row>
    <row r="5644" spans="1:39" s="86" customFormat="1" ht="13.25" hidden="1" customHeight="1" x14ac:dyDescent="0.3">
      <c r="A5644" s="89" t="s">
        <v>3794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883"/>
        <v>5000</v>
      </c>
      <c r="X5644" s="6">
        <f t="shared" si="882"/>
        <v>0</v>
      </c>
      <c r="Y5644" s="13">
        <f t="shared" si="887"/>
        <v>0</v>
      </c>
      <c r="Z5644" s="14">
        <v>0</v>
      </c>
      <c r="AA5644" s="6">
        <v>0</v>
      </c>
      <c r="AB5644" s="4"/>
      <c r="AC5644" s="6">
        <f t="shared" si="884"/>
        <v>0</v>
      </c>
      <c r="AD5644" s="6">
        <f t="shared" si="885"/>
        <v>0</v>
      </c>
      <c r="AE5644" s="14">
        <f>VLOOKUP(I5644,[2]媒体政策预估表!A:N,MATCH(O5644,[2]媒体政策预估表!$A$2:$M$2,0),0)</f>
        <v>0.11</v>
      </c>
      <c r="AF5644" s="6">
        <f t="shared" si="881"/>
        <v>0</v>
      </c>
      <c r="AG5644" s="14">
        <v>0</v>
      </c>
      <c r="AH5644" s="64">
        <f t="shared" si="886"/>
        <v>0</v>
      </c>
      <c r="AI5644" s="47"/>
      <c r="AJ5644" s="126">
        <v>28</v>
      </c>
      <c r="AK5644" s="80">
        <f t="shared" si="889"/>
        <v>0</v>
      </c>
      <c r="AL5644" s="85"/>
      <c r="AM5644" s="85"/>
    </row>
    <row r="5645" spans="1:39" s="86" customFormat="1" ht="13.25" hidden="1" customHeight="1" x14ac:dyDescent="0.3">
      <c r="A5645" s="89" t="s">
        <v>3794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883"/>
        <v>4566.68</v>
      </c>
      <c r="X5645" s="6">
        <f t="shared" si="882"/>
        <v>0</v>
      </c>
      <c r="Y5645" s="13">
        <f t="shared" si="887"/>
        <v>0</v>
      </c>
      <c r="Z5645" s="14">
        <v>0</v>
      </c>
      <c r="AA5645" s="6">
        <v>0</v>
      </c>
      <c r="AB5645" s="4"/>
      <c r="AC5645" s="6">
        <f t="shared" si="884"/>
        <v>0</v>
      </c>
      <c r="AD5645" s="6">
        <f t="shared" si="885"/>
        <v>0</v>
      </c>
      <c r="AE5645" s="14">
        <f>VLOOKUP(I5645,[2]媒体政策预估表!A:N,MATCH(O5645,[2]媒体政策预估表!$A$2:$M$2,0),0)</f>
        <v>0.11</v>
      </c>
      <c r="AF5645" s="6">
        <f t="shared" si="881"/>
        <v>0</v>
      </c>
      <c r="AG5645" s="14">
        <v>0</v>
      </c>
      <c r="AH5645" s="64">
        <f t="shared" si="886"/>
        <v>0</v>
      </c>
      <c r="AI5645" s="47"/>
      <c r="AJ5645" s="126">
        <v>28</v>
      </c>
      <c r="AK5645" s="80">
        <f t="shared" si="889"/>
        <v>0</v>
      </c>
      <c r="AL5645" s="85"/>
      <c r="AM5645" s="85"/>
    </row>
    <row r="5646" spans="1:39" s="86" customFormat="1" ht="13.25" hidden="1" customHeight="1" x14ac:dyDescent="0.3">
      <c r="A5646" s="89" t="s">
        <v>3792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883"/>
        <v>4893.2</v>
      </c>
      <c r="X5646" s="6">
        <f t="shared" si="882"/>
        <v>0</v>
      </c>
      <c r="Y5646" s="13">
        <f t="shared" si="887"/>
        <v>0</v>
      </c>
      <c r="Z5646" s="14">
        <v>0</v>
      </c>
      <c r="AA5646" s="6">
        <v>0</v>
      </c>
      <c r="AB5646" s="4">
        <f t="shared" si="888"/>
        <v>0</v>
      </c>
      <c r="AC5646" s="6">
        <f t="shared" si="884"/>
        <v>0</v>
      </c>
      <c r="AD5646" s="6">
        <f t="shared" si="885"/>
        <v>0</v>
      </c>
      <c r="AE5646" s="14">
        <f>VLOOKUP(I5646,[2]媒体政策预估表!A:N,MATCH(O5646,[2]媒体政策预估表!$A$2:$M$2,0),0)</f>
        <v>7.0000000000000007E-2</v>
      </c>
      <c r="AF5646" s="6">
        <f t="shared" si="881"/>
        <v>0</v>
      </c>
      <c r="AG5646" s="14">
        <v>0</v>
      </c>
      <c r="AH5646" s="64">
        <f t="shared" si="886"/>
        <v>0</v>
      </c>
      <c r="AI5646" s="47"/>
      <c r="AJ5646" s="126" t="e">
        <v>#N/A</v>
      </c>
      <c r="AK5646" s="80">
        <f t="shared" si="889"/>
        <v>0</v>
      </c>
      <c r="AL5646" s="85"/>
      <c r="AM5646" s="85"/>
    </row>
    <row r="5647" spans="1:39" s="86" customFormat="1" ht="13.25" hidden="1" customHeight="1" x14ac:dyDescent="0.3">
      <c r="A5647" s="89" t="s">
        <v>3792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883"/>
        <v>188113.3</v>
      </c>
      <c r="X5647" s="6">
        <f t="shared" si="882"/>
        <v>0</v>
      </c>
      <c r="Y5647" s="13">
        <f t="shared" si="887"/>
        <v>0</v>
      </c>
      <c r="Z5647" s="14">
        <v>0</v>
      </c>
      <c r="AA5647" s="6">
        <v>0</v>
      </c>
      <c r="AB5647" s="4"/>
      <c r="AC5647" s="6">
        <f t="shared" si="884"/>
        <v>0</v>
      </c>
      <c r="AD5647" s="6">
        <f t="shared" si="885"/>
        <v>0</v>
      </c>
      <c r="AE5647" s="14">
        <f>VLOOKUP(I5647,[2]媒体政策预估表!A:N,MATCH(O5647,[2]媒体政策预估表!$A$2:$M$2,0),0)</f>
        <v>0.11</v>
      </c>
      <c r="AF5647" s="6">
        <f t="shared" si="881"/>
        <v>0</v>
      </c>
      <c r="AG5647" s="14">
        <v>0</v>
      </c>
      <c r="AH5647" s="64">
        <f t="shared" si="886"/>
        <v>0</v>
      </c>
      <c r="AI5647" s="47"/>
      <c r="AJ5647" s="126">
        <v>25</v>
      </c>
      <c r="AK5647" s="80">
        <f t="shared" si="889"/>
        <v>0</v>
      </c>
      <c r="AL5647" s="85"/>
      <c r="AM5647" s="85"/>
    </row>
    <row r="5648" spans="1:39" s="86" customFormat="1" ht="13.25" hidden="1" customHeight="1" x14ac:dyDescent="0.3">
      <c r="A5648" s="89" t="s">
        <v>3794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883"/>
        <v>9056.2000000000007</v>
      </c>
      <c r="X5648" s="6">
        <f t="shared" si="882"/>
        <v>0</v>
      </c>
      <c r="Y5648" s="13">
        <f t="shared" si="887"/>
        <v>0</v>
      </c>
      <c r="Z5648" s="14">
        <v>0</v>
      </c>
      <c r="AA5648" s="6">
        <v>0</v>
      </c>
      <c r="AB5648" s="4">
        <f t="shared" si="888"/>
        <v>0</v>
      </c>
      <c r="AC5648" s="6">
        <f t="shared" si="884"/>
        <v>0</v>
      </c>
      <c r="AD5648" s="6">
        <f t="shared" si="885"/>
        <v>0</v>
      </c>
      <c r="AE5648" s="14">
        <f>VLOOKUP(I5648,[2]媒体政策预估表!A:N,MATCH(O5648,[2]媒体政策预估表!$A$2:$M$2,0),0)</f>
        <v>7.0000000000000007E-2</v>
      </c>
      <c r="AF5648" s="6">
        <f t="shared" si="881"/>
        <v>0</v>
      </c>
      <c r="AG5648" s="14">
        <v>0</v>
      </c>
      <c r="AH5648" s="64">
        <f t="shared" si="886"/>
        <v>0</v>
      </c>
      <c r="AI5648" s="47"/>
      <c r="AJ5648" s="126" t="e">
        <v>#N/A</v>
      </c>
      <c r="AK5648" s="80">
        <f t="shared" si="889"/>
        <v>0</v>
      </c>
      <c r="AL5648" s="85"/>
      <c r="AM5648" s="85"/>
    </row>
    <row r="5649" spans="1:39" s="86" customFormat="1" ht="13.25" hidden="1" customHeight="1" x14ac:dyDescent="0.3">
      <c r="A5649" s="89" t="s">
        <v>3806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883"/>
        <v>3920.2</v>
      </c>
      <c r="X5649" s="6">
        <f t="shared" si="882"/>
        <v>0</v>
      </c>
      <c r="Y5649" s="13">
        <f t="shared" si="887"/>
        <v>0</v>
      </c>
      <c r="Z5649" s="14">
        <v>0</v>
      </c>
      <c r="AA5649" s="6">
        <v>0</v>
      </c>
      <c r="AB5649" s="4"/>
      <c r="AC5649" s="6">
        <f t="shared" si="884"/>
        <v>0</v>
      </c>
      <c r="AD5649" s="6">
        <f t="shared" si="885"/>
        <v>0</v>
      </c>
      <c r="AE5649" s="14">
        <f>VLOOKUP(I5649,[2]媒体政策预估表!A:N,MATCH(O5649,[2]媒体政策预估表!$A$2:$M$2,0),0)</f>
        <v>7.0000000000000007E-2</v>
      </c>
      <c r="AF5649" s="6">
        <f t="shared" si="881"/>
        <v>0</v>
      </c>
      <c r="AG5649" s="14">
        <v>0</v>
      </c>
      <c r="AH5649" s="64">
        <f t="shared" si="886"/>
        <v>0</v>
      </c>
      <c r="AI5649" s="47"/>
      <c r="AJ5649" s="126">
        <v>14</v>
      </c>
      <c r="AK5649" s="80">
        <f t="shared" si="889"/>
        <v>0</v>
      </c>
      <c r="AL5649" s="85"/>
      <c r="AM5649" s="85"/>
    </row>
    <row r="5650" spans="1:39" s="86" customFormat="1" ht="13.25" hidden="1" customHeight="1" x14ac:dyDescent="0.3">
      <c r="A5650" s="89" t="s">
        <v>3806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883"/>
        <v>3210.89</v>
      </c>
      <c r="X5650" s="6">
        <f t="shared" si="882"/>
        <v>0</v>
      </c>
      <c r="Y5650" s="13">
        <f t="shared" si="887"/>
        <v>0</v>
      </c>
      <c r="Z5650" s="14">
        <v>0</v>
      </c>
      <c r="AA5650" s="6">
        <v>0</v>
      </c>
      <c r="AB5650" s="4">
        <f t="shared" si="888"/>
        <v>0</v>
      </c>
      <c r="AC5650" s="6">
        <f t="shared" si="884"/>
        <v>0</v>
      </c>
      <c r="AD5650" s="6">
        <f t="shared" si="885"/>
        <v>0</v>
      </c>
      <c r="AE5650" s="14">
        <f>VLOOKUP(I5650,[2]媒体政策预估表!A:N,MATCH(O5650,[2]媒体政策预估表!$A$2:$M$2,0),0)</f>
        <v>7.0000000000000007E-2</v>
      </c>
      <c r="AF5650" s="6">
        <f t="shared" si="881"/>
        <v>0</v>
      </c>
      <c r="AG5650" s="14">
        <v>0</v>
      </c>
      <c r="AH5650" s="64">
        <f t="shared" si="886"/>
        <v>0</v>
      </c>
      <c r="AI5650" s="47"/>
      <c r="AJ5650" s="126" t="e">
        <v>#N/A</v>
      </c>
      <c r="AK5650" s="80">
        <f t="shared" si="889"/>
        <v>0</v>
      </c>
      <c r="AL5650" s="85"/>
      <c r="AM5650" s="85"/>
    </row>
    <row r="5651" spans="1:39" s="86" customFormat="1" ht="13.25" hidden="1" customHeight="1" x14ac:dyDescent="0.3">
      <c r="A5651" s="89" t="s">
        <v>3794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883"/>
        <v>32786.82</v>
      </c>
      <c r="X5651" s="6">
        <f t="shared" si="882"/>
        <v>0</v>
      </c>
      <c r="Y5651" s="13">
        <f t="shared" si="887"/>
        <v>0</v>
      </c>
      <c r="Z5651" s="14">
        <v>0</v>
      </c>
      <c r="AA5651" s="6">
        <v>0</v>
      </c>
      <c r="AB5651" s="4">
        <f t="shared" si="888"/>
        <v>0</v>
      </c>
      <c r="AC5651" s="6">
        <f t="shared" si="884"/>
        <v>0</v>
      </c>
      <c r="AD5651" s="6">
        <f t="shared" si="885"/>
        <v>0</v>
      </c>
      <c r="AE5651" s="14">
        <f>VLOOKUP(I5651,[2]媒体政策预估表!A:N,MATCH(O5651,[2]媒体政策预估表!$A$2:$M$2,0),0)</f>
        <v>7.0000000000000007E-2</v>
      </c>
      <c r="AF5651" s="6">
        <f t="shared" si="881"/>
        <v>0</v>
      </c>
      <c r="AG5651" s="14">
        <v>0</v>
      </c>
      <c r="AH5651" s="64">
        <f t="shared" si="886"/>
        <v>0</v>
      </c>
      <c r="AI5651" s="47"/>
      <c r="AJ5651" s="126" t="e">
        <v>#N/A</v>
      </c>
      <c r="AK5651" s="80">
        <f t="shared" si="889"/>
        <v>0</v>
      </c>
      <c r="AL5651" s="85"/>
      <c r="AM5651" s="85"/>
    </row>
    <row r="5652" spans="1:39" s="86" customFormat="1" ht="13.25" hidden="1" customHeight="1" x14ac:dyDescent="0.3">
      <c r="A5652" s="89" t="s">
        <v>3792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883"/>
        <v>494</v>
      </c>
      <c r="X5652" s="6">
        <f t="shared" si="882"/>
        <v>0</v>
      </c>
      <c r="Y5652" s="13">
        <f t="shared" si="887"/>
        <v>0</v>
      </c>
      <c r="Z5652" s="14">
        <v>0</v>
      </c>
      <c r="AA5652" s="6">
        <v>0</v>
      </c>
      <c r="AB5652" s="4">
        <f t="shared" si="888"/>
        <v>0</v>
      </c>
      <c r="AC5652" s="6">
        <f t="shared" si="884"/>
        <v>0</v>
      </c>
      <c r="AD5652" s="6">
        <f t="shared" si="885"/>
        <v>0</v>
      </c>
      <c r="AE5652" s="14">
        <f>VLOOKUP(I5652,[2]媒体政策预估表!A:N,MATCH(O5652,[2]媒体政策预估表!$A$2:$M$2,0),0)</f>
        <v>7.0000000000000007E-2</v>
      </c>
      <c r="AF5652" s="6">
        <f t="shared" si="881"/>
        <v>0</v>
      </c>
      <c r="AG5652" s="14">
        <v>0</v>
      </c>
      <c r="AH5652" s="64">
        <f t="shared" si="886"/>
        <v>0</v>
      </c>
      <c r="AI5652" s="47"/>
      <c r="AJ5652" s="126" t="e">
        <v>#N/A</v>
      </c>
      <c r="AK5652" s="80">
        <f t="shared" si="889"/>
        <v>0</v>
      </c>
      <c r="AL5652" s="85"/>
      <c r="AM5652" s="85"/>
    </row>
    <row r="5653" spans="1:39" s="86" customFormat="1" ht="13.25" hidden="1" customHeight="1" x14ac:dyDescent="0.3">
      <c r="A5653" s="89" t="s">
        <v>3794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883"/>
        <v>27822.3</v>
      </c>
      <c r="X5653" s="6">
        <f t="shared" si="882"/>
        <v>0</v>
      </c>
      <c r="Y5653" s="13">
        <f t="shared" si="887"/>
        <v>0</v>
      </c>
      <c r="Z5653" s="14">
        <v>0</v>
      </c>
      <c r="AA5653" s="6">
        <v>0</v>
      </c>
      <c r="AB5653" s="4">
        <f t="shared" si="888"/>
        <v>0</v>
      </c>
      <c r="AC5653" s="6">
        <f t="shared" si="884"/>
        <v>0</v>
      </c>
      <c r="AD5653" s="6">
        <f t="shared" si="885"/>
        <v>0</v>
      </c>
      <c r="AE5653" s="14">
        <f>VLOOKUP(I5653,[2]媒体政策预估表!A:N,MATCH(O5653,[2]媒体政策预估表!$A$2:$M$2,0),0)</f>
        <v>7.0000000000000007E-2</v>
      </c>
      <c r="AF5653" s="6">
        <f t="shared" si="881"/>
        <v>0</v>
      </c>
      <c r="AG5653" s="14">
        <v>0</v>
      </c>
      <c r="AH5653" s="64">
        <f t="shared" si="886"/>
        <v>0</v>
      </c>
      <c r="AI5653" s="47"/>
      <c r="AJ5653" s="126" t="e">
        <v>#N/A</v>
      </c>
      <c r="AK5653" s="80">
        <f t="shared" si="889"/>
        <v>0</v>
      </c>
      <c r="AL5653" s="85"/>
      <c r="AM5653" s="85"/>
    </row>
    <row r="5654" spans="1:39" s="86" customFormat="1" ht="13.25" hidden="1" customHeight="1" x14ac:dyDescent="0.3">
      <c r="A5654" s="89" t="s">
        <v>3792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883"/>
        <v>0.33</v>
      </c>
      <c r="X5654" s="6">
        <f t="shared" si="882"/>
        <v>0</v>
      </c>
      <c r="Y5654" s="13">
        <f t="shared" si="887"/>
        <v>0</v>
      </c>
      <c r="Z5654" s="14">
        <v>0</v>
      </c>
      <c r="AA5654" s="6">
        <v>0</v>
      </c>
      <c r="AB5654" s="4"/>
      <c r="AC5654" s="6">
        <f t="shared" si="884"/>
        <v>0</v>
      </c>
      <c r="AD5654" s="6">
        <f t="shared" si="885"/>
        <v>0</v>
      </c>
      <c r="AE5654" s="14">
        <f>VLOOKUP(I5654,[2]媒体政策预估表!A:N,MATCH(O5654,[2]媒体政策预估表!$A$2:$M$2,0),0)</f>
        <v>0.11</v>
      </c>
      <c r="AF5654" s="6">
        <f t="shared" si="881"/>
        <v>0</v>
      </c>
      <c r="AG5654" s="14">
        <v>0</v>
      </c>
      <c r="AH5654" s="64">
        <f t="shared" si="886"/>
        <v>0</v>
      </c>
      <c r="AI5654" s="47"/>
      <c r="AJ5654" s="126">
        <v>71</v>
      </c>
      <c r="AK5654" s="80">
        <f t="shared" si="889"/>
        <v>0</v>
      </c>
      <c r="AL5654" s="85"/>
      <c r="AM5654" s="85"/>
    </row>
    <row r="5655" spans="1:39" s="86" customFormat="1" ht="13.25" hidden="1" customHeight="1" x14ac:dyDescent="0.3">
      <c r="A5655" s="89" t="s">
        <v>3794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883"/>
        <v>0.08</v>
      </c>
      <c r="X5655" s="6">
        <f t="shared" si="882"/>
        <v>0</v>
      </c>
      <c r="Y5655" s="13">
        <f t="shared" si="887"/>
        <v>0</v>
      </c>
      <c r="Z5655" s="14">
        <v>0</v>
      </c>
      <c r="AA5655" s="6">
        <v>0</v>
      </c>
      <c r="AB5655" s="4"/>
      <c r="AC5655" s="6">
        <f t="shared" si="884"/>
        <v>0</v>
      </c>
      <c r="AD5655" s="6">
        <f t="shared" si="885"/>
        <v>0</v>
      </c>
      <c r="AE5655" s="14">
        <f>VLOOKUP(I5655,[2]媒体政策预估表!A:N,MATCH(O5655,[2]媒体政策预估表!$A$2:$M$2,0),0)</f>
        <v>0.11</v>
      </c>
      <c r="AF5655" s="6">
        <f t="shared" si="881"/>
        <v>0</v>
      </c>
      <c r="AG5655" s="14">
        <v>0</v>
      </c>
      <c r="AH5655" s="64">
        <f t="shared" si="886"/>
        <v>0</v>
      </c>
      <c r="AI5655" s="47"/>
      <c r="AJ5655" s="126">
        <v>71</v>
      </c>
      <c r="AK5655" s="80">
        <f t="shared" si="889"/>
        <v>0</v>
      </c>
      <c r="AL5655" s="85"/>
      <c r="AM5655" s="85"/>
    </row>
    <row r="5656" spans="1:39" s="86" customFormat="1" ht="13.25" hidden="1" customHeight="1" x14ac:dyDescent="0.3">
      <c r="A5656" s="89" t="s">
        <v>3792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883"/>
        <v>0.19</v>
      </c>
      <c r="X5656" s="6">
        <f t="shared" si="882"/>
        <v>0</v>
      </c>
      <c r="Y5656" s="13">
        <f t="shared" si="887"/>
        <v>0</v>
      </c>
      <c r="Z5656" s="14">
        <v>0</v>
      </c>
      <c r="AA5656" s="6">
        <v>0</v>
      </c>
      <c r="AB5656" s="4"/>
      <c r="AC5656" s="6">
        <f t="shared" si="884"/>
        <v>0</v>
      </c>
      <c r="AD5656" s="6">
        <f t="shared" si="885"/>
        <v>0</v>
      </c>
      <c r="AE5656" s="14">
        <f>VLOOKUP(I5656,[2]媒体政策预估表!A:N,MATCH(O5656,[2]媒体政策预估表!$A$2:$M$2,0),0)</f>
        <v>0.11</v>
      </c>
      <c r="AF5656" s="6">
        <f t="shared" si="881"/>
        <v>0</v>
      </c>
      <c r="AG5656" s="14">
        <v>0</v>
      </c>
      <c r="AH5656" s="64">
        <f t="shared" si="886"/>
        <v>0</v>
      </c>
      <c r="AI5656" s="47"/>
      <c r="AJ5656" s="126">
        <v>71</v>
      </c>
      <c r="AK5656" s="80">
        <f t="shared" si="889"/>
        <v>0</v>
      </c>
      <c r="AL5656" s="85"/>
      <c r="AM5656" s="85"/>
    </row>
    <row r="5657" spans="1:39" s="86" customFormat="1" ht="13.25" hidden="1" customHeight="1" x14ac:dyDescent="0.3">
      <c r="A5657" s="89" t="s">
        <v>3792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883"/>
        <v>0.55000000000000004</v>
      </c>
      <c r="X5657" s="6">
        <f t="shared" si="882"/>
        <v>0</v>
      </c>
      <c r="Y5657" s="13">
        <f t="shared" si="887"/>
        <v>0</v>
      </c>
      <c r="Z5657" s="14">
        <v>0</v>
      </c>
      <c r="AA5657" s="6">
        <v>0</v>
      </c>
      <c r="AB5657" s="4"/>
      <c r="AC5657" s="6">
        <f t="shared" si="884"/>
        <v>0</v>
      </c>
      <c r="AD5657" s="6">
        <f t="shared" si="885"/>
        <v>0</v>
      </c>
      <c r="AE5657" s="14">
        <f>VLOOKUP(I5657,[2]媒体政策预估表!A:N,MATCH(O5657,[2]媒体政策预估表!$A$2:$M$2,0),0)</f>
        <v>0.11</v>
      </c>
      <c r="AF5657" s="6">
        <f t="shared" si="881"/>
        <v>0</v>
      </c>
      <c r="AG5657" s="14">
        <v>0</v>
      </c>
      <c r="AH5657" s="64">
        <f t="shared" si="886"/>
        <v>0</v>
      </c>
      <c r="AI5657" s="47"/>
      <c r="AJ5657" s="126">
        <v>71</v>
      </c>
      <c r="AK5657" s="80">
        <f t="shared" si="889"/>
        <v>0</v>
      </c>
      <c r="AL5657" s="85"/>
      <c r="AM5657" s="85"/>
    </row>
    <row r="5658" spans="1:39" s="86" customFormat="1" ht="13.25" hidden="1" customHeight="1" x14ac:dyDescent="0.3">
      <c r="A5658" s="89" t="s">
        <v>3792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883"/>
        <v>0.53</v>
      </c>
      <c r="X5658" s="6">
        <f t="shared" si="882"/>
        <v>0</v>
      </c>
      <c r="Y5658" s="13">
        <f t="shared" si="887"/>
        <v>0</v>
      </c>
      <c r="Z5658" s="14">
        <v>0</v>
      </c>
      <c r="AA5658" s="6">
        <v>0</v>
      </c>
      <c r="AB5658" s="4"/>
      <c r="AC5658" s="6">
        <f t="shared" si="884"/>
        <v>0</v>
      </c>
      <c r="AD5658" s="6">
        <f t="shared" si="885"/>
        <v>0</v>
      </c>
      <c r="AE5658" s="14">
        <f>VLOOKUP(I5658,[2]媒体政策预估表!A:N,MATCH(O5658,[2]媒体政策预估表!$A$2:$M$2,0),0)</f>
        <v>0.11</v>
      </c>
      <c r="AF5658" s="6">
        <f t="shared" si="881"/>
        <v>0</v>
      </c>
      <c r="AG5658" s="14">
        <v>0</v>
      </c>
      <c r="AH5658" s="64">
        <f t="shared" si="886"/>
        <v>0</v>
      </c>
      <c r="AI5658" s="47"/>
      <c r="AJ5658" s="126">
        <v>71</v>
      </c>
      <c r="AK5658" s="80">
        <f t="shared" si="889"/>
        <v>0</v>
      </c>
      <c r="AL5658" s="85"/>
      <c r="AM5658" s="85"/>
    </row>
    <row r="5659" spans="1:39" s="86" customFormat="1" ht="13.25" hidden="1" customHeight="1" x14ac:dyDescent="0.3">
      <c r="A5659" s="89" t="s">
        <v>3794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883"/>
        <v>7.0000000000000007E-2</v>
      </c>
      <c r="X5659" s="6">
        <f t="shared" si="882"/>
        <v>0</v>
      </c>
      <c r="Y5659" s="13">
        <f t="shared" si="887"/>
        <v>0</v>
      </c>
      <c r="Z5659" s="14">
        <v>0</v>
      </c>
      <c r="AA5659" s="6">
        <v>0</v>
      </c>
      <c r="AB5659" s="4"/>
      <c r="AC5659" s="6">
        <f t="shared" si="884"/>
        <v>0</v>
      </c>
      <c r="AD5659" s="6">
        <f t="shared" si="885"/>
        <v>0</v>
      </c>
      <c r="AE5659" s="14">
        <f>VLOOKUP(I5659,[2]媒体政策预估表!A:N,MATCH(O5659,[2]媒体政策预估表!$A$2:$M$2,0),0)</f>
        <v>0.11</v>
      </c>
      <c r="AF5659" s="6">
        <f t="shared" si="881"/>
        <v>0</v>
      </c>
      <c r="AG5659" s="14">
        <v>0</v>
      </c>
      <c r="AH5659" s="64">
        <f t="shared" si="886"/>
        <v>0</v>
      </c>
      <c r="AI5659" s="47"/>
      <c r="AJ5659" s="126">
        <v>71</v>
      </c>
      <c r="AK5659" s="80">
        <f t="shared" si="889"/>
        <v>0</v>
      </c>
      <c r="AL5659" s="85"/>
      <c r="AM5659" s="85"/>
    </row>
    <row r="5660" spans="1:39" s="86" customFormat="1" ht="13.25" hidden="1" customHeight="1" x14ac:dyDescent="0.3">
      <c r="A5660" s="89" t="s">
        <v>3794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883"/>
        <v>0.57999999999999996</v>
      </c>
      <c r="X5660" s="6">
        <f t="shared" si="882"/>
        <v>0</v>
      </c>
      <c r="Y5660" s="13">
        <f t="shared" si="887"/>
        <v>0</v>
      </c>
      <c r="Z5660" s="14">
        <v>0</v>
      </c>
      <c r="AA5660" s="6">
        <v>0</v>
      </c>
      <c r="AB5660" s="4"/>
      <c r="AC5660" s="6">
        <f t="shared" si="884"/>
        <v>0</v>
      </c>
      <c r="AD5660" s="6">
        <f t="shared" si="885"/>
        <v>0</v>
      </c>
      <c r="AE5660" s="14">
        <f>VLOOKUP(I5660,[2]媒体政策预估表!A:N,MATCH(O5660,[2]媒体政策预估表!$A$2:$M$2,0),0)</f>
        <v>0.11</v>
      </c>
      <c r="AF5660" s="6">
        <f t="shared" si="881"/>
        <v>0</v>
      </c>
      <c r="AG5660" s="14">
        <v>0</v>
      </c>
      <c r="AH5660" s="64">
        <f t="shared" si="886"/>
        <v>0</v>
      </c>
      <c r="AI5660" s="47"/>
      <c r="AJ5660" s="126">
        <v>71</v>
      </c>
      <c r="AK5660" s="80">
        <f t="shared" si="889"/>
        <v>0</v>
      </c>
      <c r="AL5660" s="85"/>
      <c r="AM5660" s="85"/>
    </row>
    <row r="5661" spans="1:39" s="86" customFormat="1" ht="13.25" hidden="1" customHeight="1" x14ac:dyDescent="0.3">
      <c r="A5661" s="89" t="s">
        <v>3794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883"/>
        <v>0.82</v>
      </c>
      <c r="X5661" s="6">
        <f t="shared" si="882"/>
        <v>0</v>
      </c>
      <c r="Y5661" s="13">
        <f t="shared" si="887"/>
        <v>0</v>
      </c>
      <c r="Z5661" s="14">
        <v>0</v>
      </c>
      <c r="AA5661" s="6">
        <v>0</v>
      </c>
      <c r="AB5661" s="4"/>
      <c r="AC5661" s="6">
        <f t="shared" si="884"/>
        <v>0</v>
      </c>
      <c r="AD5661" s="6">
        <f t="shared" si="885"/>
        <v>0</v>
      </c>
      <c r="AE5661" s="14">
        <f>VLOOKUP(I5661,[2]媒体政策预估表!A:N,MATCH(O5661,[2]媒体政策预估表!$A$2:$M$2,0),0)</f>
        <v>0.11</v>
      </c>
      <c r="AF5661" s="6">
        <f t="shared" si="881"/>
        <v>0</v>
      </c>
      <c r="AG5661" s="14">
        <v>0</v>
      </c>
      <c r="AH5661" s="64">
        <f t="shared" si="886"/>
        <v>0</v>
      </c>
      <c r="AI5661" s="47"/>
      <c r="AJ5661" s="126">
        <v>71</v>
      </c>
      <c r="AK5661" s="80">
        <f t="shared" si="889"/>
        <v>0</v>
      </c>
      <c r="AL5661" s="85"/>
      <c r="AM5661" s="85"/>
    </row>
    <row r="5662" spans="1:39" s="86" customFormat="1" ht="13.25" hidden="1" customHeight="1" x14ac:dyDescent="0.3">
      <c r="A5662" s="89" t="s">
        <v>3794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883"/>
        <v>0.05</v>
      </c>
      <c r="X5662" s="6">
        <f t="shared" si="882"/>
        <v>0</v>
      </c>
      <c r="Y5662" s="13">
        <f t="shared" si="887"/>
        <v>0</v>
      </c>
      <c r="Z5662" s="14">
        <v>0</v>
      </c>
      <c r="AA5662" s="6">
        <v>0</v>
      </c>
      <c r="AB5662" s="4"/>
      <c r="AC5662" s="6">
        <f t="shared" si="884"/>
        <v>0</v>
      </c>
      <c r="AD5662" s="6">
        <f t="shared" si="885"/>
        <v>0</v>
      </c>
      <c r="AE5662" s="14">
        <f>VLOOKUP(I5662,[2]媒体政策预估表!A:N,MATCH(O5662,[2]媒体政策预估表!$A$2:$M$2,0),0)</f>
        <v>0.11</v>
      </c>
      <c r="AF5662" s="6">
        <f t="shared" si="881"/>
        <v>0</v>
      </c>
      <c r="AG5662" s="14">
        <v>0</v>
      </c>
      <c r="AH5662" s="64">
        <f t="shared" si="886"/>
        <v>0</v>
      </c>
      <c r="AI5662" s="47"/>
      <c r="AJ5662" s="126">
        <v>71</v>
      </c>
      <c r="AK5662" s="80">
        <f t="shared" si="889"/>
        <v>0</v>
      </c>
      <c r="AL5662" s="85"/>
      <c r="AM5662" s="85"/>
    </row>
    <row r="5663" spans="1:39" s="86" customFormat="1" ht="13.25" hidden="1" customHeight="1" x14ac:dyDescent="0.3">
      <c r="A5663" s="89" t="s">
        <v>3792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883"/>
        <v>6673.14</v>
      </c>
      <c r="X5663" s="6">
        <f t="shared" si="882"/>
        <v>0</v>
      </c>
      <c r="Y5663" s="13">
        <f t="shared" si="887"/>
        <v>0</v>
      </c>
      <c r="Z5663" s="14">
        <v>0</v>
      </c>
      <c r="AA5663" s="6">
        <v>0</v>
      </c>
      <c r="AB5663" s="4"/>
      <c r="AC5663" s="6">
        <f t="shared" si="884"/>
        <v>0</v>
      </c>
      <c r="AD5663" s="6">
        <f t="shared" si="885"/>
        <v>0</v>
      </c>
      <c r="AE5663" s="14">
        <f>VLOOKUP(I5663,[2]媒体政策预估表!A:N,MATCH(O5663,[2]媒体政策预估表!$A$2:$M$2,0),0)</f>
        <v>0.11</v>
      </c>
      <c r="AF5663" s="6">
        <f t="shared" si="881"/>
        <v>0</v>
      </c>
      <c r="AG5663" s="14">
        <v>0</v>
      </c>
      <c r="AH5663" s="64">
        <f t="shared" si="886"/>
        <v>0</v>
      </c>
      <c r="AI5663" s="47"/>
      <c r="AJ5663" s="126">
        <v>31</v>
      </c>
      <c r="AK5663" s="80">
        <f t="shared" si="889"/>
        <v>0</v>
      </c>
      <c r="AL5663" s="85"/>
      <c r="AM5663" s="85"/>
    </row>
    <row r="5664" spans="1:39" s="86" customFormat="1" ht="13.25" hidden="1" customHeight="1" x14ac:dyDescent="0.3">
      <c r="A5664" s="89" t="s">
        <v>3792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883"/>
        <v>5730.63</v>
      </c>
      <c r="X5664" s="6">
        <f t="shared" si="882"/>
        <v>0</v>
      </c>
      <c r="Y5664" s="13">
        <f t="shared" si="887"/>
        <v>0</v>
      </c>
      <c r="Z5664" s="14">
        <v>0</v>
      </c>
      <c r="AA5664" s="6">
        <v>0</v>
      </c>
      <c r="AB5664" s="4"/>
      <c r="AC5664" s="6">
        <f t="shared" si="884"/>
        <v>0</v>
      </c>
      <c r="AD5664" s="6">
        <f t="shared" si="885"/>
        <v>0</v>
      </c>
      <c r="AE5664" s="14">
        <f>VLOOKUP(I5664,[2]媒体政策预估表!A:N,MATCH(O5664,[2]媒体政策预估表!$A$2:$M$2,0),0)</f>
        <v>7.0000000000000007E-2</v>
      </c>
      <c r="AF5664" s="6">
        <f t="shared" si="881"/>
        <v>0</v>
      </c>
      <c r="AG5664" s="14">
        <v>0</v>
      </c>
      <c r="AH5664" s="64">
        <f t="shared" si="886"/>
        <v>0</v>
      </c>
      <c r="AI5664" s="47"/>
      <c r="AJ5664" s="126">
        <v>31</v>
      </c>
      <c r="AK5664" s="80">
        <f t="shared" si="889"/>
        <v>0</v>
      </c>
      <c r="AL5664" s="85"/>
      <c r="AM5664" s="85"/>
    </row>
    <row r="5665" spans="1:39" s="86" customFormat="1" ht="13.25" hidden="1" customHeight="1" x14ac:dyDescent="0.3">
      <c r="A5665" s="89" t="s">
        <v>3794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883"/>
        <v>7525.93</v>
      </c>
      <c r="X5665" s="6">
        <f t="shared" si="882"/>
        <v>0</v>
      </c>
      <c r="Y5665" s="13">
        <f t="shared" si="887"/>
        <v>0</v>
      </c>
      <c r="Z5665" s="14">
        <v>0</v>
      </c>
      <c r="AA5665" s="6">
        <v>0</v>
      </c>
      <c r="AB5665" s="4">
        <f t="shared" si="888"/>
        <v>0</v>
      </c>
      <c r="AC5665" s="6">
        <f t="shared" si="884"/>
        <v>0</v>
      </c>
      <c r="AD5665" s="6">
        <f t="shared" si="885"/>
        <v>0</v>
      </c>
      <c r="AE5665" s="14">
        <f>VLOOKUP(I5665,[2]媒体政策预估表!A:N,MATCH(O5665,[2]媒体政策预估表!$A$2:$M$2,0),0)</f>
        <v>0.11</v>
      </c>
      <c r="AF5665" s="6">
        <f t="shared" si="881"/>
        <v>0</v>
      </c>
      <c r="AG5665" s="14">
        <v>0</v>
      </c>
      <c r="AH5665" s="64">
        <f t="shared" si="886"/>
        <v>0</v>
      </c>
      <c r="AI5665" s="47"/>
      <c r="AJ5665" s="126" t="e">
        <v>#N/A</v>
      </c>
      <c r="AK5665" s="80">
        <f t="shared" si="889"/>
        <v>0</v>
      </c>
      <c r="AL5665" s="85"/>
      <c r="AM5665" s="85"/>
    </row>
    <row r="5666" spans="1:39" s="86" customFormat="1" ht="13.25" hidden="1" customHeight="1" x14ac:dyDescent="0.3">
      <c r="A5666" s="89" t="s">
        <v>3806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883"/>
        <v>7172</v>
      </c>
      <c r="X5666" s="6">
        <f t="shared" si="882"/>
        <v>0</v>
      </c>
      <c r="Y5666" s="13">
        <f t="shared" si="887"/>
        <v>0</v>
      </c>
      <c r="Z5666" s="14">
        <v>0</v>
      </c>
      <c r="AA5666" s="6">
        <v>0</v>
      </c>
      <c r="AB5666" s="4">
        <f t="shared" si="888"/>
        <v>0</v>
      </c>
      <c r="AC5666" s="6">
        <f t="shared" si="884"/>
        <v>0</v>
      </c>
      <c r="AD5666" s="6">
        <f t="shared" si="885"/>
        <v>0</v>
      </c>
      <c r="AE5666" s="14">
        <f>VLOOKUP(I5666,[2]媒体政策预估表!A:N,MATCH(O5666,[2]媒体政策预估表!$A$2:$M$2,0),0)</f>
        <v>7.0000000000000007E-2</v>
      </c>
      <c r="AF5666" s="6">
        <f t="shared" si="881"/>
        <v>0</v>
      </c>
      <c r="AG5666" s="14">
        <v>0</v>
      </c>
      <c r="AH5666" s="64">
        <f t="shared" si="886"/>
        <v>0</v>
      </c>
      <c r="AI5666" s="47"/>
      <c r="AJ5666" s="126" t="e">
        <v>#N/A</v>
      </c>
      <c r="AK5666" s="80">
        <f t="shared" si="889"/>
        <v>0</v>
      </c>
      <c r="AL5666" s="85"/>
      <c r="AM5666" s="85"/>
    </row>
    <row r="5667" spans="1:39" s="86" customFormat="1" ht="13.25" hidden="1" customHeight="1" x14ac:dyDescent="0.3">
      <c r="A5667" s="89" t="s">
        <v>3852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883"/>
        <v>28027.7</v>
      </c>
      <c r="X5667" s="6">
        <f t="shared" si="882"/>
        <v>0</v>
      </c>
      <c r="Y5667" s="13">
        <f t="shared" si="887"/>
        <v>0</v>
      </c>
      <c r="Z5667" s="14">
        <v>0</v>
      </c>
      <c r="AA5667" s="6">
        <v>0</v>
      </c>
      <c r="AB5667" s="4">
        <f t="shared" si="888"/>
        <v>0</v>
      </c>
      <c r="AC5667" s="6">
        <f t="shared" si="884"/>
        <v>0</v>
      </c>
      <c r="AD5667" s="6">
        <f t="shared" si="885"/>
        <v>0</v>
      </c>
      <c r="AE5667" s="14">
        <f>VLOOKUP(I5667,[2]媒体政策预估表!A:N,MATCH(O5667,[2]媒体政策预估表!$A$2:$M$2,0),0)</f>
        <v>7.0000000000000007E-2</v>
      </c>
      <c r="AF5667" s="6">
        <f t="shared" si="881"/>
        <v>0</v>
      </c>
      <c r="AG5667" s="14">
        <v>0</v>
      </c>
      <c r="AH5667" s="64">
        <f t="shared" si="886"/>
        <v>0</v>
      </c>
      <c r="AI5667" s="47"/>
      <c r="AJ5667" s="126" t="e">
        <v>#N/A</v>
      </c>
      <c r="AK5667" s="80">
        <f t="shared" si="889"/>
        <v>0</v>
      </c>
      <c r="AL5667" s="85"/>
      <c r="AM5667" s="85"/>
    </row>
    <row r="5668" spans="1:39" s="86" customFormat="1" ht="13.25" hidden="1" customHeight="1" x14ac:dyDescent="0.3">
      <c r="A5668" s="89" t="s">
        <v>3794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883"/>
        <v>35733.800000000003</v>
      </c>
      <c r="X5668" s="6">
        <f t="shared" si="882"/>
        <v>0</v>
      </c>
      <c r="Y5668" s="13">
        <f t="shared" si="887"/>
        <v>0</v>
      </c>
      <c r="Z5668" s="14">
        <v>0</v>
      </c>
      <c r="AA5668" s="6">
        <v>0</v>
      </c>
      <c r="AB5668" s="4">
        <f t="shared" si="888"/>
        <v>0</v>
      </c>
      <c r="AC5668" s="6">
        <f t="shared" si="884"/>
        <v>0</v>
      </c>
      <c r="AD5668" s="6">
        <f t="shared" si="885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890">AD5668*AE5668</f>
        <v>0</v>
      </c>
      <c r="AG5668" s="14">
        <v>0</v>
      </c>
      <c r="AH5668" s="64">
        <f t="shared" si="886"/>
        <v>0</v>
      </c>
      <c r="AI5668" s="47"/>
      <c r="AJ5668" s="126" t="e">
        <v>#N/A</v>
      </c>
      <c r="AK5668" s="80">
        <f t="shared" si="889"/>
        <v>0</v>
      </c>
      <c r="AL5668" s="85"/>
      <c r="AM5668" s="85"/>
    </row>
    <row r="5669" spans="1:39" s="86" customFormat="1" ht="13.25" hidden="1" customHeight="1" x14ac:dyDescent="0.3">
      <c r="A5669" s="89" t="s">
        <v>3792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883"/>
        <v>351</v>
      </c>
      <c r="X5669" s="6">
        <f t="shared" si="882"/>
        <v>0</v>
      </c>
      <c r="Y5669" s="13">
        <f t="shared" si="887"/>
        <v>0</v>
      </c>
      <c r="Z5669" s="14">
        <v>0</v>
      </c>
      <c r="AA5669" s="6">
        <v>0</v>
      </c>
      <c r="AB5669" s="4">
        <f t="shared" si="888"/>
        <v>0</v>
      </c>
      <c r="AC5669" s="6">
        <f t="shared" si="884"/>
        <v>0</v>
      </c>
      <c r="AD5669" s="6">
        <f t="shared" si="885"/>
        <v>0</v>
      </c>
      <c r="AE5669" s="14">
        <f>VLOOKUP(I5669,[2]媒体政策预估表!A:N,MATCH(O5669,[2]媒体政策预估表!$A$2:$M$2,0),0)</f>
        <v>7.0000000000000007E-2</v>
      </c>
      <c r="AF5669" s="6">
        <f t="shared" si="890"/>
        <v>0</v>
      </c>
      <c r="AG5669" s="14">
        <v>0</v>
      </c>
      <c r="AH5669" s="64">
        <f t="shared" si="886"/>
        <v>0</v>
      </c>
      <c r="AI5669" s="47"/>
      <c r="AJ5669" s="126" t="e">
        <v>#N/A</v>
      </c>
      <c r="AK5669" s="80">
        <f t="shared" si="889"/>
        <v>0</v>
      </c>
      <c r="AL5669" s="85"/>
      <c r="AM5669" s="85"/>
    </row>
    <row r="5670" spans="1:39" s="86" customFormat="1" ht="13.25" hidden="1" customHeight="1" x14ac:dyDescent="0.3">
      <c r="A5670" s="89" t="s">
        <v>3794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883"/>
        <v>32887.910000000003</v>
      </c>
      <c r="X5670" s="6">
        <f t="shared" si="882"/>
        <v>0</v>
      </c>
      <c r="Y5670" s="13">
        <f t="shared" si="887"/>
        <v>0</v>
      </c>
      <c r="Z5670" s="14">
        <v>0</v>
      </c>
      <c r="AA5670" s="6">
        <v>0</v>
      </c>
      <c r="AB5670" s="4">
        <f t="shared" si="888"/>
        <v>0</v>
      </c>
      <c r="AC5670" s="6">
        <f t="shared" si="884"/>
        <v>0</v>
      </c>
      <c r="AD5670" s="6">
        <f t="shared" si="885"/>
        <v>0</v>
      </c>
      <c r="AE5670" s="14">
        <f>VLOOKUP(I5670,[2]媒体政策预估表!A:N,MATCH(O5670,[2]媒体政策预估表!$A$2:$M$2,0),0)</f>
        <v>7.0000000000000007E-2</v>
      </c>
      <c r="AF5670" s="6">
        <f t="shared" si="890"/>
        <v>0</v>
      </c>
      <c r="AG5670" s="14">
        <v>0</v>
      </c>
      <c r="AH5670" s="64">
        <f t="shared" si="886"/>
        <v>0</v>
      </c>
      <c r="AI5670" s="47"/>
      <c r="AJ5670" s="126" t="e">
        <v>#N/A</v>
      </c>
      <c r="AK5670" s="80">
        <f t="shared" si="889"/>
        <v>0</v>
      </c>
      <c r="AL5670" s="85"/>
      <c r="AM5670" s="85"/>
    </row>
    <row r="5671" spans="1:39" s="86" customFormat="1" ht="13.25" hidden="1" customHeight="1" x14ac:dyDescent="0.3">
      <c r="A5671" s="89" t="s">
        <v>3794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883"/>
        <v>16499.900000000001</v>
      </c>
      <c r="X5671" s="6">
        <f t="shared" si="882"/>
        <v>0</v>
      </c>
      <c r="Y5671" s="13">
        <f t="shared" si="887"/>
        <v>0</v>
      </c>
      <c r="Z5671" s="14">
        <v>0</v>
      </c>
      <c r="AA5671" s="6">
        <v>0</v>
      </c>
      <c r="AB5671" s="4">
        <f t="shared" si="888"/>
        <v>0</v>
      </c>
      <c r="AC5671" s="6">
        <f t="shared" si="884"/>
        <v>0</v>
      </c>
      <c r="AD5671" s="6">
        <f t="shared" si="885"/>
        <v>0</v>
      </c>
      <c r="AE5671" s="14">
        <f>VLOOKUP(I5671,[2]媒体政策预估表!A:N,MATCH(O5671,[2]媒体政策预估表!$A$2:$M$2,0),0)</f>
        <v>7.0000000000000007E-2</v>
      </c>
      <c r="AF5671" s="6">
        <f t="shared" si="890"/>
        <v>0</v>
      </c>
      <c r="AG5671" s="14">
        <v>0</v>
      </c>
      <c r="AH5671" s="64">
        <f t="shared" si="886"/>
        <v>0</v>
      </c>
      <c r="AI5671" s="47"/>
      <c r="AJ5671" s="126" t="e">
        <v>#N/A</v>
      </c>
      <c r="AK5671" s="80">
        <f t="shared" si="889"/>
        <v>0</v>
      </c>
      <c r="AL5671" s="85"/>
      <c r="AM5671" s="85"/>
    </row>
    <row r="5672" spans="1:39" s="86" customFormat="1" ht="13.25" hidden="1" customHeight="1" x14ac:dyDescent="0.3">
      <c r="A5672" s="89" t="s">
        <v>3794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883"/>
        <v>15897.1</v>
      </c>
      <c r="X5672" s="6">
        <f t="shared" si="882"/>
        <v>0</v>
      </c>
      <c r="Y5672" s="13">
        <f t="shared" si="887"/>
        <v>0</v>
      </c>
      <c r="Z5672" s="14">
        <v>0</v>
      </c>
      <c r="AA5672" s="6">
        <v>0</v>
      </c>
      <c r="AB5672" s="4">
        <f t="shared" si="888"/>
        <v>0</v>
      </c>
      <c r="AC5672" s="6">
        <f t="shared" si="884"/>
        <v>0</v>
      </c>
      <c r="AD5672" s="6">
        <f t="shared" si="885"/>
        <v>0</v>
      </c>
      <c r="AE5672" s="14">
        <f>VLOOKUP(I5672,[2]媒体政策预估表!A:N,MATCH(O5672,[2]媒体政策预估表!$A$2:$M$2,0),0)</f>
        <v>7.0000000000000007E-2</v>
      </c>
      <c r="AF5672" s="6">
        <f t="shared" si="890"/>
        <v>0</v>
      </c>
      <c r="AG5672" s="14">
        <v>0</v>
      </c>
      <c r="AH5672" s="64">
        <f t="shared" si="886"/>
        <v>0</v>
      </c>
      <c r="AI5672" s="47"/>
      <c r="AJ5672" s="126" t="e">
        <v>#N/A</v>
      </c>
      <c r="AK5672" s="80">
        <f t="shared" si="889"/>
        <v>0</v>
      </c>
      <c r="AL5672" s="85"/>
      <c r="AM5672" s="85"/>
    </row>
    <row r="5673" spans="1:39" s="86" customFormat="1" ht="13.25" hidden="1" customHeight="1" x14ac:dyDescent="0.3">
      <c r="A5673" s="89" t="s">
        <v>3806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883"/>
        <v>2400</v>
      </c>
      <c r="X5673" s="6">
        <f t="shared" si="882"/>
        <v>0</v>
      </c>
      <c r="Y5673" s="13">
        <f t="shared" si="887"/>
        <v>0</v>
      </c>
      <c r="Z5673" s="14">
        <v>0</v>
      </c>
      <c r="AA5673" s="6">
        <v>0</v>
      </c>
      <c r="AB5673" s="4">
        <f t="shared" si="888"/>
        <v>0</v>
      </c>
      <c r="AC5673" s="6">
        <f t="shared" si="884"/>
        <v>0</v>
      </c>
      <c r="AD5673" s="6">
        <f t="shared" si="885"/>
        <v>0</v>
      </c>
      <c r="AE5673" s="14">
        <f>VLOOKUP(I5673,[2]媒体政策预估表!A:N,MATCH(O5673,[2]媒体政策预估表!$A$2:$M$2,0),0)</f>
        <v>0.11</v>
      </c>
      <c r="AF5673" s="6">
        <f t="shared" si="890"/>
        <v>0</v>
      </c>
      <c r="AG5673" s="14">
        <v>0</v>
      </c>
      <c r="AH5673" s="64">
        <f t="shared" si="886"/>
        <v>0</v>
      </c>
      <c r="AI5673" s="47"/>
      <c r="AJ5673" s="126" t="e">
        <v>#N/A</v>
      </c>
      <c r="AK5673" s="80">
        <f t="shared" si="889"/>
        <v>0</v>
      </c>
      <c r="AL5673" s="85"/>
      <c r="AM5673" s="85"/>
    </row>
    <row r="5674" spans="1:39" s="86" customFormat="1" ht="13.25" hidden="1" customHeight="1" x14ac:dyDescent="0.3">
      <c r="A5674" s="89" t="s">
        <v>3794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883"/>
        <v>9727.1</v>
      </c>
      <c r="X5674" s="6">
        <f t="shared" si="882"/>
        <v>0</v>
      </c>
      <c r="Y5674" s="13">
        <f t="shared" si="887"/>
        <v>0</v>
      </c>
      <c r="Z5674" s="14">
        <v>0</v>
      </c>
      <c r="AA5674" s="6">
        <v>0</v>
      </c>
      <c r="AB5674" s="4">
        <f t="shared" si="888"/>
        <v>0</v>
      </c>
      <c r="AC5674" s="6">
        <f t="shared" si="884"/>
        <v>0</v>
      </c>
      <c r="AD5674" s="6">
        <f t="shared" si="885"/>
        <v>0</v>
      </c>
      <c r="AE5674" s="14">
        <f>VLOOKUP(I5674,[2]媒体政策预估表!A:N,MATCH(O5674,[2]媒体政策预估表!$A$2:$M$2,0),0)</f>
        <v>7.0000000000000007E-2</v>
      </c>
      <c r="AF5674" s="6">
        <f t="shared" si="890"/>
        <v>0</v>
      </c>
      <c r="AG5674" s="14">
        <v>0</v>
      </c>
      <c r="AH5674" s="64">
        <f t="shared" si="886"/>
        <v>0</v>
      </c>
      <c r="AI5674" s="47"/>
      <c r="AJ5674" s="126" t="e">
        <v>#N/A</v>
      </c>
      <c r="AK5674" s="80">
        <f t="shared" si="889"/>
        <v>0</v>
      </c>
      <c r="AL5674" s="85"/>
      <c r="AM5674" s="85"/>
    </row>
    <row r="5675" spans="1:39" s="86" customFormat="1" ht="13.25" hidden="1" customHeight="1" x14ac:dyDescent="0.3">
      <c r="A5675" s="89" t="s">
        <v>3794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883"/>
        <v>85408.59</v>
      </c>
      <c r="X5675" s="6">
        <f t="shared" si="882"/>
        <v>0</v>
      </c>
      <c r="Y5675" s="13">
        <f t="shared" si="887"/>
        <v>0</v>
      </c>
      <c r="Z5675" s="14">
        <v>0</v>
      </c>
      <c r="AA5675" s="6">
        <v>0</v>
      </c>
      <c r="AB5675" s="4">
        <f t="shared" si="888"/>
        <v>0</v>
      </c>
      <c r="AC5675" s="6">
        <f t="shared" si="884"/>
        <v>0</v>
      </c>
      <c r="AD5675" s="6">
        <f t="shared" si="885"/>
        <v>0</v>
      </c>
      <c r="AE5675" s="14">
        <f>VLOOKUP(I5675,[2]媒体政策预估表!A:N,MATCH(O5675,[2]媒体政策预估表!$A$2:$M$2,0),0)</f>
        <v>7.0000000000000007E-2</v>
      </c>
      <c r="AF5675" s="6">
        <f t="shared" si="890"/>
        <v>0</v>
      </c>
      <c r="AG5675" s="14">
        <v>0</v>
      </c>
      <c r="AH5675" s="64">
        <f t="shared" si="886"/>
        <v>0</v>
      </c>
      <c r="AI5675" s="47"/>
      <c r="AJ5675" s="126" t="e">
        <v>#N/A</v>
      </c>
      <c r="AK5675" s="80">
        <f t="shared" si="889"/>
        <v>0</v>
      </c>
      <c r="AL5675" s="85"/>
      <c r="AM5675" s="85"/>
    </row>
    <row r="5676" spans="1:39" s="86" customFormat="1" ht="13.25" hidden="1" customHeight="1" x14ac:dyDescent="0.3">
      <c r="A5676" s="89" t="s">
        <v>3794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883"/>
        <v>655.38</v>
      </c>
      <c r="X5676" s="6">
        <f t="shared" si="882"/>
        <v>0</v>
      </c>
      <c r="Y5676" s="13">
        <f t="shared" si="887"/>
        <v>0</v>
      </c>
      <c r="Z5676" s="14">
        <v>0</v>
      </c>
      <c r="AA5676" s="6">
        <v>0</v>
      </c>
      <c r="AB5676" s="4">
        <f t="shared" si="888"/>
        <v>0</v>
      </c>
      <c r="AC5676" s="6">
        <f t="shared" si="884"/>
        <v>0</v>
      </c>
      <c r="AD5676" s="6">
        <f t="shared" si="885"/>
        <v>0</v>
      </c>
      <c r="AE5676" s="14">
        <f>VLOOKUP(I5676,[2]媒体政策预估表!A:N,MATCH(O5676,[2]媒体政策预估表!$A$2:$M$2,0),0)</f>
        <v>7.0000000000000007E-2</v>
      </c>
      <c r="AF5676" s="6">
        <f t="shared" si="890"/>
        <v>0</v>
      </c>
      <c r="AG5676" s="14">
        <v>0</v>
      </c>
      <c r="AH5676" s="64">
        <f t="shared" si="886"/>
        <v>0</v>
      </c>
      <c r="AI5676" s="47"/>
      <c r="AJ5676" s="126" t="e">
        <v>#N/A</v>
      </c>
      <c r="AK5676" s="80">
        <f t="shared" si="889"/>
        <v>0</v>
      </c>
      <c r="AL5676" s="85"/>
      <c r="AM5676" s="85"/>
    </row>
    <row r="5677" spans="1:39" s="86" customFormat="1" ht="13.25" hidden="1" customHeight="1" x14ac:dyDescent="0.3">
      <c r="A5677" s="89" t="s">
        <v>3792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883"/>
        <v>1</v>
      </c>
      <c r="X5677" s="6">
        <f t="shared" si="882"/>
        <v>0</v>
      </c>
      <c r="Y5677" s="13">
        <f t="shared" si="887"/>
        <v>0</v>
      </c>
      <c r="Z5677" s="14">
        <v>0</v>
      </c>
      <c r="AA5677" s="6">
        <v>0</v>
      </c>
      <c r="AB5677" s="4">
        <f t="shared" si="888"/>
        <v>0</v>
      </c>
      <c r="AC5677" s="6">
        <f t="shared" si="884"/>
        <v>0</v>
      </c>
      <c r="AD5677" s="6">
        <f t="shared" si="885"/>
        <v>0</v>
      </c>
      <c r="AE5677" s="14">
        <f>VLOOKUP(I5677,[2]媒体政策预估表!A:N,MATCH(O5677,[2]媒体政策预估表!$A$2:$M$2,0),0)</f>
        <v>7.0000000000000007E-2</v>
      </c>
      <c r="AF5677" s="6">
        <f t="shared" si="890"/>
        <v>0</v>
      </c>
      <c r="AG5677" s="14">
        <v>0</v>
      </c>
      <c r="AH5677" s="64">
        <f t="shared" si="886"/>
        <v>0</v>
      </c>
      <c r="AI5677" s="47"/>
      <c r="AJ5677" s="126" t="e">
        <v>#N/A</v>
      </c>
      <c r="AK5677" s="80">
        <f t="shared" si="889"/>
        <v>0</v>
      </c>
      <c r="AL5677" s="85"/>
      <c r="AM5677" s="85"/>
    </row>
    <row r="5678" spans="1:39" s="86" customFormat="1" ht="13.25" hidden="1" customHeight="1" x14ac:dyDescent="0.3">
      <c r="A5678" s="89" t="s">
        <v>3794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883"/>
        <v>15112.89</v>
      </c>
      <c r="X5678" s="6">
        <f t="shared" si="882"/>
        <v>0</v>
      </c>
      <c r="Y5678" s="13">
        <f t="shared" si="887"/>
        <v>0</v>
      </c>
      <c r="Z5678" s="14">
        <v>0</v>
      </c>
      <c r="AA5678" s="6">
        <v>0</v>
      </c>
      <c r="AB5678" s="4">
        <f t="shared" si="888"/>
        <v>0</v>
      </c>
      <c r="AC5678" s="6">
        <f t="shared" si="884"/>
        <v>0</v>
      </c>
      <c r="AD5678" s="6">
        <f t="shared" si="885"/>
        <v>0</v>
      </c>
      <c r="AE5678" s="14">
        <f>VLOOKUP(I5678,[2]媒体政策预估表!A:N,MATCH(O5678,[2]媒体政策预估表!$A$2:$M$2,0),0)</f>
        <v>7.0000000000000007E-2</v>
      </c>
      <c r="AF5678" s="6">
        <f t="shared" si="890"/>
        <v>0</v>
      </c>
      <c r="AG5678" s="14">
        <v>0</v>
      </c>
      <c r="AH5678" s="64">
        <f t="shared" si="886"/>
        <v>0</v>
      </c>
      <c r="AI5678" s="47"/>
      <c r="AJ5678" s="126" t="e">
        <v>#N/A</v>
      </c>
      <c r="AK5678" s="80">
        <f t="shared" si="889"/>
        <v>0</v>
      </c>
      <c r="AL5678" s="85"/>
      <c r="AM5678" s="85"/>
    </row>
    <row r="5679" spans="1:39" s="86" customFormat="1" ht="13.25" hidden="1" customHeight="1" x14ac:dyDescent="0.3">
      <c r="A5679" s="89" t="s">
        <v>3792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883"/>
        <v>971.7</v>
      </c>
      <c r="X5679" s="6">
        <f t="shared" si="882"/>
        <v>0</v>
      </c>
      <c r="Y5679" s="13">
        <f t="shared" si="887"/>
        <v>0</v>
      </c>
      <c r="Z5679" s="14">
        <v>0</v>
      </c>
      <c r="AA5679" s="6">
        <v>0</v>
      </c>
      <c r="AB5679" s="4">
        <f t="shared" si="888"/>
        <v>0</v>
      </c>
      <c r="AC5679" s="6">
        <f t="shared" si="884"/>
        <v>0</v>
      </c>
      <c r="AD5679" s="6">
        <f t="shared" si="885"/>
        <v>0</v>
      </c>
      <c r="AE5679" s="14">
        <f>VLOOKUP(I5679,[2]媒体政策预估表!A:N,MATCH(O5679,[2]媒体政策预估表!$A$2:$M$2,0),0)</f>
        <v>7.0000000000000007E-2</v>
      </c>
      <c r="AF5679" s="6">
        <f t="shared" si="890"/>
        <v>0</v>
      </c>
      <c r="AG5679" s="14">
        <v>0</v>
      </c>
      <c r="AH5679" s="64">
        <f t="shared" si="886"/>
        <v>0</v>
      </c>
      <c r="AI5679" s="47"/>
      <c r="AJ5679" s="126" t="e">
        <v>#N/A</v>
      </c>
      <c r="AK5679" s="80">
        <f t="shared" si="889"/>
        <v>0</v>
      </c>
      <c r="AL5679" s="85"/>
      <c r="AM5679" s="85"/>
    </row>
    <row r="5680" spans="1:39" s="86" customFormat="1" ht="13.25" hidden="1" customHeight="1" x14ac:dyDescent="0.3">
      <c r="A5680" s="89" t="s">
        <v>3794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883"/>
        <v>2298.75</v>
      </c>
      <c r="X5680" s="6">
        <f t="shared" si="882"/>
        <v>0</v>
      </c>
      <c r="Y5680" s="13">
        <f t="shared" si="887"/>
        <v>0</v>
      </c>
      <c r="Z5680" s="14">
        <v>0</v>
      </c>
      <c r="AA5680" s="6">
        <v>0</v>
      </c>
      <c r="AB5680" s="4">
        <f t="shared" si="888"/>
        <v>0</v>
      </c>
      <c r="AC5680" s="6">
        <f t="shared" si="884"/>
        <v>0</v>
      </c>
      <c r="AD5680" s="6">
        <f t="shared" si="885"/>
        <v>0</v>
      </c>
      <c r="AE5680" s="14">
        <f>VLOOKUP(I5680,[2]媒体政策预估表!A:N,MATCH(O5680,[2]媒体政策预估表!$A$2:$M$2,0),0)</f>
        <v>7.0000000000000007E-2</v>
      </c>
      <c r="AF5680" s="6">
        <f t="shared" si="890"/>
        <v>0</v>
      </c>
      <c r="AG5680" s="14">
        <v>0</v>
      </c>
      <c r="AH5680" s="64">
        <f t="shared" si="886"/>
        <v>0</v>
      </c>
      <c r="AI5680" s="47"/>
      <c r="AJ5680" s="126" t="e">
        <v>#N/A</v>
      </c>
      <c r="AK5680" s="80">
        <f t="shared" si="889"/>
        <v>0</v>
      </c>
      <c r="AL5680" s="85"/>
      <c r="AM5680" s="85"/>
    </row>
    <row r="5681" spans="1:39" s="86" customFormat="1" ht="13.25" hidden="1" customHeight="1" x14ac:dyDescent="0.3">
      <c r="A5681" s="89" t="s">
        <v>3794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883"/>
        <v>11.4</v>
      </c>
      <c r="X5681" s="6">
        <f t="shared" si="882"/>
        <v>0</v>
      </c>
      <c r="Y5681" s="13">
        <f t="shared" si="887"/>
        <v>0</v>
      </c>
      <c r="Z5681" s="14">
        <v>0</v>
      </c>
      <c r="AA5681" s="6">
        <v>0</v>
      </c>
      <c r="AB5681" s="4">
        <f t="shared" si="888"/>
        <v>0</v>
      </c>
      <c r="AC5681" s="6">
        <f t="shared" si="884"/>
        <v>0</v>
      </c>
      <c r="AD5681" s="6">
        <f t="shared" si="885"/>
        <v>0</v>
      </c>
      <c r="AE5681" s="14">
        <f>VLOOKUP(I5681,[2]媒体政策预估表!A:N,MATCH(O5681,[2]媒体政策预估表!$A$2:$M$2,0),0)</f>
        <v>7.0000000000000007E-2</v>
      </c>
      <c r="AF5681" s="6">
        <f t="shared" si="890"/>
        <v>0</v>
      </c>
      <c r="AG5681" s="14">
        <v>0</v>
      </c>
      <c r="AH5681" s="64">
        <f t="shared" si="886"/>
        <v>0</v>
      </c>
      <c r="AI5681" s="47"/>
      <c r="AJ5681" s="126" t="e">
        <v>#N/A</v>
      </c>
      <c r="AK5681" s="80">
        <f t="shared" si="889"/>
        <v>0</v>
      </c>
      <c r="AL5681" s="85"/>
      <c r="AM5681" s="85"/>
    </row>
    <row r="5682" spans="1:39" s="86" customFormat="1" ht="13.25" hidden="1" customHeight="1" x14ac:dyDescent="0.3">
      <c r="A5682" s="89" t="s">
        <v>3806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883"/>
        <v>73667.62</v>
      </c>
      <c r="X5682" s="6">
        <f t="shared" si="882"/>
        <v>0</v>
      </c>
      <c r="Y5682" s="13">
        <f t="shared" si="887"/>
        <v>0</v>
      </c>
      <c r="Z5682" s="14">
        <v>0</v>
      </c>
      <c r="AA5682" s="6">
        <v>0</v>
      </c>
      <c r="AB5682" s="4">
        <f t="shared" si="888"/>
        <v>0</v>
      </c>
      <c r="AC5682" s="6">
        <f t="shared" si="884"/>
        <v>0</v>
      </c>
      <c r="AD5682" s="6">
        <f t="shared" si="885"/>
        <v>0</v>
      </c>
      <c r="AE5682" s="14">
        <f>VLOOKUP(I5682,[2]媒体政策预估表!A:N,MATCH(O5682,[2]媒体政策预估表!$A$2:$M$2,0),0)</f>
        <v>0.11</v>
      </c>
      <c r="AF5682" s="6">
        <f t="shared" si="890"/>
        <v>0</v>
      </c>
      <c r="AG5682" s="14">
        <v>0</v>
      </c>
      <c r="AH5682" s="64">
        <f t="shared" si="886"/>
        <v>0</v>
      </c>
      <c r="AI5682" s="47"/>
      <c r="AJ5682" s="126" t="e">
        <v>#N/A</v>
      </c>
      <c r="AK5682" s="80">
        <f t="shared" si="889"/>
        <v>0</v>
      </c>
      <c r="AL5682" s="85"/>
      <c r="AM5682" s="85"/>
    </row>
    <row r="5683" spans="1:39" s="86" customFormat="1" ht="13.25" hidden="1" customHeight="1" x14ac:dyDescent="0.3">
      <c r="A5683" s="89" t="s">
        <v>3792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883"/>
        <v>3171.92</v>
      </c>
      <c r="X5683" s="6">
        <f t="shared" si="882"/>
        <v>0</v>
      </c>
      <c r="Y5683" s="13">
        <f t="shared" si="887"/>
        <v>0</v>
      </c>
      <c r="Z5683" s="14">
        <v>0</v>
      </c>
      <c r="AA5683" s="6">
        <v>0</v>
      </c>
      <c r="AB5683" s="4">
        <f t="shared" si="888"/>
        <v>0</v>
      </c>
      <c r="AC5683" s="6">
        <f t="shared" si="884"/>
        <v>0</v>
      </c>
      <c r="AD5683" s="6">
        <f t="shared" si="885"/>
        <v>0</v>
      </c>
      <c r="AE5683" s="14">
        <f>VLOOKUP(I5683,[2]媒体政策预估表!A:N,MATCH(O5683,[2]媒体政策预估表!$A$2:$M$2,0),0)</f>
        <v>0.11</v>
      </c>
      <c r="AF5683" s="6">
        <f t="shared" si="890"/>
        <v>0</v>
      </c>
      <c r="AG5683" s="14">
        <v>0</v>
      </c>
      <c r="AH5683" s="64">
        <f t="shared" si="886"/>
        <v>0</v>
      </c>
      <c r="AI5683" s="47"/>
      <c r="AJ5683" s="126" t="e">
        <v>#N/A</v>
      </c>
      <c r="AK5683" s="80">
        <f t="shared" si="889"/>
        <v>0</v>
      </c>
      <c r="AL5683" s="85"/>
      <c r="AM5683" s="85"/>
    </row>
    <row r="5684" spans="1:39" s="86" customFormat="1" ht="13.25" hidden="1" customHeight="1" x14ac:dyDescent="0.3">
      <c r="A5684" s="89" t="s">
        <v>3792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883"/>
        <v>28952.38</v>
      </c>
      <c r="X5684" s="6">
        <f t="shared" si="882"/>
        <v>0</v>
      </c>
      <c r="Y5684" s="13">
        <f t="shared" si="887"/>
        <v>0</v>
      </c>
      <c r="Z5684" s="14">
        <v>0</v>
      </c>
      <c r="AA5684" s="6">
        <v>0</v>
      </c>
      <c r="AB5684" s="4">
        <f t="shared" si="888"/>
        <v>0</v>
      </c>
      <c r="AC5684" s="6">
        <f t="shared" si="884"/>
        <v>0</v>
      </c>
      <c r="AD5684" s="6">
        <f t="shared" si="885"/>
        <v>0</v>
      </c>
      <c r="AE5684" s="14">
        <f>VLOOKUP(I5684,[2]媒体政策预估表!A:N,MATCH(O5684,[2]媒体政策预估表!$A$2:$M$2,0),0)</f>
        <v>7.0000000000000007E-2</v>
      </c>
      <c r="AF5684" s="6">
        <f t="shared" si="890"/>
        <v>0</v>
      </c>
      <c r="AG5684" s="14">
        <v>0</v>
      </c>
      <c r="AH5684" s="64">
        <f t="shared" si="886"/>
        <v>0</v>
      </c>
      <c r="AI5684" s="47"/>
      <c r="AJ5684" s="126" t="e">
        <v>#N/A</v>
      </c>
      <c r="AK5684" s="80">
        <f t="shared" si="889"/>
        <v>0</v>
      </c>
      <c r="AL5684" s="85"/>
      <c r="AM5684" s="85"/>
    </row>
    <row r="5685" spans="1:39" s="86" customFormat="1" ht="13.25" hidden="1" customHeight="1" x14ac:dyDescent="0.3">
      <c r="A5685" s="89" t="s">
        <v>3792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883"/>
        <v>16751.8</v>
      </c>
      <c r="X5685" s="6">
        <f t="shared" si="882"/>
        <v>0</v>
      </c>
      <c r="Y5685" s="13">
        <f t="shared" si="887"/>
        <v>0</v>
      </c>
      <c r="Z5685" s="14">
        <v>0</v>
      </c>
      <c r="AA5685" s="6">
        <v>0</v>
      </c>
      <c r="AB5685" s="4">
        <f t="shared" si="888"/>
        <v>0</v>
      </c>
      <c r="AC5685" s="6">
        <f t="shared" si="884"/>
        <v>0</v>
      </c>
      <c r="AD5685" s="6">
        <f t="shared" si="885"/>
        <v>0</v>
      </c>
      <c r="AE5685" s="14">
        <f>VLOOKUP(I5685,[2]媒体政策预估表!A:N,MATCH(O5685,[2]媒体政策预估表!$A$2:$M$2,0),0)</f>
        <v>0.11</v>
      </c>
      <c r="AF5685" s="6">
        <f t="shared" si="890"/>
        <v>0</v>
      </c>
      <c r="AG5685" s="14">
        <v>0</v>
      </c>
      <c r="AH5685" s="64">
        <f t="shared" si="886"/>
        <v>0</v>
      </c>
      <c r="AI5685" s="47"/>
      <c r="AJ5685" s="126" t="e">
        <v>#N/A</v>
      </c>
      <c r="AK5685" s="80">
        <f t="shared" si="889"/>
        <v>0</v>
      </c>
      <c r="AL5685" s="85"/>
      <c r="AM5685" s="85"/>
    </row>
    <row r="5686" spans="1:39" s="86" customFormat="1" ht="13.25" hidden="1" customHeight="1" x14ac:dyDescent="0.3">
      <c r="A5686" s="89" t="s">
        <v>3792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883"/>
        <v>4204.8999999999996</v>
      </c>
      <c r="X5686" s="6">
        <f t="shared" si="882"/>
        <v>0</v>
      </c>
      <c r="Y5686" s="13">
        <f t="shared" si="887"/>
        <v>0</v>
      </c>
      <c r="Z5686" s="14">
        <v>0</v>
      </c>
      <c r="AA5686" s="6">
        <v>0</v>
      </c>
      <c r="AB5686" s="4">
        <f t="shared" si="888"/>
        <v>0</v>
      </c>
      <c r="AC5686" s="6">
        <f t="shared" si="884"/>
        <v>0</v>
      </c>
      <c r="AD5686" s="6">
        <f t="shared" si="885"/>
        <v>0</v>
      </c>
      <c r="AE5686" s="14">
        <f>VLOOKUP(I5686,[2]媒体政策预估表!A:N,MATCH(O5686,[2]媒体政策预估表!$A$2:$M$2,0),0)</f>
        <v>7.0000000000000007E-2</v>
      </c>
      <c r="AF5686" s="6">
        <f t="shared" si="890"/>
        <v>0</v>
      </c>
      <c r="AG5686" s="14">
        <v>0</v>
      </c>
      <c r="AH5686" s="64">
        <f t="shared" si="886"/>
        <v>0</v>
      </c>
      <c r="AI5686" s="47"/>
      <c r="AJ5686" s="126" t="e">
        <v>#N/A</v>
      </c>
      <c r="AK5686" s="80">
        <f t="shared" si="889"/>
        <v>0</v>
      </c>
      <c r="AL5686" s="85"/>
      <c r="AM5686" s="85"/>
    </row>
    <row r="5687" spans="1:39" s="86" customFormat="1" ht="13.25" hidden="1" customHeight="1" x14ac:dyDescent="0.3">
      <c r="A5687" s="89" t="s">
        <v>3792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883"/>
        <v>4252.8</v>
      </c>
      <c r="X5687" s="6">
        <f t="shared" si="882"/>
        <v>0</v>
      </c>
      <c r="Y5687" s="13">
        <f t="shared" si="887"/>
        <v>0</v>
      </c>
      <c r="Z5687" s="14">
        <v>0</v>
      </c>
      <c r="AA5687" s="6">
        <v>0</v>
      </c>
      <c r="AB5687" s="4">
        <f t="shared" si="888"/>
        <v>0</v>
      </c>
      <c r="AC5687" s="6">
        <f t="shared" si="884"/>
        <v>0</v>
      </c>
      <c r="AD5687" s="6">
        <f t="shared" si="885"/>
        <v>0</v>
      </c>
      <c r="AE5687" s="14">
        <f>VLOOKUP(I5687,[2]媒体政策预估表!A:N,MATCH(O5687,[2]媒体政策预估表!$A$2:$M$2,0),0)</f>
        <v>7.0000000000000007E-2</v>
      </c>
      <c r="AF5687" s="6">
        <f t="shared" si="890"/>
        <v>0</v>
      </c>
      <c r="AG5687" s="14">
        <v>0</v>
      </c>
      <c r="AH5687" s="64">
        <f t="shared" si="886"/>
        <v>0</v>
      </c>
      <c r="AI5687" s="47"/>
      <c r="AJ5687" s="126" t="e">
        <v>#N/A</v>
      </c>
      <c r="AK5687" s="80">
        <f t="shared" si="889"/>
        <v>0</v>
      </c>
      <c r="AL5687" s="85"/>
      <c r="AM5687" s="85"/>
    </row>
    <row r="5688" spans="1:39" s="86" customFormat="1" ht="13.25" hidden="1" customHeight="1" x14ac:dyDescent="0.3">
      <c r="A5688" s="89" t="s">
        <v>3794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883"/>
        <v>8256.9</v>
      </c>
      <c r="X5688" s="6">
        <f t="shared" si="882"/>
        <v>0</v>
      </c>
      <c r="Y5688" s="13">
        <f t="shared" si="887"/>
        <v>0</v>
      </c>
      <c r="Z5688" s="14">
        <v>0</v>
      </c>
      <c r="AA5688" s="6">
        <v>0</v>
      </c>
      <c r="AB5688" s="4">
        <f t="shared" si="888"/>
        <v>0</v>
      </c>
      <c r="AC5688" s="6">
        <f t="shared" si="884"/>
        <v>0</v>
      </c>
      <c r="AD5688" s="6">
        <f t="shared" si="885"/>
        <v>0</v>
      </c>
      <c r="AE5688" s="14">
        <f>VLOOKUP(I5688,[2]媒体政策预估表!A:N,MATCH(O5688,[2]媒体政策预估表!$A$2:$M$2,0),0)</f>
        <v>7.0000000000000007E-2</v>
      </c>
      <c r="AF5688" s="6">
        <f t="shared" si="890"/>
        <v>0</v>
      </c>
      <c r="AG5688" s="14">
        <v>0</v>
      </c>
      <c r="AH5688" s="64">
        <f t="shared" si="886"/>
        <v>0</v>
      </c>
      <c r="AI5688" s="47"/>
      <c r="AJ5688" s="126" t="e">
        <v>#N/A</v>
      </c>
      <c r="AK5688" s="80">
        <f t="shared" si="889"/>
        <v>0</v>
      </c>
      <c r="AL5688" s="85"/>
      <c r="AM5688" s="85"/>
    </row>
    <row r="5689" spans="1:39" s="86" customFormat="1" ht="13.25" hidden="1" customHeight="1" x14ac:dyDescent="0.3">
      <c r="A5689" s="89" t="s">
        <v>3792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883"/>
        <v>5081.22</v>
      </c>
      <c r="X5689" s="6">
        <f t="shared" si="882"/>
        <v>0</v>
      </c>
      <c r="Y5689" s="13">
        <f t="shared" si="887"/>
        <v>0</v>
      </c>
      <c r="Z5689" s="14">
        <v>0</v>
      </c>
      <c r="AA5689" s="6">
        <v>0</v>
      </c>
      <c r="AB5689" s="4">
        <f t="shared" si="888"/>
        <v>0</v>
      </c>
      <c r="AC5689" s="6">
        <f t="shared" si="884"/>
        <v>0</v>
      </c>
      <c r="AD5689" s="6">
        <f t="shared" si="885"/>
        <v>0</v>
      </c>
      <c r="AE5689" s="14">
        <f>VLOOKUP(I5689,[2]媒体政策预估表!A:N,MATCH(O5689,[2]媒体政策预估表!$A$2:$M$2,0),0)</f>
        <v>0.11</v>
      </c>
      <c r="AF5689" s="6">
        <f t="shared" si="890"/>
        <v>0</v>
      </c>
      <c r="AG5689" s="14">
        <v>0</v>
      </c>
      <c r="AH5689" s="64">
        <f t="shared" si="886"/>
        <v>0</v>
      </c>
      <c r="AI5689" s="47"/>
      <c r="AJ5689" s="126" t="e">
        <v>#N/A</v>
      </c>
      <c r="AK5689" s="80">
        <f t="shared" si="889"/>
        <v>0</v>
      </c>
      <c r="AL5689" s="85"/>
      <c r="AM5689" s="85"/>
    </row>
    <row r="5690" spans="1:39" s="86" customFormat="1" ht="13.25" hidden="1" customHeight="1" x14ac:dyDescent="0.3">
      <c r="A5690" s="89" t="s">
        <v>3794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883"/>
        <v>12602.69</v>
      </c>
      <c r="X5690" s="6">
        <f t="shared" si="882"/>
        <v>0</v>
      </c>
      <c r="Y5690" s="13">
        <f t="shared" si="887"/>
        <v>0</v>
      </c>
      <c r="Z5690" s="14">
        <v>0</v>
      </c>
      <c r="AA5690" s="6">
        <v>0</v>
      </c>
      <c r="AB5690" s="4">
        <f t="shared" si="888"/>
        <v>0</v>
      </c>
      <c r="AC5690" s="6">
        <f t="shared" si="884"/>
        <v>0</v>
      </c>
      <c r="AD5690" s="6">
        <f t="shared" si="885"/>
        <v>0</v>
      </c>
      <c r="AE5690" s="14">
        <f>VLOOKUP(I5690,[2]媒体政策预估表!A:N,MATCH(O5690,[2]媒体政策预估表!$A$2:$M$2,0),0)</f>
        <v>0.11</v>
      </c>
      <c r="AF5690" s="6">
        <f t="shared" si="890"/>
        <v>0</v>
      </c>
      <c r="AG5690" s="14">
        <v>0</v>
      </c>
      <c r="AH5690" s="64">
        <f t="shared" si="886"/>
        <v>0</v>
      </c>
      <c r="AI5690" s="47"/>
      <c r="AJ5690" s="126" t="e">
        <v>#N/A</v>
      </c>
      <c r="AK5690" s="80">
        <f t="shared" si="889"/>
        <v>0</v>
      </c>
      <c r="AL5690" s="85"/>
      <c r="AM5690" s="85"/>
    </row>
    <row r="5691" spans="1:39" s="86" customFormat="1" ht="13.25" hidden="1" customHeight="1" x14ac:dyDescent="0.3">
      <c r="A5691" s="89" t="s">
        <v>3794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883"/>
        <v>4718.3999999999996</v>
      </c>
      <c r="X5691" s="6">
        <f t="shared" si="882"/>
        <v>0</v>
      </c>
      <c r="Y5691" s="13">
        <f t="shared" si="887"/>
        <v>0</v>
      </c>
      <c r="Z5691" s="14">
        <v>0</v>
      </c>
      <c r="AA5691" s="6">
        <v>0</v>
      </c>
      <c r="AB5691" s="4">
        <f t="shared" si="888"/>
        <v>0</v>
      </c>
      <c r="AC5691" s="6">
        <f t="shared" si="884"/>
        <v>0</v>
      </c>
      <c r="AD5691" s="6">
        <f t="shared" si="885"/>
        <v>0</v>
      </c>
      <c r="AE5691" s="14">
        <f>VLOOKUP(I5691,[2]媒体政策预估表!A:N,MATCH(O5691,[2]媒体政策预估表!$A$2:$M$2,0),0)</f>
        <v>7.0000000000000007E-2</v>
      </c>
      <c r="AF5691" s="6">
        <f t="shared" si="890"/>
        <v>0</v>
      </c>
      <c r="AG5691" s="14">
        <v>0</v>
      </c>
      <c r="AH5691" s="64">
        <f t="shared" si="886"/>
        <v>0</v>
      </c>
      <c r="AI5691" s="47"/>
      <c r="AJ5691" s="126" t="e">
        <v>#N/A</v>
      </c>
      <c r="AK5691" s="80">
        <f t="shared" si="889"/>
        <v>0</v>
      </c>
      <c r="AL5691" s="85"/>
      <c r="AM5691" s="85"/>
    </row>
    <row r="5692" spans="1:39" s="86" customFormat="1" ht="13.25" hidden="1" customHeight="1" x14ac:dyDescent="0.3">
      <c r="A5692" s="89" t="s">
        <v>3792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883"/>
        <v>253.9</v>
      </c>
      <c r="X5692" s="6">
        <f t="shared" si="882"/>
        <v>0</v>
      </c>
      <c r="Y5692" s="13">
        <f t="shared" si="887"/>
        <v>0</v>
      </c>
      <c r="Z5692" s="14">
        <v>0</v>
      </c>
      <c r="AA5692" s="6">
        <v>0</v>
      </c>
      <c r="AB5692" s="4">
        <f t="shared" si="888"/>
        <v>0</v>
      </c>
      <c r="AC5692" s="6">
        <f t="shared" si="884"/>
        <v>0</v>
      </c>
      <c r="AD5692" s="6">
        <f t="shared" si="885"/>
        <v>0</v>
      </c>
      <c r="AE5692" s="14">
        <f>VLOOKUP(I5692,[2]媒体政策预估表!A:N,MATCH(O5692,[2]媒体政策预估表!$A$2:$M$2,0),0)</f>
        <v>7.0000000000000007E-2</v>
      </c>
      <c r="AF5692" s="6">
        <f t="shared" si="890"/>
        <v>0</v>
      </c>
      <c r="AG5692" s="14">
        <v>0</v>
      </c>
      <c r="AH5692" s="64">
        <f t="shared" si="886"/>
        <v>0</v>
      </c>
      <c r="AI5692" s="47"/>
      <c r="AJ5692" s="126" t="e">
        <v>#N/A</v>
      </c>
      <c r="AK5692" s="80">
        <f t="shared" si="889"/>
        <v>0</v>
      </c>
      <c r="AL5692" s="85"/>
      <c r="AM5692" s="85"/>
    </row>
    <row r="5693" spans="1:39" s="86" customFormat="1" ht="13.25" hidden="1" customHeight="1" x14ac:dyDescent="0.3">
      <c r="A5693" s="89" t="s">
        <v>3792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883"/>
        <v>29251.9</v>
      </c>
      <c r="X5693" s="6">
        <f t="shared" ref="X5693:X5756" si="891">IF(P5693="折扣",V5693*Q5693,IF(P5693="返现",V5693,V5693/(1+Q5693)))</f>
        <v>0</v>
      </c>
      <c r="Y5693" s="13">
        <f t="shared" si="887"/>
        <v>0</v>
      </c>
      <c r="Z5693" s="14">
        <v>0</v>
      </c>
      <c r="AA5693" s="6">
        <v>0</v>
      </c>
      <c r="AB5693" s="4">
        <f t="shared" si="888"/>
        <v>0</v>
      </c>
      <c r="AC5693" s="6">
        <f t="shared" si="884"/>
        <v>0</v>
      </c>
      <c r="AD5693" s="6">
        <f t="shared" si="885"/>
        <v>0</v>
      </c>
      <c r="AE5693" s="14">
        <f>VLOOKUP(I5693,[2]媒体政策预估表!A:N,MATCH(O5693,[2]媒体政策预估表!$A$2:$M$2,0),0)</f>
        <v>7.0000000000000007E-2</v>
      </c>
      <c r="AF5693" s="6">
        <f t="shared" si="890"/>
        <v>0</v>
      </c>
      <c r="AG5693" s="14">
        <v>0</v>
      </c>
      <c r="AH5693" s="64">
        <f t="shared" si="886"/>
        <v>0</v>
      </c>
      <c r="AI5693" s="47"/>
      <c r="AJ5693" s="126" t="e">
        <v>#N/A</v>
      </c>
      <c r="AK5693" s="80">
        <f t="shared" si="889"/>
        <v>0</v>
      </c>
      <c r="AL5693" s="85"/>
      <c r="AM5693" s="85"/>
    </row>
    <row r="5694" spans="1:39" s="86" customFormat="1" ht="13.25" hidden="1" customHeight="1" x14ac:dyDescent="0.3">
      <c r="A5694" s="89" t="s">
        <v>3794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892">T5694+U5694-V5694</f>
        <v>2000</v>
      </c>
      <c r="X5694" s="6">
        <f t="shared" si="891"/>
        <v>0</v>
      </c>
      <c r="Y5694" s="13">
        <f t="shared" si="887"/>
        <v>0</v>
      </c>
      <c r="Z5694" s="14">
        <v>0</v>
      </c>
      <c r="AA5694" s="6">
        <v>0</v>
      </c>
      <c r="AB5694" s="4">
        <f t="shared" si="888"/>
        <v>0</v>
      </c>
      <c r="AC5694" s="6">
        <f t="shared" ref="AC5694:AC5757" si="893">IF(P5694="返现",X5694*Q5694,V5694-X5694)</f>
        <v>0</v>
      </c>
      <c r="AD5694" s="6">
        <f t="shared" ref="AD5694:AD5757" si="894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890"/>
        <v>0</v>
      </c>
      <c r="AG5694" s="14">
        <v>0</v>
      </c>
      <c r="AH5694" s="64">
        <f t="shared" ref="AH5694:AH5757" si="895">V5694</f>
        <v>0</v>
      </c>
      <c r="AI5694" s="47"/>
      <c r="AJ5694" s="126" t="e">
        <v>#N/A</v>
      </c>
      <c r="AK5694" s="80">
        <f t="shared" si="889"/>
        <v>0</v>
      </c>
      <c r="AL5694" s="85"/>
      <c r="AM5694" s="85"/>
    </row>
    <row r="5695" spans="1:39" s="86" customFormat="1" ht="13.25" hidden="1" customHeight="1" x14ac:dyDescent="0.3">
      <c r="A5695" s="89" t="s">
        <v>3806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892"/>
        <v>43170.3</v>
      </c>
      <c r="X5695" s="6">
        <f t="shared" si="891"/>
        <v>0</v>
      </c>
      <c r="Y5695" s="13">
        <f t="shared" si="887"/>
        <v>0</v>
      </c>
      <c r="Z5695" s="14">
        <v>0</v>
      </c>
      <c r="AA5695" s="6">
        <v>0</v>
      </c>
      <c r="AB5695" s="4">
        <f t="shared" si="888"/>
        <v>0</v>
      </c>
      <c r="AC5695" s="6">
        <f t="shared" si="893"/>
        <v>0</v>
      </c>
      <c r="AD5695" s="6">
        <f t="shared" si="894"/>
        <v>0</v>
      </c>
      <c r="AE5695" s="14">
        <f>VLOOKUP(I5695,[2]媒体政策预估表!A:N,MATCH(O5695,[2]媒体政策预估表!$A$2:$M$2,0),0)</f>
        <v>7.0000000000000007E-2</v>
      </c>
      <c r="AF5695" s="6">
        <f t="shared" si="890"/>
        <v>0</v>
      </c>
      <c r="AG5695" s="14">
        <v>0</v>
      </c>
      <c r="AH5695" s="64">
        <f t="shared" si="895"/>
        <v>0</v>
      </c>
      <c r="AI5695" s="47"/>
      <c r="AJ5695" s="126" t="e">
        <v>#N/A</v>
      </c>
      <c r="AK5695" s="80">
        <f t="shared" si="889"/>
        <v>0</v>
      </c>
      <c r="AL5695" s="85"/>
      <c r="AM5695" s="85"/>
    </row>
    <row r="5696" spans="1:39" s="86" customFormat="1" ht="13.25" hidden="1" customHeight="1" x14ac:dyDescent="0.3">
      <c r="A5696" s="89" t="s">
        <v>3792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892"/>
        <v>10000</v>
      </c>
      <c r="X5696" s="6">
        <f t="shared" si="891"/>
        <v>0</v>
      </c>
      <c r="Y5696" s="13">
        <f t="shared" si="887"/>
        <v>0</v>
      </c>
      <c r="Z5696" s="14">
        <v>0</v>
      </c>
      <c r="AA5696" s="6">
        <v>0</v>
      </c>
      <c r="AB5696" s="4">
        <f t="shared" si="888"/>
        <v>0</v>
      </c>
      <c r="AC5696" s="6">
        <f t="shared" si="893"/>
        <v>0</v>
      </c>
      <c r="AD5696" s="6">
        <f t="shared" si="894"/>
        <v>0</v>
      </c>
      <c r="AE5696" s="14">
        <f>VLOOKUP(I5696,[2]媒体政策预估表!A:N,MATCH(O5696,[2]媒体政策预估表!$A$2:$M$2,0),0)</f>
        <v>7.0000000000000007E-2</v>
      </c>
      <c r="AF5696" s="6">
        <f t="shared" si="890"/>
        <v>0</v>
      </c>
      <c r="AG5696" s="14">
        <v>0</v>
      </c>
      <c r="AH5696" s="64">
        <f t="shared" si="895"/>
        <v>0</v>
      </c>
      <c r="AI5696" s="47"/>
      <c r="AJ5696" s="126" t="e">
        <v>#N/A</v>
      </c>
      <c r="AK5696" s="80">
        <f t="shared" si="889"/>
        <v>0</v>
      </c>
      <c r="AL5696" s="85"/>
      <c r="AM5696" s="85"/>
    </row>
    <row r="5697" spans="1:39" s="86" customFormat="1" ht="13.25" hidden="1" customHeight="1" x14ac:dyDescent="0.3">
      <c r="A5697" s="89" t="s">
        <v>3794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892"/>
        <v>10398.74</v>
      </c>
      <c r="X5697" s="6">
        <f t="shared" si="891"/>
        <v>0</v>
      </c>
      <c r="Y5697" s="13">
        <f t="shared" si="887"/>
        <v>0</v>
      </c>
      <c r="Z5697" s="14">
        <v>0</v>
      </c>
      <c r="AA5697" s="6">
        <v>0</v>
      </c>
      <c r="AB5697" s="4">
        <f t="shared" si="888"/>
        <v>0</v>
      </c>
      <c r="AC5697" s="6">
        <f t="shared" si="893"/>
        <v>0</v>
      </c>
      <c r="AD5697" s="6">
        <f t="shared" si="894"/>
        <v>0</v>
      </c>
      <c r="AE5697" s="14">
        <f>VLOOKUP(I5697,[2]媒体政策预估表!A:N,MATCH(O5697,[2]媒体政策预估表!$A$2:$M$2,0),0)</f>
        <v>0.11</v>
      </c>
      <c r="AF5697" s="6">
        <f t="shared" si="890"/>
        <v>0</v>
      </c>
      <c r="AG5697" s="14">
        <v>0</v>
      </c>
      <c r="AH5697" s="64">
        <f t="shared" si="895"/>
        <v>0</v>
      </c>
      <c r="AI5697" s="47"/>
      <c r="AJ5697" s="126" t="e">
        <v>#N/A</v>
      </c>
      <c r="AK5697" s="80">
        <f t="shared" si="889"/>
        <v>0</v>
      </c>
      <c r="AL5697" s="85"/>
      <c r="AM5697" s="85"/>
    </row>
    <row r="5698" spans="1:39" s="86" customFormat="1" ht="13.25" hidden="1" customHeight="1" x14ac:dyDescent="0.3">
      <c r="A5698" s="89" t="s">
        <v>3794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892"/>
        <v>12179.5</v>
      </c>
      <c r="X5698" s="6">
        <f t="shared" si="891"/>
        <v>0</v>
      </c>
      <c r="Y5698" s="13">
        <f t="shared" si="887"/>
        <v>0</v>
      </c>
      <c r="Z5698" s="14">
        <v>0</v>
      </c>
      <c r="AA5698" s="6">
        <v>0</v>
      </c>
      <c r="AB5698" s="4">
        <f t="shared" si="888"/>
        <v>0</v>
      </c>
      <c r="AC5698" s="6">
        <f t="shared" si="893"/>
        <v>0</v>
      </c>
      <c r="AD5698" s="6">
        <f t="shared" si="894"/>
        <v>0</v>
      </c>
      <c r="AE5698" s="14">
        <f>VLOOKUP(I5698,[2]媒体政策预估表!A:N,MATCH(O5698,[2]媒体政策预估表!$A$2:$M$2,0),0)</f>
        <v>7.0000000000000007E-2</v>
      </c>
      <c r="AF5698" s="6">
        <f t="shared" si="890"/>
        <v>0</v>
      </c>
      <c r="AG5698" s="14">
        <v>0</v>
      </c>
      <c r="AH5698" s="64">
        <f t="shared" si="895"/>
        <v>0</v>
      </c>
      <c r="AI5698" s="47"/>
      <c r="AJ5698" s="126" t="e">
        <v>#N/A</v>
      </c>
      <c r="AK5698" s="80">
        <f t="shared" si="889"/>
        <v>0</v>
      </c>
      <c r="AL5698" s="85"/>
      <c r="AM5698" s="85"/>
    </row>
    <row r="5699" spans="1:39" s="86" customFormat="1" ht="13.25" hidden="1" customHeight="1" x14ac:dyDescent="0.3">
      <c r="A5699" s="89" t="s">
        <v>3806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892"/>
        <v>4625.51</v>
      </c>
      <c r="X5699" s="6">
        <f t="shared" si="891"/>
        <v>0</v>
      </c>
      <c r="Y5699" s="13">
        <f t="shared" ref="Y5699:Y5762" si="896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897">X5699+AA5699</f>
        <v>0</v>
      </c>
      <c r="AC5699" s="6">
        <f t="shared" si="893"/>
        <v>0</v>
      </c>
      <c r="AD5699" s="6">
        <f t="shared" si="894"/>
        <v>0</v>
      </c>
      <c r="AE5699" s="14">
        <f>VLOOKUP(I5699,[2]媒体政策预估表!A:N,MATCH(O5699,[2]媒体政策预估表!$A$2:$M$2,0),0)</f>
        <v>0.11</v>
      </c>
      <c r="AF5699" s="6">
        <f t="shared" si="890"/>
        <v>0</v>
      </c>
      <c r="AG5699" s="14">
        <v>0</v>
      </c>
      <c r="AH5699" s="64">
        <f t="shared" si="895"/>
        <v>0</v>
      </c>
      <c r="AI5699" s="47"/>
      <c r="AJ5699" s="126" t="e">
        <v>#N/A</v>
      </c>
      <c r="AK5699" s="80">
        <f t="shared" ref="AK5699:AK5762" si="898">X5699+AA5699-AB5699</f>
        <v>0</v>
      </c>
      <c r="AL5699" s="85"/>
      <c r="AM5699" s="85"/>
    </row>
    <row r="5700" spans="1:39" s="86" customFormat="1" ht="13.25" hidden="1" customHeight="1" x14ac:dyDescent="0.3">
      <c r="A5700" s="89" t="s">
        <v>3852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892"/>
        <v>8223.7000000000007</v>
      </c>
      <c r="X5700" s="6">
        <f t="shared" si="891"/>
        <v>0</v>
      </c>
      <c r="Y5700" s="13">
        <f t="shared" si="896"/>
        <v>0</v>
      </c>
      <c r="Z5700" s="14">
        <v>0</v>
      </c>
      <c r="AA5700" s="6">
        <v>0</v>
      </c>
      <c r="AB5700" s="4">
        <f t="shared" si="897"/>
        <v>0</v>
      </c>
      <c r="AC5700" s="6">
        <f t="shared" si="893"/>
        <v>0</v>
      </c>
      <c r="AD5700" s="6">
        <f t="shared" si="894"/>
        <v>0</v>
      </c>
      <c r="AE5700" s="14">
        <f>VLOOKUP(I5700,[2]媒体政策预估表!A:N,MATCH(O5700,[2]媒体政策预估表!$A$2:$M$2,0),0)</f>
        <v>7.0000000000000007E-2</v>
      </c>
      <c r="AF5700" s="6">
        <f t="shared" si="890"/>
        <v>0</v>
      </c>
      <c r="AG5700" s="14">
        <v>0</v>
      </c>
      <c r="AH5700" s="64">
        <f t="shared" si="895"/>
        <v>0</v>
      </c>
      <c r="AI5700" s="47"/>
      <c r="AJ5700" s="126" t="e">
        <v>#N/A</v>
      </c>
      <c r="AK5700" s="80">
        <f t="shared" si="898"/>
        <v>0</v>
      </c>
      <c r="AL5700" s="85"/>
      <c r="AM5700" s="85"/>
    </row>
    <row r="5701" spans="1:39" s="86" customFormat="1" ht="13.25" hidden="1" customHeight="1" x14ac:dyDescent="0.3">
      <c r="A5701" s="89" t="s">
        <v>3794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892"/>
        <v>2453</v>
      </c>
      <c r="X5701" s="6">
        <f t="shared" si="891"/>
        <v>0</v>
      </c>
      <c r="Y5701" s="13">
        <f t="shared" si="896"/>
        <v>0</v>
      </c>
      <c r="Z5701" s="14">
        <v>0</v>
      </c>
      <c r="AA5701" s="6">
        <v>0</v>
      </c>
      <c r="AB5701" s="4">
        <f t="shared" si="897"/>
        <v>0</v>
      </c>
      <c r="AC5701" s="6">
        <f t="shared" si="893"/>
        <v>0</v>
      </c>
      <c r="AD5701" s="6">
        <f t="shared" si="894"/>
        <v>0</v>
      </c>
      <c r="AE5701" s="14">
        <f>VLOOKUP(I5701,[2]媒体政策预估表!A:N,MATCH(O5701,[2]媒体政策预估表!$A$2:$M$2,0),0)</f>
        <v>7.0000000000000007E-2</v>
      </c>
      <c r="AF5701" s="6">
        <f t="shared" si="890"/>
        <v>0</v>
      </c>
      <c r="AG5701" s="14">
        <v>0</v>
      </c>
      <c r="AH5701" s="64">
        <f t="shared" si="895"/>
        <v>0</v>
      </c>
      <c r="AI5701" s="47"/>
      <c r="AJ5701" s="126" t="e">
        <v>#N/A</v>
      </c>
      <c r="AK5701" s="80">
        <f t="shared" si="898"/>
        <v>0</v>
      </c>
      <c r="AL5701" s="85"/>
      <c r="AM5701" s="85"/>
    </row>
    <row r="5702" spans="1:39" s="86" customFormat="1" ht="13.25" hidden="1" customHeight="1" x14ac:dyDescent="0.3">
      <c r="A5702" s="89" t="s">
        <v>3792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892"/>
        <v>9703.2000000000007</v>
      </c>
      <c r="X5702" s="6">
        <f t="shared" si="891"/>
        <v>0</v>
      </c>
      <c r="Y5702" s="13">
        <f t="shared" si="896"/>
        <v>0</v>
      </c>
      <c r="Z5702" s="14">
        <v>0</v>
      </c>
      <c r="AA5702" s="6">
        <v>0</v>
      </c>
      <c r="AB5702" s="4">
        <f t="shared" si="897"/>
        <v>0</v>
      </c>
      <c r="AC5702" s="6">
        <f t="shared" si="893"/>
        <v>0</v>
      </c>
      <c r="AD5702" s="6">
        <f t="shared" si="894"/>
        <v>0</v>
      </c>
      <c r="AE5702" s="14">
        <f>VLOOKUP(I5702,[2]媒体政策预估表!A:N,MATCH(O5702,[2]媒体政策预估表!$A$2:$M$2,0),0)</f>
        <v>7.0000000000000007E-2</v>
      </c>
      <c r="AF5702" s="6">
        <f t="shared" si="890"/>
        <v>0</v>
      </c>
      <c r="AG5702" s="14">
        <v>0</v>
      </c>
      <c r="AH5702" s="64">
        <f t="shared" si="895"/>
        <v>0</v>
      </c>
      <c r="AI5702" s="47"/>
      <c r="AJ5702" s="126" t="e">
        <v>#N/A</v>
      </c>
      <c r="AK5702" s="80">
        <f t="shared" si="898"/>
        <v>0</v>
      </c>
      <c r="AL5702" s="85"/>
      <c r="AM5702" s="85"/>
    </row>
    <row r="5703" spans="1:39" s="86" customFormat="1" ht="13.25" hidden="1" customHeight="1" x14ac:dyDescent="0.3">
      <c r="A5703" s="89" t="s">
        <v>3806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892"/>
        <v>10200</v>
      </c>
      <c r="X5703" s="6">
        <f t="shared" si="891"/>
        <v>0</v>
      </c>
      <c r="Y5703" s="13">
        <f t="shared" si="896"/>
        <v>0</v>
      </c>
      <c r="Z5703" s="14">
        <v>0</v>
      </c>
      <c r="AA5703" s="6">
        <v>0</v>
      </c>
      <c r="AB5703" s="4">
        <f t="shared" si="897"/>
        <v>0</v>
      </c>
      <c r="AC5703" s="6">
        <f t="shared" si="893"/>
        <v>0</v>
      </c>
      <c r="AD5703" s="6">
        <f t="shared" si="894"/>
        <v>0</v>
      </c>
      <c r="AE5703" s="14">
        <f>VLOOKUP(I5703,[2]媒体政策预估表!A:N,MATCH(O5703,[2]媒体政策预估表!$A$2:$M$2,0),0)</f>
        <v>7.0000000000000007E-2</v>
      </c>
      <c r="AF5703" s="6">
        <f t="shared" si="890"/>
        <v>0</v>
      </c>
      <c r="AG5703" s="14">
        <v>0</v>
      </c>
      <c r="AH5703" s="64">
        <f t="shared" si="895"/>
        <v>0</v>
      </c>
      <c r="AI5703" s="47"/>
      <c r="AJ5703" s="126" t="e">
        <v>#N/A</v>
      </c>
      <c r="AK5703" s="80">
        <f t="shared" si="898"/>
        <v>0</v>
      </c>
      <c r="AL5703" s="85"/>
      <c r="AM5703" s="85"/>
    </row>
    <row r="5704" spans="1:39" s="86" customFormat="1" ht="13.25" hidden="1" customHeight="1" x14ac:dyDescent="0.3">
      <c r="A5704" s="89" t="s">
        <v>3794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892"/>
        <v>272.2</v>
      </c>
      <c r="X5704" s="6">
        <f t="shared" si="891"/>
        <v>0</v>
      </c>
      <c r="Y5704" s="13">
        <f t="shared" si="896"/>
        <v>0</v>
      </c>
      <c r="Z5704" s="14">
        <v>0</v>
      </c>
      <c r="AA5704" s="6">
        <v>0</v>
      </c>
      <c r="AB5704" s="4">
        <f t="shared" si="897"/>
        <v>0</v>
      </c>
      <c r="AC5704" s="6">
        <f t="shared" si="893"/>
        <v>0</v>
      </c>
      <c r="AD5704" s="6">
        <f t="shared" si="894"/>
        <v>0</v>
      </c>
      <c r="AE5704" s="14">
        <f>VLOOKUP(I5704,[2]媒体政策预估表!A:N,MATCH(O5704,[2]媒体政策预估表!$A$2:$M$2,0),0)</f>
        <v>0.11</v>
      </c>
      <c r="AF5704" s="6">
        <f t="shared" si="890"/>
        <v>0</v>
      </c>
      <c r="AG5704" s="14">
        <v>0</v>
      </c>
      <c r="AH5704" s="64">
        <f t="shared" si="895"/>
        <v>0</v>
      </c>
      <c r="AI5704" s="47"/>
      <c r="AJ5704" s="126" t="e">
        <v>#N/A</v>
      </c>
      <c r="AK5704" s="80">
        <f t="shared" si="898"/>
        <v>0</v>
      </c>
      <c r="AL5704" s="85"/>
      <c r="AM5704" s="85"/>
    </row>
    <row r="5705" spans="1:39" s="86" customFormat="1" ht="13.25" hidden="1" customHeight="1" x14ac:dyDescent="0.3">
      <c r="A5705" s="89" t="s">
        <v>3794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892"/>
        <v>6212.97</v>
      </c>
      <c r="X5705" s="6">
        <f t="shared" si="891"/>
        <v>0</v>
      </c>
      <c r="Y5705" s="13">
        <f t="shared" si="896"/>
        <v>0</v>
      </c>
      <c r="Z5705" s="14">
        <v>0</v>
      </c>
      <c r="AA5705" s="6">
        <v>0</v>
      </c>
      <c r="AB5705" s="4">
        <f t="shared" si="897"/>
        <v>0</v>
      </c>
      <c r="AC5705" s="6">
        <f t="shared" si="893"/>
        <v>0</v>
      </c>
      <c r="AD5705" s="6">
        <f t="shared" si="894"/>
        <v>0</v>
      </c>
      <c r="AE5705" s="14">
        <f>VLOOKUP(I5705,[2]媒体政策预估表!A:N,MATCH(O5705,[2]媒体政策预估表!$A$2:$M$2,0),0)</f>
        <v>7.0000000000000007E-2</v>
      </c>
      <c r="AF5705" s="6">
        <f t="shared" si="890"/>
        <v>0</v>
      </c>
      <c r="AG5705" s="14">
        <v>0</v>
      </c>
      <c r="AH5705" s="64">
        <f t="shared" si="895"/>
        <v>0</v>
      </c>
      <c r="AI5705" s="47"/>
      <c r="AJ5705" s="126" t="e">
        <v>#N/A</v>
      </c>
      <c r="AK5705" s="80">
        <f t="shared" si="898"/>
        <v>0</v>
      </c>
      <c r="AL5705" s="85"/>
      <c r="AM5705" s="85"/>
    </row>
    <row r="5706" spans="1:39" s="86" customFormat="1" ht="13.25" hidden="1" customHeight="1" x14ac:dyDescent="0.3">
      <c r="A5706" s="89" t="s">
        <v>3806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892"/>
        <v>4982</v>
      </c>
      <c r="X5706" s="6">
        <f t="shared" si="891"/>
        <v>0</v>
      </c>
      <c r="Y5706" s="13">
        <f t="shared" si="896"/>
        <v>0</v>
      </c>
      <c r="Z5706" s="14">
        <v>0</v>
      </c>
      <c r="AA5706" s="6">
        <v>0</v>
      </c>
      <c r="AB5706" s="4">
        <f t="shared" si="897"/>
        <v>0</v>
      </c>
      <c r="AC5706" s="6">
        <f t="shared" si="893"/>
        <v>0</v>
      </c>
      <c r="AD5706" s="6">
        <f t="shared" si="894"/>
        <v>0</v>
      </c>
      <c r="AE5706" s="14">
        <f>VLOOKUP(I5706,[2]媒体政策预估表!A:N,MATCH(O5706,[2]媒体政策预估表!$A$2:$M$2,0),0)</f>
        <v>0.11</v>
      </c>
      <c r="AF5706" s="6">
        <f t="shared" si="890"/>
        <v>0</v>
      </c>
      <c r="AG5706" s="14">
        <v>0</v>
      </c>
      <c r="AH5706" s="64">
        <f t="shared" si="895"/>
        <v>0</v>
      </c>
      <c r="AI5706" s="47"/>
      <c r="AJ5706" s="126" t="e">
        <v>#N/A</v>
      </c>
      <c r="AK5706" s="80">
        <f t="shared" si="898"/>
        <v>0</v>
      </c>
      <c r="AL5706" s="85"/>
      <c r="AM5706" s="85"/>
    </row>
    <row r="5707" spans="1:39" s="86" customFormat="1" ht="13.25" hidden="1" customHeight="1" x14ac:dyDescent="0.3">
      <c r="A5707" s="89" t="s">
        <v>3792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892"/>
        <v>10184.5</v>
      </c>
      <c r="X5707" s="6">
        <f t="shared" si="891"/>
        <v>0</v>
      </c>
      <c r="Y5707" s="13">
        <f t="shared" si="896"/>
        <v>0</v>
      </c>
      <c r="Z5707" s="14">
        <v>0</v>
      </c>
      <c r="AA5707" s="6">
        <v>0</v>
      </c>
      <c r="AB5707" s="4">
        <f t="shared" si="897"/>
        <v>0</v>
      </c>
      <c r="AC5707" s="6">
        <f t="shared" si="893"/>
        <v>0</v>
      </c>
      <c r="AD5707" s="6">
        <f t="shared" si="894"/>
        <v>0</v>
      </c>
      <c r="AE5707" s="14">
        <f>VLOOKUP(I5707,[2]媒体政策预估表!A:N,MATCH(O5707,[2]媒体政策预估表!$A$2:$M$2,0),0)</f>
        <v>7.0000000000000007E-2</v>
      </c>
      <c r="AF5707" s="6">
        <f t="shared" si="890"/>
        <v>0</v>
      </c>
      <c r="AG5707" s="14">
        <v>0</v>
      </c>
      <c r="AH5707" s="64">
        <f t="shared" si="895"/>
        <v>0</v>
      </c>
      <c r="AI5707" s="47"/>
      <c r="AJ5707" s="126" t="e">
        <v>#N/A</v>
      </c>
      <c r="AK5707" s="80">
        <f t="shared" si="898"/>
        <v>0</v>
      </c>
      <c r="AL5707" s="85"/>
      <c r="AM5707" s="85"/>
    </row>
    <row r="5708" spans="1:39" s="86" customFormat="1" ht="13.25" hidden="1" customHeight="1" x14ac:dyDescent="0.3">
      <c r="A5708" s="89" t="s">
        <v>3794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892"/>
        <v>1779.71</v>
      </c>
      <c r="X5708" s="6">
        <f t="shared" si="891"/>
        <v>0</v>
      </c>
      <c r="Y5708" s="13">
        <f t="shared" si="896"/>
        <v>0</v>
      </c>
      <c r="Z5708" s="14">
        <v>0</v>
      </c>
      <c r="AA5708" s="6">
        <v>0</v>
      </c>
      <c r="AB5708" s="4">
        <f t="shared" si="897"/>
        <v>0</v>
      </c>
      <c r="AC5708" s="6">
        <f t="shared" si="893"/>
        <v>0</v>
      </c>
      <c r="AD5708" s="6">
        <f t="shared" si="894"/>
        <v>0</v>
      </c>
      <c r="AE5708" s="14">
        <f>VLOOKUP(I5708,[2]媒体政策预估表!A:N,MATCH(O5708,[2]媒体政策预估表!$A$2:$M$2,0),0)</f>
        <v>7.0000000000000007E-2</v>
      </c>
      <c r="AF5708" s="6">
        <f t="shared" si="890"/>
        <v>0</v>
      </c>
      <c r="AG5708" s="14">
        <v>0</v>
      </c>
      <c r="AH5708" s="64">
        <f t="shared" si="895"/>
        <v>0</v>
      </c>
      <c r="AI5708" s="47"/>
      <c r="AJ5708" s="126" t="e">
        <v>#N/A</v>
      </c>
      <c r="AK5708" s="80">
        <f t="shared" si="898"/>
        <v>0</v>
      </c>
      <c r="AL5708" s="85"/>
      <c r="AM5708" s="85"/>
    </row>
    <row r="5709" spans="1:39" s="86" customFormat="1" ht="13.25" hidden="1" customHeight="1" x14ac:dyDescent="0.3">
      <c r="A5709" s="89" t="s">
        <v>3794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892"/>
        <v>1651.5</v>
      </c>
      <c r="X5709" s="6">
        <f t="shared" si="891"/>
        <v>0</v>
      </c>
      <c r="Y5709" s="13">
        <f t="shared" si="896"/>
        <v>0</v>
      </c>
      <c r="Z5709" s="14">
        <v>0</v>
      </c>
      <c r="AA5709" s="6">
        <v>0</v>
      </c>
      <c r="AB5709" s="4"/>
      <c r="AC5709" s="6">
        <f t="shared" si="893"/>
        <v>0</v>
      </c>
      <c r="AD5709" s="6">
        <f t="shared" si="894"/>
        <v>0</v>
      </c>
      <c r="AE5709" s="14">
        <f>VLOOKUP(I5709,[2]媒体政策预估表!A:N,MATCH(O5709,[2]媒体政策预估表!$A$2:$M$2,0),0)</f>
        <v>0.11</v>
      </c>
      <c r="AF5709" s="6">
        <f t="shared" si="890"/>
        <v>0</v>
      </c>
      <c r="AG5709" s="14">
        <v>0</v>
      </c>
      <c r="AH5709" s="64">
        <f t="shared" si="895"/>
        <v>0</v>
      </c>
      <c r="AI5709" s="47"/>
      <c r="AJ5709" s="126">
        <v>16</v>
      </c>
      <c r="AK5709" s="80">
        <f t="shared" si="898"/>
        <v>0</v>
      </c>
      <c r="AL5709" s="85"/>
      <c r="AM5709" s="85"/>
    </row>
    <row r="5710" spans="1:39" s="86" customFormat="1" ht="13.25" hidden="1" customHeight="1" x14ac:dyDescent="0.3">
      <c r="A5710" s="89" t="s">
        <v>3794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892"/>
        <v>5296.7</v>
      </c>
      <c r="X5710" s="6">
        <f t="shared" si="891"/>
        <v>0</v>
      </c>
      <c r="Y5710" s="13">
        <f t="shared" si="896"/>
        <v>0</v>
      </c>
      <c r="Z5710" s="14">
        <v>0</v>
      </c>
      <c r="AA5710" s="6">
        <v>0</v>
      </c>
      <c r="AB5710" s="4">
        <f t="shared" si="897"/>
        <v>0</v>
      </c>
      <c r="AC5710" s="6">
        <f t="shared" si="893"/>
        <v>0</v>
      </c>
      <c r="AD5710" s="6">
        <f t="shared" si="894"/>
        <v>0</v>
      </c>
      <c r="AE5710" s="14">
        <f>VLOOKUP(I5710,[2]媒体政策预估表!A:N,MATCH(O5710,[2]媒体政策预估表!$A$2:$M$2,0),0)</f>
        <v>7.0000000000000007E-2</v>
      </c>
      <c r="AF5710" s="6">
        <f t="shared" si="890"/>
        <v>0</v>
      </c>
      <c r="AG5710" s="14">
        <v>0</v>
      </c>
      <c r="AH5710" s="64">
        <f t="shared" si="895"/>
        <v>0</v>
      </c>
      <c r="AI5710" s="47"/>
      <c r="AJ5710" s="126" t="e">
        <v>#N/A</v>
      </c>
      <c r="AK5710" s="80">
        <f t="shared" si="898"/>
        <v>0</v>
      </c>
      <c r="AL5710" s="85"/>
      <c r="AM5710" s="85"/>
    </row>
    <row r="5711" spans="1:39" s="86" customFormat="1" ht="13.25" hidden="1" customHeight="1" x14ac:dyDescent="0.3">
      <c r="A5711" s="89" t="s">
        <v>3852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892"/>
        <v>44382.7</v>
      </c>
      <c r="X5711" s="6">
        <f t="shared" si="891"/>
        <v>0</v>
      </c>
      <c r="Y5711" s="13">
        <f t="shared" si="896"/>
        <v>0</v>
      </c>
      <c r="Z5711" s="14">
        <v>0</v>
      </c>
      <c r="AA5711" s="6">
        <v>0</v>
      </c>
      <c r="AB5711" s="4">
        <f t="shared" si="897"/>
        <v>0</v>
      </c>
      <c r="AC5711" s="6">
        <f t="shared" si="893"/>
        <v>0</v>
      </c>
      <c r="AD5711" s="6">
        <f t="shared" si="894"/>
        <v>0</v>
      </c>
      <c r="AE5711" s="14">
        <f>VLOOKUP(I5711,[2]媒体政策预估表!A:N,MATCH(O5711,[2]媒体政策预估表!$A$2:$M$2,0),0)</f>
        <v>7.0000000000000007E-2</v>
      </c>
      <c r="AF5711" s="6">
        <f t="shared" si="890"/>
        <v>0</v>
      </c>
      <c r="AG5711" s="14">
        <v>0</v>
      </c>
      <c r="AH5711" s="64">
        <f t="shared" si="895"/>
        <v>0</v>
      </c>
      <c r="AI5711" s="47"/>
      <c r="AJ5711" s="126" t="e">
        <v>#N/A</v>
      </c>
      <c r="AK5711" s="80">
        <f t="shared" si="898"/>
        <v>0</v>
      </c>
      <c r="AL5711" s="85"/>
      <c r="AM5711" s="85"/>
    </row>
    <row r="5712" spans="1:39" s="86" customFormat="1" ht="13.25" hidden="1" customHeight="1" x14ac:dyDescent="0.3">
      <c r="A5712" s="89" t="s">
        <v>3794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892"/>
        <v>653.5</v>
      </c>
      <c r="X5712" s="6">
        <f t="shared" si="891"/>
        <v>0</v>
      </c>
      <c r="Y5712" s="13">
        <f t="shared" si="896"/>
        <v>0</v>
      </c>
      <c r="Z5712" s="14">
        <v>0</v>
      </c>
      <c r="AA5712" s="6">
        <v>0</v>
      </c>
      <c r="AB5712" s="4">
        <f t="shared" si="897"/>
        <v>0</v>
      </c>
      <c r="AC5712" s="6">
        <f t="shared" si="893"/>
        <v>0</v>
      </c>
      <c r="AD5712" s="6">
        <f t="shared" si="894"/>
        <v>0</v>
      </c>
      <c r="AE5712" s="14">
        <f>VLOOKUP(I5712,[2]媒体政策预估表!A:N,MATCH(O5712,[2]媒体政策预估表!$A$2:$M$2,0),0)</f>
        <v>7.0000000000000007E-2</v>
      </c>
      <c r="AF5712" s="6">
        <f t="shared" si="890"/>
        <v>0</v>
      </c>
      <c r="AG5712" s="14">
        <v>0</v>
      </c>
      <c r="AH5712" s="64">
        <f t="shared" si="895"/>
        <v>0</v>
      </c>
      <c r="AI5712" s="47"/>
      <c r="AJ5712" s="126" t="e">
        <v>#N/A</v>
      </c>
      <c r="AK5712" s="80">
        <f t="shared" si="898"/>
        <v>0</v>
      </c>
      <c r="AL5712" s="85"/>
      <c r="AM5712" s="85"/>
    </row>
    <row r="5713" spans="1:39" s="86" customFormat="1" ht="13.25" hidden="1" customHeight="1" x14ac:dyDescent="0.3">
      <c r="A5713" s="89" t="s">
        <v>3794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892"/>
        <v>3515.75</v>
      </c>
      <c r="X5713" s="6">
        <f t="shared" si="891"/>
        <v>0</v>
      </c>
      <c r="Y5713" s="13">
        <f t="shared" si="896"/>
        <v>0</v>
      </c>
      <c r="Z5713" s="14">
        <v>0</v>
      </c>
      <c r="AA5713" s="6">
        <v>0</v>
      </c>
      <c r="AB5713" s="4"/>
      <c r="AC5713" s="6">
        <f t="shared" si="893"/>
        <v>0</v>
      </c>
      <c r="AD5713" s="6">
        <f t="shared" si="894"/>
        <v>0</v>
      </c>
      <c r="AE5713" s="14">
        <f>VLOOKUP(I5713,[2]媒体政策预估表!A:N,MATCH(O5713,[2]媒体政策预估表!$A$2:$M$2,0),0)</f>
        <v>0.11</v>
      </c>
      <c r="AF5713" s="6">
        <f t="shared" si="890"/>
        <v>0</v>
      </c>
      <c r="AG5713" s="14">
        <v>0</v>
      </c>
      <c r="AH5713" s="64">
        <f t="shared" si="895"/>
        <v>0</v>
      </c>
      <c r="AI5713" s="47"/>
      <c r="AJ5713" s="126">
        <v>1</v>
      </c>
      <c r="AK5713" s="80">
        <f t="shared" si="898"/>
        <v>0</v>
      </c>
      <c r="AL5713" s="85"/>
      <c r="AM5713" s="85"/>
    </row>
    <row r="5714" spans="1:39" s="86" customFormat="1" ht="13.25" hidden="1" customHeight="1" x14ac:dyDescent="0.3">
      <c r="A5714" s="89" t="s">
        <v>3792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892"/>
        <v>7.25</v>
      </c>
      <c r="X5714" s="6">
        <f t="shared" si="891"/>
        <v>0</v>
      </c>
      <c r="Y5714" s="13">
        <f t="shared" si="896"/>
        <v>0</v>
      </c>
      <c r="Z5714" s="14">
        <v>0</v>
      </c>
      <c r="AA5714" s="6">
        <v>0</v>
      </c>
      <c r="AB5714" s="4"/>
      <c r="AC5714" s="6">
        <f t="shared" si="893"/>
        <v>0</v>
      </c>
      <c r="AD5714" s="6">
        <f t="shared" si="894"/>
        <v>0</v>
      </c>
      <c r="AE5714" s="14">
        <f>VLOOKUP(I5714,[2]媒体政策预估表!A:N,MATCH(O5714,[2]媒体政策预估表!$A$2:$M$2,0),0)</f>
        <v>0.11</v>
      </c>
      <c r="AF5714" s="6">
        <f t="shared" si="890"/>
        <v>0</v>
      </c>
      <c r="AG5714" s="14">
        <v>0</v>
      </c>
      <c r="AH5714" s="64">
        <f t="shared" si="895"/>
        <v>0</v>
      </c>
      <c r="AI5714" s="47"/>
      <c r="AJ5714" s="126">
        <v>1</v>
      </c>
      <c r="AK5714" s="80">
        <f t="shared" si="898"/>
        <v>0</v>
      </c>
      <c r="AL5714" s="85"/>
      <c r="AM5714" s="85"/>
    </row>
    <row r="5715" spans="1:39" s="86" customFormat="1" ht="13.25" hidden="1" customHeight="1" x14ac:dyDescent="0.3">
      <c r="A5715" s="89" t="s">
        <v>3792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892"/>
        <v>4515.43</v>
      </c>
      <c r="X5715" s="6">
        <f t="shared" si="891"/>
        <v>0</v>
      </c>
      <c r="Y5715" s="13">
        <f t="shared" si="896"/>
        <v>0</v>
      </c>
      <c r="Z5715" s="14">
        <v>0</v>
      </c>
      <c r="AA5715" s="6">
        <v>0</v>
      </c>
      <c r="AB5715" s="4"/>
      <c r="AC5715" s="6">
        <f t="shared" si="893"/>
        <v>0</v>
      </c>
      <c r="AD5715" s="6">
        <f t="shared" si="894"/>
        <v>0</v>
      </c>
      <c r="AE5715" s="14">
        <f>VLOOKUP(I5715,[2]媒体政策预估表!A:N,MATCH(O5715,[2]媒体政策预估表!$A$2:$M$2,0),0)</f>
        <v>0.11</v>
      </c>
      <c r="AF5715" s="6">
        <f t="shared" si="890"/>
        <v>0</v>
      </c>
      <c r="AG5715" s="14">
        <v>0</v>
      </c>
      <c r="AH5715" s="64">
        <f t="shared" si="895"/>
        <v>0</v>
      </c>
      <c r="AI5715" s="47"/>
      <c r="AJ5715" s="126">
        <v>1</v>
      </c>
      <c r="AK5715" s="80">
        <f t="shared" si="898"/>
        <v>0</v>
      </c>
      <c r="AL5715" s="85"/>
      <c r="AM5715" s="85"/>
    </row>
    <row r="5716" spans="1:39" s="86" customFormat="1" ht="13.25" hidden="1" customHeight="1" x14ac:dyDescent="0.3">
      <c r="A5716" s="89" t="s">
        <v>3794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892"/>
        <v>10100.4</v>
      </c>
      <c r="X5716" s="6">
        <f t="shared" si="891"/>
        <v>0</v>
      </c>
      <c r="Y5716" s="13">
        <f t="shared" si="896"/>
        <v>0</v>
      </c>
      <c r="Z5716" s="14">
        <v>0</v>
      </c>
      <c r="AA5716" s="6">
        <v>0</v>
      </c>
      <c r="AB5716" s="4"/>
      <c r="AC5716" s="6">
        <f t="shared" si="893"/>
        <v>0</v>
      </c>
      <c r="AD5716" s="6">
        <f t="shared" si="894"/>
        <v>0</v>
      </c>
      <c r="AE5716" s="14">
        <f>VLOOKUP(I5716,[2]媒体政策预估表!A:N,MATCH(O5716,[2]媒体政策预估表!$A$2:$M$2,0),0)</f>
        <v>0.11</v>
      </c>
      <c r="AF5716" s="6">
        <f t="shared" si="890"/>
        <v>0</v>
      </c>
      <c r="AG5716" s="14">
        <v>0</v>
      </c>
      <c r="AH5716" s="64">
        <f t="shared" si="895"/>
        <v>0</v>
      </c>
      <c r="AI5716" s="47"/>
      <c r="AJ5716" s="126">
        <v>1</v>
      </c>
      <c r="AK5716" s="80">
        <f t="shared" si="898"/>
        <v>0</v>
      </c>
      <c r="AL5716" s="85"/>
      <c r="AM5716" s="85"/>
    </row>
    <row r="5717" spans="1:39" s="86" customFormat="1" ht="13.25" hidden="1" customHeight="1" x14ac:dyDescent="0.3">
      <c r="A5717" s="89" t="s">
        <v>3794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892"/>
        <v>19075.55</v>
      </c>
      <c r="X5717" s="6">
        <f t="shared" si="891"/>
        <v>0</v>
      </c>
      <c r="Y5717" s="13">
        <f t="shared" si="896"/>
        <v>0</v>
      </c>
      <c r="Z5717" s="14">
        <v>0</v>
      </c>
      <c r="AA5717" s="6">
        <v>0</v>
      </c>
      <c r="AB5717" s="4"/>
      <c r="AC5717" s="6">
        <f t="shared" si="893"/>
        <v>0</v>
      </c>
      <c r="AD5717" s="6">
        <f t="shared" si="894"/>
        <v>0</v>
      </c>
      <c r="AE5717" s="14">
        <f>VLOOKUP(I5717,[2]媒体政策预估表!A:N,MATCH(O5717,[2]媒体政策预估表!$A$2:$M$2,0),0)</f>
        <v>0.11</v>
      </c>
      <c r="AF5717" s="6">
        <f t="shared" si="890"/>
        <v>0</v>
      </c>
      <c r="AG5717" s="14">
        <v>0</v>
      </c>
      <c r="AH5717" s="64">
        <f t="shared" si="895"/>
        <v>0</v>
      </c>
      <c r="AI5717" s="47"/>
      <c r="AJ5717" s="126">
        <v>1</v>
      </c>
      <c r="AK5717" s="80">
        <f t="shared" si="898"/>
        <v>0</v>
      </c>
      <c r="AL5717" s="85"/>
      <c r="AM5717" s="85"/>
    </row>
    <row r="5718" spans="1:39" s="86" customFormat="1" ht="13.25" hidden="1" customHeight="1" x14ac:dyDescent="0.3">
      <c r="A5718" s="89" t="s">
        <v>3794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892"/>
        <v>5207.93</v>
      </c>
      <c r="X5718" s="6">
        <f t="shared" si="891"/>
        <v>0</v>
      </c>
      <c r="Y5718" s="13">
        <f t="shared" si="896"/>
        <v>0</v>
      </c>
      <c r="Z5718" s="14">
        <v>0</v>
      </c>
      <c r="AA5718" s="6">
        <v>0</v>
      </c>
      <c r="AB5718" s="4"/>
      <c r="AC5718" s="6">
        <f t="shared" si="893"/>
        <v>0</v>
      </c>
      <c r="AD5718" s="6">
        <f t="shared" si="894"/>
        <v>0</v>
      </c>
      <c r="AE5718" s="14">
        <f>VLOOKUP(I5718,[2]媒体政策预估表!A:N,MATCH(O5718,[2]媒体政策预估表!$A$2:$M$2,0),0)</f>
        <v>0.11</v>
      </c>
      <c r="AF5718" s="6">
        <f t="shared" si="890"/>
        <v>0</v>
      </c>
      <c r="AG5718" s="14">
        <v>0</v>
      </c>
      <c r="AH5718" s="64">
        <f t="shared" si="895"/>
        <v>0</v>
      </c>
      <c r="AI5718" s="47"/>
      <c r="AJ5718" s="126">
        <v>1</v>
      </c>
      <c r="AK5718" s="80">
        <f t="shared" si="898"/>
        <v>0</v>
      </c>
      <c r="AL5718" s="85"/>
      <c r="AM5718" s="85"/>
    </row>
    <row r="5719" spans="1:39" s="86" customFormat="1" ht="13.25" hidden="1" customHeight="1" x14ac:dyDescent="0.3">
      <c r="A5719" s="89" t="s">
        <v>3806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892"/>
        <v>30000</v>
      </c>
      <c r="X5719" s="6">
        <f t="shared" si="891"/>
        <v>0</v>
      </c>
      <c r="Y5719" s="13">
        <f t="shared" si="896"/>
        <v>0</v>
      </c>
      <c r="Z5719" s="14">
        <v>0</v>
      </c>
      <c r="AA5719" s="6">
        <v>0</v>
      </c>
      <c r="AB5719" s="4">
        <f t="shared" si="897"/>
        <v>0</v>
      </c>
      <c r="AC5719" s="6">
        <f t="shared" si="893"/>
        <v>0</v>
      </c>
      <c r="AD5719" s="6">
        <f t="shared" si="894"/>
        <v>0</v>
      </c>
      <c r="AE5719" s="14">
        <f>VLOOKUP(I5719,[2]媒体政策预估表!A:N,MATCH(O5719,[2]媒体政策预估表!$A$2:$M$2,0),0)</f>
        <v>0.11</v>
      </c>
      <c r="AF5719" s="6">
        <f t="shared" si="890"/>
        <v>0</v>
      </c>
      <c r="AG5719" s="14">
        <v>0</v>
      </c>
      <c r="AH5719" s="64">
        <f t="shared" si="895"/>
        <v>0</v>
      </c>
      <c r="AI5719" s="47"/>
      <c r="AJ5719" s="126" t="e">
        <v>#N/A</v>
      </c>
      <c r="AK5719" s="80">
        <f t="shared" si="898"/>
        <v>0</v>
      </c>
      <c r="AL5719" s="85"/>
      <c r="AM5719" s="85"/>
    </row>
    <row r="5720" spans="1:39" s="86" customFormat="1" ht="13.25" hidden="1" customHeight="1" x14ac:dyDescent="0.3">
      <c r="A5720" s="89" t="s">
        <v>3794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892"/>
        <v>30</v>
      </c>
      <c r="X5720" s="6">
        <f t="shared" si="891"/>
        <v>0</v>
      </c>
      <c r="Y5720" s="13">
        <f t="shared" si="896"/>
        <v>0</v>
      </c>
      <c r="Z5720" s="14">
        <v>0</v>
      </c>
      <c r="AA5720" s="6">
        <v>0</v>
      </c>
      <c r="AB5720" s="4">
        <f t="shared" si="897"/>
        <v>0</v>
      </c>
      <c r="AC5720" s="6">
        <f t="shared" si="893"/>
        <v>0</v>
      </c>
      <c r="AD5720" s="6">
        <f t="shared" si="894"/>
        <v>0</v>
      </c>
      <c r="AE5720" s="14">
        <f>VLOOKUP(I5720,[2]媒体政策预估表!A:N,MATCH(O5720,[2]媒体政策预估表!$A$2:$M$2,0),0)</f>
        <v>7.0000000000000007E-2</v>
      </c>
      <c r="AF5720" s="6">
        <f t="shared" si="890"/>
        <v>0</v>
      </c>
      <c r="AG5720" s="14">
        <v>0</v>
      </c>
      <c r="AH5720" s="64">
        <f t="shared" si="895"/>
        <v>0</v>
      </c>
      <c r="AI5720" s="47"/>
      <c r="AJ5720" s="126" t="e">
        <v>#N/A</v>
      </c>
      <c r="AK5720" s="80">
        <f t="shared" si="898"/>
        <v>0</v>
      </c>
      <c r="AL5720" s="85"/>
      <c r="AM5720" s="85"/>
    </row>
    <row r="5721" spans="1:39" s="86" customFormat="1" ht="13.25" hidden="1" customHeight="1" x14ac:dyDescent="0.3">
      <c r="A5721" s="89" t="s">
        <v>3806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892"/>
        <v>6124.3</v>
      </c>
      <c r="X5721" s="6">
        <f t="shared" si="891"/>
        <v>0</v>
      </c>
      <c r="Y5721" s="13">
        <f t="shared" si="896"/>
        <v>0</v>
      </c>
      <c r="Z5721" s="14">
        <v>0</v>
      </c>
      <c r="AA5721" s="6">
        <v>0</v>
      </c>
      <c r="AB5721" s="4">
        <f t="shared" si="897"/>
        <v>0</v>
      </c>
      <c r="AC5721" s="6">
        <f t="shared" si="893"/>
        <v>0</v>
      </c>
      <c r="AD5721" s="6">
        <f t="shared" si="894"/>
        <v>0</v>
      </c>
      <c r="AE5721" s="14">
        <f>VLOOKUP(I5721,[2]媒体政策预估表!A:N,MATCH(O5721,[2]媒体政策预估表!$A$2:$M$2,0),0)</f>
        <v>7.0000000000000007E-2</v>
      </c>
      <c r="AF5721" s="6">
        <f t="shared" si="890"/>
        <v>0</v>
      </c>
      <c r="AG5721" s="14">
        <v>0</v>
      </c>
      <c r="AH5721" s="64">
        <f t="shared" si="895"/>
        <v>0</v>
      </c>
      <c r="AI5721" s="47"/>
      <c r="AJ5721" s="126" t="e">
        <v>#N/A</v>
      </c>
      <c r="AK5721" s="80">
        <f t="shared" si="898"/>
        <v>0</v>
      </c>
      <c r="AL5721" s="85"/>
      <c r="AM5721" s="85"/>
    </row>
    <row r="5722" spans="1:39" s="86" customFormat="1" ht="13.25" hidden="1" customHeight="1" x14ac:dyDescent="0.3">
      <c r="A5722" s="89" t="s">
        <v>3792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892"/>
        <v>4243.2</v>
      </c>
      <c r="X5722" s="6">
        <f t="shared" si="891"/>
        <v>0</v>
      </c>
      <c r="Y5722" s="13">
        <f t="shared" si="896"/>
        <v>0</v>
      </c>
      <c r="Z5722" s="14">
        <v>0</v>
      </c>
      <c r="AA5722" s="6">
        <v>0</v>
      </c>
      <c r="AB5722" s="4">
        <f t="shared" si="897"/>
        <v>0</v>
      </c>
      <c r="AC5722" s="6">
        <f t="shared" si="893"/>
        <v>0</v>
      </c>
      <c r="AD5722" s="6">
        <f t="shared" si="894"/>
        <v>0</v>
      </c>
      <c r="AE5722" s="14">
        <f>VLOOKUP(I5722,[2]媒体政策预估表!A:N,MATCH(O5722,[2]媒体政策预估表!$A$2:$M$2,0),0)</f>
        <v>7.0000000000000007E-2</v>
      </c>
      <c r="AF5722" s="6">
        <f t="shared" si="890"/>
        <v>0</v>
      </c>
      <c r="AG5722" s="14">
        <v>0</v>
      </c>
      <c r="AH5722" s="64">
        <f t="shared" si="895"/>
        <v>0</v>
      </c>
      <c r="AI5722" s="47"/>
      <c r="AJ5722" s="126" t="e">
        <v>#N/A</v>
      </c>
      <c r="AK5722" s="80">
        <f t="shared" si="898"/>
        <v>0</v>
      </c>
      <c r="AL5722" s="85"/>
      <c r="AM5722" s="85"/>
    </row>
    <row r="5723" spans="1:39" s="86" customFormat="1" ht="13.25" hidden="1" customHeight="1" x14ac:dyDescent="0.3">
      <c r="A5723" s="89" t="s">
        <v>3794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892"/>
        <v>11743.3</v>
      </c>
      <c r="X5723" s="6">
        <f t="shared" si="891"/>
        <v>0</v>
      </c>
      <c r="Y5723" s="13">
        <f t="shared" si="896"/>
        <v>0</v>
      </c>
      <c r="Z5723" s="14">
        <v>0</v>
      </c>
      <c r="AA5723" s="6">
        <v>0</v>
      </c>
      <c r="AB5723" s="4">
        <f t="shared" si="897"/>
        <v>0</v>
      </c>
      <c r="AC5723" s="6">
        <f t="shared" si="893"/>
        <v>0</v>
      </c>
      <c r="AD5723" s="6">
        <f t="shared" si="894"/>
        <v>0</v>
      </c>
      <c r="AE5723" s="14">
        <f>VLOOKUP(I5723,[2]媒体政策预估表!A:N,MATCH(O5723,[2]媒体政策预估表!$A$2:$M$2,0),0)</f>
        <v>7.0000000000000007E-2</v>
      </c>
      <c r="AF5723" s="6">
        <f t="shared" si="890"/>
        <v>0</v>
      </c>
      <c r="AG5723" s="14">
        <v>0</v>
      </c>
      <c r="AH5723" s="64">
        <f t="shared" si="895"/>
        <v>0</v>
      </c>
      <c r="AI5723" s="47"/>
      <c r="AJ5723" s="126" t="e">
        <v>#N/A</v>
      </c>
      <c r="AK5723" s="80">
        <f t="shared" si="898"/>
        <v>0</v>
      </c>
      <c r="AL5723" s="85"/>
      <c r="AM5723" s="85"/>
    </row>
    <row r="5724" spans="1:39" s="86" customFormat="1" ht="13.25" hidden="1" customHeight="1" x14ac:dyDescent="0.3">
      <c r="A5724" s="89" t="s">
        <v>3806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892"/>
        <v>4677.2</v>
      </c>
      <c r="X5724" s="6">
        <f t="shared" si="891"/>
        <v>0</v>
      </c>
      <c r="Y5724" s="13">
        <f t="shared" si="896"/>
        <v>0</v>
      </c>
      <c r="Z5724" s="14">
        <v>0</v>
      </c>
      <c r="AA5724" s="6">
        <v>0</v>
      </c>
      <c r="AB5724" s="4">
        <f t="shared" si="897"/>
        <v>0</v>
      </c>
      <c r="AC5724" s="6">
        <f t="shared" si="893"/>
        <v>0</v>
      </c>
      <c r="AD5724" s="6">
        <f t="shared" si="894"/>
        <v>0</v>
      </c>
      <c r="AE5724" s="14">
        <f>VLOOKUP(I5724,[2]媒体政策预估表!A:N,MATCH(O5724,[2]媒体政策预估表!$A$2:$M$2,0),0)</f>
        <v>7.0000000000000007E-2</v>
      </c>
      <c r="AF5724" s="6">
        <f t="shared" si="890"/>
        <v>0</v>
      </c>
      <c r="AG5724" s="14">
        <v>0</v>
      </c>
      <c r="AH5724" s="64">
        <f t="shared" si="895"/>
        <v>0</v>
      </c>
      <c r="AI5724" s="47"/>
      <c r="AJ5724" s="126" t="e">
        <v>#N/A</v>
      </c>
      <c r="AK5724" s="80">
        <f t="shared" si="898"/>
        <v>0</v>
      </c>
      <c r="AL5724" s="85"/>
      <c r="AM5724" s="85"/>
    </row>
    <row r="5725" spans="1:39" s="86" customFormat="1" ht="13.25" hidden="1" customHeight="1" x14ac:dyDescent="0.3">
      <c r="A5725" s="89" t="s">
        <v>3794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892"/>
        <v>2261.71</v>
      </c>
      <c r="X5725" s="6">
        <f t="shared" si="891"/>
        <v>0</v>
      </c>
      <c r="Y5725" s="13">
        <f t="shared" si="896"/>
        <v>0</v>
      </c>
      <c r="Z5725" s="14">
        <v>0</v>
      </c>
      <c r="AA5725" s="6">
        <v>0</v>
      </c>
      <c r="AB5725" s="4"/>
      <c r="AC5725" s="6">
        <f t="shared" si="893"/>
        <v>0</v>
      </c>
      <c r="AD5725" s="6">
        <f t="shared" si="894"/>
        <v>0</v>
      </c>
      <c r="AE5725" s="14">
        <f>VLOOKUP(I5725,[2]媒体政策预估表!A:N,MATCH(O5725,[2]媒体政策预估表!$A$2:$M$2,0),0)</f>
        <v>0.11</v>
      </c>
      <c r="AF5725" s="6">
        <f t="shared" si="890"/>
        <v>0</v>
      </c>
      <c r="AG5725" s="14">
        <v>0</v>
      </c>
      <c r="AH5725" s="64">
        <f t="shared" si="895"/>
        <v>0</v>
      </c>
      <c r="AI5725" s="47"/>
      <c r="AJ5725" s="126">
        <v>67</v>
      </c>
      <c r="AK5725" s="80">
        <f t="shared" si="898"/>
        <v>0</v>
      </c>
      <c r="AL5725" s="85"/>
      <c r="AM5725" s="85"/>
    </row>
    <row r="5726" spans="1:39" s="86" customFormat="1" ht="13.25" hidden="1" customHeight="1" x14ac:dyDescent="0.3">
      <c r="A5726" s="89" t="s">
        <v>3792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892"/>
        <v>70.17</v>
      </c>
      <c r="X5726" s="6">
        <f t="shared" si="891"/>
        <v>0</v>
      </c>
      <c r="Y5726" s="13">
        <f t="shared" si="896"/>
        <v>0</v>
      </c>
      <c r="Z5726" s="14">
        <v>0</v>
      </c>
      <c r="AA5726" s="6">
        <v>0</v>
      </c>
      <c r="AB5726" s="4"/>
      <c r="AC5726" s="6">
        <f t="shared" si="893"/>
        <v>0</v>
      </c>
      <c r="AD5726" s="6">
        <f t="shared" si="894"/>
        <v>0</v>
      </c>
      <c r="AE5726" s="14">
        <f>VLOOKUP(I5726,[2]媒体政策预估表!A:N,MATCH(O5726,[2]媒体政策预估表!$A$2:$M$2,0),0)</f>
        <v>0.11</v>
      </c>
      <c r="AF5726" s="6">
        <f t="shared" si="890"/>
        <v>0</v>
      </c>
      <c r="AG5726" s="14">
        <v>0</v>
      </c>
      <c r="AH5726" s="64">
        <f t="shared" si="895"/>
        <v>0</v>
      </c>
      <c r="AI5726" s="47"/>
      <c r="AJ5726" s="126">
        <v>6</v>
      </c>
      <c r="AK5726" s="80">
        <f t="shared" si="898"/>
        <v>0</v>
      </c>
      <c r="AL5726" s="85"/>
      <c r="AM5726" s="85"/>
    </row>
    <row r="5727" spans="1:39" s="86" customFormat="1" ht="13.25" hidden="1" customHeight="1" x14ac:dyDescent="0.3">
      <c r="A5727" s="89" t="s">
        <v>3792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892"/>
        <v>22667.23</v>
      </c>
      <c r="X5727" s="6">
        <f t="shared" si="891"/>
        <v>0</v>
      </c>
      <c r="Y5727" s="13">
        <f t="shared" si="896"/>
        <v>0</v>
      </c>
      <c r="Z5727" s="14">
        <v>0</v>
      </c>
      <c r="AA5727" s="6">
        <v>0</v>
      </c>
      <c r="AB5727" s="4">
        <f t="shared" si="897"/>
        <v>0</v>
      </c>
      <c r="AC5727" s="6">
        <f t="shared" si="893"/>
        <v>0</v>
      </c>
      <c r="AD5727" s="6">
        <f t="shared" si="894"/>
        <v>0</v>
      </c>
      <c r="AE5727" s="14">
        <f>VLOOKUP(I5727,[2]媒体政策预估表!A:N,MATCH(O5727,[2]媒体政策预估表!$A$2:$M$2,0),0)</f>
        <v>7.0000000000000007E-2</v>
      </c>
      <c r="AF5727" s="6">
        <f t="shared" si="890"/>
        <v>0</v>
      </c>
      <c r="AG5727" s="14">
        <v>0</v>
      </c>
      <c r="AH5727" s="64">
        <f t="shared" si="895"/>
        <v>0</v>
      </c>
      <c r="AI5727" s="47"/>
      <c r="AJ5727" s="126" t="e">
        <v>#N/A</v>
      </c>
      <c r="AK5727" s="80">
        <f t="shared" si="898"/>
        <v>0</v>
      </c>
      <c r="AL5727" s="85"/>
      <c r="AM5727" s="85"/>
    </row>
    <row r="5728" spans="1:39" s="86" customFormat="1" ht="13.25" hidden="1" customHeight="1" x14ac:dyDescent="0.3">
      <c r="A5728" s="89" t="s">
        <v>3792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892"/>
        <v>3016.8</v>
      </c>
      <c r="X5728" s="6">
        <f t="shared" si="891"/>
        <v>0</v>
      </c>
      <c r="Y5728" s="13">
        <f t="shared" si="896"/>
        <v>0</v>
      </c>
      <c r="Z5728" s="14">
        <v>0</v>
      </c>
      <c r="AA5728" s="6">
        <v>0</v>
      </c>
      <c r="AB5728" s="4">
        <f t="shared" si="897"/>
        <v>0</v>
      </c>
      <c r="AC5728" s="6">
        <f t="shared" si="893"/>
        <v>0</v>
      </c>
      <c r="AD5728" s="6">
        <f t="shared" si="894"/>
        <v>0</v>
      </c>
      <c r="AE5728" s="14">
        <f>VLOOKUP(I5728,[2]媒体政策预估表!A:N,MATCH(O5728,[2]媒体政策预估表!$A$2:$M$2,0),0)</f>
        <v>7.0000000000000007E-2</v>
      </c>
      <c r="AF5728" s="6">
        <f t="shared" si="890"/>
        <v>0</v>
      </c>
      <c r="AG5728" s="14">
        <v>0</v>
      </c>
      <c r="AH5728" s="64">
        <f t="shared" si="895"/>
        <v>0</v>
      </c>
      <c r="AI5728" s="47"/>
      <c r="AJ5728" s="126" t="e">
        <v>#N/A</v>
      </c>
      <c r="AK5728" s="80">
        <f t="shared" si="898"/>
        <v>0</v>
      </c>
      <c r="AL5728" s="85"/>
      <c r="AM5728" s="85"/>
    </row>
    <row r="5729" spans="1:39" s="86" customFormat="1" ht="13.25" hidden="1" customHeight="1" x14ac:dyDescent="0.3">
      <c r="A5729" s="89" t="s">
        <v>3794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892"/>
        <v>396.2</v>
      </c>
      <c r="X5729" s="6">
        <f t="shared" si="891"/>
        <v>0</v>
      </c>
      <c r="Y5729" s="13">
        <f t="shared" si="896"/>
        <v>0</v>
      </c>
      <c r="Z5729" s="14">
        <v>0</v>
      </c>
      <c r="AA5729" s="6">
        <v>0</v>
      </c>
      <c r="AB5729" s="4">
        <f t="shared" si="897"/>
        <v>0</v>
      </c>
      <c r="AC5729" s="6">
        <f t="shared" si="893"/>
        <v>0</v>
      </c>
      <c r="AD5729" s="6">
        <f t="shared" si="894"/>
        <v>0</v>
      </c>
      <c r="AE5729" s="14">
        <f>VLOOKUP(I5729,[2]媒体政策预估表!A:N,MATCH(O5729,[2]媒体政策预估表!$A$2:$M$2,0),0)</f>
        <v>0.11</v>
      </c>
      <c r="AF5729" s="6">
        <f t="shared" si="890"/>
        <v>0</v>
      </c>
      <c r="AG5729" s="14">
        <v>0</v>
      </c>
      <c r="AH5729" s="64">
        <f t="shared" si="895"/>
        <v>0</v>
      </c>
      <c r="AI5729" s="47"/>
      <c r="AJ5729" s="126" t="e">
        <v>#N/A</v>
      </c>
      <c r="AK5729" s="80">
        <f t="shared" si="898"/>
        <v>0</v>
      </c>
      <c r="AL5729" s="85"/>
      <c r="AM5729" s="85"/>
    </row>
    <row r="5730" spans="1:39" s="86" customFormat="1" ht="13.25" hidden="1" customHeight="1" x14ac:dyDescent="0.3">
      <c r="A5730" s="89" t="s">
        <v>3792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892"/>
        <v>127.88</v>
      </c>
      <c r="X5730" s="6">
        <f t="shared" si="891"/>
        <v>0</v>
      </c>
      <c r="Y5730" s="13">
        <f t="shared" si="896"/>
        <v>0</v>
      </c>
      <c r="Z5730" s="14">
        <v>0</v>
      </c>
      <c r="AA5730" s="6">
        <v>0</v>
      </c>
      <c r="AB5730" s="4"/>
      <c r="AC5730" s="6">
        <f t="shared" si="893"/>
        <v>0</v>
      </c>
      <c r="AD5730" s="6">
        <f t="shared" si="894"/>
        <v>0</v>
      </c>
      <c r="AE5730" s="14">
        <f>VLOOKUP(I5730,[2]媒体政策预估表!A:N,MATCH(O5730,[2]媒体政策预估表!$A$2:$M$2,0),0)</f>
        <v>0.11</v>
      </c>
      <c r="AF5730" s="6">
        <f t="shared" si="890"/>
        <v>0</v>
      </c>
      <c r="AG5730" s="14">
        <v>0</v>
      </c>
      <c r="AH5730" s="64">
        <f t="shared" si="895"/>
        <v>0</v>
      </c>
      <c r="AI5730" s="47"/>
      <c r="AJ5730" s="126">
        <v>59</v>
      </c>
      <c r="AK5730" s="80">
        <f t="shared" si="898"/>
        <v>0</v>
      </c>
      <c r="AL5730" s="85"/>
      <c r="AM5730" s="85"/>
    </row>
    <row r="5731" spans="1:39" s="86" customFormat="1" ht="13.25" hidden="1" customHeight="1" x14ac:dyDescent="0.3">
      <c r="A5731" s="89" t="s">
        <v>3792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892"/>
        <v>1615.52</v>
      </c>
      <c r="X5731" s="6">
        <f t="shared" si="891"/>
        <v>0</v>
      </c>
      <c r="Y5731" s="13">
        <f t="shared" si="896"/>
        <v>0</v>
      </c>
      <c r="Z5731" s="14">
        <v>0</v>
      </c>
      <c r="AA5731" s="6">
        <v>0</v>
      </c>
      <c r="AB5731" s="4">
        <f t="shared" si="897"/>
        <v>0</v>
      </c>
      <c r="AC5731" s="6">
        <f t="shared" si="893"/>
        <v>0</v>
      </c>
      <c r="AD5731" s="6">
        <f t="shared" si="894"/>
        <v>0</v>
      </c>
      <c r="AE5731" s="14">
        <f>VLOOKUP(I5731,[2]媒体政策预估表!A:N,MATCH(O5731,[2]媒体政策预估表!$A$2:$M$2,0),0)</f>
        <v>0.11</v>
      </c>
      <c r="AF5731" s="6">
        <f t="shared" si="890"/>
        <v>0</v>
      </c>
      <c r="AG5731" s="14">
        <v>0</v>
      </c>
      <c r="AH5731" s="64">
        <f t="shared" si="895"/>
        <v>0</v>
      </c>
      <c r="AI5731" s="47"/>
      <c r="AJ5731" s="126" t="e">
        <v>#N/A</v>
      </c>
      <c r="AK5731" s="80">
        <f t="shared" si="898"/>
        <v>0</v>
      </c>
      <c r="AL5731" s="85"/>
      <c r="AM5731" s="85"/>
    </row>
    <row r="5732" spans="1:39" s="86" customFormat="1" ht="13.25" hidden="1" customHeight="1" x14ac:dyDescent="0.3">
      <c r="A5732" s="89" t="s">
        <v>3794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892"/>
        <v>160.54</v>
      </c>
      <c r="X5732" s="6">
        <f t="shared" si="891"/>
        <v>0</v>
      </c>
      <c r="Y5732" s="13">
        <f t="shared" si="896"/>
        <v>0</v>
      </c>
      <c r="Z5732" s="14">
        <v>0</v>
      </c>
      <c r="AA5732" s="6">
        <v>0</v>
      </c>
      <c r="AB5732" s="4">
        <f t="shared" si="897"/>
        <v>0</v>
      </c>
      <c r="AC5732" s="6">
        <f t="shared" si="893"/>
        <v>0</v>
      </c>
      <c r="AD5732" s="6">
        <f t="shared" si="894"/>
        <v>0</v>
      </c>
      <c r="AE5732" s="14">
        <f>VLOOKUP(I5732,[2]媒体政策预估表!A:N,MATCH(O5732,[2]媒体政策预估表!$A$2:$M$2,0),0)</f>
        <v>0.11</v>
      </c>
      <c r="AF5732" s="6">
        <f t="shared" ref="AF5732:AF5795" si="899">AD5732*AE5732</f>
        <v>0</v>
      </c>
      <c r="AG5732" s="14">
        <v>0</v>
      </c>
      <c r="AH5732" s="64">
        <f t="shared" si="895"/>
        <v>0</v>
      </c>
      <c r="AI5732" s="47"/>
      <c r="AJ5732" s="126" t="e">
        <v>#N/A</v>
      </c>
      <c r="AK5732" s="80">
        <f t="shared" si="898"/>
        <v>0</v>
      </c>
      <c r="AL5732" s="85"/>
      <c r="AM5732" s="85"/>
    </row>
    <row r="5733" spans="1:39" s="86" customFormat="1" ht="13.25" hidden="1" customHeight="1" x14ac:dyDescent="0.3">
      <c r="A5733" s="89" t="s">
        <v>3794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892"/>
        <v>5.08</v>
      </c>
      <c r="X5733" s="6">
        <f t="shared" si="891"/>
        <v>0</v>
      </c>
      <c r="Y5733" s="13">
        <f t="shared" si="896"/>
        <v>0</v>
      </c>
      <c r="Z5733" s="14">
        <v>0</v>
      </c>
      <c r="AA5733" s="6">
        <v>0</v>
      </c>
      <c r="AB5733" s="4">
        <f t="shared" si="897"/>
        <v>0</v>
      </c>
      <c r="AC5733" s="6">
        <f t="shared" si="893"/>
        <v>0</v>
      </c>
      <c r="AD5733" s="6">
        <f t="shared" si="894"/>
        <v>0</v>
      </c>
      <c r="AE5733" s="14">
        <f>VLOOKUP(I5733,[2]媒体政策预估表!A:N,MATCH(O5733,[2]媒体政策预估表!$A$2:$M$2,0),0)</f>
        <v>0.11</v>
      </c>
      <c r="AF5733" s="6">
        <f t="shared" si="899"/>
        <v>0</v>
      </c>
      <c r="AG5733" s="14">
        <v>0</v>
      </c>
      <c r="AH5733" s="64">
        <f t="shared" si="895"/>
        <v>0</v>
      </c>
      <c r="AI5733" s="47"/>
      <c r="AJ5733" s="126" t="e">
        <v>#N/A</v>
      </c>
      <c r="AK5733" s="80">
        <f t="shared" si="898"/>
        <v>0</v>
      </c>
      <c r="AL5733" s="85"/>
      <c r="AM5733" s="85"/>
    </row>
    <row r="5734" spans="1:39" s="86" customFormat="1" ht="13.25" hidden="1" customHeight="1" x14ac:dyDescent="0.3">
      <c r="A5734" s="89" t="s">
        <v>3792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892"/>
        <v>580.39</v>
      </c>
      <c r="X5734" s="6">
        <f t="shared" si="891"/>
        <v>0</v>
      </c>
      <c r="Y5734" s="13">
        <f t="shared" si="896"/>
        <v>0</v>
      </c>
      <c r="Z5734" s="14">
        <v>0</v>
      </c>
      <c r="AA5734" s="6">
        <v>0</v>
      </c>
      <c r="AB5734" s="4">
        <f t="shared" si="897"/>
        <v>0</v>
      </c>
      <c r="AC5734" s="6">
        <f t="shared" si="893"/>
        <v>0</v>
      </c>
      <c r="AD5734" s="6">
        <f t="shared" si="894"/>
        <v>0</v>
      </c>
      <c r="AE5734" s="14">
        <f>VLOOKUP(I5734,[2]媒体政策预估表!A:N,MATCH(O5734,[2]媒体政策预估表!$A$2:$M$2,0),0)</f>
        <v>0.11</v>
      </c>
      <c r="AF5734" s="6">
        <f t="shared" si="899"/>
        <v>0</v>
      </c>
      <c r="AG5734" s="14">
        <v>0</v>
      </c>
      <c r="AH5734" s="64">
        <f t="shared" si="895"/>
        <v>0</v>
      </c>
      <c r="AI5734" s="47"/>
      <c r="AJ5734" s="126" t="e">
        <v>#N/A</v>
      </c>
      <c r="AK5734" s="80">
        <f t="shared" si="898"/>
        <v>0</v>
      </c>
      <c r="AL5734" s="85"/>
      <c r="AM5734" s="85"/>
    </row>
    <row r="5735" spans="1:39" s="86" customFormat="1" ht="13.25" hidden="1" customHeight="1" x14ac:dyDescent="0.3">
      <c r="A5735" s="89" t="s">
        <v>3792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892"/>
        <v>172.33</v>
      </c>
      <c r="X5735" s="6">
        <f t="shared" si="891"/>
        <v>0</v>
      </c>
      <c r="Y5735" s="13">
        <f t="shared" si="896"/>
        <v>0</v>
      </c>
      <c r="Z5735" s="14">
        <v>0</v>
      </c>
      <c r="AA5735" s="6">
        <v>0</v>
      </c>
      <c r="AB5735" s="4">
        <f t="shared" si="897"/>
        <v>0</v>
      </c>
      <c r="AC5735" s="6">
        <f t="shared" si="893"/>
        <v>0</v>
      </c>
      <c r="AD5735" s="6">
        <f t="shared" si="894"/>
        <v>0</v>
      </c>
      <c r="AE5735" s="14">
        <f>VLOOKUP(I5735,[2]媒体政策预估表!A:N,MATCH(O5735,[2]媒体政策预估表!$A$2:$M$2,0),0)</f>
        <v>0.11</v>
      </c>
      <c r="AF5735" s="6">
        <f t="shared" si="899"/>
        <v>0</v>
      </c>
      <c r="AG5735" s="14">
        <v>0</v>
      </c>
      <c r="AH5735" s="64">
        <f t="shared" si="895"/>
        <v>0</v>
      </c>
      <c r="AI5735" s="47"/>
      <c r="AJ5735" s="126" t="e">
        <v>#N/A</v>
      </c>
      <c r="AK5735" s="80">
        <f t="shared" si="898"/>
        <v>0</v>
      </c>
      <c r="AL5735" s="85"/>
      <c r="AM5735" s="85"/>
    </row>
    <row r="5736" spans="1:39" s="86" customFormat="1" ht="13.25" hidden="1" customHeight="1" x14ac:dyDescent="0.3">
      <c r="A5736" s="89" t="s">
        <v>3794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892"/>
        <v>68.290000000000006</v>
      </c>
      <c r="X5736" s="6">
        <f t="shared" si="891"/>
        <v>0</v>
      </c>
      <c r="Y5736" s="13">
        <f t="shared" si="896"/>
        <v>0</v>
      </c>
      <c r="Z5736" s="14">
        <v>0</v>
      </c>
      <c r="AA5736" s="6">
        <v>0</v>
      </c>
      <c r="AB5736" s="4">
        <f t="shared" si="897"/>
        <v>0</v>
      </c>
      <c r="AC5736" s="6">
        <f t="shared" si="893"/>
        <v>0</v>
      </c>
      <c r="AD5736" s="6">
        <f t="shared" si="894"/>
        <v>0</v>
      </c>
      <c r="AE5736" s="14">
        <f>VLOOKUP(I5736,[2]媒体政策预估表!A:N,MATCH(O5736,[2]媒体政策预估表!$A$2:$M$2,0),0)</f>
        <v>0.11</v>
      </c>
      <c r="AF5736" s="6">
        <f t="shared" si="899"/>
        <v>0</v>
      </c>
      <c r="AG5736" s="14">
        <v>0</v>
      </c>
      <c r="AH5736" s="64">
        <f t="shared" si="895"/>
        <v>0</v>
      </c>
      <c r="AI5736" s="47"/>
      <c r="AJ5736" s="126" t="e">
        <v>#N/A</v>
      </c>
      <c r="AK5736" s="80">
        <f t="shared" si="898"/>
        <v>0</v>
      </c>
      <c r="AL5736" s="85"/>
      <c r="AM5736" s="85"/>
    </row>
    <row r="5737" spans="1:39" s="86" customFormat="1" ht="13.25" hidden="1" customHeight="1" x14ac:dyDescent="0.3">
      <c r="A5737" s="89" t="s">
        <v>3792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892"/>
        <v>20.149999999999999</v>
      </c>
      <c r="X5737" s="6">
        <f t="shared" si="891"/>
        <v>0</v>
      </c>
      <c r="Y5737" s="13">
        <f t="shared" si="896"/>
        <v>0</v>
      </c>
      <c r="Z5737" s="14">
        <v>0</v>
      </c>
      <c r="AA5737" s="6">
        <v>0</v>
      </c>
      <c r="AB5737" s="4">
        <f t="shared" si="897"/>
        <v>0</v>
      </c>
      <c r="AC5737" s="6">
        <f t="shared" si="893"/>
        <v>0</v>
      </c>
      <c r="AD5737" s="6">
        <f t="shared" si="894"/>
        <v>0</v>
      </c>
      <c r="AE5737" s="14">
        <f>VLOOKUP(I5737,[2]媒体政策预估表!A:N,MATCH(O5737,[2]媒体政策预估表!$A$2:$M$2,0),0)</f>
        <v>7.0000000000000007E-2</v>
      </c>
      <c r="AF5737" s="6">
        <f t="shared" si="899"/>
        <v>0</v>
      </c>
      <c r="AG5737" s="14">
        <v>0</v>
      </c>
      <c r="AH5737" s="64">
        <f t="shared" si="895"/>
        <v>0</v>
      </c>
      <c r="AI5737" s="47"/>
      <c r="AJ5737" s="126" t="e">
        <v>#N/A</v>
      </c>
      <c r="AK5737" s="80">
        <f t="shared" si="898"/>
        <v>0</v>
      </c>
      <c r="AL5737" s="85"/>
      <c r="AM5737" s="85"/>
    </row>
    <row r="5738" spans="1:39" s="86" customFormat="1" ht="13.25" hidden="1" customHeight="1" x14ac:dyDescent="0.3">
      <c r="A5738" s="89" t="s">
        <v>3806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892"/>
        <v>12076.74</v>
      </c>
      <c r="X5738" s="6">
        <f t="shared" si="891"/>
        <v>0</v>
      </c>
      <c r="Y5738" s="13">
        <f t="shared" si="896"/>
        <v>0</v>
      </c>
      <c r="Z5738" s="14">
        <v>0</v>
      </c>
      <c r="AA5738" s="6">
        <v>0</v>
      </c>
      <c r="AB5738" s="4">
        <f t="shared" si="897"/>
        <v>0</v>
      </c>
      <c r="AC5738" s="6">
        <f t="shared" si="893"/>
        <v>0</v>
      </c>
      <c r="AD5738" s="6">
        <f t="shared" si="894"/>
        <v>0</v>
      </c>
      <c r="AE5738" s="14">
        <f>VLOOKUP(I5738,[2]媒体政策预估表!A:N,MATCH(O5738,[2]媒体政策预估表!$A$2:$M$2,0),0)</f>
        <v>0.11</v>
      </c>
      <c r="AF5738" s="6">
        <f t="shared" si="899"/>
        <v>0</v>
      </c>
      <c r="AG5738" s="14">
        <v>0</v>
      </c>
      <c r="AH5738" s="64">
        <f t="shared" si="895"/>
        <v>0</v>
      </c>
      <c r="AI5738" s="47"/>
      <c r="AJ5738" s="126" t="e">
        <v>#N/A</v>
      </c>
      <c r="AK5738" s="80">
        <f t="shared" si="898"/>
        <v>0</v>
      </c>
      <c r="AL5738" s="85"/>
      <c r="AM5738" s="85"/>
    </row>
    <row r="5739" spans="1:39" s="86" customFormat="1" ht="13.25" hidden="1" customHeight="1" x14ac:dyDescent="0.3">
      <c r="A5739" s="89" t="s">
        <v>3794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892"/>
        <v>9995.36</v>
      </c>
      <c r="X5739" s="6">
        <f t="shared" si="891"/>
        <v>0</v>
      </c>
      <c r="Y5739" s="13">
        <f t="shared" si="896"/>
        <v>0</v>
      </c>
      <c r="Z5739" s="14">
        <v>0</v>
      </c>
      <c r="AA5739" s="6">
        <v>0</v>
      </c>
      <c r="AB5739" s="4">
        <f t="shared" si="897"/>
        <v>0</v>
      </c>
      <c r="AC5739" s="6">
        <f t="shared" si="893"/>
        <v>0</v>
      </c>
      <c r="AD5739" s="6">
        <f t="shared" si="894"/>
        <v>0</v>
      </c>
      <c r="AE5739" s="14">
        <f>VLOOKUP(I5739,[2]媒体政策预估表!A:N,MATCH(O5739,[2]媒体政策预估表!$A$2:$M$2,0),0)</f>
        <v>0.11</v>
      </c>
      <c r="AF5739" s="6">
        <f t="shared" si="899"/>
        <v>0</v>
      </c>
      <c r="AG5739" s="14">
        <v>0</v>
      </c>
      <c r="AH5739" s="64">
        <f t="shared" si="895"/>
        <v>0</v>
      </c>
      <c r="AI5739" s="47"/>
      <c r="AJ5739" s="126" t="e">
        <v>#N/A</v>
      </c>
      <c r="AK5739" s="80">
        <f t="shared" si="898"/>
        <v>0</v>
      </c>
      <c r="AL5739" s="85"/>
      <c r="AM5739" s="85"/>
    </row>
    <row r="5740" spans="1:39" s="86" customFormat="1" ht="13.25" hidden="1" customHeight="1" x14ac:dyDescent="0.3">
      <c r="A5740" s="89" t="s">
        <v>3794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892"/>
        <v>5130.5</v>
      </c>
      <c r="X5740" s="6">
        <f t="shared" si="891"/>
        <v>0</v>
      </c>
      <c r="Y5740" s="13">
        <f t="shared" si="896"/>
        <v>0</v>
      </c>
      <c r="Z5740" s="14">
        <v>0</v>
      </c>
      <c r="AA5740" s="6">
        <v>0</v>
      </c>
      <c r="AB5740" s="4">
        <f t="shared" si="897"/>
        <v>0</v>
      </c>
      <c r="AC5740" s="6">
        <f t="shared" si="893"/>
        <v>0</v>
      </c>
      <c r="AD5740" s="6">
        <f t="shared" si="894"/>
        <v>0</v>
      </c>
      <c r="AE5740" s="14">
        <f>VLOOKUP(I5740,[2]媒体政策预估表!A:N,MATCH(O5740,[2]媒体政策预估表!$A$2:$M$2,0),0)</f>
        <v>7.0000000000000007E-2</v>
      </c>
      <c r="AF5740" s="6">
        <f t="shared" si="899"/>
        <v>0</v>
      </c>
      <c r="AG5740" s="14">
        <v>0</v>
      </c>
      <c r="AH5740" s="64">
        <f t="shared" si="895"/>
        <v>0</v>
      </c>
      <c r="AI5740" s="47"/>
      <c r="AJ5740" s="126" t="e">
        <v>#N/A</v>
      </c>
      <c r="AK5740" s="80">
        <f t="shared" si="898"/>
        <v>0</v>
      </c>
      <c r="AL5740" s="85"/>
      <c r="AM5740" s="85"/>
    </row>
    <row r="5741" spans="1:39" s="86" customFormat="1" ht="13.25" hidden="1" customHeight="1" x14ac:dyDescent="0.3">
      <c r="A5741" s="89" t="s">
        <v>3806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892"/>
        <v>646.35</v>
      </c>
      <c r="X5741" s="6">
        <f t="shared" si="891"/>
        <v>0</v>
      </c>
      <c r="Y5741" s="13">
        <f t="shared" si="896"/>
        <v>0</v>
      </c>
      <c r="Z5741" s="14">
        <v>0</v>
      </c>
      <c r="AA5741" s="6">
        <v>0</v>
      </c>
      <c r="AB5741" s="4">
        <f t="shared" si="897"/>
        <v>0</v>
      </c>
      <c r="AC5741" s="6">
        <f t="shared" si="893"/>
        <v>0</v>
      </c>
      <c r="AD5741" s="6">
        <f t="shared" si="894"/>
        <v>0</v>
      </c>
      <c r="AE5741" s="14">
        <f>VLOOKUP(I5741,[2]媒体政策预估表!A:N,MATCH(O5741,[2]媒体政策预估表!$A$2:$M$2,0),0)</f>
        <v>0.11</v>
      </c>
      <c r="AF5741" s="6">
        <f t="shared" si="899"/>
        <v>0</v>
      </c>
      <c r="AG5741" s="14">
        <v>0</v>
      </c>
      <c r="AH5741" s="64">
        <f t="shared" si="895"/>
        <v>0</v>
      </c>
      <c r="AI5741" s="47"/>
      <c r="AJ5741" s="126" t="e">
        <v>#N/A</v>
      </c>
      <c r="AK5741" s="80">
        <f t="shared" si="898"/>
        <v>0</v>
      </c>
      <c r="AL5741" s="85"/>
      <c r="AM5741" s="85"/>
    </row>
    <row r="5742" spans="1:39" s="86" customFormat="1" ht="13.25" hidden="1" customHeight="1" x14ac:dyDescent="0.3">
      <c r="A5742" s="89" t="s">
        <v>3806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892"/>
        <v>1682.6</v>
      </c>
      <c r="X5742" s="6">
        <f t="shared" si="891"/>
        <v>0</v>
      </c>
      <c r="Y5742" s="13">
        <f t="shared" si="896"/>
        <v>0</v>
      </c>
      <c r="Z5742" s="14">
        <v>0</v>
      </c>
      <c r="AA5742" s="6">
        <v>0</v>
      </c>
      <c r="AB5742" s="4">
        <f t="shared" si="897"/>
        <v>0</v>
      </c>
      <c r="AC5742" s="6">
        <f t="shared" si="893"/>
        <v>0</v>
      </c>
      <c r="AD5742" s="6">
        <f t="shared" si="894"/>
        <v>0</v>
      </c>
      <c r="AE5742" s="14">
        <f>VLOOKUP(I5742,[2]媒体政策预估表!A:N,MATCH(O5742,[2]媒体政策预估表!$A$2:$M$2,0),0)</f>
        <v>7.0000000000000007E-2</v>
      </c>
      <c r="AF5742" s="6">
        <f t="shared" si="899"/>
        <v>0</v>
      </c>
      <c r="AG5742" s="14">
        <v>0</v>
      </c>
      <c r="AH5742" s="64">
        <f t="shared" si="895"/>
        <v>0</v>
      </c>
      <c r="AI5742" s="47"/>
      <c r="AJ5742" s="126" t="e">
        <v>#N/A</v>
      </c>
      <c r="AK5742" s="80">
        <f t="shared" si="898"/>
        <v>0</v>
      </c>
      <c r="AL5742" s="85"/>
      <c r="AM5742" s="85"/>
    </row>
    <row r="5743" spans="1:39" s="86" customFormat="1" ht="13.25" hidden="1" customHeight="1" x14ac:dyDescent="0.3">
      <c r="A5743" s="89" t="s">
        <v>3794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892"/>
        <v>24807.5</v>
      </c>
      <c r="X5743" s="6">
        <f t="shared" si="891"/>
        <v>0</v>
      </c>
      <c r="Y5743" s="13">
        <f t="shared" si="896"/>
        <v>0</v>
      </c>
      <c r="Z5743" s="14">
        <v>0</v>
      </c>
      <c r="AA5743" s="6">
        <v>0</v>
      </c>
      <c r="AB5743" s="4">
        <f t="shared" si="897"/>
        <v>0</v>
      </c>
      <c r="AC5743" s="6">
        <f t="shared" si="893"/>
        <v>0</v>
      </c>
      <c r="AD5743" s="6">
        <f t="shared" si="894"/>
        <v>0</v>
      </c>
      <c r="AE5743" s="14">
        <f>VLOOKUP(I5743,[2]媒体政策预估表!A:N,MATCH(O5743,[2]媒体政策预估表!$A$2:$M$2,0),0)</f>
        <v>7.0000000000000007E-2</v>
      </c>
      <c r="AF5743" s="6">
        <f t="shared" si="899"/>
        <v>0</v>
      </c>
      <c r="AG5743" s="14">
        <v>0</v>
      </c>
      <c r="AH5743" s="64">
        <f t="shared" si="895"/>
        <v>0</v>
      </c>
      <c r="AI5743" s="47"/>
      <c r="AJ5743" s="126" t="e">
        <v>#N/A</v>
      </c>
      <c r="AK5743" s="80">
        <f t="shared" si="898"/>
        <v>0</v>
      </c>
      <c r="AL5743" s="85"/>
      <c r="AM5743" s="85"/>
    </row>
    <row r="5744" spans="1:39" s="86" customFormat="1" ht="13.25" hidden="1" customHeight="1" x14ac:dyDescent="0.3">
      <c r="A5744" s="89" t="s">
        <v>3794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892"/>
        <v>18920.45</v>
      </c>
      <c r="X5744" s="6">
        <f t="shared" si="891"/>
        <v>0</v>
      </c>
      <c r="Y5744" s="13">
        <f t="shared" si="896"/>
        <v>0</v>
      </c>
      <c r="Z5744" s="14">
        <v>0</v>
      </c>
      <c r="AA5744" s="6">
        <v>0</v>
      </c>
      <c r="AB5744" s="4">
        <f t="shared" si="897"/>
        <v>0</v>
      </c>
      <c r="AC5744" s="6">
        <f t="shared" si="893"/>
        <v>0</v>
      </c>
      <c r="AD5744" s="6">
        <f t="shared" si="894"/>
        <v>0</v>
      </c>
      <c r="AE5744" s="14">
        <f>VLOOKUP(I5744,[2]媒体政策预估表!A:N,MATCH(O5744,[2]媒体政策预估表!$A$2:$M$2,0),0)</f>
        <v>7.0000000000000007E-2</v>
      </c>
      <c r="AF5744" s="6">
        <f t="shared" si="899"/>
        <v>0</v>
      </c>
      <c r="AG5744" s="14">
        <v>0</v>
      </c>
      <c r="AH5744" s="64">
        <f t="shared" si="895"/>
        <v>0</v>
      </c>
      <c r="AI5744" s="47"/>
      <c r="AJ5744" s="126" t="e">
        <v>#N/A</v>
      </c>
      <c r="AK5744" s="80">
        <f t="shared" si="898"/>
        <v>0</v>
      </c>
      <c r="AL5744" s="85"/>
      <c r="AM5744" s="85"/>
    </row>
    <row r="5745" spans="1:39" s="86" customFormat="1" ht="13.25" hidden="1" customHeight="1" x14ac:dyDescent="0.3">
      <c r="A5745" s="89" t="s">
        <v>3792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892"/>
        <v>697.7</v>
      </c>
      <c r="X5745" s="6">
        <f t="shared" si="891"/>
        <v>0</v>
      </c>
      <c r="Y5745" s="13">
        <f t="shared" si="896"/>
        <v>0</v>
      </c>
      <c r="Z5745" s="14">
        <v>0</v>
      </c>
      <c r="AA5745" s="6">
        <v>0</v>
      </c>
      <c r="AB5745" s="4">
        <f t="shared" si="897"/>
        <v>0</v>
      </c>
      <c r="AC5745" s="6">
        <f t="shared" si="893"/>
        <v>0</v>
      </c>
      <c r="AD5745" s="6">
        <f t="shared" si="894"/>
        <v>0</v>
      </c>
      <c r="AE5745" s="14">
        <f>VLOOKUP(I5745,[2]媒体政策预估表!A:N,MATCH(O5745,[2]媒体政策预估表!$A$2:$M$2,0),0)</f>
        <v>7.0000000000000007E-2</v>
      </c>
      <c r="AF5745" s="6">
        <f t="shared" si="899"/>
        <v>0</v>
      </c>
      <c r="AG5745" s="14">
        <v>0</v>
      </c>
      <c r="AH5745" s="64">
        <f t="shared" si="895"/>
        <v>0</v>
      </c>
      <c r="AI5745" s="47"/>
      <c r="AJ5745" s="126" t="e">
        <v>#N/A</v>
      </c>
      <c r="AK5745" s="80">
        <f t="shared" si="898"/>
        <v>0</v>
      </c>
      <c r="AL5745" s="85"/>
      <c r="AM5745" s="85"/>
    </row>
    <row r="5746" spans="1:39" s="86" customFormat="1" ht="13.25" hidden="1" customHeight="1" x14ac:dyDescent="0.3">
      <c r="A5746" s="89" t="s">
        <v>3792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892"/>
        <v>2.4500000000000002</v>
      </c>
      <c r="X5746" s="6">
        <f t="shared" si="891"/>
        <v>0</v>
      </c>
      <c r="Y5746" s="13">
        <f t="shared" si="896"/>
        <v>0</v>
      </c>
      <c r="Z5746" s="14">
        <v>0</v>
      </c>
      <c r="AA5746" s="6">
        <v>0</v>
      </c>
      <c r="AB5746" s="4">
        <f t="shared" si="897"/>
        <v>0</v>
      </c>
      <c r="AC5746" s="6">
        <f t="shared" si="893"/>
        <v>0</v>
      </c>
      <c r="AD5746" s="6">
        <f t="shared" si="894"/>
        <v>0</v>
      </c>
      <c r="AE5746" s="14">
        <f>VLOOKUP(I5746,[2]媒体政策预估表!A:N,MATCH(O5746,[2]媒体政策预估表!$A$2:$M$2,0),0)</f>
        <v>7.0000000000000007E-2</v>
      </c>
      <c r="AF5746" s="6">
        <f t="shared" si="899"/>
        <v>0</v>
      </c>
      <c r="AG5746" s="14">
        <v>0</v>
      </c>
      <c r="AH5746" s="64">
        <f t="shared" si="895"/>
        <v>0</v>
      </c>
      <c r="AI5746" s="47"/>
      <c r="AJ5746" s="126" t="e">
        <v>#N/A</v>
      </c>
      <c r="AK5746" s="80">
        <f t="shared" si="898"/>
        <v>0</v>
      </c>
      <c r="AL5746" s="85"/>
      <c r="AM5746" s="85"/>
    </row>
    <row r="5747" spans="1:39" s="86" customFormat="1" ht="13.25" hidden="1" customHeight="1" x14ac:dyDescent="0.3">
      <c r="A5747" s="89" t="s">
        <v>3792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892"/>
        <v>1667.34</v>
      </c>
      <c r="X5747" s="6">
        <f t="shared" si="891"/>
        <v>0</v>
      </c>
      <c r="Y5747" s="13">
        <f t="shared" si="896"/>
        <v>0</v>
      </c>
      <c r="Z5747" s="14">
        <v>0</v>
      </c>
      <c r="AA5747" s="6">
        <v>0</v>
      </c>
      <c r="AB5747" s="4">
        <f t="shared" si="897"/>
        <v>0</v>
      </c>
      <c r="AC5747" s="6">
        <f t="shared" si="893"/>
        <v>0</v>
      </c>
      <c r="AD5747" s="6">
        <f t="shared" si="894"/>
        <v>0</v>
      </c>
      <c r="AE5747" s="14">
        <f>VLOOKUP(I5747,[2]媒体政策预估表!A:N,MATCH(O5747,[2]媒体政策预估表!$A$2:$M$2,0),0)</f>
        <v>7.0000000000000007E-2</v>
      </c>
      <c r="AF5747" s="6">
        <f t="shared" si="899"/>
        <v>0</v>
      </c>
      <c r="AG5747" s="14">
        <v>0</v>
      </c>
      <c r="AH5747" s="64">
        <f t="shared" si="895"/>
        <v>0</v>
      </c>
      <c r="AI5747" s="47"/>
      <c r="AJ5747" s="126" t="e">
        <v>#N/A</v>
      </c>
      <c r="AK5747" s="80">
        <f t="shared" si="898"/>
        <v>0</v>
      </c>
      <c r="AL5747" s="85"/>
      <c r="AM5747" s="85"/>
    </row>
    <row r="5748" spans="1:39" s="86" customFormat="1" ht="13.25" hidden="1" customHeight="1" x14ac:dyDescent="0.3">
      <c r="A5748" s="89" t="s">
        <v>3792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892"/>
        <v>2298.7800000000002</v>
      </c>
      <c r="X5748" s="6">
        <f t="shared" si="891"/>
        <v>0</v>
      </c>
      <c r="Y5748" s="13">
        <f t="shared" si="896"/>
        <v>0</v>
      </c>
      <c r="Z5748" s="14">
        <v>0</v>
      </c>
      <c r="AA5748" s="6">
        <v>0</v>
      </c>
      <c r="AB5748" s="4">
        <f t="shared" si="897"/>
        <v>0</v>
      </c>
      <c r="AC5748" s="6">
        <f t="shared" si="893"/>
        <v>0</v>
      </c>
      <c r="AD5748" s="6">
        <f t="shared" si="894"/>
        <v>0</v>
      </c>
      <c r="AE5748" s="14">
        <f>VLOOKUP(I5748,[2]媒体政策预估表!A:N,MATCH(O5748,[2]媒体政策预估表!$A$2:$M$2,0),0)</f>
        <v>7.0000000000000007E-2</v>
      </c>
      <c r="AF5748" s="6">
        <f t="shared" si="899"/>
        <v>0</v>
      </c>
      <c r="AG5748" s="14">
        <v>0</v>
      </c>
      <c r="AH5748" s="64">
        <f t="shared" si="895"/>
        <v>0</v>
      </c>
      <c r="AI5748" s="47"/>
      <c r="AJ5748" s="126" t="e">
        <v>#N/A</v>
      </c>
      <c r="AK5748" s="80">
        <f t="shared" si="898"/>
        <v>0</v>
      </c>
      <c r="AL5748" s="85"/>
      <c r="AM5748" s="85"/>
    </row>
    <row r="5749" spans="1:39" s="86" customFormat="1" ht="13.25" hidden="1" customHeight="1" x14ac:dyDescent="0.3">
      <c r="A5749" s="89" t="s">
        <v>3794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892"/>
        <v>9444.5</v>
      </c>
      <c r="X5749" s="6">
        <f t="shared" si="891"/>
        <v>0</v>
      </c>
      <c r="Y5749" s="13">
        <f t="shared" si="896"/>
        <v>0</v>
      </c>
      <c r="Z5749" s="14">
        <v>0</v>
      </c>
      <c r="AA5749" s="6">
        <v>0</v>
      </c>
      <c r="AB5749" s="4">
        <f t="shared" si="897"/>
        <v>0</v>
      </c>
      <c r="AC5749" s="6">
        <f t="shared" si="893"/>
        <v>0</v>
      </c>
      <c r="AD5749" s="6">
        <f t="shared" si="894"/>
        <v>0</v>
      </c>
      <c r="AE5749" s="14">
        <f>VLOOKUP(I5749,[2]媒体政策预估表!A:N,MATCH(O5749,[2]媒体政策预估表!$A$2:$M$2,0),0)</f>
        <v>7.0000000000000007E-2</v>
      </c>
      <c r="AF5749" s="6">
        <f t="shared" si="899"/>
        <v>0</v>
      </c>
      <c r="AG5749" s="14">
        <v>0</v>
      </c>
      <c r="AH5749" s="64">
        <f t="shared" si="895"/>
        <v>0</v>
      </c>
      <c r="AI5749" s="47"/>
      <c r="AJ5749" s="126" t="e">
        <v>#N/A</v>
      </c>
      <c r="AK5749" s="80">
        <f t="shared" si="898"/>
        <v>0</v>
      </c>
      <c r="AL5749" s="85"/>
      <c r="AM5749" s="85"/>
    </row>
    <row r="5750" spans="1:39" s="86" customFormat="1" ht="13.25" hidden="1" customHeight="1" x14ac:dyDescent="0.3">
      <c r="A5750" s="89" t="s">
        <v>3792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892"/>
        <v>2383.9499999999998</v>
      </c>
      <c r="X5750" s="6">
        <f t="shared" si="891"/>
        <v>0</v>
      </c>
      <c r="Y5750" s="13">
        <f t="shared" si="896"/>
        <v>0</v>
      </c>
      <c r="Z5750" s="14">
        <v>0</v>
      </c>
      <c r="AA5750" s="6">
        <v>0</v>
      </c>
      <c r="AB5750" s="4">
        <f t="shared" si="897"/>
        <v>0</v>
      </c>
      <c r="AC5750" s="6">
        <f t="shared" si="893"/>
        <v>0</v>
      </c>
      <c r="AD5750" s="6">
        <f t="shared" si="894"/>
        <v>0</v>
      </c>
      <c r="AE5750" s="14">
        <f>VLOOKUP(I5750,[2]媒体政策预估表!A:N,MATCH(O5750,[2]媒体政策预估表!$A$2:$M$2,0),0)</f>
        <v>7.0000000000000007E-2</v>
      </c>
      <c r="AF5750" s="6">
        <f t="shared" si="899"/>
        <v>0</v>
      </c>
      <c r="AG5750" s="14">
        <v>0</v>
      </c>
      <c r="AH5750" s="64">
        <f t="shared" si="895"/>
        <v>0</v>
      </c>
      <c r="AI5750" s="47"/>
      <c r="AJ5750" s="126" t="e">
        <v>#N/A</v>
      </c>
      <c r="AK5750" s="80">
        <f t="shared" si="898"/>
        <v>0</v>
      </c>
      <c r="AL5750" s="85"/>
      <c r="AM5750" s="85"/>
    </row>
    <row r="5751" spans="1:39" s="86" customFormat="1" ht="13.25" hidden="1" customHeight="1" x14ac:dyDescent="0.3">
      <c r="A5751" s="89" t="s">
        <v>3794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892"/>
        <v>5768.6</v>
      </c>
      <c r="X5751" s="6">
        <f t="shared" si="891"/>
        <v>0</v>
      </c>
      <c r="Y5751" s="13">
        <f t="shared" si="896"/>
        <v>0</v>
      </c>
      <c r="Z5751" s="14">
        <v>0</v>
      </c>
      <c r="AA5751" s="6">
        <v>0</v>
      </c>
      <c r="AB5751" s="4">
        <f t="shared" si="897"/>
        <v>0</v>
      </c>
      <c r="AC5751" s="6">
        <f t="shared" si="893"/>
        <v>0</v>
      </c>
      <c r="AD5751" s="6">
        <f t="shared" si="894"/>
        <v>0</v>
      </c>
      <c r="AE5751" s="14">
        <f>VLOOKUP(I5751,[2]媒体政策预估表!A:N,MATCH(O5751,[2]媒体政策预估表!$A$2:$M$2,0),0)</f>
        <v>7.0000000000000007E-2</v>
      </c>
      <c r="AF5751" s="6">
        <f t="shared" si="899"/>
        <v>0</v>
      </c>
      <c r="AG5751" s="14">
        <v>0</v>
      </c>
      <c r="AH5751" s="64">
        <f t="shared" si="895"/>
        <v>0</v>
      </c>
      <c r="AI5751" s="47"/>
      <c r="AJ5751" s="126" t="e">
        <v>#N/A</v>
      </c>
      <c r="AK5751" s="80">
        <f t="shared" si="898"/>
        <v>0</v>
      </c>
      <c r="AL5751" s="85"/>
      <c r="AM5751" s="85"/>
    </row>
    <row r="5752" spans="1:39" s="86" customFormat="1" ht="13.25" hidden="1" customHeight="1" x14ac:dyDescent="0.3">
      <c r="A5752" s="89" t="s">
        <v>3806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892"/>
        <v>6206</v>
      </c>
      <c r="X5752" s="6">
        <f t="shared" si="891"/>
        <v>0</v>
      </c>
      <c r="Y5752" s="13">
        <f t="shared" si="896"/>
        <v>0</v>
      </c>
      <c r="Z5752" s="14">
        <v>0</v>
      </c>
      <c r="AA5752" s="6">
        <v>0</v>
      </c>
      <c r="AB5752" s="4">
        <f t="shared" si="897"/>
        <v>0</v>
      </c>
      <c r="AC5752" s="6">
        <f t="shared" si="893"/>
        <v>0</v>
      </c>
      <c r="AD5752" s="6">
        <f t="shared" si="894"/>
        <v>0</v>
      </c>
      <c r="AE5752" s="14">
        <f>VLOOKUP(I5752,[2]媒体政策预估表!A:N,MATCH(O5752,[2]媒体政策预估表!$A$2:$M$2,0),0)</f>
        <v>7.0000000000000007E-2</v>
      </c>
      <c r="AF5752" s="6">
        <f t="shared" si="899"/>
        <v>0</v>
      </c>
      <c r="AG5752" s="14">
        <v>0</v>
      </c>
      <c r="AH5752" s="64">
        <f t="shared" si="895"/>
        <v>0</v>
      </c>
      <c r="AI5752" s="47"/>
      <c r="AJ5752" s="126" t="e">
        <v>#N/A</v>
      </c>
      <c r="AK5752" s="80">
        <f t="shared" si="898"/>
        <v>0</v>
      </c>
      <c r="AL5752" s="85"/>
      <c r="AM5752" s="85"/>
    </row>
    <row r="5753" spans="1:39" s="86" customFormat="1" ht="13.25" hidden="1" customHeight="1" x14ac:dyDescent="0.3">
      <c r="A5753" s="89" t="s">
        <v>3794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892"/>
        <v>46724.05</v>
      </c>
      <c r="X5753" s="6">
        <f t="shared" si="891"/>
        <v>0</v>
      </c>
      <c r="Y5753" s="13">
        <f t="shared" si="896"/>
        <v>0</v>
      </c>
      <c r="Z5753" s="14">
        <v>0</v>
      </c>
      <c r="AA5753" s="6">
        <v>0</v>
      </c>
      <c r="AB5753" s="4">
        <f t="shared" si="897"/>
        <v>0</v>
      </c>
      <c r="AC5753" s="6">
        <f t="shared" si="893"/>
        <v>0</v>
      </c>
      <c r="AD5753" s="6">
        <f t="shared" si="894"/>
        <v>0</v>
      </c>
      <c r="AE5753" s="14">
        <f>VLOOKUP(I5753,[2]媒体政策预估表!A:N,MATCH(O5753,[2]媒体政策预估表!$A$2:$M$2,0),0)</f>
        <v>7.0000000000000007E-2</v>
      </c>
      <c r="AF5753" s="6">
        <f t="shared" si="899"/>
        <v>0</v>
      </c>
      <c r="AG5753" s="14">
        <v>0</v>
      </c>
      <c r="AH5753" s="64">
        <f t="shared" si="895"/>
        <v>0</v>
      </c>
      <c r="AI5753" s="47"/>
      <c r="AJ5753" s="126" t="e">
        <v>#N/A</v>
      </c>
      <c r="AK5753" s="80">
        <f t="shared" si="898"/>
        <v>0</v>
      </c>
      <c r="AL5753" s="85"/>
      <c r="AM5753" s="85"/>
    </row>
    <row r="5754" spans="1:39" s="86" customFormat="1" ht="13.25" hidden="1" customHeight="1" x14ac:dyDescent="0.3">
      <c r="A5754" s="89" t="s">
        <v>3794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892"/>
        <v>59848.4</v>
      </c>
      <c r="X5754" s="6">
        <f t="shared" si="891"/>
        <v>0</v>
      </c>
      <c r="Y5754" s="13">
        <f t="shared" si="896"/>
        <v>0</v>
      </c>
      <c r="Z5754" s="14">
        <v>0</v>
      </c>
      <c r="AA5754" s="6">
        <v>0</v>
      </c>
      <c r="AB5754" s="4">
        <f t="shared" si="897"/>
        <v>0</v>
      </c>
      <c r="AC5754" s="6">
        <f t="shared" si="893"/>
        <v>0</v>
      </c>
      <c r="AD5754" s="6">
        <f t="shared" si="894"/>
        <v>0</v>
      </c>
      <c r="AE5754" s="14">
        <f>VLOOKUP(I5754,[2]媒体政策预估表!A:N,MATCH(O5754,[2]媒体政策预估表!$A$2:$M$2,0),0)</f>
        <v>7.0000000000000007E-2</v>
      </c>
      <c r="AF5754" s="6">
        <f t="shared" si="899"/>
        <v>0</v>
      </c>
      <c r="AG5754" s="14">
        <v>0</v>
      </c>
      <c r="AH5754" s="64">
        <f t="shared" si="895"/>
        <v>0</v>
      </c>
      <c r="AI5754" s="47"/>
      <c r="AJ5754" s="126" t="e">
        <v>#N/A</v>
      </c>
      <c r="AK5754" s="80">
        <f t="shared" si="898"/>
        <v>0</v>
      </c>
      <c r="AL5754" s="85"/>
      <c r="AM5754" s="85"/>
    </row>
    <row r="5755" spans="1:39" s="86" customFormat="1" ht="13.25" hidden="1" customHeight="1" x14ac:dyDescent="0.3">
      <c r="A5755" s="89" t="s">
        <v>3806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892"/>
        <v>200</v>
      </c>
      <c r="X5755" s="6">
        <f t="shared" si="891"/>
        <v>0</v>
      </c>
      <c r="Y5755" s="13">
        <f t="shared" si="896"/>
        <v>0</v>
      </c>
      <c r="Z5755" s="14">
        <v>0</v>
      </c>
      <c r="AA5755" s="6">
        <v>0</v>
      </c>
      <c r="AB5755" s="4">
        <f t="shared" si="897"/>
        <v>0</v>
      </c>
      <c r="AC5755" s="6">
        <f t="shared" si="893"/>
        <v>0</v>
      </c>
      <c r="AD5755" s="6">
        <f t="shared" si="894"/>
        <v>0</v>
      </c>
      <c r="AE5755" s="14">
        <f>VLOOKUP(I5755,[2]媒体政策预估表!A:N,MATCH(O5755,[2]媒体政策预估表!$A$2:$M$2,0),0)</f>
        <v>7.0000000000000007E-2</v>
      </c>
      <c r="AF5755" s="6">
        <f t="shared" si="899"/>
        <v>0</v>
      </c>
      <c r="AG5755" s="14">
        <v>0</v>
      </c>
      <c r="AH5755" s="64">
        <f t="shared" si="895"/>
        <v>0</v>
      </c>
      <c r="AI5755" s="47"/>
      <c r="AJ5755" s="126" t="e">
        <v>#N/A</v>
      </c>
      <c r="AK5755" s="80">
        <f t="shared" si="898"/>
        <v>0</v>
      </c>
      <c r="AL5755" s="85"/>
      <c r="AM5755" s="85"/>
    </row>
    <row r="5756" spans="1:39" s="86" customFormat="1" ht="13.25" hidden="1" customHeight="1" x14ac:dyDescent="0.3">
      <c r="A5756" s="89" t="s">
        <v>3794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892"/>
        <v>9963.2999999999993</v>
      </c>
      <c r="X5756" s="6">
        <f t="shared" si="891"/>
        <v>0</v>
      </c>
      <c r="Y5756" s="13">
        <f t="shared" si="896"/>
        <v>0</v>
      </c>
      <c r="Z5756" s="14">
        <v>0</v>
      </c>
      <c r="AA5756" s="6">
        <v>0</v>
      </c>
      <c r="AB5756" s="4">
        <f t="shared" si="897"/>
        <v>0</v>
      </c>
      <c r="AC5756" s="6">
        <f t="shared" si="893"/>
        <v>0</v>
      </c>
      <c r="AD5756" s="6">
        <f t="shared" si="894"/>
        <v>0</v>
      </c>
      <c r="AE5756" s="14">
        <f>VLOOKUP(I5756,[2]媒体政策预估表!A:N,MATCH(O5756,[2]媒体政策预估表!$A$2:$M$2,0),0)</f>
        <v>7.0000000000000007E-2</v>
      </c>
      <c r="AF5756" s="6">
        <f t="shared" si="899"/>
        <v>0</v>
      </c>
      <c r="AG5756" s="14">
        <v>0</v>
      </c>
      <c r="AH5756" s="64">
        <f t="shared" si="895"/>
        <v>0</v>
      </c>
      <c r="AI5756" s="47"/>
      <c r="AJ5756" s="126" t="e">
        <v>#N/A</v>
      </c>
      <c r="AK5756" s="80">
        <f t="shared" si="898"/>
        <v>0</v>
      </c>
      <c r="AL5756" s="85"/>
      <c r="AM5756" s="85"/>
    </row>
    <row r="5757" spans="1:39" s="86" customFormat="1" ht="13.25" hidden="1" customHeight="1" x14ac:dyDescent="0.3">
      <c r="A5757" s="89" t="s">
        <v>3792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892"/>
        <v>606.33000000000004</v>
      </c>
      <c r="X5757" s="6">
        <f t="shared" ref="X5757:X5799" si="900">IF(P5757="折扣",V5757*Q5757,IF(P5757="返现",V5757,V5757/(1+Q5757)))</f>
        <v>0</v>
      </c>
      <c r="Y5757" s="13">
        <f t="shared" si="896"/>
        <v>0</v>
      </c>
      <c r="Z5757" s="14">
        <v>0</v>
      </c>
      <c r="AA5757" s="6">
        <v>0</v>
      </c>
      <c r="AB5757" s="4">
        <f t="shared" si="897"/>
        <v>0</v>
      </c>
      <c r="AC5757" s="6">
        <f t="shared" si="893"/>
        <v>0</v>
      </c>
      <c r="AD5757" s="6">
        <f t="shared" si="894"/>
        <v>0</v>
      </c>
      <c r="AE5757" s="14">
        <f>VLOOKUP(I5757,[2]媒体政策预估表!A:N,MATCH(O5757,[2]媒体政策预估表!$A$2:$M$2,0),0)</f>
        <v>7.0000000000000007E-2</v>
      </c>
      <c r="AF5757" s="6">
        <f t="shared" si="899"/>
        <v>0</v>
      </c>
      <c r="AG5757" s="14">
        <v>0</v>
      </c>
      <c r="AH5757" s="64">
        <f t="shared" si="895"/>
        <v>0</v>
      </c>
      <c r="AI5757" s="47"/>
      <c r="AJ5757" s="126" t="e">
        <v>#N/A</v>
      </c>
      <c r="AK5757" s="80">
        <f t="shared" si="898"/>
        <v>0</v>
      </c>
      <c r="AL5757" s="85"/>
      <c r="AM5757" s="85"/>
    </row>
    <row r="5758" spans="1:39" s="86" customFormat="1" ht="13.25" hidden="1" customHeight="1" x14ac:dyDescent="0.3">
      <c r="A5758" s="89" t="s">
        <v>3792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01">T5758+U5758-V5758</f>
        <v>9884.1</v>
      </c>
      <c r="X5758" s="6">
        <f t="shared" si="900"/>
        <v>0</v>
      </c>
      <c r="Y5758" s="13">
        <f t="shared" si="896"/>
        <v>0</v>
      </c>
      <c r="Z5758" s="14">
        <v>0</v>
      </c>
      <c r="AA5758" s="6">
        <v>0</v>
      </c>
      <c r="AB5758" s="4">
        <f t="shared" si="897"/>
        <v>0</v>
      </c>
      <c r="AC5758" s="6">
        <f t="shared" ref="AC5758:AC5821" si="902">IF(P5758="返现",X5758*Q5758,V5758-X5758)</f>
        <v>0</v>
      </c>
      <c r="AD5758" s="6">
        <f t="shared" ref="AD5758:AD5799" si="903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899"/>
        <v>0</v>
      </c>
      <c r="AG5758" s="14">
        <v>0</v>
      </c>
      <c r="AH5758" s="64">
        <f t="shared" ref="AH5758:AH5799" si="904">V5758</f>
        <v>0</v>
      </c>
      <c r="AI5758" s="47"/>
      <c r="AJ5758" s="126" t="e">
        <v>#N/A</v>
      </c>
      <c r="AK5758" s="80">
        <f t="shared" si="898"/>
        <v>0</v>
      </c>
      <c r="AL5758" s="85"/>
      <c r="AM5758" s="85"/>
    </row>
    <row r="5759" spans="1:39" s="86" customFormat="1" ht="13.25" hidden="1" customHeight="1" x14ac:dyDescent="0.3">
      <c r="A5759" s="89" t="s">
        <v>3806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01"/>
        <v>2791.4</v>
      </c>
      <c r="X5759" s="6">
        <f t="shared" si="900"/>
        <v>0</v>
      </c>
      <c r="Y5759" s="13">
        <f t="shared" si="896"/>
        <v>0</v>
      </c>
      <c r="Z5759" s="14">
        <v>0</v>
      </c>
      <c r="AA5759" s="6">
        <v>0</v>
      </c>
      <c r="AB5759" s="4">
        <f t="shared" si="897"/>
        <v>0</v>
      </c>
      <c r="AC5759" s="6">
        <f t="shared" si="902"/>
        <v>0</v>
      </c>
      <c r="AD5759" s="6">
        <f t="shared" si="903"/>
        <v>0</v>
      </c>
      <c r="AE5759" s="14">
        <f>VLOOKUP(I5759,[2]媒体政策预估表!A:N,MATCH(O5759,[2]媒体政策预估表!$A$2:$M$2,0),0)</f>
        <v>7.0000000000000007E-2</v>
      </c>
      <c r="AF5759" s="6">
        <f t="shared" si="899"/>
        <v>0</v>
      </c>
      <c r="AG5759" s="14">
        <v>0</v>
      </c>
      <c r="AH5759" s="64">
        <f t="shared" si="904"/>
        <v>0</v>
      </c>
      <c r="AI5759" s="47"/>
      <c r="AJ5759" s="126" t="e">
        <v>#N/A</v>
      </c>
      <c r="AK5759" s="80">
        <f t="shared" si="898"/>
        <v>0</v>
      </c>
      <c r="AL5759" s="85"/>
      <c r="AM5759" s="85"/>
    </row>
    <row r="5760" spans="1:39" s="86" customFormat="1" ht="13.25" hidden="1" customHeight="1" x14ac:dyDescent="0.3">
      <c r="A5760" s="89" t="s">
        <v>3806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01"/>
        <v>237.5</v>
      </c>
      <c r="X5760" s="6">
        <f t="shared" si="900"/>
        <v>0</v>
      </c>
      <c r="Y5760" s="13">
        <f t="shared" si="896"/>
        <v>0</v>
      </c>
      <c r="Z5760" s="14">
        <v>0</v>
      </c>
      <c r="AA5760" s="6">
        <v>0</v>
      </c>
      <c r="AB5760" s="4">
        <f t="shared" si="897"/>
        <v>0</v>
      </c>
      <c r="AC5760" s="6">
        <f t="shared" si="902"/>
        <v>0</v>
      </c>
      <c r="AD5760" s="6">
        <f t="shared" si="903"/>
        <v>0</v>
      </c>
      <c r="AE5760" s="14">
        <f>VLOOKUP(I5760,[2]媒体政策预估表!A:N,MATCH(O5760,[2]媒体政策预估表!$A$2:$M$2,0),0)</f>
        <v>7.0000000000000007E-2</v>
      </c>
      <c r="AF5760" s="6">
        <f t="shared" si="899"/>
        <v>0</v>
      </c>
      <c r="AG5760" s="14">
        <v>0</v>
      </c>
      <c r="AH5760" s="64">
        <f t="shared" si="904"/>
        <v>0</v>
      </c>
      <c r="AI5760" s="47"/>
      <c r="AJ5760" s="126" t="e">
        <v>#N/A</v>
      </c>
      <c r="AK5760" s="80">
        <f t="shared" si="898"/>
        <v>0</v>
      </c>
      <c r="AL5760" s="85"/>
      <c r="AM5760" s="85"/>
    </row>
    <row r="5761" spans="1:39" s="86" customFormat="1" ht="13.25" hidden="1" customHeight="1" x14ac:dyDescent="0.3">
      <c r="A5761" s="89" t="s">
        <v>3794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01"/>
        <v>8891.23</v>
      </c>
      <c r="X5761" s="6">
        <f t="shared" si="900"/>
        <v>0</v>
      </c>
      <c r="Y5761" s="13">
        <f t="shared" si="896"/>
        <v>0</v>
      </c>
      <c r="Z5761" s="14">
        <v>0</v>
      </c>
      <c r="AA5761" s="6">
        <v>0</v>
      </c>
      <c r="AB5761" s="4">
        <f t="shared" si="897"/>
        <v>0</v>
      </c>
      <c r="AC5761" s="6">
        <f t="shared" si="902"/>
        <v>0</v>
      </c>
      <c r="AD5761" s="6">
        <f t="shared" si="903"/>
        <v>0</v>
      </c>
      <c r="AE5761" s="14">
        <f>VLOOKUP(I5761,[2]媒体政策预估表!A:N,MATCH(O5761,[2]媒体政策预估表!$A$2:$M$2,0),0)</f>
        <v>7.0000000000000007E-2</v>
      </c>
      <c r="AF5761" s="6">
        <f t="shared" si="899"/>
        <v>0</v>
      </c>
      <c r="AG5761" s="14">
        <v>0</v>
      </c>
      <c r="AH5761" s="64">
        <f t="shared" si="904"/>
        <v>0</v>
      </c>
      <c r="AI5761" s="47"/>
      <c r="AJ5761" s="126" t="e">
        <v>#N/A</v>
      </c>
      <c r="AK5761" s="80">
        <f t="shared" si="898"/>
        <v>0</v>
      </c>
      <c r="AL5761" s="85"/>
      <c r="AM5761" s="85"/>
    </row>
    <row r="5762" spans="1:39" s="86" customFormat="1" ht="13.25" hidden="1" customHeight="1" x14ac:dyDescent="0.3">
      <c r="A5762" s="89" t="s">
        <v>3806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01"/>
        <v>400</v>
      </c>
      <c r="X5762" s="6">
        <f t="shared" si="900"/>
        <v>0</v>
      </c>
      <c r="Y5762" s="13">
        <f t="shared" si="896"/>
        <v>0</v>
      </c>
      <c r="Z5762" s="14">
        <v>0</v>
      </c>
      <c r="AA5762" s="6">
        <v>0</v>
      </c>
      <c r="AB5762" s="4">
        <f t="shared" si="897"/>
        <v>0</v>
      </c>
      <c r="AC5762" s="6">
        <f t="shared" si="902"/>
        <v>0</v>
      </c>
      <c r="AD5762" s="6">
        <f t="shared" si="903"/>
        <v>0</v>
      </c>
      <c r="AE5762" s="14">
        <f>VLOOKUP(I5762,[2]媒体政策预估表!A:N,MATCH(O5762,[2]媒体政策预估表!$A$2:$M$2,0),0)</f>
        <v>7.0000000000000007E-2</v>
      </c>
      <c r="AF5762" s="6">
        <f t="shared" si="899"/>
        <v>0</v>
      </c>
      <c r="AG5762" s="14">
        <v>0</v>
      </c>
      <c r="AH5762" s="64">
        <f t="shared" si="904"/>
        <v>0</v>
      </c>
      <c r="AI5762" s="47"/>
      <c r="AJ5762" s="126" t="e">
        <v>#N/A</v>
      </c>
      <c r="AK5762" s="80">
        <f t="shared" si="898"/>
        <v>0</v>
      </c>
      <c r="AL5762" s="85"/>
      <c r="AM5762" s="85"/>
    </row>
    <row r="5763" spans="1:39" s="86" customFormat="1" ht="13.25" hidden="1" customHeight="1" x14ac:dyDescent="0.3">
      <c r="A5763" s="89" t="s">
        <v>3806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01"/>
        <v>2455.6</v>
      </c>
      <c r="X5763" s="6">
        <f t="shared" si="900"/>
        <v>0</v>
      </c>
      <c r="Y5763" s="13">
        <f t="shared" ref="Y5763:Y5826" si="905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06">X5763+AA5763</f>
        <v>0</v>
      </c>
      <c r="AC5763" s="6">
        <f t="shared" si="902"/>
        <v>0</v>
      </c>
      <c r="AD5763" s="6">
        <f t="shared" si="903"/>
        <v>0</v>
      </c>
      <c r="AE5763" s="14">
        <f>VLOOKUP(I5763,[2]媒体政策预估表!A:N,MATCH(O5763,[2]媒体政策预估表!$A$2:$M$2,0),0)</f>
        <v>7.0000000000000007E-2</v>
      </c>
      <c r="AF5763" s="6">
        <f t="shared" si="899"/>
        <v>0</v>
      </c>
      <c r="AG5763" s="14">
        <v>0</v>
      </c>
      <c r="AH5763" s="64">
        <f t="shared" si="904"/>
        <v>0</v>
      </c>
      <c r="AI5763" s="47"/>
      <c r="AJ5763" s="126" t="e">
        <v>#N/A</v>
      </c>
      <c r="AK5763" s="80">
        <f t="shared" ref="AK5763:AK5826" si="907">X5763+AA5763-AB5763</f>
        <v>0</v>
      </c>
      <c r="AL5763" s="85"/>
      <c r="AM5763" s="85"/>
    </row>
    <row r="5764" spans="1:39" s="86" customFormat="1" ht="13.25" hidden="1" customHeight="1" x14ac:dyDescent="0.3">
      <c r="A5764" s="89" t="s">
        <v>3806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01"/>
        <v>3292</v>
      </c>
      <c r="X5764" s="6">
        <f t="shared" si="900"/>
        <v>0</v>
      </c>
      <c r="Y5764" s="13">
        <f t="shared" si="905"/>
        <v>0</v>
      </c>
      <c r="Z5764" s="14">
        <v>0</v>
      </c>
      <c r="AA5764" s="6">
        <v>0</v>
      </c>
      <c r="AB5764" s="4">
        <f t="shared" si="906"/>
        <v>0</v>
      </c>
      <c r="AC5764" s="6">
        <f t="shared" si="902"/>
        <v>0</v>
      </c>
      <c r="AD5764" s="6">
        <f t="shared" si="903"/>
        <v>0</v>
      </c>
      <c r="AE5764" s="14">
        <f>VLOOKUP(I5764,[2]媒体政策预估表!A:N,MATCH(O5764,[2]媒体政策预估表!$A$2:$M$2,0),0)</f>
        <v>7.0000000000000007E-2</v>
      </c>
      <c r="AF5764" s="6">
        <f t="shared" si="899"/>
        <v>0</v>
      </c>
      <c r="AG5764" s="14">
        <v>0</v>
      </c>
      <c r="AH5764" s="64">
        <f t="shared" si="904"/>
        <v>0</v>
      </c>
      <c r="AI5764" s="47"/>
      <c r="AJ5764" s="126" t="e">
        <v>#N/A</v>
      </c>
      <c r="AK5764" s="80">
        <f t="shared" si="907"/>
        <v>0</v>
      </c>
      <c r="AL5764" s="85"/>
      <c r="AM5764" s="85"/>
    </row>
    <row r="5765" spans="1:39" s="86" customFormat="1" ht="13.25" hidden="1" customHeight="1" x14ac:dyDescent="0.3">
      <c r="A5765" s="89" t="s">
        <v>3794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01"/>
        <v>10000</v>
      </c>
      <c r="X5765" s="6">
        <f t="shared" si="900"/>
        <v>0</v>
      </c>
      <c r="Y5765" s="13">
        <f t="shared" si="905"/>
        <v>0</v>
      </c>
      <c r="Z5765" s="14">
        <v>0</v>
      </c>
      <c r="AA5765" s="6">
        <v>0</v>
      </c>
      <c r="AB5765" s="4">
        <f t="shared" si="906"/>
        <v>0</v>
      </c>
      <c r="AC5765" s="6">
        <f t="shared" si="902"/>
        <v>0</v>
      </c>
      <c r="AD5765" s="6">
        <f t="shared" si="903"/>
        <v>0</v>
      </c>
      <c r="AE5765" s="14">
        <f>VLOOKUP(I5765,[2]媒体政策预估表!A:N,MATCH(O5765,[2]媒体政策预估表!$A$2:$M$2,0),0)</f>
        <v>7.0000000000000007E-2</v>
      </c>
      <c r="AF5765" s="6">
        <f t="shared" si="899"/>
        <v>0</v>
      </c>
      <c r="AG5765" s="14">
        <v>0</v>
      </c>
      <c r="AH5765" s="64">
        <f t="shared" si="904"/>
        <v>0</v>
      </c>
      <c r="AI5765" s="47"/>
      <c r="AJ5765" s="126" t="e">
        <v>#N/A</v>
      </c>
      <c r="AK5765" s="80">
        <f t="shared" si="907"/>
        <v>0</v>
      </c>
      <c r="AL5765" s="85"/>
      <c r="AM5765" s="85"/>
    </row>
    <row r="5766" spans="1:39" s="86" customFormat="1" ht="13.25" hidden="1" customHeight="1" x14ac:dyDescent="0.3">
      <c r="A5766" s="89" t="s">
        <v>3852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01"/>
        <v>272.5</v>
      </c>
      <c r="X5766" s="6">
        <f t="shared" si="900"/>
        <v>0</v>
      </c>
      <c r="Y5766" s="13">
        <f t="shared" si="905"/>
        <v>0</v>
      </c>
      <c r="Z5766" s="14">
        <v>0</v>
      </c>
      <c r="AA5766" s="6">
        <v>0</v>
      </c>
      <c r="AB5766" s="4">
        <f t="shared" si="906"/>
        <v>0</v>
      </c>
      <c r="AC5766" s="6">
        <f t="shared" si="902"/>
        <v>0</v>
      </c>
      <c r="AD5766" s="6">
        <f t="shared" si="903"/>
        <v>0</v>
      </c>
      <c r="AE5766" s="14">
        <f>VLOOKUP(I5766,[2]媒体政策预估表!A:N,MATCH(O5766,[2]媒体政策预估表!$A$2:$M$2,0),0)</f>
        <v>7.0000000000000007E-2</v>
      </c>
      <c r="AF5766" s="6">
        <f t="shared" si="899"/>
        <v>0</v>
      </c>
      <c r="AG5766" s="14">
        <v>0</v>
      </c>
      <c r="AH5766" s="64">
        <f t="shared" si="904"/>
        <v>0</v>
      </c>
      <c r="AI5766" s="47"/>
      <c r="AJ5766" s="126" t="e">
        <v>#N/A</v>
      </c>
      <c r="AK5766" s="80">
        <f t="shared" si="907"/>
        <v>0</v>
      </c>
      <c r="AL5766" s="85"/>
      <c r="AM5766" s="85"/>
    </row>
    <row r="5767" spans="1:39" s="86" customFormat="1" ht="13.25" hidden="1" customHeight="1" x14ac:dyDescent="0.3">
      <c r="A5767" s="89" t="s">
        <v>3806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01"/>
        <v>32.5</v>
      </c>
      <c r="X5767" s="6">
        <f t="shared" si="900"/>
        <v>0</v>
      </c>
      <c r="Y5767" s="13">
        <f t="shared" si="905"/>
        <v>0</v>
      </c>
      <c r="Z5767" s="14">
        <v>0</v>
      </c>
      <c r="AA5767" s="6">
        <v>0</v>
      </c>
      <c r="AB5767" s="4">
        <f t="shared" si="906"/>
        <v>0</v>
      </c>
      <c r="AC5767" s="6">
        <f t="shared" si="902"/>
        <v>0</v>
      </c>
      <c r="AD5767" s="6">
        <f t="shared" si="903"/>
        <v>0</v>
      </c>
      <c r="AE5767" s="14">
        <f>VLOOKUP(I5767,[2]媒体政策预估表!A:N,MATCH(O5767,[2]媒体政策预估表!$A$2:$M$2,0),0)</f>
        <v>7.0000000000000007E-2</v>
      </c>
      <c r="AF5767" s="6">
        <f t="shared" si="899"/>
        <v>0</v>
      </c>
      <c r="AG5767" s="14">
        <v>0</v>
      </c>
      <c r="AH5767" s="64">
        <f t="shared" si="904"/>
        <v>0</v>
      </c>
      <c r="AI5767" s="47"/>
      <c r="AJ5767" s="126" t="e">
        <v>#N/A</v>
      </c>
      <c r="AK5767" s="80">
        <f t="shared" si="907"/>
        <v>0</v>
      </c>
      <c r="AL5767" s="85"/>
      <c r="AM5767" s="85"/>
    </row>
    <row r="5768" spans="1:39" s="86" customFormat="1" ht="13.25" hidden="1" customHeight="1" x14ac:dyDescent="0.3">
      <c r="A5768" s="89" t="s">
        <v>3806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01"/>
        <v>14199.2</v>
      </c>
      <c r="X5768" s="6">
        <f t="shared" si="900"/>
        <v>0</v>
      </c>
      <c r="Y5768" s="13">
        <f t="shared" si="905"/>
        <v>0</v>
      </c>
      <c r="Z5768" s="14">
        <v>0</v>
      </c>
      <c r="AA5768" s="6">
        <v>0</v>
      </c>
      <c r="AB5768" s="4">
        <f t="shared" si="906"/>
        <v>0</v>
      </c>
      <c r="AC5768" s="6">
        <f t="shared" si="902"/>
        <v>0</v>
      </c>
      <c r="AD5768" s="6">
        <f t="shared" si="903"/>
        <v>0</v>
      </c>
      <c r="AE5768" s="14">
        <f>VLOOKUP(I5768,[2]媒体政策预估表!A:N,MATCH(O5768,[2]媒体政策预估表!$A$2:$M$2,0),0)</f>
        <v>7.0000000000000007E-2</v>
      </c>
      <c r="AF5768" s="6">
        <f t="shared" si="899"/>
        <v>0</v>
      </c>
      <c r="AG5768" s="14">
        <v>0</v>
      </c>
      <c r="AH5768" s="64">
        <f t="shared" si="904"/>
        <v>0</v>
      </c>
      <c r="AI5768" s="47"/>
      <c r="AJ5768" s="126" t="e">
        <v>#N/A</v>
      </c>
      <c r="AK5768" s="80">
        <f t="shared" si="907"/>
        <v>0</v>
      </c>
      <c r="AL5768" s="85"/>
      <c r="AM5768" s="85"/>
    </row>
    <row r="5769" spans="1:39" s="86" customFormat="1" ht="13.25" hidden="1" customHeight="1" x14ac:dyDescent="0.3">
      <c r="A5769" s="89" t="s">
        <v>3806</v>
      </c>
      <c r="B5769" s="86" t="s">
        <v>35</v>
      </c>
      <c r="C5769" s="86" t="s">
        <v>3857</v>
      </c>
      <c r="D5769" s="86" t="s">
        <v>3858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01"/>
        <v>-176.98</v>
      </c>
      <c r="X5769" s="6">
        <f t="shared" si="900"/>
        <v>0</v>
      </c>
      <c r="Y5769" s="13">
        <f t="shared" si="905"/>
        <v>0</v>
      </c>
      <c r="Z5769" s="14">
        <v>0</v>
      </c>
      <c r="AA5769" s="6">
        <v>0</v>
      </c>
      <c r="AB5769" s="4">
        <f t="shared" si="906"/>
        <v>0</v>
      </c>
      <c r="AC5769" s="6">
        <f t="shared" si="902"/>
        <v>0</v>
      </c>
      <c r="AD5769" s="6">
        <f t="shared" si="903"/>
        <v>0</v>
      </c>
      <c r="AE5769" s="14">
        <f>VLOOKUP(I5769,[2]媒体政策预估表!A:N,MATCH(O5769,[2]媒体政策预估表!$A$2:$M$2,0),0)</f>
        <v>0.11</v>
      </c>
      <c r="AF5769" s="6">
        <f t="shared" si="899"/>
        <v>0</v>
      </c>
      <c r="AG5769" s="14">
        <v>0</v>
      </c>
      <c r="AH5769" s="64">
        <f t="shared" si="904"/>
        <v>0</v>
      </c>
      <c r="AI5769" s="47"/>
      <c r="AJ5769" s="126" t="e">
        <v>#N/A</v>
      </c>
      <c r="AK5769" s="80">
        <f t="shared" si="907"/>
        <v>0</v>
      </c>
      <c r="AL5769" s="85"/>
      <c r="AM5769" s="85"/>
    </row>
    <row r="5770" spans="1:39" s="86" customFormat="1" ht="13.25" hidden="1" customHeight="1" x14ac:dyDescent="0.3">
      <c r="A5770" s="89" t="s">
        <v>3806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01"/>
        <v>-2771.54</v>
      </c>
      <c r="X5770" s="6">
        <f t="shared" si="900"/>
        <v>0</v>
      </c>
      <c r="Y5770" s="13">
        <f t="shared" si="905"/>
        <v>0</v>
      </c>
      <c r="Z5770" s="14">
        <v>0</v>
      </c>
      <c r="AA5770" s="6">
        <v>0</v>
      </c>
      <c r="AB5770" s="4">
        <f t="shared" si="906"/>
        <v>0</v>
      </c>
      <c r="AC5770" s="6">
        <f t="shared" si="902"/>
        <v>0</v>
      </c>
      <c r="AD5770" s="6">
        <f t="shared" si="903"/>
        <v>0</v>
      </c>
      <c r="AE5770" s="14">
        <f>VLOOKUP(I5770,[2]媒体政策预估表!A:N,MATCH(O5770,[2]媒体政策预估表!$A$2:$M$2,0),0)</f>
        <v>0.11</v>
      </c>
      <c r="AF5770" s="6">
        <f t="shared" si="899"/>
        <v>0</v>
      </c>
      <c r="AG5770" s="14">
        <v>0</v>
      </c>
      <c r="AH5770" s="64">
        <f t="shared" si="904"/>
        <v>0</v>
      </c>
      <c r="AI5770" s="47"/>
      <c r="AJ5770" s="126" t="e">
        <v>#N/A</v>
      </c>
      <c r="AK5770" s="80">
        <f t="shared" si="907"/>
        <v>0</v>
      </c>
      <c r="AL5770" s="85"/>
      <c r="AM5770" s="85"/>
    </row>
    <row r="5771" spans="1:39" s="86" customFormat="1" ht="13.25" hidden="1" customHeight="1" x14ac:dyDescent="0.3">
      <c r="A5771" s="89" t="s">
        <v>3792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00"/>
        <v>0</v>
      </c>
      <c r="Y5771" s="13">
        <f t="shared" si="905"/>
        <v>0</v>
      </c>
      <c r="Z5771" s="14">
        <v>0</v>
      </c>
      <c r="AA5771" s="6">
        <v>0</v>
      </c>
      <c r="AB5771" s="4"/>
      <c r="AC5771" s="6">
        <f t="shared" si="902"/>
        <v>0</v>
      </c>
      <c r="AD5771" s="6">
        <f t="shared" si="903"/>
        <v>0</v>
      </c>
      <c r="AE5771" s="14">
        <f>VLOOKUP(I5771,[2]媒体政策预估表!A:N,MATCH(O5771,[2]媒体政策预估表!$A$2:$M$2,0),0)</f>
        <v>0.11</v>
      </c>
      <c r="AF5771" s="6">
        <f t="shared" si="899"/>
        <v>0</v>
      </c>
      <c r="AG5771" s="14">
        <v>0</v>
      </c>
      <c r="AH5771" s="64">
        <f t="shared" si="904"/>
        <v>0</v>
      </c>
      <c r="AI5771" s="47"/>
      <c r="AJ5771" s="126">
        <v>112</v>
      </c>
      <c r="AK5771" s="80">
        <f t="shared" si="907"/>
        <v>0</v>
      </c>
      <c r="AL5771" s="85"/>
      <c r="AM5771" s="85"/>
    </row>
    <row r="5772" spans="1:39" s="86" customFormat="1" ht="13.25" hidden="1" customHeight="1" x14ac:dyDescent="0.3">
      <c r="A5772" s="89" t="s">
        <v>3792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00"/>
        <v>0</v>
      </c>
      <c r="Y5772" s="13">
        <f t="shared" si="905"/>
        <v>0</v>
      </c>
      <c r="Z5772" s="14">
        <v>0</v>
      </c>
      <c r="AA5772" s="6">
        <v>0</v>
      </c>
      <c r="AB5772" s="4"/>
      <c r="AC5772" s="6">
        <f t="shared" si="902"/>
        <v>0</v>
      </c>
      <c r="AD5772" s="6">
        <f t="shared" si="903"/>
        <v>0</v>
      </c>
      <c r="AE5772" s="14">
        <f>VLOOKUP(I5772,[2]媒体政策预估表!A:N,MATCH(O5772,[2]媒体政策预估表!$A$2:$M$2,0),0)</f>
        <v>0.11</v>
      </c>
      <c r="AF5772" s="6">
        <f t="shared" si="899"/>
        <v>0</v>
      </c>
      <c r="AG5772" s="14">
        <v>0</v>
      </c>
      <c r="AH5772" s="64">
        <f t="shared" si="904"/>
        <v>0</v>
      </c>
      <c r="AI5772" s="47"/>
      <c r="AJ5772" s="126">
        <v>112</v>
      </c>
      <c r="AK5772" s="80">
        <f t="shared" si="907"/>
        <v>0</v>
      </c>
      <c r="AL5772" s="85"/>
      <c r="AM5772" s="85"/>
    </row>
    <row r="5773" spans="1:39" s="86" customFormat="1" ht="13.25" hidden="1" customHeight="1" x14ac:dyDescent="0.3">
      <c r="A5773" s="89" t="s">
        <v>3792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00"/>
        <v>97312.627450980377</v>
      </c>
      <c r="Y5773" s="13">
        <f t="shared" si="905"/>
        <v>0</v>
      </c>
      <c r="Z5773" s="14">
        <v>0</v>
      </c>
      <c r="AA5773" s="6">
        <v>0</v>
      </c>
      <c r="AB5773" s="4">
        <f t="shared" si="906"/>
        <v>97312.627450980377</v>
      </c>
      <c r="AC5773" s="6">
        <f t="shared" si="902"/>
        <v>1946.2525490196131</v>
      </c>
      <c r="AD5773" s="6">
        <f t="shared" si="903"/>
        <v>99258.87999999999</v>
      </c>
      <c r="AE5773" s="14">
        <f>VLOOKUP(I5773,[2]媒体政策预估表!A:N,MATCH(O5773,[2]媒体政策预估表!$A$2:$M$2,0),0)</f>
        <v>0.11</v>
      </c>
      <c r="AF5773" s="6">
        <f t="shared" si="899"/>
        <v>10918.476799999999</v>
      </c>
      <c r="AG5773" s="14">
        <v>0</v>
      </c>
      <c r="AH5773" s="64">
        <f t="shared" si="904"/>
        <v>99258.87999999999</v>
      </c>
      <c r="AI5773" s="47"/>
      <c r="AJ5773" s="126" t="e">
        <v>#N/A</v>
      </c>
      <c r="AK5773" s="80">
        <f t="shared" si="907"/>
        <v>0</v>
      </c>
      <c r="AL5773" s="85"/>
      <c r="AM5773" s="85"/>
    </row>
    <row r="5774" spans="1:39" s="86" customFormat="1" ht="13.25" hidden="1" customHeight="1" x14ac:dyDescent="0.3">
      <c r="A5774" s="89" t="s">
        <v>3806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01"/>
        <v>-374480.31999999989</v>
      </c>
      <c r="X5774" s="6">
        <f t="shared" si="900"/>
        <v>0</v>
      </c>
      <c r="Y5774" s="13">
        <f t="shared" si="905"/>
        <v>0</v>
      </c>
      <c r="Z5774" s="14">
        <v>0</v>
      </c>
      <c r="AA5774" s="6">
        <v>0</v>
      </c>
      <c r="AB5774" s="4">
        <f t="shared" si="906"/>
        <v>0</v>
      </c>
      <c r="AC5774" s="6">
        <f t="shared" si="902"/>
        <v>0</v>
      </c>
      <c r="AD5774" s="6">
        <f t="shared" si="903"/>
        <v>0</v>
      </c>
      <c r="AE5774" s="14">
        <f>VLOOKUP(I5774,[2]媒体政策预估表!A:N,MATCH(O5774,[2]媒体政策预估表!$A$2:$M$2,0),0)</f>
        <v>0.11</v>
      </c>
      <c r="AF5774" s="6">
        <f t="shared" si="899"/>
        <v>0</v>
      </c>
      <c r="AG5774" s="14">
        <v>0</v>
      </c>
      <c r="AH5774" s="64">
        <f t="shared" si="904"/>
        <v>0</v>
      </c>
      <c r="AI5774" s="47"/>
      <c r="AJ5774" s="126" t="e">
        <v>#N/A</v>
      </c>
      <c r="AK5774" s="80">
        <f t="shared" si="907"/>
        <v>0</v>
      </c>
      <c r="AL5774" s="85"/>
      <c r="AM5774" s="85"/>
    </row>
    <row r="5775" spans="1:39" s="86" customFormat="1" ht="13.25" hidden="1" customHeight="1" x14ac:dyDescent="0.3">
      <c r="A5775" s="89" t="s">
        <v>3792</v>
      </c>
      <c r="B5775" s="86" t="s">
        <v>35</v>
      </c>
      <c r="C5775" s="86" t="s">
        <v>184</v>
      </c>
      <c r="D5775" s="86" t="s">
        <v>3849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01"/>
        <v>-52630.080000000002</v>
      </c>
      <c r="X5775" s="6">
        <f t="shared" si="900"/>
        <v>0</v>
      </c>
      <c r="Y5775" s="13">
        <f t="shared" si="905"/>
        <v>0</v>
      </c>
      <c r="Z5775" s="14">
        <v>0</v>
      </c>
      <c r="AA5775" s="6">
        <v>0</v>
      </c>
      <c r="AB5775" s="4">
        <f t="shared" si="906"/>
        <v>0</v>
      </c>
      <c r="AC5775" s="6">
        <f t="shared" si="902"/>
        <v>0</v>
      </c>
      <c r="AD5775" s="6">
        <f t="shared" si="903"/>
        <v>0</v>
      </c>
      <c r="AE5775" s="14">
        <f>VLOOKUP(I5775,[2]媒体政策预估表!A:N,MATCH(O5775,[2]媒体政策预估表!$A$2:$M$2,0),0)</f>
        <v>0.11</v>
      </c>
      <c r="AF5775" s="6">
        <f t="shared" si="899"/>
        <v>0</v>
      </c>
      <c r="AG5775" s="14">
        <v>0</v>
      </c>
      <c r="AH5775" s="64">
        <f t="shared" si="904"/>
        <v>0</v>
      </c>
      <c r="AI5775" s="47"/>
      <c r="AJ5775" s="126" t="e">
        <v>#N/A</v>
      </c>
      <c r="AK5775" s="80">
        <f t="shared" si="907"/>
        <v>0</v>
      </c>
      <c r="AL5775" s="85"/>
      <c r="AM5775" s="85"/>
    </row>
    <row r="5776" spans="1:39" s="86" customFormat="1" ht="13.25" hidden="1" customHeight="1" x14ac:dyDescent="0.3">
      <c r="A5776" s="89" t="s">
        <v>3794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01"/>
        <v>-744357.17999999993</v>
      </c>
      <c r="X5776" s="6">
        <f t="shared" si="900"/>
        <v>273940.93999999994</v>
      </c>
      <c r="Y5776" s="13">
        <f t="shared" si="905"/>
        <v>0</v>
      </c>
      <c r="Z5776" s="14">
        <v>0</v>
      </c>
      <c r="AA5776" s="6">
        <v>0</v>
      </c>
      <c r="AB5776" s="4">
        <f t="shared" si="906"/>
        <v>273940.93999999994</v>
      </c>
      <c r="AC5776" s="6">
        <f t="shared" si="902"/>
        <v>0</v>
      </c>
      <c r="AD5776" s="6">
        <f t="shared" si="903"/>
        <v>273940.93999999994</v>
      </c>
      <c r="AE5776" s="14">
        <f>VLOOKUP(I5776,[2]媒体政策预估表!A:N,MATCH(O5776,[2]媒体政策预估表!$A$2:$M$2,0),0)</f>
        <v>0.11</v>
      </c>
      <c r="AF5776" s="6">
        <f t="shared" si="899"/>
        <v>30133.503399999994</v>
      </c>
      <c r="AG5776" s="14">
        <v>0</v>
      </c>
      <c r="AH5776" s="64">
        <f t="shared" si="904"/>
        <v>273940.93999999994</v>
      </c>
      <c r="AI5776" s="47"/>
      <c r="AJ5776" s="126" t="e">
        <v>#N/A</v>
      </c>
      <c r="AK5776" s="80">
        <f t="shared" si="907"/>
        <v>0</v>
      </c>
      <c r="AL5776" s="85"/>
      <c r="AM5776" s="85"/>
    </row>
    <row r="5777" spans="1:39" s="86" customFormat="1" ht="13.25" hidden="1" customHeight="1" x14ac:dyDescent="0.3">
      <c r="A5777" s="89" t="s">
        <v>3792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01"/>
        <v>-6596.6400000000012</v>
      </c>
      <c r="X5777" s="6">
        <f t="shared" si="900"/>
        <v>2107.89</v>
      </c>
      <c r="Y5777" s="13">
        <f t="shared" si="905"/>
        <v>0</v>
      </c>
      <c r="Z5777" s="14">
        <v>0</v>
      </c>
      <c r="AA5777" s="6">
        <v>0</v>
      </c>
      <c r="AB5777" s="4">
        <f t="shared" si="906"/>
        <v>2107.89</v>
      </c>
      <c r="AC5777" s="6">
        <f t="shared" si="902"/>
        <v>0</v>
      </c>
      <c r="AD5777" s="6">
        <f t="shared" si="903"/>
        <v>2107.89</v>
      </c>
      <c r="AE5777" s="14">
        <f>VLOOKUP(I5777,[2]媒体政策预估表!A:N,MATCH(O5777,[2]媒体政策预估表!$A$2:$M$2,0),0)</f>
        <v>0.11</v>
      </c>
      <c r="AF5777" s="6">
        <f t="shared" si="899"/>
        <v>231.86789999999999</v>
      </c>
      <c r="AG5777" s="14">
        <v>0</v>
      </c>
      <c r="AH5777" s="64">
        <f t="shared" si="904"/>
        <v>2107.89</v>
      </c>
      <c r="AI5777" s="47"/>
      <c r="AJ5777" s="126" t="e">
        <v>#N/A</v>
      </c>
      <c r="AK5777" s="80">
        <f t="shared" si="907"/>
        <v>0</v>
      </c>
      <c r="AL5777" s="85"/>
      <c r="AM5777" s="85"/>
    </row>
    <row r="5778" spans="1:39" s="86" customFormat="1" ht="13.25" hidden="1" customHeight="1" x14ac:dyDescent="0.3">
      <c r="A5778" s="89" t="s">
        <v>3794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01"/>
        <v>-30902.660000000003</v>
      </c>
      <c r="X5778" s="6">
        <f t="shared" si="900"/>
        <v>0</v>
      </c>
      <c r="Y5778" s="13">
        <f t="shared" si="905"/>
        <v>0</v>
      </c>
      <c r="Z5778" s="14">
        <v>0</v>
      </c>
      <c r="AA5778" s="6">
        <v>0</v>
      </c>
      <c r="AB5778" s="4">
        <f t="shared" si="906"/>
        <v>0</v>
      </c>
      <c r="AC5778" s="6">
        <f t="shared" si="902"/>
        <v>0</v>
      </c>
      <c r="AD5778" s="6">
        <f t="shared" si="903"/>
        <v>0</v>
      </c>
      <c r="AE5778" s="14">
        <f>VLOOKUP(I5778,[2]媒体政策预估表!A:N,MATCH(O5778,[2]媒体政策预估表!$A$2:$M$2,0),0)</f>
        <v>0.11</v>
      </c>
      <c r="AF5778" s="6">
        <f t="shared" si="899"/>
        <v>0</v>
      </c>
      <c r="AG5778" s="14">
        <v>0</v>
      </c>
      <c r="AH5778" s="64">
        <f t="shared" si="904"/>
        <v>0</v>
      </c>
      <c r="AI5778" s="47"/>
      <c r="AJ5778" s="126" t="e">
        <v>#N/A</v>
      </c>
      <c r="AK5778" s="80">
        <f t="shared" si="907"/>
        <v>0</v>
      </c>
      <c r="AL5778" s="85"/>
      <c r="AM5778" s="85"/>
    </row>
    <row r="5779" spans="1:39" s="86" customFormat="1" ht="13.25" hidden="1" customHeight="1" x14ac:dyDescent="0.3">
      <c r="A5779" s="89" t="s">
        <v>3792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01"/>
        <v>-950682.69000000006</v>
      </c>
      <c r="X5779" s="6">
        <f t="shared" si="900"/>
        <v>154634.23076923075</v>
      </c>
      <c r="Y5779" s="13">
        <f t="shared" si="905"/>
        <v>0</v>
      </c>
      <c r="Z5779" s="14">
        <v>0</v>
      </c>
      <c r="AA5779" s="6">
        <v>0</v>
      </c>
      <c r="AB5779" s="4">
        <f t="shared" si="906"/>
        <v>154634.23076923075</v>
      </c>
      <c r="AC5779" s="6">
        <f t="shared" si="902"/>
        <v>6185.3692307692254</v>
      </c>
      <c r="AD5779" s="6">
        <f t="shared" si="903"/>
        <v>160819.59999999998</v>
      </c>
      <c r="AE5779" s="14">
        <f>VLOOKUP(I5779,[2]媒体政策预估表!A:N,MATCH(O5779,[2]媒体政策预估表!$A$2:$M$2,0),0)</f>
        <v>0.11</v>
      </c>
      <c r="AF5779" s="6">
        <f t="shared" si="899"/>
        <v>17690.155999999999</v>
      </c>
      <c r="AG5779" s="14">
        <v>0</v>
      </c>
      <c r="AH5779" s="64">
        <f t="shared" si="904"/>
        <v>160819.59999999998</v>
      </c>
      <c r="AI5779" s="47"/>
      <c r="AJ5779" s="126" t="e">
        <v>#N/A</v>
      </c>
      <c r="AK5779" s="80">
        <f t="shared" si="907"/>
        <v>0</v>
      </c>
      <c r="AL5779" s="85"/>
      <c r="AM5779" s="85"/>
    </row>
    <row r="5780" spans="1:39" s="86" customFormat="1" ht="13.25" hidden="1" customHeight="1" x14ac:dyDescent="0.3">
      <c r="A5780" s="89" t="s">
        <v>3792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01"/>
        <v>-398016.89</v>
      </c>
      <c r="X5780" s="6">
        <f t="shared" si="900"/>
        <v>70800.13461538461</v>
      </c>
      <c r="Y5780" s="13">
        <f t="shared" si="905"/>
        <v>0</v>
      </c>
      <c r="Z5780" s="14">
        <v>0</v>
      </c>
      <c r="AA5780" s="6">
        <v>0</v>
      </c>
      <c r="AB5780" s="4">
        <f t="shared" si="906"/>
        <v>70800.13461538461</v>
      </c>
      <c r="AC5780" s="6">
        <f t="shared" si="902"/>
        <v>2832.0053846153896</v>
      </c>
      <c r="AD5780" s="6">
        <f t="shared" si="903"/>
        <v>73632.14</v>
      </c>
      <c r="AE5780" s="14">
        <f>VLOOKUP(I5780,[2]媒体政策预估表!A:N,MATCH(O5780,[2]媒体政策预估表!$A$2:$M$2,0),0)</f>
        <v>0.11</v>
      </c>
      <c r="AF5780" s="6">
        <f t="shared" si="899"/>
        <v>8099.5353999999998</v>
      </c>
      <c r="AG5780" s="14">
        <v>0</v>
      </c>
      <c r="AH5780" s="64">
        <f t="shared" si="904"/>
        <v>73632.14</v>
      </c>
      <c r="AI5780" s="47"/>
      <c r="AJ5780" s="126" t="e">
        <v>#N/A</v>
      </c>
      <c r="AK5780" s="80">
        <f t="shared" si="907"/>
        <v>0</v>
      </c>
      <c r="AL5780" s="85"/>
      <c r="AM5780" s="85"/>
    </row>
    <row r="5781" spans="1:39" s="86" customFormat="1" ht="13.25" hidden="1" customHeight="1" x14ac:dyDescent="0.3">
      <c r="A5781" s="89" t="s">
        <v>3792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01"/>
        <v>-122364.54</v>
      </c>
      <c r="X5781" s="6">
        <f t="shared" si="900"/>
        <v>33886.932692307695</v>
      </c>
      <c r="Y5781" s="13">
        <f t="shared" si="905"/>
        <v>0</v>
      </c>
      <c r="Z5781" s="14">
        <v>0</v>
      </c>
      <c r="AA5781" s="6">
        <v>0</v>
      </c>
      <c r="AB5781" s="4">
        <f t="shared" si="906"/>
        <v>33886.932692307695</v>
      </c>
      <c r="AC5781" s="6">
        <f t="shared" si="902"/>
        <v>1355.4773076923084</v>
      </c>
      <c r="AD5781" s="6">
        <f t="shared" si="903"/>
        <v>35242.410000000003</v>
      </c>
      <c r="AE5781" s="14">
        <f>VLOOKUP(I5781,[2]媒体政策预估表!A:N,MATCH(O5781,[2]媒体政策预估表!$A$2:$M$2,0),0)</f>
        <v>0.11</v>
      </c>
      <c r="AF5781" s="6">
        <f t="shared" si="899"/>
        <v>3876.6651000000006</v>
      </c>
      <c r="AG5781" s="14">
        <v>0</v>
      </c>
      <c r="AH5781" s="64">
        <f t="shared" si="904"/>
        <v>35242.410000000003</v>
      </c>
      <c r="AI5781" s="47"/>
      <c r="AJ5781" s="126" t="e">
        <v>#N/A</v>
      </c>
      <c r="AK5781" s="80">
        <f t="shared" si="907"/>
        <v>0</v>
      </c>
      <c r="AL5781" s="85"/>
      <c r="AM5781" s="85"/>
    </row>
    <row r="5782" spans="1:39" s="86" customFormat="1" ht="13.25" hidden="1" customHeight="1" x14ac:dyDescent="0.3">
      <c r="A5782" s="89" t="s">
        <v>3806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01"/>
        <v>-694270.2</v>
      </c>
      <c r="X5782" s="6">
        <f t="shared" si="900"/>
        <v>302643.39</v>
      </c>
      <c r="Y5782" s="13">
        <f t="shared" si="905"/>
        <v>0</v>
      </c>
      <c r="Z5782" s="14">
        <v>0</v>
      </c>
      <c r="AA5782" s="6">
        <v>0</v>
      </c>
      <c r="AB5782" s="4">
        <f t="shared" si="906"/>
        <v>302643.39</v>
      </c>
      <c r="AC5782" s="6">
        <f t="shared" si="902"/>
        <v>0</v>
      </c>
      <c r="AD5782" s="6">
        <f t="shared" si="903"/>
        <v>302643.39</v>
      </c>
      <c r="AE5782" s="14">
        <f>VLOOKUP(I5782,[2]媒体政策预估表!A:N,MATCH(O5782,[2]媒体政策预估表!$A$2:$M$2,0),0)</f>
        <v>0.11</v>
      </c>
      <c r="AF5782" s="6">
        <f t="shared" si="899"/>
        <v>33290.772900000004</v>
      </c>
      <c r="AG5782" s="14">
        <v>0</v>
      </c>
      <c r="AH5782" s="64">
        <f t="shared" si="904"/>
        <v>302643.39</v>
      </c>
      <c r="AI5782" s="47"/>
      <c r="AJ5782" s="126" t="e">
        <v>#N/A</v>
      </c>
      <c r="AK5782" s="80">
        <f t="shared" si="907"/>
        <v>0</v>
      </c>
      <c r="AL5782" s="85"/>
      <c r="AM5782" s="85"/>
    </row>
    <row r="5783" spans="1:39" s="86" customFormat="1" ht="13.25" hidden="1" customHeight="1" x14ac:dyDescent="0.3">
      <c r="A5783" s="89" t="s">
        <v>3792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01"/>
        <v>-143986.21000000002</v>
      </c>
      <c r="X5783" s="6">
        <f t="shared" si="900"/>
        <v>43744.903846153844</v>
      </c>
      <c r="Y5783" s="13">
        <f t="shared" si="905"/>
        <v>0</v>
      </c>
      <c r="Z5783" s="14">
        <v>0</v>
      </c>
      <c r="AA5783" s="6">
        <v>0</v>
      </c>
      <c r="AB5783" s="4">
        <f t="shared" si="906"/>
        <v>43744.903846153844</v>
      </c>
      <c r="AC5783" s="6">
        <f t="shared" si="902"/>
        <v>1749.7961538461532</v>
      </c>
      <c r="AD5783" s="6">
        <f t="shared" si="903"/>
        <v>45494.7</v>
      </c>
      <c r="AE5783" s="14">
        <f>VLOOKUP(I5783,[2]媒体政策预估表!A:N,MATCH(O5783,[2]媒体政策预估表!$A$2:$M$2,0),0)</f>
        <v>0.11</v>
      </c>
      <c r="AF5783" s="6">
        <f t="shared" si="899"/>
        <v>5004.4169999999995</v>
      </c>
      <c r="AG5783" s="14">
        <v>0</v>
      </c>
      <c r="AH5783" s="64">
        <f t="shared" si="904"/>
        <v>45494.7</v>
      </c>
      <c r="AI5783" s="47"/>
      <c r="AJ5783" s="126" t="e">
        <v>#N/A</v>
      </c>
      <c r="AK5783" s="80">
        <f t="shared" si="907"/>
        <v>0</v>
      </c>
      <c r="AL5783" s="85"/>
      <c r="AM5783" s="85"/>
    </row>
    <row r="5784" spans="1:39" s="86" customFormat="1" ht="13.25" hidden="1" customHeight="1" x14ac:dyDescent="0.3">
      <c r="A5784" s="89" t="s">
        <v>3806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01"/>
        <v>-453293.97000000003</v>
      </c>
      <c r="X5784" s="6">
        <f t="shared" si="900"/>
        <v>76946.10576923078</v>
      </c>
      <c r="Y5784" s="13">
        <f t="shared" si="905"/>
        <v>0</v>
      </c>
      <c r="Z5784" s="14">
        <v>0</v>
      </c>
      <c r="AA5784" s="6">
        <v>0</v>
      </c>
      <c r="AB5784" s="4">
        <f t="shared" si="906"/>
        <v>76946.10576923078</v>
      </c>
      <c r="AC5784" s="6">
        <f t="shared" si="902"/>
        <v>3077.8442307692312</v>
      </c>
      <c r="AD5784" s="6">
        <f t="shared" si="903"/>
        <v>80023.950000000012</v>
      </c>
      <c r="AE5784" s="14">
        <f>VLOOKUP(I5784,[2]媒体政策预估表!A:N,MATCH(O5784,[2]媒体政策预估表!$A$2:$M$2,0),0)</f>
        <v>0.11</v>
      </c>
      <c r="AF5784" s="6">
        <f t="shared" si="899"/>
        <v>8802.6345000000019</v>
      </c>
      <c r="AG5784" s="14">
        <v>0</v>
      </c>
      <c r="AH5784" s="64">
        <f t="shared" si="904"/>
        <v>80023.950000000012</v>
      </c>
      <c r="AI5784" s="47"/>
      <c r="AJ5784" s="126" t="e">
        <v>#N/A</v>
      </c>
      <c r="AK5784" s="80">
        <f t="shared" si="907"/>
        <v>0</v>
      </c>
      <c r="AL5784" s="85"/>
      <c r="AM5784" s="85"/>
    </row>
    <row r="5785" spans="1:39" s="86" customFormat="1" ht="13.25" hidden="1" customHeight="1" x14ac:dyDescent="0.3">
      <c r="A5785" s="89" t="s">
        <v>3806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01"/>
        <v>-182963.76</v>
      </c>
      <c r="X5785" s="6">
        <f t="shared" si="900"/>
        <v>51481.663461538468</v>
      </c>
      <c r="Y5785" s="13">
        <f t="shared" si="905"/>
        <v>0</v>
      </c>
      <c r="Z5785" s="14">
        <v>0</v>
      </c>
      <c r="AA5785" s="6">
        <v>0</v>
      </c>
      <c r="AB5785" s="4">
        <f t="shared" si="906"/>
        <v>51481.663461538468</v>
      </c>
      <c r="AC5785" s="6">
        <f t="shared" si="902"/>
        <v>2059.2665384615393</v>
      </c>
      <c r="AD5785" s="6">
        <f t="shared" si="903"/>
        <v>53540.930000000008</v>
      </c>
      <c r="AE5785" s="14">
        <f>VLOOKUP(I5785,[2]媒体政策预估表!A:N,MATCH(O5785,[2]媒体政策预估表!$A$2:$M$2,0),0)</f>
        <v>0.11</v>
      </c>
      <c r="AF5785" s="6">
        <f t="shared" si="899"/>
        <v>5889.502300000001</v>
      </c>
      <c r="AG5785" s="14">
        <v>0</v>
      </c>
      <c r="AH5785" s="64">
        <f t="shared" si="904"/>
        <v>53540.930000000008</v>
      </c>
      <c r="AI5785" s="47"/>
      <c r="AJ5785" s="126" t="e">
        <v>#N/A</v>
      </c>
      <c r="AK5785" s="80">
        <f t="shared" si="907"/>
        <v>0</v>
      </c>
      <c r="AL5785" s="85"/>
      <c r="AM5785" s="85"/>
    </row>
    <row r="5786" spans="1:39" s="86" customFormat="1" ht="13.25" hidden="1" customHeight="1" x14ac:dyDescent="0.3">
      <c r="A5786" s="89" t="s">
        <v>3792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01"/>
        <v>-465607.27</v>
      </c>
      <c r="X5786" s="6">
        <f t="shared" si="900"/>
        <v>74886.317307692298</v>
      </c>
      <c r="Y5786" s="13">
        <f t="shared" si="905"/>
        <v>0</v>
      </c>
      <c r="Z5786" s="14">
        <v>0</v>
      </c>
      <c r="AA5786" s="6">
        <v>0</v>
      </c>
      <c r="AB5786" s="4">
        <f t="shared" si="906"/>
        <v>74886.317307692298</v>
      </c>
      <c r="AC5786" s="6">
        <f t="shared" si="902"/>
        <v>2995.4526923076919</v>
      </c>
      <c r="AD5786" s="6">
        <f t="shared" si="903"/>
        <v>77881.76999999999</v>
      </c>
      <c r="AE5786" s="14">
        <f>VLOOKUP(I5786,[2]媒体政策预估表!A:N,MATCH(O5786,[2]媒体政策预估表!$A$2:$M$2,0),0)</f>
        <v>0.11</v>
      </c>
      <c r="AF5786" s="6">
        <f t="shared" si="899"/>
        <v>8566.9946999999993</v>
      </c>
      <c r="AG5786" s="14">
        <v>0</v>
      </c>
      <c r="AH5786" s="64">
        <f t="shared" si="904"/>
        <v>77881.76999999999</v>
      </c>
      <c r="AI5786" s="47"/>
      <c r="AJ5786" s="126" t="e">
        <v>#N/A</v>
      </c>
      <c r="AK5786" s="80">
        <f t="shared" si="907"/>
        <v>0</v>
      </c>
      <c r="AL5786" s="85"/>
      <c r="AM5786" s="85"/>
    </row>
    <row r="5787" spans="1:39" s="86" customFormat="1" ht="13.25" hidden="1" customHeight="1" x14ac:dyDescent="0.3">
      <c r="A5787" s="89" t="s">
        <v>3806</v>
      </c>
      <c r="B5787" s="86" t="s">
        <v>35</v>
      </c>
      <c r="C5787" s="86" t="s">
        <v>184</v>
      </c>
      <c r="D5787" s="86" t="s">
        <v>3849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01"/>
        <v>-568407.43999999994</v>
      </c>
      <c r="X5787" s="6">
        <f t="shared" si="900"/>
        <v>249316.20588235295</v>
      </c>
      <c r="Y5787" s="13">
        <f t="shared" si="905"/>
        <v>0</v>
      </c>
      <c r="Z5787" s="14">
        <v>0</v>
      </c>
      <c r="AA5787" s="6">
        <v>0</v>
      </c>
      <c r="AB5787" s="4">
        <f t="shared" si="906"/>
        <v>249316.20588235295</v>
      </c>
      <c r="AC5787" s="6">
        <f t="shared" si="902"/>
        <v>4986.3241176470765</v>
      </c>
      <c r="AD5787" s="6">
        <f t="shared" si="903"/>
        <v>254302.53000000003</v>
      </c>
      <c r="AE5787" s="14">
        <f>VLOOKUP(I5787,[2]媒体政策预估表!A:N,MATCH(O5787,[2]媒体政策预估表!$A$2:$M$2,0),0)</f>
        <v>0.11</v>
      </c>
      <c r="AF5787" s="6">
        <f t="shared" si="899"/>
        <v>27973.278300000002</v>
      </c>
      <c r="AG5787" s="14">
        <v>0</v>
      </c>
      <c r="AH5787" s="64">
        <f t="shared" si="904"/>
        <v>254302.53000000003</v>
      </c>
      <c r="AI5787" s="47"/>
      <c r="AJ5787" s="126" t="e">
        <v>#N/A</v>
      </c>
      <c r="AK5787" s="80">
        <f t="shared" si="907"/>
        <v>0</v>
      </c>
      <c r="AL5787" s="85"/>
      <c r="AM5787" s="85"/>
    </row>
    <row r="5788" spans="1:39" s="86" customFormat="1" ht="13.25" hidden="1" customHeight="1" x14ac:dyDescent="0.3">
      <c r="A5788" s="89" t="s">
        <v>3792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01"/>
        <v>-113.83</v>
      </c>
      <c r="X5788" s="6">
        <f t="shared" si="900"/>
        <v>1.766990291262136</v>
      </c>
      <c r="Y5788" s="13">
        <f t="shared" si="905"/>
        <v>0</v>
      </c>
      <c r="Z5788" s="14">
        <v>0</v>
      </c>
      <c r="AA5788" s="6">
        <v>0</v>
      </c>
      <c r="AB5788" s="4">
        <f t="shared" si="906"/>
        <v>1.766990291262136</v>
      </c>
      <c r="AC5788" s="6">
        <f t="shared" si="902"/>
        <v>5.3009708737864036E-2</v>
      </c>
      <c r="AD5788" s="6">
        <f t="shared" si="903"/>
        <v>1.82</v>
      </c>
      <c r="AE5788" s="14">
        <f>VLOOKUP(I5788,[2]媒体政策预估表!A:N,MATCH(O5788,[2]媒体政策预估表!$A$2:$M$2,0),0)</f>
        <v>0.11</v>
      </c>
      <c r="AF5788" s="6">
        <f t="shared" si="899"/>
        <v>0.20020000000000002</v>
      </c>
      <c r="AG5788" s="14">
        <v>0</v>
      </c>
      <c r="AH5788" s="64">
        <f t="shared" si="904"/>
        <v>1.82</v>
      </c>
      <c r="AI5788" s="47"/>
      <c r="AJ5788" s="126" t="e">
        <v>#N/A</v>
      </c>
      <c r="AK5788" s="80">
        <f t="shared" si="907"/>
        <v>0</v>
      </c>
      <c r="AL5788" s="85"/>
      <c r="AM5788" s="85"/>
    </row>
    <row r="5789" spans="1:39" s="86" customFormat="1" ht="13.25" hidden="1" customHeight="1" x14ac:dyDescent="0.3">
      <c r="A5789" s="89" t="s">
        <v>3792</v>
      </c>
      <c r="B5789" s="86" t="s">
        <v>35</v>
      </c>
      <c r="C5789" s="86" t="s">
        <v>184</v>
      </c>
      <c r="D5789" s="86" t="s">
        <v>3849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01"/>
        <v>-94324.159999999989</v>
      </c>
      <c r="X5789" s="6">
        <f t="shared" si="900"/>
        <v>0</v>
      </c>
      <c r="Y5789" s="13">
        <f t="shared" si="905"/>
        <v>0</v>
      </c>
      <c r="Z5789" s="14">
        <v>0</v>
      </c>
      <c r="AA5789" s="6">
        <v>0</v>
      </c>
      <c r="AB5789" s="4">
        <f t="shared" si="906"/>
        <v>0</v>
      </c>
      <c r="AC5789" s="6">
        <f t="shared" si="902"/>
        <v>0</v>
      </c>
      <c r="AD5789" s="6">
        <f t="shared" si="903"/>
        <v>0</v>
      </c>
      <c r="AE5789" s="14">
        <f>VLOOKUP(I5789,[2]媒体政策预估表!A:N,MATCH(O5789,[2]媒体政策预估表!$A$2:$M$2,0),0)</f>
        <v>0.11</v>
      </c>
      <c r="AF5789" s="6">
        <f t="shared" si="899"/>
        <v>0</v>
      </c>
      <c r="AG5789" s="14">
        <v>0</v>
      </c>
      <c r="AH5789" s="64">
        <f t="shared" si="904"/>
        <v>0</v>
      </c>
      <c r="AI5789" s="47"/>
      <c r="AJ5789" s="126" t="e">
        <v>#N/A</v>
      </c>
      <c r="AK5789" s="80">
        <f t="shared" si="907"/>
        <v>0</v>
      </c>
      <c r="AL5789" s="85"/>
      <c r="AM5789" s="85"/>
    </row>
    <row r="5790" spans="1:39" s="86" customFormat="1" ht="13.25" hidden="1" customHeight="1" x14ac:dyDescent="0.3">
      <c r="A5790" s="89" t="s">
        <v>3792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3845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01"/>
        <v>-2290.64</v>
      </c>
      <c r="X5790" s="6">
        <f t="shared" si="900"/>
        <v>0</v>
      </c>
      <c r="Y5790" s="13">
        <f t="shared" si="905"/>
        <v>0</v>
      </c>
      <c r="Z5790" s="14">
        <v>0</v>
      </c>
      <c r="AA5790" s="6">
        <v>0</v>
      </c>
      <c r="AB5790" s="4">
        <f t="shared" si="906"/>
        <v>0</v>
      </c>
      <c r="AC5790" s="6">
        <f t="shared" si="902"/>
        <v>0</v>
      </c>
      <c r="AD5790" s="6">
        <f t="shared" si="903"/>
        <v>0</v>
      </c>
      <c r="AE5790" s="14">
        <f>VLOOKUP(I5790,[2]媒体政策预估表!A:N,MATCH(O5790,[2]媒体政策预估表!$A$2:$M$2,0),0)</f>
        <v>0.11</v>
      </c>
      <c r="AF5790" s="6">
        <f t="shared" si="899"/>
        <v>0</v>
      </c>
      <c r="AG5790" s="14">
        <v>0</v>
      </c>
      <c r="AH5790" s="64">
        <f t="shared" si="904"/>
        <v>0</v>
      </c>
      <c r="AI5790" s="47"/>
      <c r="AJ5790" s="126" t="e">
        <v>#N/A</v>
      </c>
      <c r="AK5790" s="80">
        <f t="shared" si="907"/>
        <v>0</v>
      </c>
      <c r="AL5790" s="85"/>
      <c r="AM5790" s="85"/>
    </row>
    <row r="5791" spans="1:39" s="86" customFormat="1" ht="13.25" hidden="1" customHeight="1" x14ac:dyDescent="0.3">
      <c r="A5791" s="89" t="s">
        <v>3806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3859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01"/>
        <v>-9080</v>
      </c>
      <c r="X5791" s="6">
        <f t="shared" si="900"/>
        <v>0</v>
      </c>
      <c r="Y5791" s="13">
        <f t="shared" si="905"/>
        <v>0</v>
      </c>
      <c r="Z5791" s="14">
        <v>0</v>
      </c>
      <c r="AA5791" s="6">
        <v>0</v>
      </c>
      <c r="AB5791" s="4">
        <f t="shared" si="906"/>
        <v>0</v>
      </c>
      <c r="AC5791" s="6">
        <f t="shared" si="902"/>
        <v>0</v>
      </c>
      <c r="AD5791" s="6">
        <f t="shared" si="903"/>
        <v>0</v>
      </c>
      <c r="AE5791" s="14">
        <v>7.0000000000000007E-2</v>
      </c>
      <c r="AF5791" s="6">
        <f t="shared" si="899"/>
        <v>0</v>
      </c>
      <c r="AG5791" s="14">
        <v>0</v>
      </c>
      <c r="AH5791" s="64">
        <f t="shared" si="904"/>
        <v>0</v>
      </c>
      <c r="AI5791" s="47"/>
      <c r="AJ5791" s="126" t="e">
        <v>#N/A</v>
      </c>
      <c r="AK5791" s="80">
        <f t="shared" si="907"/>
        <v>0</v>
      </c>
      <c r="AL5791" s="85"/>
      <c r="AM5791" s="85"/>
    </row>
    <row r="5792" spans="1:39" s="86" customFormat="1" ht="13.25" hidden="1" customHeight="1" x14ac:dyDescent="0.3">
      <c r="A5792" s="89" t="s">
        <v>3806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3859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01"/>
        <v>-7807.77</v>
      </c>
      <c r="X5792" s="6">
        <f t="shared" si="900"/>
        <v>0</v>
      </c>
      <c r="Y5792" s="13">
        <f t="shared" si="905"/>
        <v>0</v>
      </c>
      <c r="Z5792" s="14">
        <v>0</v>
      </c>
      <c r="AA5792" s="6">
        <v>0</v>
      </c>
      <c r="AB5792" s="4">
        <f t="shared" si="906"/>
        <v>0</v>
      </c>
      <c r="AC5792" s="6">
        <f t="shared" si="902"/>
        <v>0</v>
      </c>
      <c r="AD5792" s="6">
        <f t="shared" si="903"/>
        <v>0</v>
      </c>
      <c r="AE5792" s="14">
        <v>7.0000000000000007E-2</v>
      </c>
      <c r="AF5792" s="6">
        <f t="shared" si="899"/>
        <v>0</v>
      </c>
      <c r="AG5792" s="14">
        <v>0</v>
      </c>
      <c r="AH5792" s="64">
        <f t="shared" si="904"/>
        <v>0</v>
      </c>
      <c r="AI5792" s="47"/>
      <c r="AJ5792" s="126" t="e">
        <v>#N/A</v>
      </c>
      <c r="AK5792" s="80">
        <f t="shared" si="907"/>
        <v>0</v>
      </c>
      <c r="AL5792" s="85"/>
      <c r="AM5792" s="85"/>
    </row>
    <row r="5793" spans="1:39" s="86" customFormat="1" ht="13.25" hidden="1" customHeight="1" x14ac:dyDescent="0.3">
      <c r="A5793" s="89" t="s">
        <v>3806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3859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01"/>
        <v>-1012</v>
      </c>
      <c r="X5793" s="6">
        <f t="shared" si="900"/>
        <v>0</v>
      </c>
      <c r="Y5793" s="13">
        <f t="shared" si="905"/>
        <v>0</v>
      </c>
      <c r="Z5793" s="14">
        <v>0</v>
      </c>
      <c r="AA5793" s="6">
        <v>0</v>
      </c>
      <c r="AB5793" s="4">
        <f t="shared" si="906"/>
        <v>0</v>
      </c>
      <c r="AC5793" s="6">
        <f t="shared" si="902"/>
        <v>0</v>
      </c>
      <c r="AD5793" s="6">
        <f t="shared" si="903"/>
        <v>0</v>
      </c>
      <c r="AE5793" s="14">
        <v>7.0000000000000007E-2</v>
      </c>
      <c r="AF5793" s="6">
        <f t="shared" si="899"/>
        <v>0</v>
      </c>
      <c r="AG5793" s="14">
        <v>0</v>
      </c>
      <c r="AH5793" s="64">
        <f t="shared" si="904"/>
        <v>0</v>
      </c>
      <c r="AI5793" s="47"/>
      <c r="AJ5793" s="126" t="e">
        <v>#N/A</v>
      </c>
      <c r="AK5793" s="80">
        <f t="shared" si="907"/>
        <v>0</v>
      </c>
      <c r="AL5793" s="85"/>
      <c r="AM5793" s="85"/>
    </row>
    <row r="5794" spans="1:39" s="86" customFormat="1" ht="13.25" hidden="1" customHeight="1" x14ac:dyDescent="0.3">
      <c r="A5794" s="89" t="s">
        <v>3792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3845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3846</v>
      </c>
      <c r="O5794" s="47" t="s">
        <v>3860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01"/>
        <v>-6915</v>
      </c>
      <c r="X5794" s="6">
        <f t="shared" si="900"/>
        <v>6649.038461538461</v>
      </c>
      <c r="Y5794" s="13">
        <f t="shared" si="905"/>
        <v>0</v>
      </c>
      <c r="Z5794" s="66">
        <v>0</v>
      </c>
      <c r="AA5794" s="6">
        <v>0</v>
      </c>
      <c r="AB5794" s="4">
        <f t="shared" si="906"/>
        <v>6649.038461538461</v>
      </c>
      <c r="AC5794" s="6">
        <f t="shared" si="902"/>
        <v>265.96153846153902</v>
      </c>
      <c r="AD5794" s="6">
        <f t="shared" si="903"/>
        <v>6915</v>
      </c>
      <c r="AE5794" s="14">
        <f>VLOOKUP(I5794,[2]媒体政策预估表!A:N,MATCH(O5794,[2]媒体政策预估表!$A$2:$M$2,0),0)</f>
        <v>7.0000000000000007E-2</v>
      </c>
      <c r="AF5794" s="6">
        <f t="shared" si="899"/>
        <v>484.05000000000007</v>
      </c>
      <c r="AG5794" s="14">
        <v>0</v>
      </c>
      <c r="AH5794" s="64">
        <f t="shared" si="904"/>
        <v>6915</v>
      </c>
      <c r="AI5794" s="47"/>
      <c r="AJ5794" s="126" t="e">
        <v>#N/A</v>
      </c>
      <c r="AK5794" s="80">
        <f t="shared" si="907"/>
        <v>0</v>
      </c>
      <c r="AL5794" s="85"/>
      <c r="AM5794" s="85"/>
    </row>
    <row r="5795" spans="1:39" s="86" customFormat="1" ht="13.25" hidden="1" customHeight="1" x14ac:dyDescent="0.3">
      <c r="A5795" s="89" t="s">
        <v>3794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3809</v>
      </c>
      <c r="O5795" s="47" t="s">
        <v>3861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01"/>
        <v>-21985.989999999998</v>
      </c>
      <c r="X5795" s="6">
        <f t="shared" si="900"/>
        <v>21985.989999999998</v>
      </c>
      <c r="Y5795" s="13">
        <f t="shared" si="905"/>
        <v>0</v>
      </c>
      <c r="Z5795" s="66">
        <v>0</v>
      </c>
      <c r="AA5795" s="6">
        <v>0</v>
      </c>
      <c r="AB5795" s="4">
        <f t="shared" si="906"/>
        <v>21985.989999999998</v>
      </c>
      <c r="AC5795" s="6">
        <f t="shared" si="902"/>
        <v>0</v>
      </c>
      <c r="AD5795" s="6">
        <f t="shared" si="903"/>
        <v>21985.989999999998</v>
      </c>
      <c r="AE5795" s="14">
        <f>VLOOKUP(I5795,[2]媒体政策预估表!A:N,MATCH(O5795,[2]媒体政策预估表!$A$2:$M$2,0),0)</f>
        <v>0.11</v>
      </c>
      <c r="AF5795" s="6">
        <f t="shared" si="899"/>
        <v>2418.4588999999996</v>
      </c>
      <c r="AG5795" s="14">
        <v>0</v>
      </c>
      <c r="AH5795" s="64">
        <f t="shared" si="904"/>
        <v>21985.989999999998</v>
      </c>
      <c r="AI5795" s="47"/>
      <c r="AJ5795" s="126" t="e">
        <v>#N/A</v>
      </c>
      <c r="AK5795" s="80">
        <f t="shared" si="907"/>
        <v>0</v>
      </c>
      <c r="AL5795" s="85"/>
      <c r="AM5795" s="85"/>
    </row>
    <row r="5796" spans="1:39" s="86" customFormat="1" ht="13.25" hidden="1" customHeight="1" x14ac:dyDescent="0.3">
      <c r="A5796" s="89" t="s">
        <v>3806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3824</v>
      </c>
      <c r="O5796" s="47" t="s">
        <v>3862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01"/>
        <v>-28227.48</v>
      </c>
      <c r="X5796" s="6">
        <f t="shared" si="900"/>
        <v>26883.314285714285</v>
      </c>
      <c r="Y5796" s="13">
        <f t="shared" si="905"/>
        <v>0</v>
      </c>
      <c r="Z5796" s="66">
        <v>0</v>
      </c>
      <c r="AA5796" s="6">
        <v>0</v>
      </c>
      <c r="AB5796" s="4">
        <f t="shared" si="906"/>
        <v>26883.314285714285</v>
      </c>
      <c r="AC5796" s="6">
        <f t="shared" si="902"/>
        <v>1344.1657142857148</v>
      </c>
      <c r="AD5796" s="6">
        <f t="shared" si="903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08">AD5796*AE5796</f>
        <v>3105.0228000000002</v>
      </c>
      <c r="AG5796" s="14">
        <v>0</v>
      </c>
      <c r="AH5796" s="64">
        <f t="shared" si="904"/>
        <v>28227.48</v>
      </c>
      <c r="AI5796" s="47"/>
      <c r="AJ5796" s="126" t="e">
        <v>#N/A</v>
      </c>
      <c r="AK5796" s="80">
        <f t="shared" si="907"/>
        <v>0</v>
      </c>
      <c r="AL5796" s="85"/>
      <c r="AM5796" s="85"/>
    </row>
    <row r="5797" spans="1:39" s="86" customFormat="1" ht="13.25" hidden="1" customHeight="1" x14ac:dyDescent="0.3">
      <c r="A5797" s="89" t="s">
        <v>3805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3823</v>
      </c>
      <c r="O5797" s="47" t="s">
        <v>3863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01"/>
        <v>-128021.82999999999</v>
      </c>
      <c r="X5797" s="6">
        <f t="shared" si="900"/>
        <v>121925.55238095236</v>
      </c>
      <c r="Y5797" s="13">
        <f t="shared" si="905"/>
        <v>0</v>
      </c>
      <c r="Z5797" s="66">
        <v>0</v>
      </c>
      <c r="AA5797" s="6">
        <v>0</v>
      </c>
      <c r="AB5797" s="4">
        <f t="shared" si="906"/>
        <v>121925.55238095236</v>
      </c>
      <c r="AC5797" s="6">
        <f t="shared" si="902"/>
        <v>6096.2776190476288</v>
      </c>
      <c r="AD5797" s="6">
        <f t="shared" si="903"/>
        <v>128021.82999999999</v>
      </c>
      <c r="AE5797" s="14">
        <f>VLOOKUP(I5797,[2]媒体政策预估表!A:N,MATCH(O5797,[2]媒体政策预估表!$A$2:$M$2,0),0)</f>
        <v>0.11</v>
      </c>
      <c r="AF5797" s="6">
        <f t="shared" si="908"/>
        <v>14082.4013</v>
      </c>
      <c r="AG5797" s="14">
        <v>0</v>
      </c>
      <c r="AH5797" s="64">
        <f t="shared" si="904"/>
        <v>128021.82999999999</v>
      </c>
      <c r="AI5797" s="47"/>
      <c r="AJ5797" s="126" t="e">
        <v>#N/A</v>
      </c>
      <c r="AK5797" s="80">
        <f t="shared" si="907"/>
        <v>0</v>
      </c>
      <c r="AL5797" s="85"/>
      <c r="AM5797" s="85"/>
    </row>
    <row r="5798" spans="1:39" s="86" customFormat="1" ht="13.25" hidden="1" customHeight="1" x14ac:dyDescent="0.3">
      <c r="A5798" s="89" t="s">
        <v>3794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3862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01"/>
        <v>-2517.92</v>
      </c>
      <c r="X5798" s="6">
        <f t="shared" si="900"/>
        <v>2517.92</v>
      </c>
      <c r="Y5798" s="13">
        <f t="shared" si="905"/>
        <v>0</v>
      </c>
      <c r="Z5798" s="66">
        <v>0</v>
      </c>
      <c r="AA5798" s="6">
        <v>0</v>
      </c>
      <c r="AB5798" s="4">
        <f t="shared" si="906"/>
        <v>2517.92</v>
      </c>
      <c r="AC5798" s="6">
        <f t="shared" si="902"/>
        <v>0</v>
      </c>
      <c r="AD5798" s="6">
        <f t="shared" si="903"/>
        <v>2517.92</v>
      </c>
      <c r="AE5798" s="14">
        <f>VLOOKUP(I5798,[2]媒体政策预估表!A:N,MATCH(O5798,[2]媒体政策预估表!$A$2:$M$2,0),0)</f>
        <v>0.11</v>
      </c>
      <c r="AF5798" s="6">
        <f t="shared" si="908"/>
        <v>276.97120000000001</v>
      </c>
      <c r="AG5798" s="14">
        <v>0</v>
      </c>
      <c r="AH5798" s="64">
        <f t="shared" si="904"/>
        <v>2517.92</v>
      </c>
      <c r="AI5798" s="47"/>
      <c r="AJ5798" s="126" t="e">
        <v>#N/A</v>
      </c>
      <c r="AK5798" s="80">
        <f t="shared" si="907"/>
        <v>0</v>
      </c>
      <c r="AL5798" s="85"/>
      <c r="AM5798" s="85"/>
    </row>
    <row r="5799" spans="1:39" s="86" customFormat="1" ht="13.25" hidden="1" customHeight="1" x14ac:dyDescent="0.3">
      <c r="A5799" s="89" t="s">
        <v>3794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3807</v>
      </c>
      <c r="O5799" s="47" t="s">
        <v>3864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01"/>
        <v>-3002</v>
      </c>
      <c r="X5799" s="6">
        <f t="shared" si="900"/>
        <v>3002</v>
      </c>
      <c r="Y5799" s="13">
        <f t="shared" si="905"/>
        <v>0</v>
      </c>
      <c r="Z5799" s="66">
        <v>0</v>
      </c>
      <c r="AA5799" s="6">
        <v>0</v>
      </c>
      <c r="AB5799" s="4">
        <f t="shared" si="906"/>
        <v>3002</v>
      </c>
      <c r="AC5799" s="6">
        <f t="shared" si="902"/>
        <v>0</v>
      </c>
      <c r="AD5799" s="6">
        <f t="shared" si="903"/>
        <v>3002</v>
      </c>
      <c r="AE5799" s="14">
        <v>7.0000000000000007E-2</v>
      </c>
      <c r="AF5799" s="6">
        <f t="shared" si="908"/>
        <v>210.14000000000001</v>
      </c>
      <c r="AG5799" s="14">
        <v>0</v>
      </c>
      <c r="AH5799" s="64">
        <f t="shared" si="904"/>
        <v>3002</v>
      </c>
      <c r="AI5799" s="47"/>
      <c r="AJ5799" s="126" t="e">
        <v>#N/A</v>
      </c>
      <c r="AK5799" s="80">
        <f t="shared" si="907"/>
        <v>0</v>
      </c>
      <c r="AL5799" s="85"/>
      <c r="AM5799" s="85"/>
    </row>
    <row r="5800" spans="1:39" s="86" customFormat="1" ht="13.25" hidden="1" customHeight="1" x14ac:dyDescent="0.3">
      <c r="A5800" s="89" t="s">
        <v>3792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05"/>
        <v>0</v>
      </c>
      <c r="Z5800" s="66">
        <v>0</v>
      </c>
      <c r="AA5800" s="6">
        <v>0</v>
      </c>
      <c r="AB5800" s="4">
        <f t="shared" si="906"/>
        <v>22995</v>
      </c>
      <c r="AC5800" s="6">
        <f t="shared" si="902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08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07"/>
        <v>0</v>
      </c>
      <c r="AL5800" s="85"/>
      <c r="AM5800" s="85"/>
    </row>
    <row r="5801" spans="1:39" s="86" customFormat="1" ht="13.25" hidden="1" customHeight="1" x14ac:dyDescent="0.3">
      <c r="A5801" s="89" t="s">
        <v>3794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09">T5801+U5801-V5801</f>
        <v>0</v>
      </c>
      <c r="X5801" s="6">
        <f t="shared" ref="X5801:X5864" si="910">IF(P5801="折扣",V5801*Q5801,IF(P5801="返现",V5801,V5801/(1+Q5801)))</f>
        <v>0</v>
      </c>
      <c r="Y5801" s="13">
        <f t="shared" si="905"/>
        <v>0</v>
      </c>
      <c r="Z5801" s="66">
        <v>0</v>
      </c>
      <c r="AA5801" s="6">
        <v>0</v>
      </c>
      <c r="AB5801" s="4">
        <f t="shared" si="906"/>
        <v>0</v>
      </c>
      <c r="AC5801" s="6">
        <f t="shared" si="902"/>
        <v>0</v>
      </c>
      <c r="AD5801" s="6">
        <f t="shared" ref="AD5801:AD5864" si="911">V5801</f>
        <v>0</v>
      </c>
      <c r="AE5801" s="14">
        <f>VLOOKUP(I5801,[2]媒体政策预估表!A:N,MATCH(O5801,[2]媒体政策预估表!$A$2:$M$2,0),0)</f>
        <v>0.10299999999999999</v>
      </c>
      <c r="AF5801" s="6">
        <f t="shared" si="908"/>
        <v>0</v>
      </c>
      <c r="AG5801" s="14">
        <v>0</v>
      </c>
      <c r="AH5801" s="99">
        <f t="shared" ref="AH5801:AH5864" si="912">V5801</f>
        <v>0</v>
      </c>
      <c r="AI5801" s="47"/>
      <c r="AJ5801" s="126" t="e">
        <v>#N/A</v>
      </c>
      <c r="AK5801" s="80">
        <f t="shared" si="907"/>
        <v>0</v>
      </c>
      <c r="AL5801" s="85"/>
      <c r="AM5801" s="85"/>
    </row>
    <row r="5802" spans="1:39" s="86" customFormat="1" ht="13.25" hidden="1" customHeight="1" x14ac:dyDescent="0.3">
      <c r="A5802" s="89" t="s">
        <v>3806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09"/>
        <v>7.2759576141834259E-12</v>
      </c>
      <c r="X5802" s="6">
        <f t="shared" si="910"/>
        <v>0</v>
      </c>
      <c r="Y5802" s="13">
        <f t="shared" si="905"/>
        <v>0</v>
      </c>
      <c r="Z5802" s="66">
        <v>0</v>
      </c>
      <c r="AA5802" s="6">
        <v>0</v>
      </c>
      <c r="AB5802" s="4">
        <f t="shared" si="906"/>
        <v>0</v>
      </c>
      <c r="AC5802" s="6">
        <f t="shared" si="902"/>
        <v>0</v>
      </c>
      <c r="AD5802" s="6">
        <f t="shared" si="911"/>
        <v>0</v>
      </c>
      <c r="AE5802" s="14">
        <f>VLOOKUP(I5802,[2]媒体政策预估表!A:N,MATCH(O5802,[2]媒体政策预估表!$A$2:$M$2,0),0)</f>
        <v>0.10299999999999999</v>
      </c>
      <c r="AF5802" s="6">
        <f t="shared" si="908"/>
        <v>0</v>
      </c>
      <c r="AG5802" s="14">
        <v>0</v>
      </c>
      <c r="AH5802" s="99">
        <f t="shared" si="912"/>
        <v>0</v>
      </c>
      <c r="AI5802" s="47"/>
      <c r="AJ5802" s="126" t="e">
        <v>#N/A</v>
      </c>
      <c r="AK5802" s="80">
        <f t="shared" si="907"/>
        <v>0</v>
      </c>
      <c r="AL5802" s="85"/>
      <c r="AM5802" s="85"/>
    </row>
    <row r="5803" spans="1:39" s="86" customFormat="1" ht="13.25" hidden="1" customHeight="1" x14ac:dyDescent="0.3">
      <c r="A5803" s="89" t="s">
        <v>3792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09"/>
        <v>65297.760000000017</v>
      </c>
      <c r="X5803" s="6">
        <f t="shared" si="910"/>
        <v>28906.93</v>
      </c>
      <c r="Y5803" s="13">
        <f t="shared" si="905"/>
        <v>0</v>
      </c>
      <c r="Z5803" s="66">
        <v>0</v>
      </c>
      <c r="AA5803" s="6">
        <v>0</v>
      </c>
      <c r="AB5803" s="4">
        <f t="shared" si="906"/>
        <v>28906.93</v>
      </c>
      <c r="AC5803" s="6">
        <f t="shared" si="902"/>
        <v>0</v>
      </c>
      <c r="AD5803" s="6">
        <f t="shared" si="911"/>
        <v>28906.93</v>
      </c>
      <c r="AE5803" s="14">
        <f>VLOOKUP(I5803,[2]媒体政策预估表!A:N,MATCH(O5803,[2]媒体政策预估表!$A$2:$M$2,0),0)</f>
        <v>0.10299999999999999</v>
      </c>
      <c r="AF5803" s="6">
        <f t="shared" si="908"/>
        <v>2977.4137900000001</v>
      </c>
      <c r="AG5803" s="14">
        <v>0</v>
      </c>
      <c r="AH5803" s="99">
        <f t="shared" si="912"/>
        <v>28906.93</v>
      </c>
      <c r="AI5803" s="47"/>
      <c r="AJ5803" s="126" t="e">
        <v>#N/A</v>
      </c>
      <c r="AK5803" s="80">
        <f t="shared" si="907"/>
        <v>0</v>
      </c>
      <c r="AL5803" s="85"/>
      <c r="AM5803" s="85"/>
    </row>
    <row r="5804" spans="1:39" s="86" customFormat="1" ht="13.25" hidden="1" customHeight="1" x14ac:dyDescent="0.3">
      <c r="A5804" s="89" t="s">
        <v>3794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09"/>
        <v>13399.429999999997</v>
      </c>
      <c r="X5804" s="6">
        <f t="shared" si="910"/>
        <v>29965</v>
      </c>
      <c r="Y5804" s="13">
        <f t="shared" si="905"/>
        <v>0</v>
      </c>
      <c r="Z5804" s="66">
        <v>0</v>
      </c>
      <c r="AA5804" s="6">
        <v>0</v>
      </c>
      <c r="AB5804" s="4">
        <f t="shared" si="906"/>
        <v>29965</v>
      </c>
      <c r="AC5804" s="6">
        <f t="shared" si="902"/>
        <v>599.29999999999927</v>
      </c>
      <c r="AD5804" s="6">
        <f t="shared" si="911"/>
        <v>30564.3</v>
      </c>
      <c r="AE5804" s="14">
        <f>VLOOKUP(I5804,[2]媒体政策预估表!A:N,MATCH(O5804,[2]媒体政策预估表!$A$2:$M$2,0),0)</f>
        <v>0.10299999999999999</v>
      </c>
      <c r="AF5804" s="6">
        <f t="shared" si="908"/>
        <v>3148.1228999999998</v>
      </c>
      <c r="AG5804" s="14">
        <v>0</v>
      </c>
      <c r="AH5804" s="99">
        <f t="shared" si="912"/>
        <v>30564.3</v>
      </c>
      <c r="AI5804" s="47"/>
      <c r="AJ5804" s="126" t="e">
        <v>#N/A</v>
      </c>
      <c r="AK5804" s="80">
        <f t="shared" si="907"/>
        <v>0</v>
      </c>
      <c r="AL5804" s="85"/>
      <c r="AM5804" s="85"/>
    </row>
    <row r="5805" spans="1:39" s="86" customFormat="1" ht="13.25" hidden="1" customHeight="1" x14ac:dyDescent="0.3">
      <c r="A5805" s="89" t="s">
        <v>3792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09"/>
        <v>517595.28</v>
      </c>
      <c r="X5805" s="6">
        <f t="shared" si="910"/>
        <v>425490.19607843139</v>
      </c>
      <c r="Y5805" s="13">
        <f t="shared" si="905"/>
        <v>0</v>
      </c>
      <c r="Z5805" s="66">
        <v>0</v>
      </c>
      <c r="AA5805" s="6">
        <v>0</v>
      </c>
      <c r="AB5805" s="4">
        <f t="shared" si="906"/>
        <v>425490.19607843139</v>
      </c>
      <c r="AC5805" s="6">
        <f t="shared" si="902"/>
        <v>8509.8039215686149</v>
      </c>
      <c r="AD5805" s="6">
        <f t="shared" si="911"/>
        <v>434000</v>
      </c>
      <c r="AE5805" s="14">
        <f>VLOOKUP(I5805,[2]媒体政策预估表!A:N,MATCH(O5805,[2]媒体政策预估表!$A$2:$M$2,0),0)</f>
        <v>0.10299999999999999</v>
      </c>
      <c r="AF5805" s="6">
        <f t="shared" si="908"/>
        <v>44702</v>
      </c>
      <c r="AG5805" s="14">
        <v>0</v>
      </c>
      <c r="AH5805" s="99">
        <f t="shared" si="912"/>
        <v>434000</v>
      </c>
      <c r="AI5805" s="47"/>
      <c r="AJ5805" s="126" t="e">
        <v>#N/A</v>
      </c>
      <c r="AK5805" s="80">
        <f t="shared" si="907"/>
        <v>0</v>
      </c>
      <c r="AL5805" s="85"/>
      <c r="AM5805" s="85"/>
    </row>
    <row r="5806" spans="1:39" s="86" customFormat="1" ht="13.25" hidden="1" customHeight="1" x14ac:dyDescent="0.3">
      <c r="A5806" s="89" t="s">
        <v>3794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09"/>
        <v>35787.139999999839</v>
      </c>
      <c r="X5806" s="6">
        <f t="shared" si="910"/>
        <v>230122.53201970446</v>
      </c>
      <c r="Y5806" s="13">
        <f t="shared" si="905"/>
        <v>0</v>
      </c>
      <c r="Z5806" s="66">
        <v>0</v>
      </c>
      <c r="AA5806" s="6">
        <v>0</v>
      </c>
      <c r="AB5806" s="4">
        <f t="shared" si="906"/>
        <v>230122.53201970446</v>
      </c>
      <c r="AC5806" s="6">
        <f t="shared" si="902"/>
        <v>3451.8379802955315</v>
      </c>
      <c r="AD5806" s="6">
        <f t="shared" si="911"/>
        <v>233574.37</v>
      </c>
      <c r="AE5806" s="14">
        <f>VLOOKUP(I5806,[2]媒体政策预估表!A:N,MATCH(O5806,[2]媒体政策预估表!$A$2:$M$2,0),0)</f>
        <v>0.10299999999999999</v>
      </c>
      <c r="AF5806" s="6">
        <f t="shared" si="908"/>
        <v>24058.160109999997</v>
      </c>
      <c r="AG5806" s="14">
        <v>0</v>
      </c>
      <c r="AH5806" s="99">
        <f t="shared" si="912"/>
        <v>233574.37</v>
      </c>
      <c r="AI5806" s="47"/>
      <c r="AJ5806" s="126" t="e">
        <v>#N/A</v>
      </c>
      <c r="AK5806" s="80">
        <f t="shared" si="907"/>
        <v>0</v>
      </c>
      <c r="AL5806" s="85"/>
      <c r="AM5806" s="85"/>
    </row>
    <row r="5807" spans="1:39" s="86" customFormat="1" ht="13.25" hidden="1" customHeight="1" x14ac:dyDescent="0.3">
      <c r="A5807" s="89" t="s">
        <v>3794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09"/>
        <v>184419.09999999992</v>
      </c>
      <c r="X5807" s="6">
        <f t="shared" si="910"/>
        <v>305192.04926108377</v>
      </c>
      <c r="Y5807" s="13">
        <f t="shared" si="905"/>
        <v>0</v>
      </c>
      <c r="Z5807" s="66">
        <v>0</v>
      </c>
      <c r="AA5807" s="6">
        <v>0</v>
      </c>
      <c r="AB5807" s="4">
        <f t="shared" si="906"/>
        <v>305192.04926108377</v>
      </c>
      <c r="AC5807" s="6">
        <f t="shared" si="902"/>
        <v>4577.8807389162248</v>
      </c>
      <c r="AD5807" s="6">
        <f t="shared" si="911"/>
        <v>309769.93</v>
      </c>
      <c r="AE5807" s="14">
        <f>VLOOKUP(I5807,[2]媒体政策预估表!A:N,MATCH(O5807,[2]媒体政策预估表!$A$2:$M$2,0),0)</f>
        <v>0.10299999999999999</v>
      </c>
      <c r="AF5807" s="6">
        <f t="shared" si="908"/>
        <v>31906.302789999998</v>
      </c>
      <c r="AG5807" s="14">
        <v>0</v>
      </c>
      <c r="AH5807" s="99">
        <f t="shared" si="912"/>
        <v>309769.93</v>
      </c>
      <c r="AI5807" s="47"/>
      <c r="AJ5807" s="126" t="e">
        <v>#N/A</v>
      </c>
      <c r="AK5807" s="80">
        <f t="shared" si="907"/>
        <v>0</v>
      </c>
      <c r="AL5807" s="85"/>
      <c r="AM5807" s="85"/>
    </row>
    <row r="5808" spans="1:39" s="86" customFormat="1" ht="13.25" hidden="1" customHeight="1" x14ac:dyDescent="0.3">
      <c r="A5808" s="89" t="s">
        <v>3852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09"/>
        <v>-1.0000000009313226E-2</v>
      </c>
      <c r="X5808" s="6">
        <f t="shared" si="910"/>
        <v>0</v>
      </c>
      <c r="Y5808" s="13">
        <f t="shared" si="905"/>
        <v>0</v>
      </c>
      <c r="Z5808" s="66">
        <v>0</v>
      </c>
      <c r="AA5808" s="6">
        <v>0</v>
      </c>
      <c r="AB5808" s="4">
        <f t="shared" si="906"/>
        <v>0</v>
      </c>
      <c r="AC5808" s="6">
        <f t="shared" si="902"/>
        <v>0</v>
      </c>
      <c r="AD5808" s="6">
        <f t="shared" si="911"/>
        <v>0</v>
      </c>
      <c r="AE5808" s="14">
        <f>VLOOKUP(I5808,[2]媒体政策预估表!A:N,MATCH(O5808,[2]媒体政策预估表!$A$2:$M$2,0),0)</f>
        <v>0.10299999999999999</v>
      </c>
      <c r="AF5808" s="6">
        <f t="shared" si="908"/>
        <v>0</v>
      </c>
      <c r="AG5808" s="14">
        <v>0</v>
      </c>
      <c r="AH5808" s="99">
        <f t="shared" si="912"/>
        <v>0</v>
      </c>
      <c r="AI5808" s="47"/>
      <c r="AJ5808" s="126" t="e">
        <v>#N/A</v>
      </c>
      <c r="AK5808" s="80">
        <f t="shared" si="907"/>
        <v>0</v>
      </c>
      <c r="AL5808" s="85"/>
      <c r="AM5808" s="85"/>
    </row>
    <row r="5809" spans="1:39" s="86" customFormat="1" ht="13.25" hidden="1" customHeight="1" x14ac:dyDescent="0.3">
      <c r="A5809" s="89" t="s">
        <v>3794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09"/>
        <v>37000</v>
      </c>
      <c r="X5809" s="6">
        <f t="shared" si="910"/>
        <v>30392.156862745098</v>
      </c>
      <c r="Y5809" s="13">
        <f t="shared" si="905"/>
        <v>0</v>
      </c>
      <c r="Z5809" s="66">
        <v>0</v>
      </c>
      <c r="AA5809" s="6">
        <v>0</v>
      </c>
      <c r="AB5809" s="4">
        <f t="shared" si="906"/>
        <v>30392.156862745098</v>
      </c>
      <c r="AC5809" s="6">
        <f t="shared" si="902"/>
        <v>607.8431372549021</v>
      </c>
      <c r="AD5809" s="6">
        <f t="shared" si="911"/>
        <v>31000</v>
      </c>
      <c r="AE5809" s="14">
        <f>VLOOKUP(I5809,[2]媒体政策预估表!A:N,MATCH(O5809,[2]媒体政策预估表!$A$2:$M$2,0),0)</f>
        <v>0.10299999999999999</v>
      </c>
      <c r="AF5809" s="6">
        <f t="shared" si="908"/>
        <v>3193</v>
      </c>
      <c r="AG5809" s="14">
        <v>0</v>
      </c>
      <c r="AH5809" s="99">
        <f t="shared" si="912"/>
        <v>31000</v>
      </c>
      <c r="AI5809" s="47"/>
      <c r="AJ5809" s="126" t="e">
        <v>#N/A</v>
      </c>
      <c r="AK5809" s="80">
        <f t="shared" si="907"/>
        <v>0</v>
      </c>
      <c r="AL5809" s="85"/>
      <c r="AM5809" s="85"/>
    </row>
    <row r="5810" spans="1:39" s="86" customFormat="1" ht="13.25" hidden="1" customHeight="1" x14ac:dyDescent="0.3">
      <c r="A5810" s="89" t="s">
        <v>3794</v>
      </c>
      <c r="B5810" s="86" t="s">
        <v>35</v>
      </c>
      <c r="C5810" s="86" t="s">
        <v>36</v>
      </c>
      <c r="D5810" s="86" t="s">
        <v>185</v>
      </c>
      <c r="E5810" s="86" t="s">
        <v>3865</v>
      </c>
      <c r="F5810" s="86" t="s">
        <v>3866</v>
      </c>
      <c r="G5810" s="86" t="s">
        <v>3865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3867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09"/>
        <v>37171.879999999997</v>
      </c>
      <c r="X5810" s="6">
        <f t="shared" si="910"/>
        <v>2706.3349282296654</v>
      </c>
      <c r="Y5810" s="13">
        <f t="shared" si="905"/>
        <v>0</v>
      </c>
      <c r="Z5810" s="66">
        <v>0</v>
      </c>
      <c r="AA5810" s="6">
        <v>0</v>
      </c>
      <c r="AB5810" s="4">
        <f t="shared" si="906"/>
        <v>2706.3349282296654</v>
      </c>
      <c r="AC5810" s="6">
        <f t="shared" si="902"/>
        <v>121.78507177033453</v>
      </c>
      <c r="AD5810" s="6">
        <f t="shared" si="911"/>
        <v>2828.12</v>
      </c>
      <c r="AE5810" s="14">
        <f>VLOOKUP(I5810,[2]媒体政策预估表!A:N,MATCH(O5810,[2]媒体政策预估表!$A$2:$M$2,0),0)</f>
        <v>0.10299999999999999</v>
      </c>
      <c r="AF5810" s="6">
        <f t="shared" si="908"/>
        <v>291.29635999999999</v>
      </c>
      <c r="AG5810" s="14">
        <v>0</v>
      </c>
      <c r="AH5810" s="99">
        <f t="shared" si="912"/>
        <v>2828.12</v>
      </c>
      <c r="AI5810" s="47"/>
      <c r="AJ5810" s="126" t="e">
        <v>#N/A</v>
      </c>
      <c r="AK5810" s="80">
        <f t="shared" si="907"/>
        <v>0</v>
      </c>
      <c r="AL5810" s="85"/>
      <c r="AM5810" s="85"/>
    </row>
    <row r="5811" spans="1:39" s="86" customFormat="1" ht="13.25" hidden="1" customHeight="1" x14ac:dyDescent="0.3">
      <c r="A5811" s="89" t="s">
        <v>3792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09"/>
        <v>26311.660000000011</v>
      </c>
      <c r="X5811" s="6">
        <f t="shared" si="910"/>
        <v>50032.254901960783</v>
      </c>
      <c r="Y5811" s="13">
        <f t="shared" si="905"/>
        <v>0</v>
      </c>
      <c r="Z5811" s="66">
        <v>0</v>
      </c>
      <c r="AA5811" s="6">
        <v>0</v>
      </c>
      <c r="AB5811" s="4">
        <f t="shared" si="906"/>
        <v>50032.254901960783</v>
      </c>
      <c r="AC5811" s="6">
        <f t="shared" si="902"/>
        <v>1000.6450980392183</v>
      </c>
      <c r="AD5811" s="6">
        <f t="shared" si="911"/>
        <v>51032.9</v>
      </c>
      <c r="AE5811" s="14">
        <f>VLOOKUP(I5811,[2]媒体政策预估表!A:N,MATCH(O5811,[2]媒体政策预估表!$A$2:$M$2,0),0)</f>
        <v>0.10299999999999999</v>
      </c>
      <c r="AF5811" s="6">
        <f t="shared" si="908"/>
        <v>5256.3886999999995</v>
      </c>
      <c r="AG5811" s="14">
        <v>0</v>
      </c>
      <c r="AH5811" s="99">
        <f t="shared" si="912"/>
        <v>51032.9</v>
      </c>
      <c r="AI5811" s="47"/>
      <c r="AJ5811" s="126" t="e">
        <v>#N/A</v>
      </c>
      <c r="AK5811" s="80">
        <f t="shared" si="907"/>
        <v>0</v>
      </c>
      <c r="AL5811" s="85"/>
      <c r="AM5811" s="85"/>
    </row>
    <row r="5812" spans="1:39" s="86" customFormat="1" ht="13.25" hidden="1" customHeight="1" x14ac:dyDescent="0.3">
      <c r="A5812" s="89" t="s">
        <v>3852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3868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09"/>
        <v>122826.5</v>
      </c>
      <c r="X5812" s="6">
        <f t="shared" si="910"/>
        <v>526640.68627450976</v>
      </c>
      <c r="Y5812" s="13">
        <f t="shared" si="905"/>
        <v>0</v>
      </c>
      <c r="Z5812" s="66">
        <v>0</v>
      </c>
      <c r="AA5812" s="6">
        <v>0</v>
      </c>
      <c r="AB5812" s="4">
        <f t="shared" si="906"/>
        <v>526640.68627450976</v>
      </c>
      <c r="AC5812" s="6">
        <f t="shared" si="902"/>
        <v>10532.813725490239</v>
      </c>
      <c r="AD5812" s="6">
        <f t="shared" si="911"/>
        <v>537173.5</v>
      </c>
      <c r="AE5812" s="14">
        <f>VLOOKUP(I5812,[2]媒体政策预估表!A:N,MATCH(O5812,[2]媒体政策预估表!$A$2:$M$2,0),0)</f>
        <v>0.10299999999999999</v>
      </c>
      <c r="AF5812" s="6">
        <f t="shared" si="908"/>
        <v>55328.870499999997</v>
      </c>
      <c r="AG5812" s="14">
        <v>0</v>
      </c>
      <c r="AH5812" s="99">
        <f t="shared" si="912"/>
        <v>537173.5</v>
      </c>
      <c r="AI5812" s="47"/>
      <c r="AJ5812" s="126" t="e">
        <v>#N/A</v>
      </c>
      <c r="AK5812" s="80">
        <f t="shared" si="907"/>
        <v>0</v>
      </c>
      <c r="AL5812" s="85"/>
      <c r="AM5812" s="85"/>
    </row>
    <row r="5813" spans="1:39" s="86" customFormat="1" ht="13.25" hidden="1" customHeight="1" x14ac:dyDescent="0.3">
      <c r="A5813" s="89" t="s">
        <v>3794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09"/>
        <v>114597.56000000003</v>
      </c>
      <c r="X5813" s="6">
        <f t="shared" si="910"/>
        <v>193633.24509803922</v>
      </c>
      <c r="Y5813" s="13">
        <f t="shared" si="905"/>
        <v>0</v>
      </c>
      <c r="Z5813" s="66">
        <v>0</v>
      </c>
      <c r="AA5813" s="6">
        <v>0</v>
      </c>
      <c r="AB5813" s="4">
        <f t="shared" si="906"/>
        <v>193633.24509803922</v>
      </c>
      <c r="AC5813" s="6">
        <f t="shared" si="902"/>
        <v>3872.6649019607867</v>
      </c>
      <c r="AD5813" s="6">
        <f t="shared" si="911"/>
        <v>197505.91</v>
      </c>
      <c r="AE5813" s="14">
        <f>VLOOKUP(I5813,[2]媒体政策预估表!A:N,MATCH(O5813,[2]媒体政策预估表!$A$2:$M$2,0),0)</f>
        <v>0.10299999999999999</v>
      </c>
      <c r="AF5813" s="6">
        <f t="shared" si="908"/>
        <v>20343.10873</v>
      </c>
      <c r="AG5813" s="14">
        <v>0</v>
      </c>
      <c r="AH5813" s="99">
        <f t="shared" si="912"/>
        <v>197505.91</v>
      </c>
      <c r="AI5813" s="47"/>
      <c r="AJ5813" s="126" t="e">
        <v>#N/A</v>
      </c>
      <c r="AK5813" s="80">
        <f t="shared" si="907"/>
        <v>0</v>
      </c>
      <c r="AL5813" s="85"/>
      <c r="AM5813" s="85"/>
    </row>
    <row r="5814" spans="1:39" s="86" customFormat="1" ht="13.25" hidden="1" customHeight="1" x14ac:dyDescent="0.3">
      <c r="A5814" s="89" t="s">
        <v>3852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09"/>
        <v>253838.74999999983</v>
      </c>
      <c r="X5814" s="6">
        <f t="shared" si="910"/>
        <v>398197.30392156879</v>
      </c>
      <c r="Y5814" s="13">
        <f t="shared" si="905"/>
        <v>0</v>
      </c>
      <c r="Z5814" s="66">
        <v>0</v>
      </c>
      <c r="AA5814" s="6">
        <v>0</v>
      </c>
      <c r="AB5814" s="4">
        <f t="shared" si="906"/>
        <v>398197.30392156879</v>
      </c>
      <c r="AC5814" s="6">
        <f t="shared" si="902"/>
        <v>7963.9460784313851</v>
      </c>
      <c r="AD5814" s="6">
        <f t="shared" si="911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08"/>
        <v>41834.608750000014</v>
      </c>
      <c r="AG5814" s="14">
        <v>0</v>
      </c>
      <c r="AH5814" s="99">
        <f t="shared" si="912"/>
        <v>406161.25000000017</v>
      </c>
      <c r="AI5814" s="47"/>
      <c r="AJ5814" s="126" t="e">
        <v>#N/A</v>
      </c>
      <c r="AK5814" s="80">
        <f t="shared" si="907"/>
        <v>0</v>
      </c>
      <c r="AL5814" s="85"/>
      <c r="AM5814" s="85"/>
    </row>
    <row r="5815" spans="1:39" s="86" customFormat="1" ht="13.25" hidden="1" customHeight="1" x14ac:dyDescent="0.3">
      <c r="A5815" s="89" t="s">
        <v>3806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09"/>
        <v>758749.37999999989</v>
      </c>
      <c r="X5815" s="6">
        <f t="shared" si="910"/>
        <v>1231921.0784313725</v>
      </c>
      <c r="Y5815" s="13">
        <f t="shared" si="905"/>
        <v>0</v>
      </c>
      <c r="Z5815" s="66">
        <v>0</v>
      </c>
      <c r="AA5815" s="6">
        <v>0</v>
      </c>
      <c r="AB5815" s="4">
        <f t="shared" si="906"/>
        <v>1231921.0784313725</v>
      </c>
      <c r="AC5815" s="6">
        <f t="shared" si="902"/>
        <v>24638.421568627469</v>
      </c>
      <c r="AD5815" s="6">
        <f t="shared" si="911"/>
        <v>1256559.5</v>
      </c>
      <c r="AE5815" s="14">
        <f>VLOOKUP(I5815,[2]媒体政策预估表!A:N,MATCH(O5815,[2]媒体政策预估表!$A$2:$M$2,0),0)</f>
        <v>0.10299999999999999</v>
      </c>
      <c r="AF5815" s="6">
        <f t="shared" si="908"/>
        <v>129425.62849999999</v>
      </c>
      <c r="AG5815" s="14">
        <v>0</v>
      </c>
      <c r="AH5815" s="99">
        <f t="shared" si="912"/>
        <v>1256559.5</v>
      </c>
      <c r="AI5815" s="47"/>
      <c r="AJ5815" s="126" t="e">
        <v>#N/A</v>
      </c>
      <c r="AK5815" s="80">
        <f t="shared" si="907"/>
        <v>0</v>
      </c>
      <c r="AL5815" s="85"/>
      <c r="AM5815" s="85"/>
    </row>
    <row r="5816" spans="1:39" s="86" customFormat="1" ht="13.25" hidden="1" customHeight="1" x14ac:dyDescent="0.3">
      <c r="A5816" s="89" t="s">
        <v>3852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09"/>
        <v>147760.28999999992</v>
      </c>
      <c r="X5816" s="6">
        <f t="shared" si="910"/>
        <v>468723.87254901958</v>
      </c>
      <c r="Y5816" s="13">
        <f t="shared" si="905"/>
        <v>0</v>
      </c>
      <c r="Z5816" s="66">
        <v>0</v>
      </c>
      <c r="AA5816" s="6">
        <v>0</v>
      </c>
      <c r="AB5816" s="4">
        <f t="shared" si="906"/>
        <v>468723.87254901958</v>
      </c>
      <c r="AC5816" s="6">
        <f t="shared" si="902"/>
        <v>9374.4774509803974</v>
      </c>
      <c r="AD5816" s="6">
        <f t="shared" si="911"/>
        <v>478098.35</v>
      </c>
      <c r="AE5816" s="14">
        <f>VLOOKUP(I5816,[2]媒体政策预估表!A:N,MATCH(O5816,[2]媒体政策预估表!$A$2:$M$2,0),0)</f>
        <v>0.10299999999999999</v>
      </c>
      <c r="AF5816" s="6">
        <f t="shared" si="908"/>
        <v>49244.130049999992</v>
      </c>
      <c r="AG5816" s="14">
        <v>0</v>
      </c>
      <c r="AH5816" s="99">
        <f t="shared" si="912"/>
        <v>478098.35</v>
      </c>
      <c r="AI5816" s="47"/>
      <c r="AJ5816" s="126" t="e">
        <v>#N/A</v>
      </c>
      <c r="AK5816" s="80">
        <f t="shared" si="907"/>
        <v>0</v>
      </c>
      <c r="AL5816" s="85"/>
      <c r="AM5816" s="85"/>
    </row>
    <row r="5817" spans="1:39" s="86" customFormat="1" ht="13.25" hidden="1" customHeight="1" x14ac:dyDescent="0.3">
      <c r="A5817" s="89" t="s">
        <v>3806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09"/>
        <v>315648.01999999996</v>
      </c>
      <c r="X5817" s="6">
        <f t="shared" si="910"/>
        <v>91588.299999999988</v>
      </c>
      <c r="Y5817" s="13">
        <f t="shared" si="905"/>
        <v>0</v>
      </c>
      <c r="Z5817" s="66">
        <v>0</v>
      </c>
      <c r="AA5817" s="6">
        <v>0</v>
      </c>
      <c r="AB5817" s="4">
        <f t="shared" si="906"/>
        <v>91588.299999999988</v>
      </c>
      <c r="AC5817" s="6">
        <f t="shared" si="902"/>
        <v>0</v>
      </c>
      <c r="AD5817" s="6">
        <f t="shared" si="911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08"/>
        <v>9433.5948999999982</v>
      </c>
      <c r="AG5817" s="14">
        <v>0</v>
      </c>
      <c r="AH5817" s="99">
        <f t="shared" si="912"/>
        <v>91588.299999999988</v>
      </c>
      <c r="AI5817" s="47"/>
      <c r="AJ5817" s="126" t="e">
        <v>#N/A</v>
      </c>
      <c r="AK5817" s="80">
        <f t="shared" si="907"/>
        <v>0</v>
      </c>
      <c r="AL5817" s="85"/>
      <c r="AM5817" s="85"/>
    </row>
    <row r="5818" spans="1:39" s="86" customFormat="1" ht="13.25" hidden="1" customHeight="1" x14ac:dyDescent="0.3">
      <c r="A5818" s="89" t="s">
        <v>3794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09"/>
        <v>58115.809999999881</v>
      </c>
      <c r="X5818" s="6">
        <f t="shared" si="910"/>
        <v>289154</v>
      </c>
      <c r="Y5818" s="13">
        <f t="shared" si="905"/>
        <v>0</v>
      </c>
      <c r="Z5818" s="66">
        <v>0</v>
      </c>
      <c r="AA5818" s="6">
        <v>0</v>
      </c>
      <c r="AB5818" s="4">
        <f t="shared" si="906"/>
        <v>289154</v>
      </c>
      <c r="AC5818" s="6">
        <f t="shared" si="902"/>
        <v>0</v>
      </c>
      <c r="AD5818" s="6">
        <f t="shared" si="911"/>
        <v>289154</v>
      </c>
      <c r="AE5818" s="14">
        <f>VLOOKUP(I5818,[2]媒体政策预估表!A:N,MATCH(O5818,[2]媒体政策预估表!$A$2:$M$2,0),0)</f>
        <v>0.10299999999999999</v>
      </c>
      <c r="AF5818" s="6">
        <f t="shared" si="908"/>
        <v>29782.861999999997</v>
      </c>
      <c r="AG5818" s="14">
        <v>0</v>
      </c>
      <c r="AH5818" s="99">
        <f t="shared" si="912"/>
        <v>289154</v>
      </c>
      <c r="AI5818" s="47"/>
      <c r="AJ5818" s="126" t="e">
        <v>#N/A</v>
      </c>
      <c r="AK5818" s="80">
        <f t="shared" si="907"/>
        <v>0</v>
      </c>
      <c r="AL5818" s="85"/>
      <c r="AM5818" s="85"/>
    </row>
    <row r="5819" spans="1:39" s="86" customFormat="1" ht="13.25" hidden="1" customHeight="1" x14ac:dyDescent="0.3">
      <c r="A5819" s="89" t="s">
        <v>3794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09"/>
        <v>151298.90999999992</v>
      </c>
      <c r="X5819" s="6">
        <f t="shared" si="910"/>
        <v>163984.78217821784</v>
      </c>
      <c r="Y5819" s="13">
        <f t="shared" si="905"/>
        <v>0</v>
      </c>
      <c r="Z5819" s="66">
        <v>0</v>
      </c>
      <c r="AA5819" s="6">
        <v>0</v>
      </c>
      <c r="AB5819" s="4">
        <f t="shared" si="906"/>
        <v>163984.78217821784</v>
      </c>
      <c r="AC5819" s="6">
        <f t="shared" si="902"/>
        <v>1639.8478217821685</v>
      </c>
      <c r="AD5819" s="6">
        <f t="shared" si="911"/>
        <v>165624.63</v>
      </c>
      <c r="AE5819" s="14">
        <f>VLOOKUP(I5819,[2]媒体政策预估表!A:N,MATCH(O5819,[2]媒体政策预估表!$A$2:$M$2,0),0)</f>
        <v>0.10299999999999999</v>
      </c>
      <c r="AF5819" s="6">
        <f t="shared" si="908"/>
        <v>17059.336889999999</v>
      </c>
      <c r="AG5819" s="14">
        <v>0</v>
      </c>
      <c r="AH5819" s="99">
        <f t="shared" si="912"/>
        <v>165624.63</v>
      </c>
      <c r="AI5819" s="47"/>
      <c r="AJ5819" s="126" t="e">
        <v>#N/A</v>
      </c>
      <c r="AK5819" s="80">
        <f t="shared" si="907"/>
        <v>0</v>
      </c>
      <c r="AL5819" s="85"/>
      <c r="AM5819" s="85"/>
    </row>
    <row r="5820" spans="1:39" s="86" customFormat="1" ht="13.25" hidden="1" customHeight="1" x14ac:dyDescent="0.3">
      <c r="A5820" s="89" t="s">
        <v>3794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09"/>
        <v>4220457.63</v>
      </c>
      <c r="X5820" s="6">
        <f t="shared" si="910"/>
        <v>1726338.1274509802</v>
      </c>
      <c r="Y5820" s="13">
        <f t="shared" si="905"/>
        <v>0</v>
      </c>
      <c r="Z5820" s="66">
        <v>0</v>
      </c>
      <c r="AA5820" s="6">
        <v>0</v>
      </c>
      <c r="AB5820" s="4">
        <f t="shared" si="906"/>
        <v>1726338.1274509802</v>
      </c>
      <c r="AC5820" s="6">
        <f t="shared" si="902"/>
        <v>34526.762549019651</v>
      </c>
      <c r="AD5820" s="6">
        <f t="shared" si="911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08"/>
        <v>181369.08366999999</v>
      </c>
      <c r="AG5820" s="14">
        <v>0</v>
      </c>
      <c r="AH5820" s="99">
        <f t="shared" si="912"/>
        <v>1760864.89</v>
      </c>
      <c r="AI5820" s="47"/>
      <c r="AJ5820" s="126" t="e">
        <v>#N/A</v>
      </c>
      <c r="AK5820" s="80">
        <f t="shared" si="907"/>
        <v>0</v>
      </c>
      <c r="AL5820" s="85"/>
      <c r="AM5820" s="85"/>
    </row>
    <row r="5821" spans="1:39" s="86" customFormat="1" ht="13.25" hidden="1" customHeight="1" x14ac:dyDescent="0.3">
      <c r="A5821" s="89" t="s">
        <v>3852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3869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09"/>
        <v>50000</v>
      </c>
      <c r="X5821" s="6">
        <f t="shared" si="910"/>
        <v>0</v>
      </c>
      <c r="Y5821" s="13">
        <f t="shared" si="905"/>
        <v>0</v>
      </c>
      <c r="Z5821" s="66">
        <v>0</v>
      </c>
      <c r="AA5821" s="6">
        <v>0</v>
      </c>
      <c r="AB5821" s="4">
        <f t="shared" si="906"/>
        <v>0</v>
      </c>
      <c r="AC5821" s="6">
        <f t="shared" si="902"/>
        <v>0</v>
      </c>
      <c r="AD5821" s="6">
        <f t="shared" si="911"/>
        <v>0</v>
      </c>
      <c r="AE5821" s="14">
        <f>VLOOKUP(I5821,[2]媒体政策预估表!A:N,MATCH(O5821,[2]媒体政策预估表!$A$2:$M$2,0),0)</f>
        <v>0.10299999999999999</v>
      </c>
      <c r="AF5821" s="6">
        <f t="shared" si="908"/>
        <v>0</v>
      </c>
      <c r="AG5821" s="14">
        <v>0</v>
      </c>
      <c r="AH5821" s="99">
        <f t="shared" si="912"/>
        <v>0</v>
      </c>
      <c r="AI5821" s="47"/>
      <c r="AJ5821" s="126" t="e">
        <v>#N/A</v>
      </c>
      <c r="AK5821" s="80">
        <f t="shared" si="907"/>
        <v>0</v>
      </c>
      <c r="AL5821" s="85"/>
      <c r="AM5821" s="85"/>
    </row>
    <row r="5822" spans="1:39" s="86" customFormat="1" ht="13.25" hidden="1" customHeight="1" x14ac:dyDescent="0.3">
      <c r="A5822" s="89" t="s">
        <v>3794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3870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09"/>
        <v>50000</v>
      </c>
      <c r="X5822" s="6">
        <f t="shared" si="910"/>
        <v>0</v>
      </c>
      <c r="Y5822" s="13">
        <f t="shared" si="905"/>
        <v>0</v>
      </c>
      <c r="Z5822" s="66">
        <v>0</v>
      </c>
      <c r="AA5822" s="6">
        <v>0</v>
      </c>
      <c r="AB5822" s="4">
        <f t="shared" si="906"/>
        <v>0</v>
      </c>
      <c r="AC5822" s="6">
        <f t="shared" ref="AC5822:AC5885" si="913">IF(P5822="返现",X5822*Q5822,V5822-X5822)</f>
        <v>0</v>
      </c>
      <c r="AD5822" s="6">
        <f t="shared" si="911"/>
        <v>0</v>
      </c>
      <c r="AE5822" s="14">
        <f>VLOOKUP(I5822,[2]媒体政策预估表!A:N,MATCH(O5822,[2]媒体政策预估表!$A$2:$M$2,0),0)</f>
        <v>0.10299999999999999</v>
      </c>
      <c r="AF5822" s="6">
        <f t="shared" si="908"/>
        <v>0</v>
      </c>
      <c r="AG5822" s="14">
        <v>0</v>
      </c>
      <c r="AH5822" s="99">
        <f t="shared" si="912"/>
        <v>0</v>
      </c>
      <c r="AI5822" s="47"/>
      <c r="AJ5822" s="126" t="e">
        <v>#N/A</v>
      </c>
      <c r="AK5822" s="80">
        <f t="shared" si="907"/>
        <v>0</v>
      </c>
      <c r="AL5822" s="85"/>
      <c r="AM5822" s="85"/>
    </row>
    <row r="5823" spans="1:39" s="86" customFormat="1" ht="13.25" hidden="1" customHeight="1" x14ac:dyDescent="0.3">
      <c r="A5823" s="89" t="s">
        <v>3806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3871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09"/>
        <v>50000</v>
      </c>
      <c r="X5823" s="6">
        <f t="shared" si="910"/>
        <v>0</v>
      </c>
      <c r="Y5823" s="13">
        <f t="shared" si="905"/>
        <v>0</v>
      </c>
      <c r="Z5823" s="66">
        <v>0</v>
      </c>
      <c r="AA5823" s="6">
        <v>0</v>
      </c>
      <c r="AB5823" s="4">
        <f t="shared" si="906"/>
        <v>0</v>
      </c>
      <c r="AC5823" s="6">
        <f t="shared" si="913"/>
        <v>0</v>
      </c>
      <c r="AD5823" s="6">
        <f t="shared" si="911"/>
        <v>0</v>
      </c>
      <c r="AE5823" s="14">
        <f>VLOOKUP(I5823,[2]媒体政策预估表!A:N,MATCH(O5823,[2]媒体政策预估表!$A$2:$M$2,0),0)</f>
        <v>0.10299999999999999</v>
      </c>
      <c r="AF5823" s="6">
        <f t="shared" si="908"/>
        <v>0</v>
      </c>
      <c r="AG5823" s="14">
        <v>0</v>
      </c>
      <c r="AH5823" s="99">
        <f t="shared" si="912"/>
        <v>0</v>
      </c>
      <c r="AI5823" s="47"/>
      <c r="AJ5823" s="126" t="e">
        <v>#N/A</v>
      </c>
      <c r="AK5823" s="80">
        <f t="shared" si="907"/>
        <v>0</v>
      </c>
      <c r="AL5823" s="85"/>
      <c r="AM5823" s="85"/>
    </row>
    <row r="5824" spans="1:39" s="86" customFormat="1" ht="13.25" hidden="1" customHeight="1" x14ac:dyDescent="0.3">
      <c r="A5824" s="89" t="s">
        <v>3794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09"/>
        <v>209189.77000000002</v>
      </c>
      <c r="X5824" s="6">
        <f t="shared" si="910"/>
        <v>530197.59</v>
      </c>
      <c r="Y5824" s="13">
        <f t="shared" si="905"/>
        <v>0</v>
      </c>
      <c r="Z5824" s="66">
        <v>0</v>
      </c>
      <c r="AA5824" s="6">
        <v>0</v>
      </c>
      <c r="AB5824" s="4">
        <f t="shared" si="906"/>
        <v>530197.59</v>
      </c>
      <c r="AC5824" s="6">
        <f t="shared" si="913"/>
        <v>0</v>
      </c>
      <c r="AD5824" s="6">
        <f t="shared" si="911"/>
        <v>530197.59</v>
      </c>
      <c r="AE5824" s="14">
        <f>VLOOKUP(I5824,[2]媒体政策预估表!A:N,MATCH(O5824,[2]媒体政策预估表!$A$2:$M$2,0),0)</f>
        <v>0.10299999999999999</v>
      </c>
      <c r="AF5824" s="6">
        <f t="shared" si="908"/>
        <v>54610.351769999994</v>
      </c>
      <c r="AG5824" s="14">
        <v>0</v>
      </c>
      <c r="AH5824" s="99">
        <f t="shared" si="912"/>
        <v>530197.59</v>
      </c>
      <c r="AI5824" s="47"/>
      <c r="AJ5824" s="126" t="e">
        <v>#N/A</v>
      </c>
      <c r="AK5824" s="80">
        <f t="shared" si="907"/>
        <v>0</v>
      </c>
      <c r="AL5824" s="85"/>
      <c r="AM5824" s="85"/>
    </row>
    <row r="5825" spans="1:39" s="86" customFormat="1" ht="13.25" hidden="1" customHeight="1" x14ac:dyDescent="0.3">
      <c r="A5825" s="89" t="s">
        <v>3792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09"/>
        <v>209905.85000000003</v>
      </c>
      <c r="X5825" s="6">
        <f t="shared" si="910"/>
        <v>388536.83</v>
      </c>
      <c r="Y5825" s="13">
        <f t="shared" si="905"/>
        <v>0</v>
      </c>
      <c r="Z5825" s="66">
        <v>0</v>
      </c>
      <c r="AA5825" s="6">
        <v>0</v>
      </c>
      <c r="AB5825" s="4">
        <f t="shared" si="906"/>
        <v>388536.83</v>
      </c>
      <c r="AC5825" s="6">
        <f t="shared" si="913"/>
        <v>0</v>
      </c>
      <c r="AD5825" s="6">
        <f t="shared" si="911"/>
        <v>388536.83</v>
      </c>
      <c r="AE5825" s="14">
        <f>VLOOKUP(I5825,[2]媒体政策预估表!A:N,MATCH(O5825,[2]媒体政策预估表!$A$2:$M$2,0),0)</f>
        <v>0.10299999999999999</v>
      </c>
      <c r="AF5825" s="6">
        <f t="shared" si="908"/>
        <v>40019.293489999996</v>
      </c>
      <c r="AG5825" s="14">
        <v>0</v>
      </c>
      <c r="AH5825" s="99">
        <f t="shared" si="912"/>
        <v>388536.83</v>
      </c>
      <c r="AI5825" s="47"/>
      <c r="AJ5825" s="126" t="e">
        <v>#N/A</v>
      </c>
      <c r="AK5825" s="80">
        <f t="shared" si="907"/>
        <v>0</v>
      </c>
      <c r="AL5825" s="85"/>
      <c r="AM5825" s="85"/>
    </row>
    <row r="5826" spans="1:39" s="86" customFormat="1" ht="13.25" hidden="1" customHeight="1" x14ac:dyDescent="0.3">
      <c r="A5826" s="89" t="s">
        <v>3852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09"/>
        <v>4753673.2099999981</v>
      </c>
      <c r="X5826" s="6">
        <f t="shared" si="910"/>
        <v>1298529.2</v>
      </c>
      <c r="Y5826" s="13">
        <f t="shared" si="905"/>
        <v>0</v>
      </c>
      <c r="Z5826" s="66">
        <v>0</v>
      </c>
      <c r="AA5826" s="6">
        <v>0</v>
      </c>
      <c r="AB5826" s="4">
        <f t="shared" si="906"/>
        <v>1298529.2</v>
      </c>
      <c r="AC5826" s="6">
        <f t="shared" si="913"/>
        <v>0</v>
      </c>
      <c r="AD5826" s="6">
        <f t="shared" si="911"/>
        <v>1298529.2</v>
      </c>
      <c r="AE5826" s="14">
        <f>VLOOKUP(I5826,[2]媒体政策预估表!A:N,MATCH(O5826,[2]媒体政策预估表!$A$2:$M$2,0),0)</f>
        <v>0.10299999999999999</v>
      </c>
      <c r="AF5826" s="6">
        <f t="shared" si="908"/>
        <v>133748.50759999998</v>
      </c>
      <c r="AG5826" s="14">
        <v>0</v>
      </c>
      <c r="AH5826" s="99">
        <f t="shared" si="912"/>
        <v>1298529.2</v>
      </c>
      <c r="AI5826" s="47"/>
      <c r="AJ5826" s="126" t="e">
        <v>#N/A</v>
      </c>
      <c r="AK5826" s="80">
        <f t="shared" si="907"/>
        <v>0</v>
      </c>
      <c r="AL5826" s="85"/>
      <c r="AM5826" s="85"/>
    </row>
    <row r="5827" spans="1:39" s="86" customFormat="1" ht="13.25" hidden="1" customHeight="1" x14ac:dyDescent="0.3">
      <c r="A5827" s="89" t="s">
        <v>3852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09"/>
        <v>285709.05</v>
      </c>
      <c r="X5827" s="6">
        <f t="shared" si="910"/>
        <v>510957.18</v>
      </c>
      <c r="Y5827" s="13">
        <f t="shared" ref="Y5827:Y5890" si="914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15">X5827+AA5827</f>
        <v>510957.18</v>
      </c>
      <c r="AC5827" s="6">
        <f t="shared" si="913"/>
        <v>0</v>
      </c>
      <c r="AD5827" s="6">
        <f t="shared" si="911"/>
        <v>510957.18</v>
      </c>
      <c r="AE5827" s="14">
        <f>VLOOKUP(I5827,[2]媒体政策预估表!A:N,MATCH(O5827,[2]媒体政策预估表!$A$2:$M$2,0),0)</f>
        <v>0.10299999999999999</v>
      </c>
      <c r="AF5827" s="6">
        <f t="shared" si="908"/>
        <v>52628.589539999994</v>
      </c>
      <c r="AG5827" s="14">
        <v>0</v>
      </c>
      <c r="AH5827" s="99">
        <f t="shared" si="912"/>
        <v>510957.18</v>
      </c>
      <c r="AI5827" s="47"/>
      <c r="AJ5827" s="126" t="e">
        <v>#N/A</v>
      </c>
      <c r="AK5827" s="80">
        <f t="shared" ref="AK5827:AK5890" si="916">X5827+AA5827-AB5827</f>
        <v>0</v>
      </c>
      <c r="AL5827" s="85"/>
      <c r="AM5827" s="85"/>
    </row>
    <row r="5828" spans="1:39" s="86" customFormat="1" ht="13.25" hidden="1" customHeight="1" x14ac:dyDescent="0.3">
      <c r="A5828" s="89" t="s">
        <v>3806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09"/>
        <v>79177.380000000019</v>
      </c>
      <c r="X5828" s="6">
        <f t="shared" si="910"/>
        <v>98818.52</v>
      </c>
      <c r="Y5828" s="13">
        <f t="shared" si="914"/>
        <v>0</v>
      </c>
      <c r="Z5828" s="66">
        <v>0</v>
      </c>
      <c r="AA5828" s="6">
        <v>0</v>
      </c>
      <c r="AB5828" s="4">
        <f t="shared" si="915"/>
        <v>98818.52</v>
      </c>
      <c r="AC5828" s="6">
        <f t="shared" si="913"/>
        <v>0</v>
      </c>
      <c r="AD5828" s="6">
        <f t="shared" si="911"/>
        <v>98818.52</v>
      </c>
      <c r="AE5828" s="14">
        <f>VLOOKUP(I5828,[2]媒体政策预估表!A:N,MATCH(O5828,[2]媒体政策预估表!$A$2:$M$2,0),0)</f>
        <v>0.10299999999999999</v>
      </c>
      <c r="AF5828" s="6">
        <f t="shared" si="908"/>
        <v>10178.307559999999</v>
      </c>
      <c r="AG5828" s="14">
        <v>0</v>
      </c>
      <c r="AH5828" s="99">
        <f t="shared" si="912"/>
        <v>98818.52</v>
      </c>
      <c r="AI5828" s="47"/>
      <c r="AJ5828" s="126" t="e">
        <v>#N/A</v>
      </c>
      <c r="AK5828" s="80">
        <f t="shared" si="916"/>
        <v>0</v>
      </c>
      <c r="AL5828" s="85"/>
      <c r="AM5828" s="85"/>
    </row>
    <row r="5829" spans="1:39" s="86" customFormat="1" ht="13.25" hidden="1" customHeight="1" x14ac:dyDescent="0.3">
      <c r="A5829" s="89" t="s">
        <v>3792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09"/>
        <v>3600884.8400000017</v>
      </c>
      <c r="X5829" s="6">
        <f t="shared" si="910"/>
        <v>575954.57692307688</v>
      </c>
      <c r="Y5829" s="13">
        <f t="shared" si="914"/>
        <v>0</v>
      </c>
      <c r="Z5829" s="66">
        <v>0</v>
      </c>
      <c r="AA5829" s="6">
        <v>0</v>
      </c>
      <c r="AB5829" s="4">
        <f t="shared" si="915"/>
        <v>575954.57692307688</v>
      </c>
      <c r="AC5829" s="6">
        <f t="shared" si="913"/>
        <v>23038.183076923131</v>
      </c>
      <c r="AD5829" s="6">
        <f t="shared" si="911"/>
        <v>598992.76</v>
      </c>
      <c r="AE5829" s="14">
        <f>VLOOKUP(I5829,[2]媒体政策预估表!A:N,MATCH(O5829,[2]媒体政策预估表!$A$2:$M$2,0),0)</f>
        <v>0.10299999999999999</v>
      </c>
      <c r="AF5829" s="6">
        <f t="shared" si="908"/>
        <v>61696.254280000001</v>
      </c>
      <c r="AG5829" s="14">
        <v>0</v>
      </c>
      <c r="AH5829" s="99">
        <f t="shared" si="912"/>
        <v>598992.76</v>
      </c>
      <c r="AI5829" s="47"/>
      <c r="AJ5829" s="126" t="e">
        <v>#N/A</v>
      </c>
      <c r="AK5829" s="80">
        <f t="shared" si="916"/>
        <v>0</v>
      </c>
      <c r="AL5829" s="85"/>
      <c r="AM5829" s="85"/>
    </row>
    <row r="5830" spans="1:39" s="86" customFormat="1" ht="13.25" hidden="1" customHeight="1" x14ac:dyDescent="0.3">
      <c r="A5830" s="89" t="s">
        <v>3806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09"/>
        <v>77760.479999999996</v>
      </c>
      <c r="X5830" s="6">
        <f t="shared" si="910"/>
        <v>24949.924528301883</v>
      </c>
      <c r="Y5830" s="13">
        <f t="shared" si="914"/>
        <v>0</v>
      </c>
      <c r="Z5830" s="66">
        <v>0</v>
      </c>
      <c r="AA5830" s="6">
        <v>0</v>
      </c>
      <c r="AB5830" s="4">
        <f t="shared" si="915"/>
        <v>24949.924528301883</v>
      </c>
      <c r="AC5830" s="6">
        <f t="shared" si="913"/>
        <v>1496.9954716981156</v>
      </c>
      <c r="AD5830" s="6">
        <f t="shared" si="911"/>
        <v>26446.92</v>
      </c>
      <c r="AE5830" s="14">
        <f>VLOOKUP(I5830,[2]媒体政策预估表!A:N,MATCH(O5830,[2]媒体政策预估表!$A$2:$M$2,0),0)</f>
        <v>0.223</v>
      </c>
      <c r="AF5830" s="6">
        <f t="shared" si="908"/>
        <v>5897.6631600000001</v>
      </c>
      <c r="AG5830" s="14">
        <v>0</v>
      </c>
      <c r="AH5830" s="99">
        <f t="shared" si="912"/>
        <v>26446.92</v>
      </c>
      <c r="AI5830" s="47"/>
      <c r="AJ5830" s="126" t="e">
        <v>#N/A</v>
      </c>
      <c r="AK5830" s="80">
        <f t="shared" si="916"/>
        <v>0</v>
      </c>
      <c r="AL5830" s="85"/>
      <c r="AM5830" s="85"/>
    </row>
    <row r="5831" spans="1:39" s="86" customFormat="1" ht="13.25" hidden="1" customHeight="1" x14ac:dyDescent="0.3">
      <c r="A5831" s="89" t="s">
        <v>3806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09"/>
        <v>4032</v>
      </c>
      <c r="X5831" s="6">
        <f t="shared" si="910"/>
        <v>1047.0588235294117</v>
      </c>
      <c r="Y5831" s="13">
        <f t="shared" si="914"/>
        <v>0</v>
      </c>
      <c r="Z5831" s="66">
        <v>0</v>
      </c>
      <c r="AA5831" s="6">
        <v>0</v>
      </c>
      <c r="AB5831" s="4">
        <f t="shared" si="915"/>
        <v>1047.0588235294117</v>
      </c>
      <c r="AC5831" s="6">
        <f t="shared" si="913"/>
        <v>20.941176470588289</v>
      </c>
      <c r="AD5831" s="6">
        <f t="shared" si="911"/>
        <v>1068</v>
      </c>
      <c r="AE5831" s="14">
        <f>VLOOKUP(I5831,[2]媒体政策预估表!A:N,MATCH(O5831,[2]媒体政策预估表!$A$2:$M$2,0),0)</f>
        <v>0.10299999999999999</v>
      </c>
      <c r="AF5831" s="6">
        <f t="shared" si="908"/>
        <v>110.00399999999999</v>
      </c>
      <c r="AG5831" s="14">
        <v>0</v>
      </c>
      <c r="AH5831" s="99">
        <f t="shared" si="912"/>
        <v>1068</v>
      </c>
      <c r="AI5831" s="47"/>
      <c r="AJ5831" s="126" t="e">
        <v>#N/A</v>
      </c>
      <c r="AK5831" s="80">
        <f t="shared" si="916"/>
        <v>0</v>
      </c>
      <c r="AL5831" s="85"/>
      <c r="AM5831" s="85"/>
    </row>
    <row r="5832" spans="1:39" s="86" customFormat="1" ht="13.25" hidden="1" customHeight="1" x14ac:dyDescent="0.3">
      <c r="A5832" s="89" t="s">
        <v>3806</v>
      </c>
      <c r="B5832" s="86" t="s">
        <v>35</v>
      </c>
      <c r="C5832" s="86" t="s">
        <v>65</v>
      </c>
      <c r="D5832" s="86" t="s">
        <v>122</v>
      </c>
      <c r="E5832" s="86" t="s">
        <v>3812</v>
      </c>
      <c r="F5832" s="86" t="s">
        <v>3812</v>
      </c>
      <c r="G5832" s="86" t="s">
        <v>3812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3812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09"/>
        <v>9292</v>
      </c>
      <c r="X5832" s="6">
        <f t="shared" si="910"/>
        <v>694.11764705882354</v>
      </c>
      <c r="Y5832" s="13">
        <f t="shared" si="914"/>
        <v>0</v>
      </c>
      <c r="Z5832" s="66">
        <v>0</v>
      </c>
      <c r="AA5832" s="6">
        <v>0</v>
      </c>
      <c r="AB5832" s="4">
        <f t="shared" si="915"/>
        <v>694.11764705882354</v>
      </c>
      <c r="AC5832" s="6">
        <f t="shared" si="913"/>
        <v>13.882352941176464</v>
      </c>
      <c r="AD5832" s="6">
        <f t="shared" si="911"/>
        <v>708</v>
      </c>
      <c r="AE5832" s="14">
        <f>VLOOKUP(I5832,[2]媒体政策预估表!A:N,MATCH(O5832,[2]媒体政策预估表!$A$2:$M$2,0),0)</f>
        <v>0.10299999999999999</v>
      </c>
      <c r="AF5832" s="6">
        <f t="shared" si="908"/>
        <v>72.923999999999992</v>
      </c>
      <c r="AG5832" s="14">
        <v>0</v>
      </c>
      <c r="AH5832" s="99">
        <f t="shared" si="912"/>
        <v>708</v>
      </c>
      <c r="AI5832" s="47"/>
      <c r="AJ5832" s="126" t="e">
        <v>#N/A</v>
      </c>
      <c r="AK5832" s="80">
        <f t="shared" si="916"/>
        <v>0</v>
      </c>
      <c r="AL5832" s="85"/>
      <c r="AM5832" s="85"/>
    </row>
    <row r="5833" spans="1:39" s="86" customFormat="1" ht="13.25" hidden="1" customHeight="1" x14ac:dyDescent="0.3">
      <c r="A5833" s="89" t="s">
        <v>3794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09"/>
        <v>80500.010000000009</v>
      </c>
      <c r="X5833" s="6">
        <f t="shared" si="910"/>
        <v>84742.574257425746</v>
      </c>
      <c r="Y5833" s="13">
        <f t="shared" si="914"/>
        <v>0</v>
      </c>
      <c r="Z5833" s="66">
        <v>0</v>
      </c>
      <c r="AA5833" s="6">
        <v>0</v>
      </c>
      <c r="AB5833" s="4">
        <f t="shared" si="915"/>
        <v>84742.574257425746</v>
      </c>
      <c r="AC5833" s="6">
        <f t="shared" si="913"/>
        <v>847.4257425742544</v>
      </c>
      <c r="AD5833" s="6">
        <f t="shared" si="911"/>
        <v>85590</v>
      </c>
      <c r="AE5833" s="14">
        <f>VLOOKUP(I5833,[2]媒体政策预估表!A:N,MATCH(O5833,[2]媒体政策预估表!$A$2:$M$2,0),0)</f>
        <v>0.10299999999999999</v>
      </c>
      <c r="AF5833" s="6">
        <f t="shared" si="908"/>
        <v>8815.7699999999986</v>
      </c>
      <c r="AG5833" s="14">
        <v>0</v>
      </c>
      <c r="AH5833" s="99">
        <f t="shared" si="912"/>
        <v>85590</v>
      </c>
      <c r="AI5833" s="47"/>
      <c r="AJ5833" s="126" t="e">
        <v>#N/A</v>
      </c>
      <c r="AK5833" s="80">
        <f t="shared" si="916"/>
        <v>0</v>
      </c>
      <c r="AL5833" s="85"/>
      <c r="AM5833" s="85"/>
    </row>
    <row r="5834" spans="1:39" s="86" customFormat="1" ht="13.25" hidden="1" customHeight="1" x14ac:dyDescent="0.3">
      <c r="A5834" s="89" t="s">
        <v>3806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09"/>
        <v>56707.5</v>
      </c>
      <c r="X5834" s="6">
        <f t="shared" si="910"/>
        <v>147792.57425742573</v>
      </c>
      <c r="Y5834" s="13">
        <f t="shared" si="914"/>
        <v>0</v>
      </c>
      <c r="Z5834" s="66">
        <v>0</v>
      </c>
      <c r="AA5834" s="6">
        <v>0</v>
      </c>
      <c r="AB5834" s="4">
        <f t="shared" si="915"/>
        <v>147792.57425742573</v>
      </c>
      <c r="AC5834" s="6">
        <f t="shared" si="913"/>
        <v>1477.925742574269</v>
      </c>
      <c r="AD5834" s="6">
        <f t="shared" si="911"/>
        <v>149270.5</v>
      </c>
      <c r="AE5834" s="14">
        <f>VLOOKUP(I5834,[2]媒体政策预估表!A:N,MATCH(O5834,[2]媒体政策预估表!$A$2:$M$2,0),0)</f>
        <v>0.10299999999999999</v>
      </c>
      <c r="AF5834" s="6">
        <f t="shared" si="908"/>
        <v>15374.861499999999</v>
      </c>
      <c r="AG5834" s="14">
        <v>0</v>
      </c>
      <c r="AH5834" s="99">
        <f t="shared" si="912"/>
        <v>149270.5</v>
      </c>
      <c r="AI5834" s="47"/>
      <c r="AJ5834" s="126" t="e">
        <v>#N/A</v>
      </c>
      <c r="AK5834" s="80">
        <f t="shared" si="916"/>
        <v>0</v>
      </c>
      <c r="AL5834" s="85"/>
      <c r="AM5834" s="85"/>
    </row>
    <row r="5835" spans="1:39" s="86" customFormat="1" ht="13.25" hidden="1" customHeight="1" x14ac:dyDescent="0.3">
      <c r="A5835" s="89" t="s">
        <v>3794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09"/>
        <v>57429.180000000037</v>
      </c>
      <c r="X5835" s="6">
        <f t="shared" si="910"/>
        <v>84725.46</v>
      </c>
      <c r="Y5835" s="13">
        <f t="shared" si="914"/>
        <v>0</v>
      </c>
      <c r="Z5835" s="66">
        <v>0</v>
      </c>
      <c r="AA5835" s="6">
        <v>0</v>
      </c>
      <c r="AB5835" s="4">
        <f t="shared" si="915"/>
        <v>84725.46</v>
      </c>
      <c r="AC5835" s="6">
        <f t="shared" si="913"/>
        <v>0</v>
      </c>
      <c r="AD5835" s="6">
        <f t="shared" si="911"/>
        <v>84725.46</v>
      </c>
      <c r="AE5835" s="14">
        <f>VLOOKUP(I5835,[2]媒体政策预估表!A:N,MATCH(O5835,[2]媒体政策预估表!$A$2:$M$2,0),0)</f>
        <v>0.10299999999999999</v>
      </c>
      <c r="AF5835" s="6">
        <f t="shared" si="908"/>
        <v>8726.7223800000011</v>
      </c>
      <c r="AG5835" s="14">
        <v>0</v>
      </c>
      <c r="AH5835" s="99">
        <f t="shared" si="912"/>
        <v>84725.46</v>
      </c>
      <c r="AI5835" s="47"/>
      <c r="AJ5835" s="126" t="e">
        <v>#N/A</v>
      </c>
      <c r="AK5835" s="80">
        <f t="shared" si="916"/>
        <v>0</v>
      </c>
      <c r="AL5835" s="85"/>
      <c r="AM5835" s="85"/>
    </row>
    <row r="5836" spans="1:39" s="86" customFormat="1" ht="13.25" hidden="1" customHeight="1" x14ac:dyDescent="0.3">
      <c r="A5836" s="89" t="s">
        <v>3794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09"/>
        <v>0</v>
      </c>
      <c r="X5836" s="6">
        <f t="shared" si="910"/>
        <v>0</v>
      </c>
      <c r="Y5836" s="13">
        <f t="shared" si="914"/>
        <v>0</v>
      </c>
      <c r="Z5836" s="66">
        <v>0</v>
      </c>
      <c r="AA5836" s="6">
        <v>0</v>
      </c>
      <c r="AB5836" s="4">
        <f t="shared" si="915"/>
        <v>0</v>
      </c>
      <c r="AC5836" s="6">
        <f t="shared" si="913"/>
        <v>0</v>
      </c>
      <c r="AD5836" s="6">
        <f t="shared" si="911"/>
        <v>0</v>
      </c>
      <c r="AE5836" s="14">
        <f>VLOOKUP(I5836,[2]媒体政策预估表!A:N,MATCH(O5836,[2]媒体政策预估表!$A$2:$M$2,0),0)</f>
        <v>0.10299999999999999</v>
      </c>
      <c r="AF5836" s="6">
        <f t="shared" si="908"/>
        <v>0</v>
      </c>
      <c r="AG5836" s="14">
        <v>0</v>
      </c>
      <c r="AH5836" s="99">
        <f t="shared" si="912"/>
        <v>0</v>
      </c>
      <c r="AI5836" s="47"/>
      <c r="AJ5836" s="126" t="e">
        <v>#N/A</v>
      </c>
      <c r="AK5836" s="80">
        <f t="shared" si="916"/>
        <v>0</v>
      </c>
      <c r="AL5836" s="85"/>
      <c r="AM5836" s="85"/>
    </row>
    <row r="5837" spans="1:39" s="86" customFormat="1" ht="13.25" hidden="1" customHeight="1" x14ac:dyDescent="0.3">
      <c r="A5837" s="89" t="s">
        <v>3806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3872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09"/>
        <v>19574</v>
      </c>
      <c r="X5837" s="6">
        <f t="shared" si="910"/>
        <v>426</v>
      </c>
      <c r="Y5837" s="13">
        <f t="shared" si="914"/>
        <v>0</v>
      </c>
      <c r="Z5837" s="66">
        <v>0</v>
      </c>
      <c r="AA5837" s="6">
        <v>0</v>
      </c>
      <c r="AB5837" s="4">
        <f t="shared" si="915"/>
        <v>426</v>
      </c>
      <c r="AC5837" s="6">
        <f t="shared" si="913"/>
        <v>0</v>
      </c>
      <c r="AD5837" s="6">
        <f t="shared" si="911"/>
        <v>426</v>
      </c>
      <c r="AE5837" s="14">
        <f>VLOOKUP(I5837,[2]媒体政策预估表!A:N,MATCH(O5837,[2]媒体政策预估表!$A$2:$M$2,0),0)</f>
        <v>0.10299999999999999</v>
      </c>
      <c r="AF5837" s="6">
        <f t="shared" si="908"/>
        <v>43.878</v>
      </c>
      <c r="AG5837" s="14">
        <v>0</v>
      </c>
      <c r="AH5837" s="99">
        <f t="shared" si="912"/>
        <v>426</v>
      </c>
      <c r="AI5837" s="47"/>
      <c r="AJ5837" s="126" t="e">
        <v>#N/A</v>
      </c>
      <c r="AK5837" s="80">
        <f t="shared" si="916"/>
        <v>0</v>
      </c>
      <c r="AL5837" s="85"/>
      <c r="AM5837" s="85"/>
    </row>
    <row r="5838" spans="1:39" s="86" customFormat="1" ht="13.25" hidden="1" customHeight="1" x14ac:dyDescent="0.3">
      <c r="A5838" s="89" t="s">
        <v>3792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09"/>
        <v>16465.300000000003</v>
      </c>
      <c r="X5838" s="6">
        <f t="shared" si="910"/>
        <v>83225.942307692298</v>
      </c>
      <c r="Y5838" s="13">
        <f t="shared" si="914"/>
        <v>0</v>
      </c>
      <c r="Z5838" s="66">
        <v>0</v>
      </c>
      <c r="AA5838" s="6">
        <v>0</v>
      </c>
      <c r="AB5838" s="4">
        <f t="shared" si="915"/>
        <v>83225.942307692298</v>
      </c>
      <c r="AC5838" s="6">
        <f t="shared" si="913"/>
        <v>3329.0376923076983</v>
      </c>
      <c r="AD5838" s="6">
        <f t="shared" si="911"/>
        <v>86554.98</v>
      </c>
      <c r="AE5838" s="14">
        <f>VLOOKUP(I5838,[2]媒体政策预估表!A:N,MATCH(O5838,[2]媒体政策预估表!$A$2:$M$2,0),0)</f>
        <v>0.10299999999999999</v>
      </c>
      <c r="AF5838" s="6">
        <f t="shared" si="908"/>
        <v>8915.1629399999983</v>
      </c>
      <c r="AG5838" s="14">
        <v>0</v>
      </c>
      <c r="AH5838" s="99">
        <f t="shared" si="912"/>
        <v>86554.98</v>
      </c>
      <c r="AI5838" s="47"/>
      <c r="AJ5838" s="126" t="e">
        <v>#N/A</v>
      </c>
      <c r="AK5838" s="80">
        <f t="shared" si="916"/>
        <v>0</v>
      </c>
      <c r="AL5838" s="85"/>
      <c r="AM5838" s="85"/>
    </row>
    <row r="5839" spans="1:39" s="86" customFormat="1" ht="13.25" hidden="1" customHeight="1" x14ac:dyDescent="0.3">
      <c r="A5839" s="89" t="s">
        <v>3794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3814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09"/>
        <v>10058</v>
      </c>
      <c r="X5839" s="6">
        <f t="shared" si="910"/>
        <v>5139.2156862745096</v>
      </c>
      <c r="Y5839" s="13">
        <f t="shared" si="914"/>
        <v>0</v>
      </c>
      <c r="Z5839" s="66">
        <v>0</v>
      </c>
      <c r="AA5839" s="6">
        <v>0</v>
      </c>
      <c r="AB5839" s="4">
        <f t="shared" si="915"/>
        <v>5139.2156862745096</v>
      </c>
      <c r="AC5839" s="6">
        <f t="shared" si="913"/>
        <v>102.78431372549039</v>
      </c>
      <c r="AD5839" s="6">
        <f t="shared" si="911"/>
        <v>5242</v>
      </c>
      <c r="AE5839" s="14">
        <f>VLOOKUP(I5839,[2]媒体政策预估表!A:N,MATCH(O5839,[2]媒体政策预估表!$A$2:$M$2,0),0)</f>
        <v>0.10299999999999999</v>
      </c>
      <c r="AF5839" s="6">
        <f t="shared" si="908"/>
        <v>539.92599999999993</v>
      </c>
      <c r="AG5839" s="14">
        <v>0</v>
      </c>
      <c r="AH5839" s="99">
        <f t="shared" si="912"/>
        <v>5242</v>
      </c>
      <c r="AI5839" s="47"/>
      <c r="AJ5839" s="126" t="e">
        <v>#N/A</v>
      </c>
      <c r="AK5839" s="80">
        <f t="shared" si="916"/>
        <v>0</v>
      </c>
      <c r="AL5839" s="85"/>
      <c r="AM5839" s="85"/>
    </row>
    <row r="5840" spans="1:39" s="86" customFormat="1" ht="13.25" hidden="1" customHeight="1" x14ac:dyDescent="0.3">
      <c r="A5840" s="89" t="s">
        <v>3852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3814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09"/>
        <v>14378</v>
      </c>
      <c r="X5840" s="6">
        <f t="shared" si="910"/>
        <v>10903.921568627451</v>
      </c>
      <c r="Y5840" s="13">
        <f t="shared" si="914"/>
        <v>0</v>
      </c>
      <c r="Z5840" s="66">
        <v>0</v>
      </c>
      <c r="AA5840" s="6">
        <v>0</v>
      </c>
      <c r="AB5840" s="4">
        <f t="shared" si="915"/>
        <v>10903.921568627451</v>
      </c>
      <c r="AC5840" s="6">
        <f t="shared" si="913"/>
        <v>218.07843137254895</v>
      </c>
      <c r="AD5840" s="6">
        <f t="shared" si="911"/>
        <v>11122</v>
      </c>
      <c r="AE5840" s="14">
        <f>VLOOKUP(I5840,[2]媒体政策预估表!A:N,MATCH(O5840,[2]媒体政策预估表!$A$2:$M$2,0),0)</f>
        <v>0.10299999999999999</v>
      </c>
      <c r="AF5840" s="6">
        <f t="shared" si="908"/>
        <v>1145.566</v>
      </c>
      <c r="AG5840" s="14">
        <v>0</v>
      </c>
      <c r="AH5840" s="99">
        <f t="shared" si="912"/>
        <v>11122</v>
      </c>
      <c r="AI5840" s="47"/>
      <c r="AJ5840" s="126" t="e">
        <v>#N/A</v>
      </c>
      <c r="AK5840" s="80">
        <f t="shared" si="916"/>
        <v>0</v>
      </c>
      <c r="AL5840" s="85"/>
      <c r="AM5840" s="85"/>
    </row>
    <row r="5841" spans="1:39" s="86" customFormat="1" ht="13.25" hidden="1" customHeight="1" x14ac:dyDescent="0.3">
      <c r="A5841" s="89" t="s">
        <v>3794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09"/>
        <v>10053.500000000004</v>
      </c>
      <c r="X5841" s="6">
        <f t="shared" si="910"/>
        <v>3498.7941176470586</v>
      </c>
      <c r="Y5841" s="13">
        <f t="shared" si="914"/>
        <v>0</v>
      </c>
      <c r="Z5841" s="66">
        <v>0</v>
      </c>
      <c r="AA5841" s="6">
        <v>0</v>
      </c>
      <c r="AB5841" s="4">
        <f t="shared" si="915"/>
        <v>3498.7941176470586</v>
      </c>
      <c r="AC5841" s="6">
        <f t="shared" si="913"/>
        <v>69.975882352941426</v>
      </c>
      <c r="AD5841" s="6">
        <f t="shared" si="911"/>
        <v>3568.77</v>
      </c>
      <c r="AE5841" s="14">
        <f>VLOOKUP(I5841,[2]媒体政策预估表!A:N,MATCH(O5841,[2]媒体政策预估表!$A$2:$M$2,0),0)</f>
        <v>0.10299999999999999</v>
      </c>
      <c r="AF5841" s="6">
        <f t="shared" si="908"/>
        <v>367.58330999999998</v>
      </c>
      <c r="AG5841" s="14">
        <v>0</v>
      </c>
      <c r="AH5841" s="99">
        <f t="shared" si="912"/>
        <v>3568.77</v>
      </c>
      <c r="AI5841" s="47"/>
      <c r="AJ5841" s="126" t="e">
        <v>#N/A</v>
      </c>
      <c r="AK5841" s="80">
        <f t="shared" si="916"/>
        <v>0</v>
      </c>
      <c r="AL5841" s="85"/>
      <c r="AM5841" s="85"/>
    </row>
    <row r="5842" spans="1:39" s="86" customFormat="1" ht="13.25" hidden="1" customHeight="1" x14ac:dyDescent="0.3">
      <c r="A5842" s="89" t="s">
        <v>3794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09"/>
        <v>-11388.4</v>
      </c>
      <c r="X5842" s="6">
        <f t="shared" si="910"/>
        <v>2998.9245283018868</v>
      </c>
      <c r="Y5842" s="13">
        <f t="shared" si="914"/>
        <v>0</v>
      </c>
      <c r="Z5842" s="66">
        <v>0</v>
      </c>
      <c r="AA5842" s="6">
        <v>0</v>
      </c>
      <c r="AB5842" s="4">
        <f t="shared" si="915"/>
        <v>2998.9245283018868</v>
      </c>
      <c r="AC5842" s="6">
        <f t="shared" si="913"/>
        <v>179.93547169811336</v>
      </c>
      <c r="AD5842" s="6">
        <f t="shared" si="911"/>
        <v>3178.86</v>
      </c>
      <c r="AE5842" s="14">
        <f>VLOOKUP(I5842,[2]媒体政策预估表!A:N,MATCH(O5842,[2]媒体政策预估表!$A$2:$M$2,0),0)</f>
        <v>0.223</v>
      </c>
      <c r="AF5842" s="6">
        <f t="shared" si="908"/>
        <v>708.88578000000007</v>
      </c>
      <c r="AG5842" s="14">
        <v>0</v>
      </c>
      <c r="AH5842" s="99">
        <f t="shared" si="912"/>
        <v>3178.86</v>
      </c>
      <c r="AI5842" s="47"/>
      <c r="AJ5842" s="126" t="e">
        <v>#N/A</v>
      </c>
      <c r="AK5842" s="80">
        <f t="shared" si="916"/>
        <v>0</v>
      </c>
      <c r="AL5842" s="85"/>
      <c r="AM5842" s="85"/>
    </row>
    <row r="5843" spans="1:39" s="86" customFormat="1" ht="13.25" hidden="1" customHeight="1" x14ac:dyDescent="0.3">
      <c r="A5843" s="89" t="s">
        <v>3794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09"/>
        <v>57757.150000000009</v>
      </c>
      <c r="X5843" s="6">
        <f t="shared" si="910"/>
        <v>37114.5</v>
      </c>
      <c r="Y5843" s="13">
        <f t="shared" si="914"/>
        <v>0</v>
      </c>
      <c r="Z5843" s="66">
        <v>0</v>
      </c>
      <c r="AA5843" s="6">
        <v>0</v>
      </c>
      <c r="AB5843" s="4">
        <f t="shared" si="915"/>
        <v>37114.5</v>
      </c>
      <c r="AC5843" s="6">
        <f t="shared" si="913"/>
        <v>1484.5800000000017</v>
      </c>
      <c r="AD5843" s="6">
        <f t="shared" si="911"/>
        <v>38599.08</v>
      </c>
      <c r="AE5843" s="14">
        <f>VLOOKUP(I5843,[2]媒体政策预估表!A:N,MATCH(O5843,[2]媒体政策预估表!$A$2:$M$2,0),0)</f>
        <v>0.10299999999999999</v>
      </c>
      <c r="AF5843" s="6">
        <f t="shared" si="908"/>
        <v>3975.7052399999998</v>
      </c>
      <c r="AG5843" s="14">
        <v>0</v>
      </c>
      <c r="AH5843" s="99">
        <f t="shared" si="912"/>
        <v>38599.08</v>
      </c>
      <c r="AI5843" s="47"/>
      <c r="AJ5843" s="126" t="e">
        <v>#N/A</v>
      </c>
      <c r="AK5843" s="80">
        <f t="shared" si="916"/>
        <v>0</v>
      </c>
      <c r="AL5843" s="85"/>
      <c r="AM5843" s="85"/>
    </row>
    <row r="5844" spans="1:39" s="86" customFormat="1" ht="13.25" hidden="1" customHeight="1" x14ac:dyDescent="0.3">
      <c r="A5844" s="89" t="s">
        <v>3806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09"/>
        <v>-595371.53</v>
      </c>
      <c r="X5844" s="6">
        <f t="shared" si="910"/>
        <v>124767.22641509434</v>
      </c>
      <c r="Y5844" s="13">
        <f t="shared" si="914"/>
        <v>0</v>
      </c>
      <c r="Z5844" s="66">
        <v>0</v>
      </c>
      <c r="AA5844" s="6">
        <v>0</v>
      </c>
      <c r="AB5844" s="4">
        <f t="shared" si="915"/>
        <v>124767.22641509434</v>
      </c>
      <c r="AC5844" s="6">
        <f t="shared" si="913"/>
        <v>7486.0335849056719</v>
      </c>
      <c r="AD5844" s="6">
        <f t="shared" si="911"/>
        <v>132253.26</v>
      </c>
      <c r="AE5844" s="14">
        <f>VLOOKUP(I5844,[2]媒体政策预估表!A:N,MATCH(O5844,[2]媒体政策预估表!$A$2:$M$2,0),0)</f>
        <v>0.223</v>
      </c>
      <c r="AF5844" s="6">
        <f t="shared" si="908"/>
        <v>29492.476980000003</v>
      </c>
      <c r="AG5844" s="14">
        <v>0</v>
      </c>
      <c r="AH5844" s="99">
        <f t="shared" si="912"/>
        <v>132253.26</v>
      </c>
      <c r="AI5844" s="47"/>
      <c r="AJ5844" s="126" t="e">
        <v>#N/A</v>
      </c>
      <c r="AK5844" s="80">
        <f t="shared" si="916"/>
        <v>0</v>
      </c>
      <c r="AL5844" s="85"/>
      <c r="AM5844" s="85"/>
    </row>
    <row r="5845" spans="1:39" s="86" customFormat="1" ht="13.25" hidden="1" customHeight="1" x14ac:dyDescent="0.3">
      <c r="A5845" s="89" t="s">
        <v>3806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09"/>
        <v>628427.54999999993</v>
      </c>
      <c r="X5845" s="6">
        <f t="shared" si="910"/>
        <v>853755.92307692312</v>
      </c>
      <c r="Y5845" s="13">
        <f t="shared" si="914"/>
        <v>0</v>
      </c>
      <c r="Z5845" s="66">
        <v>0</v>
      </c>
      <c r="AA5845" s="6">
        <v>0</v>
      </c>
      <c r="AB5845" s="4">
        <f t="shared" si="915"/>
        <v>853755.92307692312</v>
      </c>
      <c r="AC5845" s="6">
        <f t="shared" si="913"/>
        <v>34150.236923076911</v>
      </c>
      <c r="AD5845" s="6">
        <f t="shared" si="911"/>
        <v>887906.16</v>
      </c>
      <c r="AE5845" s="14">
        <f>VLOOKUP(I5845,[2]媒体政策预估表!A:N,MATCH(O5845,[2]媒体政策预估表!$A$2:$M$2,0),0)</f>
        <v>0.10299999999999999</v>
      </c>
      <c r="AF5845" s="6">
        <f t="shared" si="908"/>
        <v>91454.334480000005</v>
      </c>
      <c r="AG5845" s="14">
        <v>0</v>
      </c>
      <c r="AH5845" s="99">
        <f t="shared" si="912"/>
        <v>887906.16</v>
      </c>
      <c r="AI5845" s="47"/>
      <c r="AJ5845" s="126" t="e">
        <v>#N/A</v>
      </c>
      <c r="AK5845" s="80">
        <f t="shared" si="916"/>
        <v>0</v>
      </c>
      <c r="AL5845" s="85"/>
      <c r="AM5845" s="85"/>
    </row>
    <row r="5846" spans="1:39" s="86" customFormat="1" ht="13.25" hidden="1" customHeight="1" x14ac:dyDescent="0.3">
      <c r="A5846" s="89" t="s">
        <v>3794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09"/>
        <v>-6344614.4199999999</v>
      </c>
      <c r="X5846" s="6">
        <f t="shared" si="910"/>
        <v>1497691.3490566039</v>
      </c>
      <c r="Y5846" s="13">
        <f t="shared" si="914"/>
        <v>0</v>
      </c>
      <c r="Z5846" s="66">
        <v>0</v>
      </c>
      <c r="AA5846" s="6">
        <v>0</v>
      </c>
      <c r="AB5846" s="4">
        <f t="shared" si="915"/>
        <v>1497691.3490566039</v>
      </c>
      <c r="AC5846" s="6">
        <f t="shared" si="913"/>
        <v>89861.480943396222</v>
      </c>
      <c r="AD5846" s="6">
        <f t="shared" si="911"/>
        <v>1587552.83</v>
      </c>
      <c r="AE5846" s="14">
        <f>VLOOKUP(I5846,[2]媒体政策预估表!A:N,MATCH(O5846,[2]媒体政策预估表!$A$2:$M$2,0),0)</f>
        <v>0.223</v>
      </c>
      <c r="AF5846" s="6">
        <f t="shared" si="908"/>
        <v>354024.28109</v>
      </c>
      <c r="AG5846" s="14">
        <v>0</v>
      </c>
      <c r="AH5846" s="99">
        <f t="shared" si="912"/>
        <v>1587552.83</v>
      </c>
      <c r="AI5846" s="47"/>
      <c r="AJ5846" s="126" t="e">
        <v>#N/A</v>
      </c>
      <c r="AK5846" s="80">
        <f t="shared" si="916"/>
        <v>0</v>
      </c>
      <c r="AL5846" s="85"/>
      <c r="AM5846" s="85"/>
    </row>
    <row r="5847" spans="1:39" s="86" customFormat="1" ht="13.25" hidden="1" customHeight="1" x14ac:dyDescent="0.3">
      <c r="A5847" s="89" t="s">
        <v>3806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09"/>
        <v>6552000</v>
      </c>
      <c r="X5847" s="6">
        <f t="shared" si="910"/>
        <v>0</v>
      </c>
      <c r="Y5847" s="13">
        <f t="shared" si="914"/>
        <v>0</v>
      </c>
      <c r="Z5847" s="66">
        <v>0</v>
      </c>
      <c r="AA5847" s="6">
        <v>0</v>
      </c>
      <c r="AB5847" s="4">
        <f t="shared" si="915"/>
        <v>0</v>
      </c>
      <c r="AC5847" s="6">
        <f t="shared" si="913"/>
        <v>0</v>
      </c>
      <c r="AD5847" s="6">
        <f t="shared" si="911"/>
        <v>0</v>
      </c>
      <c r="AE5847" s="14">
        <f>VLOOKUP(I5847,[2]媒体政策预估表!A:N,MATCH(O5847,[2]媒体政策预估表!$A$2:$M$2,0),0)</f>
        <v>0.10299999999999999</v>
      </c>
      <c r="AF5847" s="6">
        <f t="shared" si="908"/>
        <v>0</v>
      </c>
      <c r="AG5847" s="14">
        <v>0</v>
      </c>
      <c r="AH5847" s="99">
        <f t="shared" si="912"/>
        <v>0</v>
      </c>
      <c r="AI5847" s="47"/>
      <c r="AJ5847" s="126" t="e">
        <v>#N/A</v>
      </c>
      <c r="AK5847" s="80">
        <f t="shared" si="916"/>
        <v>0</v>
      </c>
      <c r="AL5847" s="85"/>
      <c r="AM5847" s="85"/>
    </row>
    <row r="5848" spans="1:39" s="86" customFormat="1" ht="13.25" hidden="1" customHeight="1" x14ac:dyDescent="0.3">
      <c r="A5848" s="89" t="s">
        <v>3794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09"/>
        <v>-8994211.0999999996</v>
      </c>
      <c r="X5848" s="6">
        <f t="shared" si="910"/>
        <v>2807403.2452830188</v>
      </c>
      <c r="Y5848" s="13">
        <f t="shared" si="914"/>
        <v>0</v>
      </c>
      <c r="Z5848" s="66">
        <v>0</v>
      </c>
      <c r="AA5848" s="6">
        <v>0</v>
      </c>
      <c r="AB5848" s="4">
        <f t="shared" si="915"/>
        <v>2807403.2452830188</v>
      </c>
      <c r="AC5848" s="6">
        <f t="shared" si="913"/>
        <v>168444.19471698115</v>
      </c>
      <c r="AD5848" s="6">
        <f t="shared" si="911"/>
        <v>2975847.44</v>
      </c>
      <c r="AE5848" s="14">
        <f>VLOOKUP(I5848,[2]媒体政策预估表!A:N,MATCH(O5848,[2]媒体政策预估表!$A$2:$M$2,0),0)</f>
        <v>0.223</v>
      </c>
      <c r="AF5848" s="6">
        <f t="shared" si="908"/>
        <v>663613.97912000003</v>
      </c>
      <c r="AG5848" s="14">
        <v>0</v>
      </c>
      <c r="AH5848" s="99">
        <f t="shared" si="912"/>
        <v>2975847.44</v>
      </c>
      <c r="AI5848" s="47"/>
      <c r="AJ5848" s="126" t="e">
        <v>#N/A</v>
      </c>
      <c r="AK5848" s="80">
        <f t="shared" si="916"/>
        <v>0</v>
      </c>
      <c r="AL5848" s="85"/>
      <c r="AM5848" s="85"/>
    </row>
    <row r="5849" spans="1:39" s="86" customFormat="1" ht="13.25" hidden="1" customHeight="1" x14ac:dyDescent="0.3">
      <c r="A5849" s="89" t="s">
        <v>3852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09"/>
        <v>9256000</v>
      </c>
      <c r="X5849" s="6">
        <f t="shared" si="910"/>
        <v>0</v>
      </c>
      <c r="Y5849" s="13">
        <f t="shared" si="914"/>
        <v>0</v>
      </c>
      <c r="Z5849" s="66">
        <v>0</v>
      </c>
      <c r="AA5849" s="6">
        <v>0</v>
      </c>
      <c r="AB5849" s="4">
        <f t="shared" si="915"/>
        <v>0</v>
      </c>
      <c r="AC5849" s="6">
        <f t="shared" si="913"/>
        <v>0</v>
      </c>
      <c r="AD5849" s="6">
        <f t="shared" si="911"/>
        <v>0</v>
      </c>
      <c r="AE5849" s="14">
        <f>VLOOKUP(I5849,[2]媒体政策预估表!A:N,MATCH(O5849,[2]媒体政策预估表!$A$2:$M$2,0),0)</f>
        <v>0.10299999999999999</v>
      </c>
      <c r="AF5849" s="6">
        <f t="shared" si="908"/>
        <v>0</v>
      </c>
      <c r="AG5849" s="14">
        <v>0</v>
      </c>
      <c r="AH5849" s="99">
        <f t="shared" si="912"/>
        <v>0</v>
      </c>
      <c r="AI5849" s="47"/>
      <c r="AJ5849" s="126" t="e">
        <v>#N/A</v>
      </c>
      <c r="AK5849" s="80">
        <f t="shared" si="916"/>
        <v>0</v>
      </c>
      <c r="AL5849" s="85"/>
      <c r="AM5849" s="85"/>
    </row>
    <row r="5850" spans="1:39" s="86" customFormat="1" ht="13.25" hidden="1" customHeight="1" x14ac:dyDescent="0.3">
      <c r="A5850" s="89" t="s">
        <v>3794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09"/>
        <v>-1239508.4300000002</v>
      </c>
      <c r="X5850" s="6">
        <f t="shared" si="910"/>
        <v>504468.42452830187</v>
      </c>
      <c r="Y5850" s="13">
        <f t="shared" si="914"/>
        <v>0</v>
      </c>
      <c r="Z5850" s="66">
        <v>0</v>
      </c>
      <c r="AA5850" s="6">
        <v>0</v>
      </c>
      <c r="AB5850" s="4">
        <f t="shared" si="915"/>
        <v>504468.42452830187</v>
      </c>
      <c r="AC5850" s="6">
        <f t="shared" si="913"/>
        <v>30268.10547169816</v>
      </c>
      <c r="AD5850" s="6">
        <f t="shared" si="911"/>
        <v>534736.53</v>
      </c>
      <c r="AE5850" s="14">
        <f>VLOOKUP(I5850,[2]媒体政策预估表!A:N,MATCH(O5850,[2]媒体政策预估表!$A$2:$M$2,0),0)</f>
        <v>0.223</v>
      </c>
      <c r="AF5850" s="6">
        <f t="shared" si="908"/>
        <v>119246.24619000001</v>
      </c>
      <c r="AG5850" s="14">
        <v>0</v>
      </c>
      <c r="AH5850" s="99">
        <f t="shared" si="912"/>
        <v>534736.53</v>
      </c>
      <c r="AI5850" s="47"/>
      <c r="AJ5850" s="126" t="e">
        <v>#N/A</v>
      </c>
      <c r="AK5850" s="80">
        <f t="shared" si="916"/>
        <v>0</v>
      </c>
      <c r="AL5850" s="85"/>
      <c r="AM5850" s="85"/>
    </row>
    <row r="5851" spans="1:39" s="86" customFormat="1" ht="13.25" hidden="1" customHeight="1" x14ac:dyDescent="0.3">
      <c r="A5851" s="89" t="s">
        <v>3794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09"/>
        <v>1266000</v>
      </c>
      <c r="X5851" s="6">
        <f t="shared" si="910"/>
        <v>149038.46153846153</v>
      </c>
      <c r="Y5851" s="13">
        <f t="shared" si="914"/>
        <v>0</v>
      </c>
      <c r="Z5851" s="66">
        <v>0</v>
      </c>
      <c r="AA5851" s="6">
        <v>0</v>
      </c>
      <c r="AB5851" s="4">
        <f t="shared" si="915"/>
        <v>149038.46153846153</v>
      </c>
      <c r="AC5851" s="6">
        <f t="shared" si="913"/>
        <v>5961.5384615384683</v>
      </c>
      <c r="AD5851" s="6">
        <f t="shared" si="911"/>
        <v>155000</v>
      </c>
      <c r="AE5851" s="14">
        <f>VLOOKUP(I5851,[2]媒体政策预估表!A:N,MATCH(O5851,[2]媒体政策预估表!$A$2:$M$2,0),0)</f>
        <v>0.10299999999999999</v>
      </c>
      <c r="AF5851" s="6">
        <f t="shared" si="908"/>
        <v>15965</v>
      </c>
      <c r="AG5851" s="14">
        <v>0</v>
      </c>
      <c r="AH5851" s="99">
        <f t="shared" si="912"/>
        <v>155000</v>
      </c>
      <c r="AI5851" s="47"/>
      <c r="AJ5851" s="126" t="e">
        <v>#N/A</v>
      </c>
      <c r="AK5851" s="80">
        <f t="shared" si="916"/>
        <v>0</v>
      </c>
      <c r="AL5851" s="85"/>
      <c r="AM5851" s="85"/>
    </row>
    <row r="5852" spans="1:39" s="86" customFormat="1" ht="13.25" hidden="1" customHeight="1" x14ac:dyDescent="0.3">
      <c r="A5852" s="89" t="s">
        <v>3794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3873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09"/>
        <v>104000</v>
      </c>
      <c r="X5852" s="6">
        <f t="shared" si="910"/>
        <v>0</v>
      </c>
      <c r="Y5852" s="13">
        <f t="shared" si="914"/>
        <v>0</v>
      </c>
      <c r="Z5852" s="66">
        <v>0</v>
      </c>
      <c r="AA5852" s="6">
        <v>0</v>
      </c>
      <c r="AB5852" s="4">
        <f t="shared" si="915"/>
        <v>0</v>
      </c>
      <c r="AC5852" s="6">
        <f t="shared" si="913"/>
        <v>0</v>
      </c>
      <c r="AD5852" s="6">
        <f t="shared" si="911"/>
        <v>0</v>
      </c>
      <c r="AE5852" s="14">
        <f>VLOOKUP(I5852,[2]媒体政策预估表!A:N,MATCH(O5852,[2]媒体政策预估表!$A$2:$M$2,0),0)</f>
        <v>0.10299999999999999</v>
      </c>
      <c r="AF5852" s="6">
        <f t="shared" si="908"/>
        <v>0</v>
      </c>
      <c r="AG5852" s="14">
        <v>0</v>
      </c>
      <c r="AH5852" s="99">
        <f t="shared" si="912"/>
        <v>0</v>
      </c>
      <c r="AI5852" s="47"/>
      <c r="AJ5852" s="126" t="e">
        <v>#N/A</v>
      </c>
      <c r="AK5852" s="80">
        <f t="shared" si="916"/>
        <v>0</v>
      </c>
      <c r="AL5852" s="85"/>
      <c r="AM5852" s="85"/>
    </row>
    <row r="5853" spans="1:39" s="86" customFormat="1" ht="13.25" hidden="1" customHeight="1" x14ac:dyDescent="0.3">
      <c r="A5853" s="89" t="s">
        <v>3794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09"/>
        <v>33115.700000000012</v>
      </c>
      <c r="X5853" s="6">
        <f t="shared" si="910"/>
        <v>41666.666666666664</v>
      </c>
      <c r="Y5853" s="13">
        <f t="shared" si="914"/>
        <v>0</v>
      </c>
      <c r="Z5853" s="66">
        <v>0</v>
      </c>
      <c r="AA5853" s="6">
        <v>0</v>
      </c>
      <c r="AB5853" s="4">
        <f t="shared" si="915"/>
        <v>41666.666666666664</v>
      </c>
      <c r="AC5853" s="6">
        <f t="shared" si="913"/>
        <v>833.33333333333576</v>
      </c>
      <c r="AD5853" s="6">
        <f t="shared" si="911"/>
        <v>42500</v>
      </c>
      <c r="AE5853" s="14">
        <f>VLOOKUP(I5853,[2]媒体政策预估表!A:N,MATCH(O5853,[2]媒体政策预估表!$A$2:$M$2,0),0)</f>
        <v>0.10299999999999999</v>
      </c>
      <c r="AF5853" s="6">
        <f t="shared" si="908"/>
        <v>4377.5</v>
      </c>
      <c r="AG5853" s="14">
        <v>0</v>
      </c>
      <c r="AH5853" s="99">
        <f t="shared" si="912"/>
        <v>42500</v>
      </c>
      <c r="AI5853" s="47"/>
      <c r="AJ5853" s="126" t="e">
        <v>#N/A</v>
      </c>
      <c r="AK5853" s="80">
        <f t="shared" si="916"/>
        <v>0</v>
      </c>
      <c r="AL5853" s="85"/>
      <c r="AM5853" s="85"/>
    </row>
    <row r="5854" spans="1:39" s="86" customFormat="1" ht="13.25" hidden="1" customHeight="1" x14ac:dyDescent="0.3">
      <c r="A5854" s="89" t="s">
        <v>3806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09"/>
        <v>10584.310000000027</v>
      </c>
      <c r="X5854" s="6">
        <f t="shared" si="910"/>
        <v>58564.06</v>
      </c>
      <c r="Y5854" s="13">
        <f t="shared" si="914"/>
        <v>0</v>
      </c>
      <c r="Z5854" s="66">
        <v>0</v>
      </c>
      <c r="AA5854" s="6">
        <v>0</v>
      </c>
      <c r="AB5854" s="4">
        <f t="shared" si="915"/>
        <v>58564.06</v>
      </c>
      <c r="AC5854" s="6">
        <f t="shared" si="913"/>
        <v>0</v>
      </c>
      <c r="AD5854" s="6">
        <f t="shared" si="911"/>
        <v>58564.06</v>
      </c>
      <c r="AE5854" s="14">
        <f>VLOOKUP(I5854,[2]媒体政策预估表!A:N,MATCH(O5854,[2]媒体政策预估表!$A$2:$M$2,0),0)</f>
        <v>0.10299999999999999</v>
      </c>
      <c r="AF5854" s="6">
        <f t="shared" si="908"/>
        <v>6032.098179999999</v>
      </c>
      <c r="AG5854" s="14">
        <v>0</v>
      </c>
      <c r="AH5854" s="99">
        <f t="shared" si="912"/>
        <v>58564.06</v>
      </c>
      <c r="AI5854" s="47"/>
      <c r="AJ5854" s="126" t="e">
        <v>#N/A</v>
      </c>
      <c r="AK5854" s="80">
        <f t="shared" si="916"/>
        <v>0</v>
      </c>
      <c r="AL5854" s="85"/>
      <c r="AM5854" s="85"/>
    </row>
    <row r="5855" spans="1:39" s="86" customFormat="1" ht="13.25" hidden="1" customHeight="1" x14ac:dyDescent="0.3">
      <c r="A5855" s="89" t="s">
        <v>3792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09"/>
        <v>221337.75000000017</v>
      </c>
      <c r="X5855" s="6">
        <f t="shared" si="910"/>
        <v>303433.50980392157</v>
      </c>
      <c r="Y5855" s="13">
        <f t="shared" si="914"/>
        <v>0</v>
      </c>
      <c r="Z5855" s="66">
        <v>0</v>
      </c>
      <c r="AA5855" s="6">
        <v>0</v>
      </c>
      <c r="AB5855" s="4">
        <f t="shared" si="915"/>
        <v>303433.50980392157</v>
      </c>
      <c r="AC5855" s="6">
        <f t="shared" si="913"/>
        <v>6068.6701960784267</v>
      </c>
      <c r="AD5855" s="6">
        <f t="shared" si="911"/>
        <v>309502.18</v>
      </c>
      <c r="AE5855" s="14">
        <f>VLOOKUP(I5855,[2]媒体政策预估表!A:N,MATCH(O5855,[2]媒体政策预估表!$A$2:$M$2,0),0)</f>
        <v>0.10299999999999999</v>
      </c>
      <c r="AF5855" s="6">
        <f t="shared" si="908"/>
        <v>31878.724539999999</v>
      </c>
      <c r="AG5855" s="14">
        <v>0</v>
      </c>
      <c r="AH5855" s="99">
        <f t="shared" si="912"/>
        <v>309502.18</v>
      </c>
      <c r="AI5855" s="47"/>
      <c r="AJ5855" s="126" t="e">
        <v>#N/A</v>
      </c>
      <c r="AK5855" s="80">
        <f t="shared" si="916"/>
        <v>0</v>
      </c>
      <c r="AL5855" s="85"/>
      <c r="AM5855" s="85"/>
    </row>
    <row r="5856" spans="1:39" s="86" customFormat="1" ht="13.25" hidden="1" customHeight="1" x14ac:dyDescent="0.3">
      <c r="A5856" s="89" t="s">
        <v>3794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09"/>
        <v>25794.559999999998</v>
      </c>
      <c r="X5856" s="6">
        <f t="shared" si="910"/>
        <v>65537.098039215678</v>
      </c>
      <c r="Y5856" s="13">
        <f t="shared" si="914"/>
        <v>0</v>
      </c>
      <c r="Z5856" s="66">
        <v>0</v>
      </c>
      <c r="AA5856" s="6">
        <v>0</v>
      </c>
      <c r="AB5856" s="4">
        <f t="shared" si="915"/>
        <v>65537.098039215678</v>
      </c>
      <c r="AC5856" s="6">
        <f t="shared" si="913"/>
        <v>1310.7419607843185</v>
      </c>
      <c r="AD5856" s="6">
        <f t="shared" si="911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08"/>
        <v>6885.3275199999989</v>
      </c>
      <c r="AG5856" s="14">
        <v>0</v>
      </c>
      <c r="AH5856" s="99">
        <f t="shared" si="912"/>
        <v>66847.839999999997</v>
      </c>
      <c r="AI5856" s="47"/>
      <c r="AJ5856" s="126" t="e">
        <v>#N/A</v>
      </c>
      <c r="AK5856" s="80">
        <f t="shared" si="916"/>
        <v>0</v>
      </c>
      <c r="AL5856" s="85"/>
      <c r="AM5856" s="85"/>
    </row>
    <row r="5857" spans="1:39" s="86" customFormat="1" ht="13.25" hidden="1" customHeight="1" x14ac:dyDescent="0.3">
      <c r="A5857" s="89" t="s">
        <v>3806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09"/>
        <v>30025.22</v>
      </c>
      <c r="X5857" s="6">
        <f t="shared" si="910"/>
        <v>85606.46</v>
      </c>
      <c r="Y5857" s="13">
        <f t="shared" si="914"/>
        <v>0</v>
      </c>
      <c r="Z5857" s="66">
        <v>0</v>
      </c>
      <c r="AA5857" s="6">
        <v>0</v>
      </c>
      <c r="AB5857" s="4">
        <f t="shared" si="915"/>
        <v>85606.46</v>
      </c>
      <c r="AC5857" s="6">
        <f t="shared" si="913"/>
        <v>0</v>
      </c>
      <c r="AD5857" s="6">
        <f t="shared" si="911"/>
        <v>85606.46</v>
      </c>
      <c r="AE5857" s="14">
        <f>VLOOKUP(I5857,[2]媒体政策预估表!A:N,MATCH(O5857,[2]媒体政策预估表!$A$2:$M$2,0),0)</f>
        <v>0.10299999999999999</v>
      </c>
      <c r="AF5857" s="6">
        <f t="shared" si="908"/>
        <v>8817.4653799999996</v>
      </c>
      <c r="AG5857" s="14">
        <v>0</v>
      </c>
      <c r="AH5857" s="99">
        <f t="shared" si="912"/>
        <v>85606.46</v>
      </c>
      <c r="AI5857" s="47"/>
      <c r="AJ5857" s="126" t="e">
        <v>#N/A</v>
      </c>
      <c r="AK5857" s="80">
        <f t="shared" si="916"/>
        <v>0</v>
      </c>
      <c r="AL5857" s="85"/>
      <c r="AM5857" s="85"/>
    </row>
    <row r="5858" spans="1:39" s="86" customFormat="1" ht="13.25" hidden="1" customHeight="1" x14ac:dyDescent="0.3">
      <c r="A5858" s="89" t="s">
        <v>3806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09"/>
        <v>204001.18</v>
      </c>
      <c r="X5858" s="6">
        <f t="shared" si="910"/>
        <v>0</v>
      </c>
      <c r="Y5858" s="13">
        <f t="shared" si="914"/>
        <v>0</v>
      </c>
      <c r="Z5858" s="66">
        <v>0</v>
      </c>
      <c r="AA5858" s="6">
        <v>0</v>
      </c>
      <c r="AB5858" s="4">
        <f t="shared" si="915"/>
        <v>0</v>
      </c>
      <c r="AC5858" s="6">
        <f t="shared" si="913"/>
        <v>0</v>
      </c>
      <c r="AD5858" s="6">
        <f t="shared" si="911"/>
        <v>0</v>
      </c>
      <c r="AE5858" s="14">
        <f>VLOOKUP(I5858,[2]媒体政策预估表!A:N,MATCH(O5858,[2]媒体政策预估表!$A$2:$M$2,0),0)</f>
        <v>0.10299999999999999</v>
      </c>
      <c r="AF5858" s="6">
        <f t="shared" si="908"/>
        <v>0</v>
      </c>
      <c r="AG5858" s="14">
        <v>0</v>
      </c>
      <c r="AH5858" s="99">
        <f t="shared" si="912"/>
        <v>0</v>
      </c>
      <c r="AI5858" s="47"/>
      <c r="AJ5858" s="126" t="e">
        <v>#N/A</v>
      </c>
      <c r="AK5858" s="80">
        <f t="shared" si="916"/>
        <v>0</v>
      </c>
      <c r="AL5858" s="85"/>
      <c r="AM5858" s="85"/>
    </row>
    <row r="5859" spans="1:39" s="86" customFormat="1" ht="13.25" hidden="1" customHeight="1" x14ac:dyDescent="0.3">
      <c r="A5859" s="89" t="s">
        <v>3794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09"/>
        <v>2584</v>
      </c>
      <c r="X5859" s="6">
        <f t="shared" si="910"/>
        <v>7416</v>
      </c>
      <c r="Y5859" s="13">
        <f t="shared" si="914"/>
        <v>0</v>
      </c>
      <c r="Z5859" s="66">
        <v>0</v>
      </c>
      <c r="AA5859" s="6">
        <v>0</v>
      </c>
      <c r="AB5859" s="4">
        <f t="shared" si="915"/>
        <v>7416</v>
      </c>
      <c r="AC5859" s="6">
        <f t="shared" si="913"/>
        <v>0</v>
      </c>
      <c r="AD5859" s="6">
        <f t="shared" si="911"/>
        <v>7416</v>
      </c>
      <c r="AE5859" s="14">
        <f>VLOOKUP(I5859,[2]媒体政策预估表!A:N,MATCH(O5859,[2]媒体政策预估表!$A$2:$M$2,0),0)</f>
        <v>0.10299999999999999</v>
      </c>
      <c r="AF5859" s="6">
        <f t="shared" si="908"/>
        <v>763.84799999999996</v>
      </c>
      <c r="AG5859" s="14">
        <v>0</v>
      </c>
      <c r="AH5859" s="99">
        <f t="shared" si="912"/>
        <v>7416</v>
      </c>
      <c r="AI5859" s="47"/>
      <c r="AJ5859" s="126" t="e">
        <v>#N/A</v>
      </c>
      <c r="AK5859" s="80">
        <f t="shared" si="916"/>
        <v>0</v>
      </c>
      <c r="AL5859" s="85"/>
      <c r="AM5859" s="85"/>
    </row>
    <row r="5860" spans="1:39" s="86" customFormat="1" ht="13.25" hidden="1" customHeight="1" x14ac:dyDescent="0.3">
      <c r="A5860" s="89" t="s">
        <v>3806</v>
      </c>
      <c r="B5860" s="86" t="s">
        <v>35</v>
      </c>
      <c r="C5860" s="86" t="s">
        <v>144</v>
      </c>
      <c r="D5860" s="86" t="s">
        <v>152</v>
      </c>
      <c r="E5860" s="86" t="s">
        <v>3874</v>
      </c>
      <c r="F5860" s="86" t="s">
        <v>3874</v>
      </c>
      <c r="G5860" s="86" t="s">
        <v>3874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3874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09"/>
        <v>6386.62</v>
      </c>
      <c r="X5860" s="6">
        <f t="shared" si="910"/>
        <v>3738.6078431372548</v>
      </c>
      <c r="Y5860" s="13">
        <f t="shared" si="914"/>
        <v>0</v>
      </c>
      <c r="Z5860" s="66">
        <v>0</v>
      </c>
      <c r="AA5860" s="6">
        <v>0</v>
      </c>
      <c r="AB5860" s="4">
        <f t="shared" si="915"/>
        <v>3738.6078431372548</v>
      </c>
      <c r="AC5860" s="6">
        <f t="shared" si="913"/>
        <v>74.772156862745305</v>
      </c>
      <c r="AD5860" s="6">
        <f t="shared" si="911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917">AD5860*AE5860</f>
        <v>392.77814000000001</v>
      </c>
      <c r="AG5860" s="14">
        <v>0</v>
      </c>
      <c r="AH5860" s="99">
        <f t="shared" si="912"/>
        <v>3813.38</v>
      </c>
      <c r="AI5860" s="47"/>
      <c r="AJ5860" s="126" t="e">
        <v>#N/A</v>
      </c>
      <c r="AK5860" s="80">
        <f t="shared" si="916"/>
        <v>0</v>
      </c>
      <c r="AL5860" s="85"/>
      <c r="AM5860" s="85"/>
    </row>
    <row r="5861" spans="1:39" s="86" customFormat="1" ht="13.25" hidden="1" customHeight="1" x14ac:dyDescent="0.3">
      <c r="A5861" s="89" t="s">
        <v>3794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09"/>
        <v>2238.92</v>
      </c>
      <c r="X5861" s="6">
        <f t="shared" si="910"/>
        <v>14584.882352941177</v>
      </c>
      <c r="Y5861" s="13">
        <f t="shared" si="914"/>
        <v>0</v>
      </c>
      <c r="Z5861" s="66">
        <v>0</v>
      </c>
      <c r="AA5861" s="6">
        <v>0</v>
      </c>
      <c r="AB5861" s="4">
        <f t="shared" si="915"/>
        <v>14584.882352941177</v>
      </c>
      <c r="AC5861" s="6">
        <f t="shared" si="913"/>
        <v>291.69764705882335</v>
      </c>
      <c r="AD5861" s="6">
        <f t="shared" si="911"/>
        <v>14876.58</v>
      </c>
      <c r="AE5861" s="14">
        <f>VLOOKUP(I5861,[2]媒体政策预估表!A:N,MATCH(O5861,[2]媒体政策预估表!$A$2:$M$2,0),0)</f>
        <v>0.10299999999999999</v>
      </c>
      <c r="AF5861" s="6">
        <f t="shared" si="917"/>
        <v>1532.28774</v>
      </c>
      <c r="AG5861" s="14">
        <v>0</v>
      </c>
      <c r="AH5861" s="99">
        <f t="shared" si="912"/>
        <v>14876.58</v>
      </c>
      <c r="AI5861" s="47"/>
      <c r="AJ5861" s="126" t="e">
        <v>#N/A</v>
      </c>
      <c r="AK5861" s="80">
        <f t="shared" si="916"/>
        <v>0</v>
      </c>
      <c r="AL5861" s="85"/>
      <c r="AM5861" s="85"/>
    </row>
    <row r="5862" spans="1:39" s="86" customFormat="1" ht="13.25" hidden="1" customHeight="1" x14ac:dyDescent="0.3">
      <c r="A5862" s="89" t="s">
        <v>3792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09"/>
        <v>31937.790000000008</v>
      </c>
      <c r="X5862" s="6">
        <f t="shared" si="910"/>
        <v>48690</v>
      </c>
      <c r="Y5862" s="13">
        <f t="shared" si="914"/>
        <v>0</v>
      </c>
      <c r="Z5862" s="66">
        <v>0</v>
      </c>
      <c r="AA5862" s="6">
        <v>0</v>
      </c>
      <c r="AB5862" s="4">
        <f t="shared" si="915"/>
        <v>48690</v>
      </c>
      <c r="AC5862" s="6">
        <f t="shared" si="913"/>
        <v>0</v>
      </c>
      <c r="AD5862" s="6">
        <f t="shared" si="911"/>
        <v>48690</v>
      </c>
      <c r="AE5862" s="14">
        <f>VLOOKUP(I5862,[2]媒体政策预估表!A:N,MATCH(O5862,[2]媒体政策预估表!$A$2:$M$2,0),0)</f>
        <v>0.10299999999999999</v>
      </c>
      <c r="AF5862" s="6">
        <f t="shared" si="917"/>
        <v>5015.07</v>
      </c>
      <c r="AG5862" s="14">
        <v>0</v>
      </c>
      <c r="AH5862" s="99">
        <f t="shared" si="912"/>
        <v>48690</v>
      </c>
      <c r="AI5862" s="47"/>
      <c r="AJ5862" s="126" t="e">
        <v>#N/A</v>
      </c>
      <c r="AK5862" s="80">
        <f t="shared" si="916"/>
        <v>0</v>
      </c>
      <c r="AL5862" s="85"/>
      <c r="AM5862" s="85"/>
    </row>
    <row r="5863" spans="1:39" s="86" customFormat="1" ht="13.25" hidden="1" customHeight="1" x14ac:dyDescent="0.3">
      <c r="A5863" s="89" t="s">
        <v>3806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09"/>
        <v>405292.76999999996</v>
      </c>
      <c r="X5863" s="6">
        <f t="shared" si="910"/>
        <v>50495.07</v>
      </c>
      <c r="Y5863" s="13">
        <f t="shared" si="914"/>
        <v>0</v>
      </c>
      <c r="Z5863" s="66">
        <v>0.02</v>
      </c>
      <c r="AA5863" s="6">
        <f>X5863/(1-Z5863)*Z5863</f>
        <v>1030.5116326530613</v>
      </c>
      <c r="AB5863" s="4">
        <f t="shared" si="915"/>
        <v>51525.581632653062</v>
      </c>
      <c r="AC5863" s="6">
        <f t="shared" si="913"/>
        <v>0</v>
      </c>
      <c r="AD5863" s="6">
        <f t="shared" si="911"/>
        <v>50495.07</v>
      </c>
      <c r="AE5863" s="14">
        <f>VLOOKUP(I5863,[2]媒体政策预估表!A:N,MATCH(O5863,[2]媒体政策预估表!$A$2:$M$2,0),0)</f>
        <v>0.10299999999999999</v>
      </c>
      <c r="AF5863" s="6">
        <f t="shared" si="917"/>
        <v>5200.9922099999994</v>
      </c>
      <c r="AG5863" s="14">
        <v>0</v>
      </c>
      <c r="AH5863" s="99">
        <f t="shared" si="912"/>
        <v>50495.07</v>
      </c>
      <c r="AI5863" s="47"/>
      <c r="AJ5863" s="126" t="e">
        <v>#N/A</v>
      </c>
      <c r="AK5863" s="80">
        <f t="shared" si="916"/>
        <v>0</v>
      </c>
      <c r="AL5863" s="85"/>
      <c r="AM5863" s="85"/>
    </row>
    <row r="5864" spans="1:39" s="86" customFormat="1" ht="13.25" hidden="1" customHeight="1" x14ac:dyDescent="0.3">
      <c r="A5864" s="89" t="s">
        <v>3794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09"/>
        <v>659000</v>
      </c>
      <c r="X5864" s="6">
        <f t="shared" si="910"/>
        <v>0</v>
      </c>
      <c r="Y5864" s="13">
        <f t="shared" si="914"/>
        <v>0</v>
      </c>
      <c r="Z5864" s="66">
        <v>0</v>
      </c>
      <c r="AA5864" s="6">
        <v>0</v>
      </c>
      <c r="AB5864" s="4">
        <f t="shared" si="915"/>
        <v>0</v>
      </c>
      <c r="AC5864" s="6">
        <f t="shared" si="913"/>
        <v>0</v>
      </c>
      <c r="AD5864" s="6">
        <f t="shared" si="911"/>
        <v>0</v>
      </c>
      <c r="AE5864" s="14">
        <f>VLOOKUP(I5864,[2]媒体政策预估表!A:N,MATCH(O5864,[2]媒体政策预估表!$A$2:$M$2,0),0)</f>
        <v>0.10299999999999999</v>
      </c>
      <c r="AF5864" s="6">
        <f t="shared" si="917"/>
        <v>0</v>
      </c>
      <c r="AG5864" s="14">
        <v>0</v>
      </c>
      <c r="AH5864" s="99">
        <f t="shared" si="912"/>
        <v>0</v>
      </c>
      <c r="AI5864" s="47"/>
      <c r="AJ5864" s="126" t="e">
        <v>#N/A</v>
      </c>
      <c r="AK5864" s="80">
        <f t="shared" si="916"/>
        <v>0</v>
      </c>
      <c r="AL5864" s="85"/>
      <c r="AM5864" s="85"/>
    </row>
    <row r="5865" spans="1:39" s="86" customFormat="1" ht="13.25" hidden="1" customHeight="1" x14ac:dyDescent="0.3">
      <c r="A5865" s="89" t="s">
        <v>3794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918">T5865+U5865-V5865</f>
        <v>526197.5900000002</v>
      </c>
      <c r="X5865" s="6">
        <f t="shared" ref="X5865:X5928" si="919">IF(P5865="折扣",V5865*Q5865,IF(P5865="返现",V5865,V5865/(1+Q5865)))</f>
        <v>579561.37254901952</v>
      </c>
      <c r="Y5865" s="13">
        <f t="shared" si="914"/>
        <v>0</v>
      </c>
      <c r="Z5865" s="66">
        <v>0</v>
      </c>
      <c r="AA5865" s="6">
        <v>0</v>
      </c>
      <c r="AB5865" s="4">
        <f t="shared" si="915"/>
        <v>579561.37254901952</v>
      </c>
      <c r="AC5865" s="6">
        <f t="shared" si="913"/>
        <v>11591.227450980456</v>
      </c>
      <c r="AD5865" s="6">
        <f t="shared" ref="AD5865:AD5928" si="920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917"/>
        <v>60888.717799999991</v>
      </c>
      <c r="AG5865" s="14">
        <v>0</v>
      </c>
      <c r="AH5865" s="99">
        <f t="shared" ref="AH5865:AH5928" si="921">V5865</f>
        <v>591152.6</v>
      </c>
      <c r="AI5865" s="47"/>
      <c r="AJ5865" s="126" t="e">
        <v>#N/A</v>
      </c>
      <c r="AK5865" s="80">
        <f t="shared" si="916"/>
        <v>0</v>
      </c>
      <c r="AL5865" s="85"/>
      <c r="AM5865" s="85"/>
    </row>
    <row r="5866" spans="1:39" s="86" customFormat="1" ht="13.25" hidden="1" customHeight="1" x14ac:dyDescent="0.3">
      <c r="A5866" s="89" t="s">
        <v>3852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918"/>
        <v>3038956.6500000004</v>
      </c>
      <c r="X5866" s="6">
        <f t="shared" si="919"/>
        <v>1565939.09</v>
      </c>
      <c r="Y5866" s="13">
        <f t="shared" si="914"/>
        <v>0</v>
      </c>
      <c r="Z5866" s="66">
        <v>0</v>
      </c>
      <c r="AA5866" s="6">
        <v>0</v>
      </c>
      <c r="AB5866" s="4">
        <f t="shared" si="915"/>
        <v>1565939.09</v>
      </c>
      <c r="AC5866" s="6">
        <f t="shared" si="913"/>
        <v>0</v>
      </c>
      <c r="AD5866" s="6">
        <f t="shared" si="920"/>
        <v>1565939.09</v>
      </c>
      <c r="AE5866" s="14">
        <f>VLOOKUP(I5866,[2]媒体政策预估表!A:N,MATCH(O5866,[2]媒体政策预估表!$A$2:$M$2,0),0)</f>
        <v>0.10299999999999999</v>
      </c>
      <c r="AF5866" s="6">
        <f t="shared" si="917"/>
        <v>161291.72627000001</v>
      </c>
      <c r="AG5866" s="14">
        <v>0</v>
      </c>
      <c r="AH5866" s="99">
        <f t="shared" si="921"/>
        <v>1565939.09</v>
      </c>
      <c r="AI5866" s="47"/>
      <c r="AJ5866" s="126" t="e">
        <v>#N/A</v>
      </c>
      <c r="AK5866" s="80">
        <f t="shared" si="916"/>
        <v>0</v>
      </c>
      <c r="AL5866" s="85"/>
      <c r="AM5866" s="85"/>
    </row>
    <row r="5867" spans="1:39" s="86" customFormat="1" ht="13.25" hidden="1" customHeight="1" x14ac:dyDescent="0.3">
      <c r="A5867" s="89" t="s">
        <v>3852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918"/>
        <v>18311.980000000003</v>
      </c>
      <c r="X5867" s="6">
        <f t="shared" si="919"/>
        <v>50688.02</v>
      </c>
      <c r="Y5867" s="13">
        <f t="shared" si="914"/>
        <v>0</v>
      </c>
      <c r="Z5867" s="66">
        <v>0</v>
      </c>
      <c r="AA5867" s="6">
        <v>0</v>
      </c>
      <c r="AB5867" s="4">
        <f t="shared" si="915"/>
        <v>50688.02</v>
      </c>
      <c r="AC5867" s="6">
        <f t="shared" si="913"/>
        <v>0</v>
      </c>
      <c r="AD5867" s="6">
        <f t="shared" si="920"/>
        <v>50688.02</v>
      </c>
      <c r="AE5867" s="14">
        <f>VLOOKUP(I5867,[2]媒体政策预估表!A:N,MATCH(O5867,[2]媒体政策预估表!$A$2:$M$2,0),0)</f>
        <v>0.10299999999999999</v>
      </c>
      <c r="AF5867" s="6">
        <f t="shared" si="917"/>
        <v>5220.8660599999994</v>
      </c>
      <c r="AG5867" s="14">
        <v>0</v>
      </c>
      <c r="AH5867" s="99">
        <f t="shared" si="921"/>
        <v>50688.02</v>
      </c>
      <c r="AI5867" s="47"/>
      <c r="AJ5867" s="126" t="e">
        <v>#N/A</v>
      </c>
      <c r="AK5867" s="80">
        <f t="shared" si="916"/>
        <v>0</v>
      </c>
      <c r="AL5867" s="85"/>
      <c r="AM5867" s="85"/>
    </row>
    <row r="5868" spans="1:39" s="86" customFormat="1" ht="13.25" hidden="1" customHeight="1" x14ac:dyDescent="0.3">
      <c r="A5868" s="89" t="s">
        <v>3852</v>
      </c>
      <c r="B5868" s="86" t="s">
        <v>35</v>
      </c>
      <c r="C5868" s="86" t="s">
        <v>164</v>
      </c>
      <c r="D5868" s="86" t="s">
        <v>305</v>
      </c>
      <c r="E5868" s="86" t="s">
        <v>3819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918"/>
        <v>117849.55999999994</v>
      </c>
      <c r="X5868" s="6">
        <f t="shared" si="919"/>
        <v>623353.67326732667</v>
      </c>
      <c r="Y5868" s="13">
        <f t="shared" si="914"/>
        <v>0</v>
      </c>
      <c r="Z5868" s="66">
        <v>0</v>
      </c>
      <c r="AA5868" s="6">
        <v>0</v>
      </c>
      <c r="AB5868" s="4">
        <f t="shared" si="915"/>
        <v>623353.67326732667</v>
      </c>
      <c r="AC5868" s="6">
        <f t="shared" si="913"/>
        <v>6233.5367326732958</v>
      </c>
      <c r="AD5868" s="6">
        <f t="shared" si="920"/>
        <v>629587.21</v>
      </c>
      <c r="AE5868" s="14">
        <f>VLOOKUP(I5868,[2]媒体政策预估表!A:N,MATCH(O5868,[2]媒体政策预估表!$A$2:$M$2,0),0)</f>
        <v>0.10299999999999999</v>
      </c>
      <c r="AF5868" s="6">
        <f t="shared" si="917"/>
        <v>64847.482629999991</v>
      </c>
      <c r="AG5868" s="14">
        <v>0</v>
      </c>
      <c r="AH5868" s="99">
        <f t="shared" si="921"/>
        <v>629587.21</v>
      </c>
      <c r="AI5868" s="47"/>
      <c r="AJ5868" s="126" t="e">
        <v>#N/A</v>
      </c>
      <c r="AK5868" s="80">
        <f t="shared" si="916"/>
        <v>0</v>
      </c>
      <c r="AL5868" s="85"/>
      <c r="AM5868" s="85"/>
    </row>
    <row r="5869" spans="1:39" s="86" customFormat="1" ht="13.25" hidden="1" customHeight="1" x14ac:dyDescent="0.3">
      <c r="A5869" s="89" t="s">
        <v>3792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918"/>
        <v>27362.18</v>
      </c>
      <c r="X5869" s="6">
        <f t="shared" si="919"/>
        <v>58213.46</v>
      </c>
      <c r="Y5869" s="13">
        <f t="shared" si="914"/>
        <v>0</v>
      </c>
      <c r="Z5869" s="66">
        <v>0</v>
      </c>
      <c r="AA5869" s="6">
        <v>0</v>
      </c>
      <c r="AB5869" s="4">
        <f t="shared" si="915"/>
        <v>58213.46</v>
      </c>
      <c r="AC5869" s="6">
        <f t="shared" si="913"/>
        <v>0</v>
      </c>
      <c r="AD5869" s="6">
        <f t="shared" si="920"/>
        <v>58213.46</v>
      </c>
      <c r="AE5869" s="14">
        <f>VLOOKUP(I5869,[2]媒体政策预估表!A:N,MATCH(O5869,[2]媒体政策预估表!$A$2:$M$2,0),0)</f>
        <v>0.10299999999999999</v>
      </c>
      <c r="AF5869" s="6">
        <f t="shared" si="917"/>
        <v>5995.9863799999994</v>
      </c>
      <c r="AG5869" s="14">
        <v>0</v>
      </c>
      <c r="AH5869" s="99">
        <f t="shared" si="921"/>
        <v>58213.46</v>
      </c>
      <c r="AI5869" s="47"/>
      <c r="AJ5869" s="126" t="e">
        <v>#N/A</v>
      </c>
      <c r="AK5869" s="80">
        <f t="shared" si="916"/>
        <v>0</v>
      </c>
      <c r="AL5869" s="85"/>
      <c r="AM5869" s="85"/>
    </row>
    <row r="5870" spans="1:39" s="86" customFormat="1" ht="13.25" hidden="1" customHeight="1" x14ac:dyDescent="0.3">
      <c r="A5870" s="89" t="s">
        <v>3852</v>
      </c>
      <c r="B5870" s="86" t="s">
        <v>35</v>
      </c>
      <c r="C5870" s="86" t="s">
        <v>164</v>
      </c>
      <c r="D5870" s="86" t="s">
        <v>305</v>
      </c>
      <c r="E5870" s="86" t="s">
        <v>3875</v>
      </c>
      <c r="F5870" s="86" t="s">
        <v>3875</v>
      </c>
      <c r="G5870" s="86" t="s">
        <v>3875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3875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918"/>
        <v>8699.06</v>
      </c>
      <c r="X5870" s="6">
        <f t="shared" si="919"/>
        <v>1263.0485436893205</v>
      </c>
      <c r="Y5870" s="13">
        <f t="shared" si="914"/>
        <v>0</v>
      </c>
      <c r="Z5870" s="66">
        <v>0</v>
      </c>
      <c r="AA5870" s="6">
        <v>0</v>
      </c>
      <c r="AB5870" s="4">
        <f t="shared" si="915"/>
        <v>1263.0485436893205</v>
      </c>
      <c r="AC5870" s="6">
        <f t="shared" si="913"/>
        <v>37.891456310679587</v>
      </c>
      <c r="AD5870" s="6">
        <f t="shared" si="920"/>
        <v>1300.94</v>
      </c>
      <c r="AE5870" s="14">
        <f>VLOOKUP(I5870,[2]媒体政策预估表!A:N,MATCH(O5870,[2]媒体政策预估表!$A$2:$M$2,0),0)</f>
        <v>0.10299999999999999</v>
      </c>
      <c r="AF5870" s="6">
        <f t="shared" si="917"/>
        <v>133.99681999999999</v>
      </c>
      <c r="AG5870" s="14">
        <v>0</v>
      </c>
      <c r="AH5870" s="99">
        <f t="shared" si="921"/>
        <v>1300.94</v>
      </c>
      <c r="AI5870" s="47"/>
      <c r="AJ5870" s="126" t="e">
        <v>#N/A</v>
      </c>
      <c r="AK5870" s="80">
        <f t="shared" si="916"/>
        <v>0</v>
      </c>
      <c r="AL5870" s="85"/>
      <c r="AM5870" s="85"/>
    </row>
    <row r="5871" spans="1:39" s="86" customFormat="1" ht="13.25" hidden="1" customHeight="1" x14ac:dyDescent="0.3">
      <c r="A5871" s="89" t="s">
        <v>3852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918"/>
        <v>742438.21</v>
      </c>
      <c r="X5871" s="6">
        <f t="shared" si="919"/>
        <v>221265.69</v>
      </c>
      <c r="Y5871" s="13">
        <f t="shared" si="914"/>
        <v>0</v>
      </c>
      <c r="Z5871" s="66">
        <v>0</v>
      </c>
      <c r="AA5871" s="6">
        <v>0</v>
      </c>
      <c r="AB5871" s="4">
        <f t="shared" si="915"/>
        <v>221265.69</v>
      </c>
      <c r="AC5871" s="6">
        <f t="shared" si="913"/>
        <v>0</v>
      </c>
      <c r="AD5871" s="6">
        <f t="shared" si="920"/>
        <v>221265.69</v>
      </c>
      <c r="AE5871" s="14">
        <f>VLOOKUP(I5871,[2]媒体政策预估表!A:N,MATCH(O5871,[2]媒体政策预估表!$A$2:$M$2,0),0)</f>
        <v>0.10299999999999999</v>
      </c>
      <c r="AF5871" s="6">
        <f t="shared" si="917"/>
        <v>22790.36607</v>
      </c>
      <c r="AG5871" s="14">
        <v>0</v>
      </c>
      <c r="AH5871" s="99">
        <f t="shared" si="921"/>
        <v>221265.69</v>
      </c>
      <c r="AI5871" s="47"/>
      <c r="AJ5871" s="126" t="e">
        <v>#N/A</v>
      </c>
      <c r="AK5871" s="80">
        <f t="shared" si="916"/>
        <v>0</v>
      </c>
      <c r="AL5871" s="85"/>
      <c r="AM5871" s="85"/>
    </row>
    <row r="5872" spans="1:39" s="86" customFormat="1" ht="13.25" hidden="1" customHeight="1" x14ac:dyDescent="0.3">
      <c r="A5872" s="89" t="s">
        <v>3852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918"/>
        <v>342113.78</v>
      </c>
      <c r="X5872" s="6">
        <f t="shared" si="919"/>
        <v>274793.37</v>
      </c>
      <c r="Y5872" s="13">
        <f t="shared" si="914"/>
        <v>0</v>
      </c>
      <c r="Z5872" s="66">
        <v>0</v>
      </c>
      <c r="AA5872" s="6">
        <v>0</v>
      </c>
      <c r="AB5872" s="4">
        <f t="shared" si="915"/>
        <v>274793.37</v>
      </c>
      <c r="AC5872" s="6">
        <f t="shared" si="913"/>
        <v>0</v>
      </c>
      <c r="AD5872" s="6">
        <f t="shared" si="920"/>
        <v>274793.37</v>
      </c>
      <c r="AE5872" s="14">
        <f>VLOOKUP(I5872,[2]媒体政策预估表!A:N,MATCH(O5872,[2]媒体政策预估表!$A$2:$M$2,0),0)</f>
        <v>0.10299999999999999</v>
      </c>
      <c r="AF5872" s="6">
        <f t="shared" si="917"/>
        <v>28303.717109999998</v>
      </c>
      <c r="AG5872" s="14">
        <v>0</v>
      </c>
      <c r="AH5872" s="99">
        <f t="shared" si="921"/>
        <v>274793.37</v>
      </c>
      <c r="AI5872" s="47"/>
      <c r="AJ5872" s="126" t="e">
        <v>#N/A</v>
      </c>
      <c r="AK5872" s="80">
        <f t="shared" si="916"/>
        <v>0</v>
      </c>
      <c r="AL5872" s="85"/>
      <c r="AM5872" s="85"/>
    </row>
    <row r="5873" spans="1:39" s="86" customFormat="1" ht="13.25" hidden="1" customHeight="1" x14ac:dyDescent="0.3">
      <c r="A5873" s="89" t="s">
        <v>3852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918"/>
        <v>294872.48999999836</v>
      </c>
      <c r="X5873" s="6">
        <f t="shared" si="919"/>
        <v>5196943.9339622641</v>
      </c>
      <c r="Y5873" s="13">
        <f t="shared" si="914"/>
        <v>0</v>
      </c>
      <c r="Z5873" s="66">
        <v>0</v>
      </c>
      <c r="AA5873" s="6">
        <v>0</v>
      </c>
      <c r="AB5873" s="4">
        <f t="shared" si="915"/>
        <v>5196943.9339622641</v>
      </c>
      <c r="AC5873" s="6">
        <f t="shared" si="913"/>
        <v>311816.6360377362</v>
      </c>
      <c r="AD5873" s="6">
        <f t="shared" si="920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917"/>
        <v>567402.33871000004</v>
      </c>
      <c r="AG5873" s="14">
        <v>0</v>
      </c>
      <c r="AH5873" s="99">
        <f t="shared" si="921"/>
        <v>5508760.5700000003</v>
      </c>
      <c r="AI5873" s="47"/>
      <c r="AJ5873" s="126" t="e">
        <v>#N/A</v>
      </c>
      <c r="AK5873" s="80">
        <f t="shared" si="916"/>
        <v>0</v>
      </c>
      <c r="AL5873" s="85"/>
      <c r="AM5873" s="85"/>
    </row>
    <row r="5874" spans="1:39" s="86" customFormat="1" ht="13.25" hidden="1" customHeight="1" x14ac:dyDescent="0.3">
      <c r="A5874" s="89" t="s">
        <v>3852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918"/>
        <v>198460.24000000002</v>
      </c>
      <c r="X5874" s="6">
        <f t="shared" si="919"/>
        <v>131818.15</v>
      </c>
      <c r="Y5874" s="13">
        <f t="shared" si="914"/>
        <v>0</v>
      </c>
      <c r="Z5874" s="66">
        <v>0</v>
      </c>
      <c r="AA5874" s="6">
        <v>0</v>
      </c>
      <c r="AB5874" s="4">
        <f t="shared" si="915"/>
        <v>131818.15</v>
      </c>
      <c r="AC5874" s="6">
        <f t="shared" si="913"/>
        <v>0</v>
      </c>
      <c r="AD5874" s="6">
        <f t="shared" si="920"/>
        <v>131818.15</v>
      </c>
      <c r="AE5874" s="14">
        <f>VLOOKUP(I5874,[2]媒体政策预估表!A:N,MATCH(O5874,[2]媒体政策预估表!$A$2:$M$2,0),0)</f>
        <v>0.10299999999999999</v>
      </c>
      <c r="AF5874" s="6">
        <f t="shared" si="917"/>
        <v>13577.269449999998</v>
      </c>
      <c r="AG5874" s="14">
        <v>0</v>
      </c>
      <c r="AH5874" s="99">
        <f t="shared" si="921"/>
        <v>131818.15</v>
      </c>
      <c r="AI5874" s="47"/>
      <c r="AJ5874" s="126" t="e">
        <v>#N/A</v>
      </c>
      <c r="AK5874" s="80">
        <f t="shared" si="916"/>
        <v>0</v>
      </c>
      <c r="AL5874" s="85"/>
      <c r="AM5874" s="85"/>
    </row>
    <row r="5875" spans="1:39" s="86" customFormat="1" ht="13.25" hidden="1" customHeight="1" x14ac:dyDescent="0.3">
      <c r="A5875" s="89" t="s">
        <v>3852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918"/>
        <v>46041.389999999956</v>
      </c>
      <c r="X5875" s="6">
        <f t="shared" si="919"/>
        <v>305933.25</v>
      </c>
      <c r="Y5875" s="13">
        <f t="shared" si="914"/>
        <v>0</v>
      </c>
      <c r="Z5875" s="66">
        <v>0</v>
      </c>
      <c r="AA5875" s="6">
        <v>0</v>
      </c>
      <c r="AB5875" s="4">
        <f t="shared" si="915"/>
        <v>305933.25</v>
      </c>
      <c r="AC5875" s="6">
        <f t="shared" si="913"/>
        <v>0</v>
      </c>
      <c r="AD5875" s="6">
        <f t="shared" si="920"/>
        <v>305933.25</v>
      </c>
      <c r="AE5875" s="14">
        <f>VLOOKUP(I5875,[2]媒体政策预估表!A:N,MATCH(O5875,[2]媒体政策预估表!$A$2:$M$2,0),0)</f>
        <v>0.10299999999999999</v>
      </c>
      <c r="AF5875" s="6">
        <f t="shared" si="917"/>
        <v>31511.124749999999</v>
      </c>
      <c r="AG5875" s="14">
        <v>0</v>
      </c>
      <c r="AH5875" s="99">
        <f t="shared" si="921"/>
        <v>305933.25</v>
      </c>
      <c r="AI5875" s="47"/>
      <c r="AJ5875" s="126" t="e">
        <v>#N/A</v>
      </c>
      <c r="AK5875" s="80">
        <f t="shared" si="916"/>
        <v>0</v>
      </c>
      <c r="AL5875" s="85"/>
      <c r="AM5875" s="85"/>
    </row>
    <row r="5876" spans="1:39" s="86" customFormat="1" ht="13.25" hidden="1" customHeight="1" x14ac:dyDescent="0.3">
      <c r="A5876" s="89" t="s">
        <v>3852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918"/>
        <v>-304892.15000000008</v>
      </c>
      <c r="X5876" s="6">
        <f t="shared" si="919"/>
        <v>381486.14</v>
      </c>
      <c r="Y5876" s="13">
        <f t="shared" si="914"/>
        <v>0</v>
      </c>
      <c r="Z5876" s="66">
        <v>0</v>
      </c>
      <c r="AA5876" s="6">
        <v>0</v>
      </c>
      <c r="AB5876" s="4">
        <f t="shared" si="915"/>
        <v>381486.14</v>
      </c>
      <c r="AC5876" s="6">
        <f t="shared" si="913"/>
        <v>0</v>
      </c>
      <c r="AD5876" s="6">
        <f t="shared" si="920"/>
        <v>381486.14</v>
      </c>
      <c r="AE5876" s="14">
        <f>VLOOKUP(I5876,[2]媒体政策预估表!A:N,MATCH(O5876,[2]媒体政策预估表!$A$2:$M$2,0),0)</f>
        <v>0.10299999999999999</v>
      </c>
      <c r="AF5876" s="6">
        <f t="shared" si="917"/>
        <v>39293.072419999997</v>
      </c>
      <c r="AG5876" s="14">
        <v>0</v>
      </c>
      <c r="AH5876" s="99">
        <f t="shared" si="921"/>
        <v>381486.14</v>
      </c>
      <c r="AI5876" s="47"/>
      <c r="AJ5876" s="126" t="e">
        <v>#N/A</v>
      </c>
      <c r="AK5876" s="80">
        <f t="shared" si="916"/>
        <v>0</v>
      </c>
      <c r="AL5876" s="85"/>
      <c r="AM5876" s="85"/>
    </row>
    <row r="5877" spans="1:39" s="86" customFormat="1" ht="13.25" hidden="1" customHeight="1" x14ac:dyDescent="0.3">
      <c r="A5877" s="89" t="s">
        <v>3852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918"/>
        <v>40404.5</v>
      </c>
      <c r="X5877" s="6">
        <f t="shared" si="919"/>
        <v>335357.45</v>
      </c>
      <c r="Y5877" s="13">
        <f t="shared" si="914"/>
        <v>0</v>
      </c>
      <c r="Z5877" s="66">
        <v>0</v>
      </c>
      <c r="AA5877" s="6">
        <v>0</v>
      </c>
      <c r="AB5877" s="4">
        <f t="shared" si="915"/>
        <v>335357.45</v>
      </c>
      <c r="AC5877" s="6">
        <f t="shared" si="913"/>
        <v>0</v>
      </c>
      <c r="AD5877" s="6">
        <f t="shared" si="920"/>
        <v>335357.45</v>
      </c>
      <c r="AE5877" s="14">
        <f>VLOOKUP(I5877,[2]媒体政策预估表!A:N,MATCH(O5877,[2]媒体政策预估表!$A$2:$M$2,0),0)</f>
        <v>0.10299999999999999</v>
      </c>
      <c r="AF5877" s="6">
        <f t="shared" si="917"/>
        <v>34541.817349999998</v>
      </c>
      <c r="AG5877" s="14">
        <v>0</v>
      </c>
      <c r="AH5877" s="99">
        <f t="shared" si="921"/>
        <v>335357.45</v>
      </c>
      <c r="AI5877" s="47"/>
      <c r="AJ5877" s="126" t="e">
        <v>#N/A</v>
      </c>
      <c r="AK5877" s="80">
        <f t="shared" si="916"/>
        <v>0</v>
      </c>
      <c r="AL5877" s="85"/>
      <c r="AM5877" s="85"/>
    </row>
    <row r="5878" spans="1:39" s="86" customFormat="1" ht="13.25" hidden="1" customHeight="1" x14ac:dyDescent="0.3">
      <c r="A5878" s="89" t="s">
        <v>3852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919"/>
        <v>227436.72999999981</v>
      </c>
      <c r="Y5878" s="13">
        <f t="shared" si="914"/>
        <v>0</v>
      </c>
      <c r="Z5878" s="66">
        <v>0</v>
      </c>
      <c r="AA5878" s="6">
        <v>0</v>
      </c>
      <c r="AB5878" s="4">
        <f t="shared" si="915"/>
        <v>227436.72999999981</v>
      </c>
      <c r="AC5878" s="6">
        <f t="shared" si="913"/>
        <v>0</v>
      </c>
      <c r="AD5878" s="6">
        <f t="shared" si="920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917"/>
        <v>23425.983189999977</v>
      </c>
      <c r="AG5878" s="14">
        <v>0</v>
      </c>
      <c r="AH5878" s="99">
        <f t="shared" si="921"/>
        <v>227436.72999999981</v>
      </c>
      <c r="AI5878" s="47"/>
      <c r="AJ5878" s="126" t="e">
        <v>#N/A</v>
      </c>
      <c r="AK5878" s="80">
        <f t="shared" si="916"/>
        <v>0</v>
      </c>
      <c r="AL5878" s="85"/>
      <c r="AM5878" s="85"/>
    </row>
    <row r="5879" spans="1:39" s="86" customFormat="1" ht="13.25" hidden="1" customHeight="1" x14ac:dyDescent="0.3">
      <c r="A5879" s="89" t="s">
        <v>3852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3876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918"/>
        <v>288608.29999999981</v>
      </c>
      <c r="X5879" s="6">
        <f t="shared" si="919"/>
        <v>261391.70000000019</v>
      </c>
      <c r="Y5879" s="13">
        <f t="shared" si="914"/>
        <v>0</v>
      </c>
      <c r="Z5879" s="66">
        <v>0</v>
      </c>
      <c r="AA5879" s="6">
        <v>0</v>
      </c>
      <c r="AB5879" s="4">
        <f t="shared" si="915"/>
        <v>261391.70000000019</v>
      </c>
      <c r="AC5879" s="6">
        <f t="shared" si="913"/>
        <v>0</v>
      </c>
      <c r="AD5879" s="6">
        <f t="shared" si="920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917"/>
        <v>26923.345100000017</v>
      </c>
      <c r="AG5879" s="14">
        <v>0</v>
      </c>
      <c r="AH5879" s="99">
        <f t="shared" si="921"/>
        <v>261391.70000000019</v>
      </c>
      <c r="AI5879" s="47"/>
      <c r="AJ5879" s="126" t="e">
        <v>#N/A</v>
      </c>
      <c r="AK5879" s="80">
        <f t="shared" si="916"/>
        <v>0</v>
      </c>
      <c r="AL5879" s="85"/>
      <c r="AM5879" s="85"/>
    </row>
    <row r="5880" spans="1:39" s="86" customFormat="1" ht="13.25" hidden="1" customHeight="1" x14ac:dyDescent="0.3">
      <c r="A5880" s="89" t="s">
        <v>3852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918"/>
        <v>26407.859999999997</v>
      </c>
      <c r="X5880" s="6">
        <f t="shared" si="919"/>
        <v>15160.7</v>
      </c>
      <c r="Y5880" s="13">
        <f t="shared" si="914"/>
        <v>0</v>
      </c>
      <c r="Z5880" s="66">
        <v>0</v>
      </c>
      <c r="AA5880" s="6">
        <v>0</v>
      </c>
      <c r="AB5880" s="4">
        <f t="shared" si="915"/>
        <v>15160.7</v>
      </c>
      <c r="AC5880" s="6">
        <f t="shared" si="913"/>
        <v>0</v>
      </c>
      <c r="AD5880" s="6">
        <f t="shared" si="920"/>
        <v>15160.7</v>
      </c>
      <c r="AE5880" s="14">
        <f>VLOOKUP(I5880,[2]媒体政策预估表!A:N,MATCH(O5880,[2]媒体政策预估表!$A$2:$M$2,0),0)</f>
        <v>0.10299999999999999</v>
      </c>
      <c r="AF5880" s="6">
        <f t="shared" si="917"/>
        <v>1561.5520999999999</v>
      </c>
      <c r="AG5880" s="14">
        <v>0</v>
      </c>
      <c r="AH5880" s="99">
        <f t="shared" si="921"/>
        <v>15160.7</v>
      </c>
      <c r="AI5880" s="47"/>
      <c r="AJ5880" s="126" t="e">
        <v>#N/A</v>
      </c>
      <c r="AK5880" s="80">
        <f t="shared" si="916"/>
        <v>0</v>
      </c>
      <c r="AL5880" s="85"/>
      <c r="AM5880" s="85"/>
    </row>
    <row r="5881" spans="1:39" s="86" customFormat="1" ht="13.25" hidden="1" customHeight="1" x14ac:dyDescent="0.3">
      <c r="A5881" s="89" t="s">
        <v>3852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918"/>
        <v>335365.41999999981</v>
      </c>
      <c r="X5881" s="6">
        <f t="shared" si="919"/>
        <v>421457.15</v>
      </c>
      <c r="Y5881" s="13">
        <f t="shared" si="914"/>
        <v>0</v>
      </c>
      <c r="Z5881" s="66">
        <v>0</v>
      </c>
      <c r="AA5881" s="6">
        <v>0</v>
      </c>
      <c r="AB5881" s="4">
        <f t="shared" si="915"/>
        <v>421457.15</v>
      </c>
      <c r="AC5881" s="6">
        <f t="shared" si="913"/>
        <v>0</v>
      </c>
      <c r="AD5881" s="6">
        <f t="shared" si="920"/>
        <v>421457.15</v>
      </c>
      <c r="AE5881" s="14">
        <f>VLOOKUP(I5881,[2]媒体政策预估表!A:N,MATCH(O5881,[2]媒体政策预估表!$A$2:$M$2,0),0)</f>
        <v>0.10299999999999999</v>
      </c>
      <c r="AF5881" s="6">
        <f t="shared" si="917"/>
        <v>43410.086450000003</v>
      </c>
      <c r="AG5881" s="14">
        <v>0</v>
      </c>
      <c r="AH5881" s="99">
        <f t="shared" si="921"/>
        <v>421457.15</v>
      </c>
      <c r="AI5881" s="47"/>
      <c r="AJ5881" s="126" t="e">
        <v>#N/A</v>
      </c>
      <c r="AK5881" s="80">
        <f t="shared" si="916"/>
        <v>0</v>
      </c>
      <c r="AL5881" s="85"/>
      <c r="AM5881" s="85"/>
    </row>
    <row r="5882" spans="1:39" s="86" customFormat="1" ht="13.25" hidden="1" customHeight="1" x14ac:dyDescent="0.3">
      <c r="A5882" s="89" t="s">
        <v>3852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918"/>
        <v>43540.479999999996</v>
      </c>
      <c r="X5882" s="6">
        <f t="shared" si="919"/>
        <v>30459.52</v>
      </c>
      <c r="Y5882" s="13">
        <f t="shared" si="914"/>
        <v>0</v>
      </c>
      <c r="Z5882" s="66">
        <v>0</v>
      </c>
      <c r="AA5882" s="6">
        <v>0</v>
      </c>
      <c r="AB5882" s="4">
        <f t="shared" si="915"/>
        <v>30459.52</v>
      </c>
      <c r="AC5882" s="6">
        <f t="shared" si="913"/>
        <v>0</v>
      </c>
      <c r="AD5882" s="6">
        <f t="shared" si="920"/>
        <v>30459.52</v>
      </c>
      <c r="AE5882" s="14">
        <f>VLOOKUP(I5882,[2]媒体政策预估表!A:N,MATCH(O5882,[2]媒体政策预估表!$A$2:$M$2,0),0)</f>
        <v>0.10299999999999999</v>
      </c>
      <c r="AF5882" s="6">
        <f t="shared" si="917"/>
        <v>3137.3305599999999</v>
      </c>
      <c r="AG5882" s="14">
        <v>0</v>
      </c>
      <c r="AH5882" s="99">
        <f t="shared" si="921"/>
        <v>30459.52</v>
      </c>
      <c r="AI5882" s="47"/>
      <c r="AJ5882" s="126" t="e">
        <v>#N/A</v>
      </c>
      <c r="AK5882" s="80">
        <f t="shared" si="916"/>
        <v>0</v>
      </c>
      <c r="AL5882" s="85"/>
      <c r="AM5882" s="85"/>
    </row>
    <row r="5883" spans="1:39" s="86" customFormat="1" ht="13.25" hidden="1" customHeight="1" x14ac:dyDescent="0.3">
      <c r="A5883" s="89" t="s">
        <v>3852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918"/>
        <v>3647</v>
      </c>
      <c r="X5883" s="6">
        <f t="shared" si="919"/>
        <v>17514</v>
      </c>
      <c r="Y5883" s="13">
        <f t="shared" si="914"/>
        <v>0</v>
      </c>
      <c r="Z5883" s="66">
        <v>0</v>
      </c>
      <c r="AA5883" s="6">
        <v>0</v>
      </c>
      <c r="AB5883" s="4">
        <f t="shared" si="915"/>
        <v>17514</v>
      </c>
      <c r="AC5883" s="6">
        <f t="shared" si="913"/>
        <v>0</v>
      </c>
      <c r="AD5883" s="6">
        <f t="shared" si="920"/>
        <v>17514</v>
      </c>
      <c r="AE5883" s="14">
        <f>VLOOKUP(I5883,[2]媒体政策预估表!A:N,MATCH(O5883,[2]媒体政策预估表!$A$2:$M$2,0),0)</f>
        <v>0.10299999999999999</v>
      </c>
      <c r="AF5883" s="6">
        <f t="shared" si="917"/>
        <v>1803.942</v>
      </c>
      <c r="AG5883" s="14">
        <v>0</v>
      </c>
      <c r="AH5883" s="99">
        <f t="shared" si="921"/>
        <v>17514</v>
      </c>
      <c r="AI5883" s="47"/>
      <c r="AJ5883" s="126" t="e">
        <v>#N/A</v>
      </c>
      <c r="AK5883" s="80">
        <f t="shared" si="916"/>
        <v>0</v>
      </c>
      <c r="AL5883" s="85"/>
      <c r="AM5883" s="85"/>
    </row>
    <row r="5884" spans="1:39" s="86" customFormat="1" ht="13.25" hidden="1" customHeight="1" x14ac:dyDescent="0.3">
      <c r="A5884" s="89" t="s">
        <v>3852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918"/>
        <v>0</v>
      </c>
      <c r="X5884" s="6">
        <f t="shared" si="919"/>
        <v>5000</v>
      </c>
      <c r="Y5884" s="13">
        <f t="shared" si="914"/>
        <v>0</v>
      </c>
      <c r="Z5884" s="66">
        <v>0</v>
      </c>
      <c r="AA5884" s="6">
        <v>0</v>
      </c>
      <c r="AB5884" s="4">
        <f t="shared" si="915"/>
        <v>5000</v>
      </c>
      <c r="AC5884" s="6">
        <f t="shared" si="913"/>
        <v>0</v>
      </c>
      <c r="AD5884" s="6">
        <f t="shared" si="920"/>
        <v>5000</v>
      </c>
      <c r="AE5884" s="14">
        <f>VLOOKUP(I5884,[2]媒体政策预估表!A:N,MATCH(O5884,[2]媒体政策预估表!$A$2:$M$2,0),0)</f>
        <v>0.10299999999999999</v>
      </c>
      <c r="AF5884" s="6">
        <f t="shared" si="917"/>
        <v>515</v>
      </c>
      <c r="AG5884" s="14">
        <v>0</v>
      </c>
      <c r="AH5884" s="99">
        <f t="shared" si="921"/>
        <v>5000</v>
      </c>
      <c r="AI5884" s="47"/>
      <c r="AJ5884" s="126" t="e">
        <v>#N/A</v>
      </c>
      <c r="AK5884" s="80">
        <f t="shared" si="916"/>
        <v>0</v>
      </c>
      <c r="AL5884" s="85"/>
      <c r="AM5884" s="85"/>
    </row>
    <row r="5885" spans="1:39" s="86" customFormat="1" ht="13.25" hidden="1" customHeight="1" x14ac:dyDescent="0.3">
      <c r="A5885" s="89" t="s">
        <v>3852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918"/>
        <v>0</v>
      </c>
      <c r="X5885" s="6">
        <f t="shared" si="919"/>
        <v>0</v>
      </c>
      <c r="Y5885" s="13">
        <f t="shared" si="914"/>
        <v>0</v>
      </c>
      <c r="Z5885" s="66">
        <v>0</v>
      </c>
      <c r="AA5885" s="6">
        <v>0</v>
      </c>
      <c r="AB5885" s="4">
        <f t="shared" si="915"/>
        <v>0</v>
      </c>
      <c r="AC5885" s="6">
        <f t="shared" si="913"/>
        <v>0</v>
      </c>
      <c r="AD5885" s="6">
        <f t="shared" si="920"/>
        <v>0</v>
      </c>
      <c r="AE5885" s="14">
        <f>VLOOKUP(I5885,[2]媒体政策预估表!A:N,MATCH(O5885,[2]媒体政策预估表!$A$2:$M$2,0),0)</f>
        <v>0.10299999999999999</v>
      </c>
      <c r="AF5885" s="6">
        <f t="shared" si="917"/>
        <v>0</v>
      </c>
      <c r="AG5885" s="14">
        <v>0</v>
      </c>
      <c r="AH5885" s="99">
        <f t="shared" si="921"/>
        <v>0</v>
      </c>
      <c r="AI5885" s="47"/>
      <c r="AJ5885" s="126" t="e">
        <v>#N/A</v>
      </c>
      <c r="AK5885" s="80">
        <f t="shared" si="916"/>
        <v>0</v>
      </c>
      <c r="AL5885" s="85"/>
      <c r="AM5885" s="85"/>
    </row>
    <row r="5886" spans="1:39" s="86" customFormat="1" ht="13.25" hidden="1" customHeight="1" x14ac:dyDescent="0.3">
      <c r="A5886" s="89" t="s">
        <v>3852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918"/>
        <v>0</v>
      </c>
      <c r="X5886" s="6">
        <f t="shared" si="919"/>
        <v>0</v>
      </c>
      <c r="Y5886" s="13">
        <f t="shared" si="914"/>
        <v>0</v>
      </c>
      <c r="Z5886" s="66">
        <v>0</v>
      </c>
      <c r="AA5886" s="6">
        <v>0</v>
      </c>
      <c r="AB5886" s="4">
        <f t="shared" si="915"/>
        <v>0</v>
      </c>
      <c r="AC5886" s="6">
        <f t="shared" ref="AC5886:AC5949" si="922">IF(P5886="返现",X5886*Q5886,V5886-X5886)</f>
        <v>0</v>
      </c>
      <c r="AD5886" s="6">
        <f t="shared" si="920"/>
        <v>0</v>
      </c>
      <c r="AE5886" s="14">
        <f>VLOOKUP(I5886,[2]媒体政策预估表!A:N,MATCH(O5886,[2]媒体政策预估表!$A$2:$M$2,0),0)</f>
        <v>0.10299999999999999</v>
      </c>
      <c r="AF5886" s="6">
        <f t="shared" si="917"/>
        <v>0</v>
      </c>
      <c r="AG5886" s="14">
        <v>0</v>
      </c>
      <c r="AH5886" s="99">
        <f t="shared" si="921"/>
        <v>0</v>
      </c>
      <c r="AI5886" s="47"/>
      <c r="AJ5886" s="126" t="e">
        <v>#N/A</v>
      </c>
      <c r="AK5886" s="80">
        <f t="shared" si="916"/>
        <v>0</v>
      </c>
      <c r="AL5886" s="85"/>
      <c r="AM5886" s="85"/>
    </row>
    <row r="5887" spans="1:39" s="86" customFormat="1" ht="13.25" hidden="1" customHeight="1" x14ac:dyDescent="0.3">
      <c r="A5887" s="89" t="s">
        <v>3852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918"/>
        <v>0</v>
      </c>
      <c r="X5887" s="6">
        <f t="shared" si="919"/>
        <v>0</v>
      </c>
      <c r="Y5887" s="13">
        <f t="shared" si="914"/>
        <v>0</v>
      </c>
      <c r="Z5887" s="66">
        <v>0</v>
      </c>
      <c r="AA5887" s="6">
        <v>0</v>
      </c>
      <c r="AB5887" s="4">
        <f t="shared" si="915"/>
        <v>0</v>
      </c>
      <c r="AC5887" s="6">
        <f t="shared" si="922"/>
        <v>0</v>
      </c>
      <c r="AD5887" s="6">
        <f t="shared" si="920"/>
        <v>0</v>
      </c>
      <c r="AE5887" s="14">
        <f>VLOOKUP(I5887,[2]媒体政策预估表!A:N,MATCH(O5887,[2]媒体政策预估表!$A$2:$M$2,0),0)</f>
        <v>0.10299999999999999</v>
      </c>
      <c r="AF5887" s="6">
        <f t="shared" si="917"/>
        <v>0</v>
      </c>
      <c r="AG5887" s="14">
        <v>0</v>
      </c>
      <c r="AH5887" s="99">
        <f t="shared" si="921"/>
        <v>0</v>
      </c>
      <c r="AI5887" s="47"/>
      <c r="AJ5887" s="126" t="e">
        <v>#N/A</v>
      </c>
      <c r="AK5887" s="80">
        <f t="shared" si="916"/>
        <v>0</v>
      </c>
      <c r="AL5887" s="85"/>
      <c r="AM5887" s="85"/>
    </row>
    <row r="5888" spans="1:39" s="86" customFormat="1" ht="13.25" hidden="1" customHeight="1" x14ac:dyDescent="0.3">
      <c r="A5888" s="89" t="s">
        <v>3852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3877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918"/>
        <v>5868.27</v>
      </c>
      <c r="X5888" s="6">
        <f t="shared" si="919"/>
        <v>4050.7156862745092</v>
      </c>
      <c r="Y5888" s="13">
        <f t="shared" si="914"/>
        <v>0</v>
      </c>
      <c r="Z5888" s="66">
        <v>0</v>
      </c>
      <c r="AA5888" s="6">
        <v>0</v>
      </c>
      <c r="AB5888" s="4">
        <f t="shared" si="915"/>
        <v>4050.7156862745092</v>
      </c>
      <c r="AC5888" s="6">
        <f t="shared" si="922"/>
        <v>81.01431372549041</v>
      </c>
      <c r="AD5888" s="6">
        <f t="shared" si="920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917"/>
        <v>425.56818999999996</v>
      </c>
      <c r="AG5888" s="14">
        <v>0</v>
      </c>
      <c r="AH5888" s="99">
        <f t="shared" si="921"/>
        <v>4131.7299999999996</v>
      </c>
      <c r="AI5888" s="47"/>
      <c r="AJ5888" s="126" t="e">
        <v>#N/A</v>
      </c>
      <c r="AK5888" s="80">
        <f t="shared" si="916"/>
        <v>0</v>
      </c>
      <c r="AL5888" s="85"/>
      <c r="AM5888" s="85"/>
    </row>
    <row r="5889" spans="1:39" s="86" customFormat="1" ht="13.25" hidden="1" customHeight="1" x14ac:dyDescent="0.3">
      <c r="A5889" s="89" t="s">
        <v>3852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918"/>
        <v>19450</v>
      </c>
      <c r="X5889" s="6">
        <f t="shared" si="919"/>
        <v>60762.745098039217</v>
      </c>
      <c r="Y5889" s="13">
        <f t="shared" si="914"/>
        <v>0</v>
      </c>
      <c r="Z5889" s="66">
        <v>0</v>
      </c>
      <c r="AA5889" s="6">
        <v>0</v>
      </c>
      <c r="AB5889" s="4">
        <f t="shared" si="915"/>
        <v>60762.745098039217</v>
      </c>
      <c r="AC5889" s="6">
        <f t="shared" si="922"/>
        <v>1215.2549019607832</v>
      </c>
      <c r="AD5889" s="6">
        <f t="shared" si="920"/>
        <v>61978</v>
      </c>
      <c r="AE5889" s="14">
        <f>VLOOKUP(I5889,[2]媒体政策预估表!A:N,MATCH(O5889,[2]媒体政策预估表!$A$2:$M$2,0),0)</f>
        <v>0.10299999999999999</v>
      </c>
      <c r="AF5889" s="6">
        <f t="shared" si="917"/>
        <v>6383.7339999999995</v>
      </c>
      <c r="AG5889" s="14">
        <v>0</v>
      </c>
      <c r="AH5889" s="99">
        <f t="shared" si="921"/>
        <v>61978</v>
      </c>
      <c r="AI5889" s="47"/>
      <c r="AJ5889" s="126" t="e">
        <v>#N/A</v>
      </c>
      <c r="AK5889" s="80">
        <f t="shared" si="916"/>
        <v>0</v>
      </c>
      <c r="AL5889" s="85"/>
      <c r="AM5889" s="85"/>
    </row>
    <row r="5890" spans="1:39" s="86" customFormat="1" ht="13.25" hidden="1" customHeight="1" x14ac:dyDescent="0.3">
      <c r="A5890" s="89" t="s">
        <v>3852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918"/>
        <v>76184.169999999984</v>
      </c>
      <c r="X5890" s="6">
        <f t="shared" si="919"/>
        <v>3815.8300000000163</v>
      </c>
      <c r="Y5890" s="13">
        <f t="shared" si="914"/>
        <v>0</v>
      </c>
      <c r="Z5890" s="66">
        <v>0</v>
      </c>
      <c r="AA5890" s="6">
        <v>0</v>
      </c>
      <c r="AB5890" s="4"/>
      <c r="AC5890" s="6">
        <f t="shared" si="922"/>
        <v>0</v>
      </c>
      <c r="AD5890" s="6">
        <f t="shared" si="920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917"/>
        <v>393.03049000000163</v>
      </c>
      <c r="AG5890" s="14">
        <v>0</v>
      </c>
      <c r="AH5890" s="99">
        <f t="shared" si="921"/>
        <v>3815.8300000000163</v>
      </c>
      <c r="AI5890" s="47"/>
      <c r="AJ5890" s="126">
        <v>109</v>
      </c>
      <c r="AK5890" s="80">
        <f t="shared" si="916"/>
        <v>3815.8300000000163</v>
      </c>
      <c r="AL5890" s="85"/>
      <c r="AM5890" s="85"/>
    </row>
    <row r="5891" spans="1:39" s="86" customFormat="1" ht="13.25" hidden="1" customHeight="1" x14ac:dyDescent="0.3">
      <c r="A5891" s="89" t="s">
        <v>3792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3878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918"/>
        <v>33036.79</v>
      </c>
      <c r="X5891" s="6">
        <f t="shared" si="919"/>
        <v>26963.21</v>
      </c>
      <c r="Y5891" s="13">
        <f t="shared" ref="Y5891:Y5954" si="923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922"/>
        <v>0</v>
      </c>
      <c r="AD5891" s="6">
        <f t="shared" si="920"/>
        <v>26963.21</v>
      </c>
      <c r="AE5891" s="14">
        <f>VLOOKUP(I5891,[2]媒体政策预估表!A:N,MATCH(O5891,[2]媒体政策预估表!$A$2:$M$2,0),0)</f>
        <v>0.10299999999999999</v>
      </c>
      <c r="AF5891" s="6">
        <f t="shared" si="917"/>
        <v>2777.2106299999996</v>
      </c>
      <c r="AG5891" s="14">
        <v>0</v>
      </c>
      <c r="AH5891" s="99">
        <f t="shared" si="921"/>
        <v>26963.21</v>
      </c>
      <c r="AI5891" s="47"/>
      <c r="AJ5891" s="126">
        <v>109</v>
      </c>
      <c r="AK5891" s="80">
        <f t="shared" ref="AK5891:AK5954" si="924">X5891+AA5891-AB5891</f>
        <v>26963.21</v>
      </c>
      <c r="AL5891" s="85"/>
      <c r="AM5891" s="85"/>
    </row>
    <row r="5892" spans="1:39" s="86" customFormat="1" ht="13.25" hidden="1" customHeight="1" x14ac:dyDescent="0.3">
      <c r="A5892" s="89" t="s">
        <v>3852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918"/>
        <v>50267.520000000004</v>
      </c>
      <c r="X5892" s="6">
        <f t="shared" si="919"/>
        <v>29732.479999999996</v>
      </c>
      <c r="Y5892" s="13">
        <f t="shared" si="923"/>
        <v>0</v>
      </c>
      <c r="Z5892" s="66">
        <v>0</v>
      </c>
      <c r="AA5892" s="6">
        <v>0</v>
      </c>
      <c r="AB5892" s="4"/>
      <c r="AC5892" s="6">
        <f t="shared" si="922"/>
        <v>0</v>
      </c>
      <c r="AD5892" s="6">
        <f t="shared" si="920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917"/>
        <v>3062.4454399999995</v>
      </c>
      <c r="AG5892" s="14">
        <v>0</v>
      </c>
      <c r="AH5892" s="99">
        <f t="shared" si="921"/>
        <v>29732.479999999996</v>
      </c>
      <c r="AI5892" s="47"/>
      <c r="AJ5892" s="126">
        <v>109</v>
      </c>
      <c r="AK5892" s="80">
        <f t="shared" si="924"/>
        <v>29732.479999999996</v>
      </c>
      <c r="AL5892" s="85"/>
      <c r="AM5892" s="85"/>
    </row>
    <row r="5893" spans="1:39" s="86" customFormat="1" ht="13.25" hidden="1" customHeight="1" x14ac:dyDescent="0.3">
      <c r="A5893" s="89" t="s">
        <v>3852</v>
      </c>
      <c r="B5893" s="86" t="s">
        <v>35</v>
      </c>
      <c r="C5893" s="86" t="s">
        <v>164</v>
      </c>
      <c r="D5893" s="86" t="s">
        <v>174</v>
      </c>
      <c r="E5893" s="86" t="s">
        <v>3879</v>
      </c>
      <c r="F5893" s="86" t="s">
        <v>3879</v>
      </c>
      <c r="G5893" s="86" t="s">
        <v>3879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3880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918"/>
        <v>8996</v>
      </c>
      <c r="X5893" s="6">
        <f t="shared" si="919"/>
        <v>10965.384615384615</v>
      </c>
      <c r="Y5893" s="13">
        <f t="shared" si="923"/>
        <v>0</v>
      </c>
      <c r="Z5893" s="66">
        <v>0</v>
      </c>
      <c r="AA5893" s="6">
        <v>0</v>
      </c>
      <c r="AB5893" s="4">
        <f t="shared" ref="AB5893:AB5954" si="925">X5893+AA5893</f>
        <v>10965.384615384615</v>
      </c>
      <c r="AC5893" s="6">
        <f t="shared" si="922"/>
        <v>438.61538461538476</v>
      </c>
      <c r="AD5893" s="6">
        <f t="shared" si="920"/>
        <v>11404</v>
      </c>
      <c r="AE5893" s="14">
        <f>VLOOKUP(I5893,[2]媒体政策预估表!A:N,MATCH(O5893,[2]媒体政策预估表!$A$2:$M$2,0),0)</f>
        <v>0.10299999999999999</v>
      </c>
      <c r="AF5893" s="6">
        <f t="shared" si="917"/>
        <v>1174.6119999999999</v>
      </c>
      <c r="AG5893" s="14">
        <v>0</v>
      </c>
      <c r="AH5893" s="99">
        <f t="shared" si="921"/>
        <v>11404</v>
      </c>
      <c r="AI5893" s="47"/>
      <c r="AJ5893" s="126" t="e">
        <v>#N/A</v>
      </c>
      <c r="AK5893" s="80">
        <f t="shared" si="924"/>
        <v>0</v>
      </c>
      <c r="AL5893" s="85"/>
      <c r="AM5893" s="85"/>
    </row>
    <row r="5894" spans="1:39" s="86" customFormat="1" ht="13.25" hidden="1" customHeight="1" x14ac:dyDescent="0.3">
      <c r="A5894" s="89" t="s">
        <v>3852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918"/>
        <v>14585.87999999999</v>
      </c>
      <c r="X5894" s="6">
        <f t="shared" si="919"/>
        <v>42346.34</v>
      </c>
      <c r="Y5894" s="13">
        <f t="shared" si="923"/>
        <v>0</v>
      </c>
      <c r="Z5894" s="66">
        <v>0</v>
      </c>
      <c r="AA5894" s="6">
        <v>0</v>
      </c>
      <c r="AB5894" s="4">
        <f t="shared" si="925"/>
        <v>42346.34</v>
      </c>
      <c r="AC5894" s="6">
        <f t="shared" si="922"/>
        <v>0</v>
      </c>
      <c r="AD5894" s="6">
        <f t="shared" si="920"/>
        <v>42346.34</v>
      </c>
      <c r="AE5894" s="14">
        <f>VLOOKUP(I5894,[2]媒体政策预估表!A:N,MATCH(O5894,[2]媒体政策预估表!$A$2:$M$2,0),0)</f>
        <v>0.10299999999999999</v>
      </c>
      <c r="AF5894" s="6">
        <f t="shared" si="917"/>
        <v>4361.6730199999993</v>
      </c>
      <c r="AG5894" s="14">
        <v>0</v>
      </c>
      <c r="AH5894" s="99">
        <f t="shared" si="921"/>
        <v>42346.34</v>
      </c>
      <c r="AI5894" s="47"/>
      <c r="AJ5894" s="126" t="e">
        <v>#N/A</v>
      </c>
      <c r="AK5894" s="80">
        <f t="shared" si="924"/>
        <v>0</v>
      </c>
      <c r="AL5894" s="85"/>
      <c r="AM5894" s="85"/>
    </row>
    <row r="5895" spans="1:39" s="86" customFormat="1" ht="13.25" hidden="1" customHeight="1" x14ac:dyDescent="0.3">
      <c r="A5895" s="89" t="s">
        <v>3852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918"/>
        <v>14480.029999999992</v>
      </c>
      <c r="X5895" s="6">
        <f t="shared" si="919"/>
        <v>37899.9</v>
      </c>
      <c r="Y5895" s="13">
        <f t="shared" si="923"/>
        <v>0</v>
      </c>
      <c r="Z5895" s="66">
        <v>0</v>
      </c>
      <c r="AA5895" s="6">
        <v>0</v>
      </c>
      <c r="AB5895" s="4">
        <f t="shared" si="925"/>
        <v>37899.9</v>
      </c>
      <c r="AC5895" s="6">
        <f t="shared" si="922"/>
        <v>0</v>
      </c>
      <c r="AD5895" s="6">
        <f t="shared" si="920"/>
        <v>37899.9</v>
      </c>
      <c r="AE5895" s="14">
        <f>VLOOKUP(I5895,[2]媒体政策预估表!A:N,MATCH(O5895,[2]媒体政策预估表!$A$2:$M$2,0),0)</f>
        <v>0.10299999999999999</v>
      </c>
      <c r="AF5895" s="6">
        <f t="shared" si="917"/>
        <v>3903.6896999999999</v>
      </c>
      <c r="AG5895" s="14">
        <v>0</v>
      </c>
      <c r="AH5895" s="99">
        <f t="shared" si="921"/>
        <v>37899.9</v>
      </c>
      <c r="AI5895" s="47"/>
      <c r="AJ5895" s="126" t="e">
        <v>#N/A</v>
      </c>
      <c r="AK5895" s="80">
        <f t="shared" si="924"/>
        <v>0</v>
      </c>
      <c r="AL5895" s="85"/>
      <c r="AM5895" s="85"/>
    </row>
    <row r="5896" spans="1:39" s="86" customFormat="1" ht="13.25" hidden="1" customHeight="1" x14ac:dyDescent="0.3">
      <c r="A5896" s="89" t="s">
        <v>3852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918"/>
        <v>15680.630000000005</v>
      </c>
      <c r="X5896" s="6">
        <f t="shared" si="919"/>
        <v>3812.5686274509803</v>
      </c>
      <c r="Y5896" s="13">
        <f t="shared" si="923"/>
        <v>0</v>
      </c>
      <c r="Z5896" s="66">
        <v>0</v>
      </c>
      <c r="AA5896" s="6">
        <v>0</v>
      </c>
      <c r="AB5896" s="4">
        <f t="shared" si="925"/>
        <v>3812.5686274509803</v>
      </c>
      <c r="AC5896" s="6">
        <f t="shared" si="922"/>
        <v>76.251372549019834</v>
      </c>
      <c r="AD5896" s="6">
        <f t="shared" si="920"/>
        <v>3888.82</v>
      </c>
      <c r="AE5896" s="14">
        <f>VLOOKUP(I5896,[2]媒体政策预估表!A:N,MATCH(O5896,[2]媒体政策预估表!$A$2:$M$2,0),0)</f>
        <v>0.10299999999999999</v>
      </c>
      <c r="AF5896" s="6">
        <f t="shared" si="917"/>
        <v>400.54845999999998</v>
      </c>
      <c r="AG5896" s="14">
        <v>0</v>
      </c>
      <c r="AH5896" s="99">
        <f t="shared" si="921"/>
        <v>3888.82</v>
      </c>
      <c r="AI5896" s="47"/>
      <c r="AJ5896" s="126" t="e">
        <v>#N/A</v>
      </c>
      <c r="AK5896" s="80">
        <f t="shared" si="924"/>
        <v>0</v>
      </c>
      <c r="AL5896" s="85"/>
      <c r="AM5896" s="85"/>
    </row>
    <row r="5897" spans="1:39" s="86" customFormat="1" ht="13.25" hidden="1" customHeight="1" x14ac:dyDescent="0.3">
      <c r="A5897" s="89" t="s">
        <v>3852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918"/>
        <v>111636.04</v>
      </c>
      <c r="X5897" s="6">
        <f t="shared" si="919"/>
        <v>76537.83</v>
      </c>
      <c r="Y5897" s="13">
        <f t="shared" si="923"/>
        <v>0</v>
      </c>
      <c r="Z5897" s="66">
        <v>0</v>
      </c>
      <c r="AA5897" s="6">
        <v>0</v>
      </c>
      <c r="AB5897" s="4">
        <f t="shared" si="925"/>
        <v>76537.83</v>
      </c>
      <c r="AC5897" s="6">
        <f t="shared" si="922"/>
        <v>0</v>
      </c>
      <c r="AD5897" s="6">
        <f t="shared" si="920"/>
        <v>76537.83</v>
      </c>
      <c r="AE5897" s="14">
        <f>VLOOKUP(I5897,[2]媒体政策预估表!A:N,MATCH(O5897,[2]媒体政策预估表!$A$2:$M$2,0),0)</f>
        <v>0.10299999999999999</v>
      </c>
      <c r="AF5897" s="6">
        <f t="shared" si="917"/>
        <v>7883.3964900000001</v>
      </c>
      <c r="AG5897" s="14">
        <v>0</v>
      </c>
      <c r="AH5897" s="99">
        <f t="shared" si="921"/>
        <v>76537.83</v>
      </c>
      <c r="AI5897" s="47"/>
      <c r="AJ5897" s="126" t="e">
        <v>#N/A</v>
      </c>
      <c r="AK5897" s="80">
        <f t="shared" si="924"/>
        <v>0</v>
      </c>
      <c r="AL5897" s="85"/>
      <c r="AM5897" s="85"/>
    </row>
    <row r="5898" spans="1:39" s="86" customFormat="1" ht="13.25" hidden="1" customHeight="1" x14ac:dyDescent="0.3">
      <c r="A5898" s="89" t="s">
        <v>3852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918"/>
        <v>5400</v>
      </c>
      <c r="X5898" s="6">
        <f t="shared" si="919"/>
        <v>24600</v>
      </c>
      <c r="Y5898" s="13">
        <f t="shared" si="923"/>
        <v>0</v>
      </c>
      <c r="Z5898" s="66">
        <v>0</v>
      </c>
      <c r="AA5898" s="6">
        <v>0</v>
      </c>
      <c r="AB5898" s="4">
        <f t="shared" si="925"/>
        <v>24600</v>
      </c>
      <c r="AC5898" s="6">
        <f t="shared" si="922"/>
        <v>0</v>
      </c>
      <c r="AD5898" s="6">
        <f t="shared" si="920"/>
        <v>24600</v>
      </c>
      <c r="AE5898" s="14">
        <f>VLOOKUP(I5898,[2]媒体政策预估表!A:N,MATCH(O5898,[2]媒体政策预估表!$A$2:$M$2,0),0)</f>
        <v>0.10299999999999999</v>
      </c>
      <c r="AF5898" s="6">
        <f t="shared" si="917"/>
        <v>2533.7999999999997</v>
      </c>
      <c r="AG5898" s="14">
        <v>0</v>
      </c>
      <c r="AH5898" s="99">
        <f t="shared" si="921"/>
        <v>24600</v>
      </c>
      <c r="AI5898" s="47"/>
      <c r="AJ5898" s="126" t="e">
        <v>#N/A</v>
      </c>
      <c r="AK5898" s="80">
        <f t="shared" si="924"/>
        <v>0</v>
      </c>
      <c r="AL5898" s="85"/>
      <c r="AM5898" s="85"/>
    </row>
    <row r="5899" spans="1:39" s="86" customFormat="1" ht="13.25" hidden="1" customHeight="1" x14ac:dyDescent="0.3">
      <c r="A5899" s="89" t="s">
        <v>3852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918"/>
        <v>2102.2999999999956</v>
      </c>
      <c r="X5899" s="6">
        <f t="shared" si="919"/>
        <v>18626.150000000001</v>
      </c>
      <c r="Y5899" s="13">
        <f t="shared" si="923"/>
        <v>0</v>
      </c>
      <c r="Z5899" s="66">
        <v>0</v>
      </c>
      <c r="AA5899" s="6">
        <v>0</v>
      </c>
      <c r="AB5899" s="4">
        <f t="shared" si="925"/>
        <v>18626.150000000001</v>
      </c>
      <c r="AC5899" s="6">
        <f t="shared" si="922"/>
        <v>0</v>
      </c>
      <c r="AD5899" s="6">
        <f t="shared" si="920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917"/>
        <v>1918.4934499999999</v>
      </c>
      <c r="AG5899" s="14">
        <v>0</v>
      </c>
      <c r="AH5899" s="99">
        <f t="shared" si="921"/>
        <v>18626.150000000001</v>
      </c>
      <c r="AI5899" s="47"/>
      <c r="AJ5899" s="126" t="e">
        <v>#N/A</v>
      </c>
      <c r="AK5899" s="80">
        <f t="shared" si="924"/>
        <v>0</v>
      </c>
      <c r="AL5899" s="85"/>
      <c r="AM5899" s="85"/>
    </row>
    <row r="5900" spans="1:39" s="86" customFormat="1" ht="13.25" hidden="1" customHeight="1" x14ac:dyDescent="0.3">
      <c r="A5900" s="89" t="s">
        <v>3852</v>
      </c>
      <c r="B5900" s="86" t="s">
        <v>35</v>
      </c>
      <c r="C5900" s="86" t="s">
        <v>184</v>
      </c>
      <c r="D5900" s="86" t="s">
        <v>224</v>
      </c>
      <c r="E5900" s="86" t="s">
        <v>3881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918"/>
        <v>0</v>
      </c>
      <c r="X5900" s="6">
        <f t="shared" si="919"/>
        <v>0</v>
      </c>
      <c r="Y5900" s="13">
        <f t="shared" si="923"/>
        <v>0</v>
      </c>
      <c r="Z5900" s="66">
        <v>0</v>
      </c>
      <c r="AA5900" s="6">
        <v>0</v>
      </c>
      <c r="AB5900" s="4">
        <f t="shared" si="925"/>
        <v>0</v>
      </c>
      <c r="AC5900" s="6">
        <f t="shared" si="922"/>
        <v>0</v>
      </c>
      <c r="AD5900" s="6">
        <f t="shared" si="920"/>
        <v>0</v>
      </c>
      <c r="AE5900" s="14">
        <f>VLOOKUP(I5900,[2]媒体政策预估表!A:N,MATCH(O5900,[2]媒体政策预估表!$A$2:$M$2,0),0)</f>
        <v>0.10299999999999999</v>
      </c>
      <c r="AF5900" s="6">
        <f t="shared" si="917"/>
        <v>0</v>
      </c>
      <c r="AG5900" s="14">
        <v>0</v>
      </c>
      <c r="AH5900" s="99">
        <f t="shared" si="921"/>
        <v>0</v>
      </c>
      <c r="AI5900" s="47"/>
      <c r="AJ5900" s="126" t="e">
        <v>#N/A</v>
      </c>
      <c r="AK5900" s="80">
        <f t="shared" si="924"/>
        <v>0</v>
      </c>
      <c r="AL5900" s="85"/>
      <c r="AM5900" s="85"/>
    </row>
    <row r="5901" spans="1:39" s="86" customFormat="1" ht="13.25" hidden="1" customHeight="1" x14ac:dyDescent="0.3">
      <c r="A5901" s="89" t="s">
        <v>3792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918"/>
        <v>247617.73999999976</v>
      </c>
      <c r="X5901" s="6">
        <f t="shared" si="919"/>
        <v>2242925.6543999999</v>
      </c>
      <c r="Y5901" s="13">
        <f t="shared" si="923"/>
        <v>0</v>
      </c>
      <c r="Z5901" s="66">
        <v>0</v>
      </c>
      <c r="AA5901" s="6">
        <v>0</v>
      </c>
      <c r="AB5901" s="4">
        <f t="shared" si="925"/>
        <v>2242925.6543999999</v>
      </c>
      <c r="AC5901" s="6">
        <f t="shared" si="922"/>
        <v>93455.235600000247</v>
      </c>
      <c r="AD5901" s="6">
        <f t="shared" si="920"/>
        <v>2336380.89</v>
      </c>
      <c r="AE5901" s="14">
        <f>VLOOKUP(I5901,[2]媒体政策预估表!A:N,MATCH(O5901,[2]媒体政策预估表!$A$2:$M$2,0),0)</f>
        <v>0.10299999999999999</v>
      </c>
      <c r="AF5901" s="6">
        <f t="shared" si="917"/>
        <v>240647.23167000001</v>
      </c>
      <c r="AG5901" s="14">
        <v>0</v>
      </c>
      <c r="AH5901" s="99">
        <f t="shared" si="921"/>
        <v>2336380.89</v>
      </c>
      <c r="AI5901" s="47"/>
      <c r="AJ5901" s="126" t="e">
        <v>#N/A</v>
      </c>
      <c r="AK5901" s="80">
        <f t="shared" si="924"/>
        <v>0</v>
      </c>
      <c r="AL5901" s="85"/>
      <c r="AM5901" s="85"/>
    </row>
    <row r="5902" spans="1:39" s="86" customFormat="1" ht="13.25" hidden="1" customHeight="1" x14ac:dyDescent="0.3">
      <c r="A5902" s="89" t="s">
        <v>3852</v>
      </c>
      <c r="B5902" s="86" t="s">
        <v>35</v>
      </c>
      <c r="C5902" s="86" t="s">
        <v>184</v>
      </c>
      <c r="D5902" s="86" t="s">
        <v>224</v>
      </c>
      <c r="E5902" s="86" t="s">
        <v>3837</v>
      </c>
      <c r="F5902" s="86" t="s">
        <v>3837</v>
      </c>
      <c r="G5902" s="86" t="s">
        <v>3837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3837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918"/>
        <v>4604</v>
      </c>
      <c r="X5902" s="6">
        <f t="shared" si="919"/>
        <v>396</v>
      </c>
      <c r="Y5902" s="13">
        <f t="shared" si="923"/>
        <v>0</v>
      </c>
      <c r="Z5902" s="66">
        <v>0</v>
      </c>
      <c r="AA5902" s="6">
        <v>0</v>
      </c>
      <c r="AB5902" s="4">
        <f t="shared" si="925"/>
        <v>396</v>
      </c>
      <c r="AC5902" s="6">
        <f t="shared" si="922"/>
        <v>0</v>
      </c>
      <c r="AD5902" s="6">
        <f t="shared" si="920"/>
        <v>396</v>
      </c>
      <c r="AE5902" s="14">
        <f>VLOOKUP(I5902,[2]媒体政策预估表!A:N,MATCH(O5902,[2]媒体政策预估表!$A$2:$M$2,0),0)</f>
        <v>0.10299999999999999</v>
      </c>
      <c r="AF5902" s="6">
        <f t="shared" si="917"/>
        <v>40.787999999999997</v>
      </c>
      <c r="AG5902" s="14">
        <v>0</v>
      </c>
      <c r="AH5902" s="99">
        <f t="shared" si="921"/>
        <v>396</v>
      </c>
      <c r="AI5902" s="47"/>
      <c r="AJ5902" s="126" t="e">
        <v>#N/A</v>
      </c>
      <c r="AK5902" s="80">
        <f t="shared" si="924"/>
        <v>0</v>
      </c>
      <c r="AL5902" s="85"/>
      <c r="AM5902" s="85"/>
    </row>
    <row r="5903" spans="1:39" s="86" customFormat="1" ht="13.25" hidden="1" customHeight="1" x14ac:dyDescent="0.3">
      <c r="A5903" s="89" t="s">
        <v>3792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3882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918"/>
        <v>19323.080000000002</v>
      </c>
      <c r="X5903" s="6">
        <f t="shared" si="919"/>
        <v>75902.5</v>
      </c>
      <c r="Y5903" s="13">
        <f t="shared" si="923"/>
        <v>0</v>
      </c>
      <c r="Z5903" s="66">
        <v>0</v>
      </c>
      <c r="AA5903" s="6">
        <v>0</v>
      </c>
      <c r="AB5903" s="4">
        <f t="shared" si="925"/>
        <v>75902.5</v>
      </c>
      <c r="AC5903" s="6">
        <f t="shared" si="922"/>
        <v>0</v>
      </c>
      <c r="AD5903" s="6">
        <f t="shared" si="920"/>
        <v>75902.5</v>
      </c>
      <c r="AE5903" s="14">
        <f>VLOOKUP(I5903,[2]媒体政策预估表!A:N,MATCH(O5903,[2]媒体政策预估表!$A$2:$M$2,0),0)</f>
        <v>0.10299999999999999</v>
      </c>
      <c r="AF5903" s="6">
        <f t="shared" si="917"/>
        <v>7817.9574999999995</v>
      </c>
      <c r="AG5903" s="14">
        <v>0</v>
      </c>
      <c r="AH5903" s="99">
        <f t="shared" si="921"/>
        <v>75902.5</v>
      </c>
      <c r="AI5903" s="47"/>
      <c r="AJ5903" s="126" t="e">
        <v>#N/A</v>
      </c>
      <c r="AK5903" s="80">
        <f t="shared" si="924"/>
        <v>0</v>
      </c>
      <c r="AL5903" s="85"/>
      <c r="AM5903" s="85"/>
    </row>
    <row r="5904" spans="1:39" s="86" customFormat="1" ht="13.25" hidden="1" customHeight="1" x14ac:dyDescent="0.3">
      <c r="A5904" s="89" t="s">
        <v>3852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3882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918"/>
        <v>0</v>
      </c>
      <c r="X5904" s="6">
        <f t="shared" si="919"/>
        <v>0</v>
      </c>
      <c r="Y5904" s="13">
        <f t="shared" si="923"/>
        <v>0</v>
      </c>
      <c r="Z5904" s="66">
        <v>0</v>
      </c>
      <c r="AA5904" s="6">
        <v>0</v>
      </c>
      <c r="AB5904" s="4">
        <f t="shared" si="925"/>
        <v>0</v>
      </c>
      <c r="AC5904" s="6">
        <f t="shared" si="922"/>
        <v>0</v>
      </c>
      <c r="AD5904" s="6">
        <f t="shared" si="920"/>
        <v>0</v>
      </c>
      <c r="AE5904" s="14">
        <f>VLOOKUP(I5904,[2]媒体政策预估表!A:N,MATCH(O5904,[2]媒体政策预估表!$A$2:$M$2,0),0)</f>
        <v>0.10299999999999999</v>
      </c>
      <c r="AF5904" s="6">
        <f t="shared" si="917"/>
        <v>0</v>
      </c>
      <c r="AG5904" s="14">
        <v>0</v>
      </c>
      <c r="AH5904" s="99">
        <f t="shared" si="921"/>
        <v>0</v>
      </c>
      <c r="AI5904" s="47"/>
      <c r="AJ5904" s="126" t="e">
        <v>#N/A</v>
      </c>
      <c r="AK5904" s="80">
        <f t="shared" si="924"/>
        <v>0</v>
      </c>
      <c r="AL5904" s="85"/>
      <c r="AM5904" s="85"/>
    </row>
    <row r="5905" spans="1:39" s="86" customFormat="1" ht="13.25" hidden="1" customHeight="1" x14ac:dyDescent="0.3">
      <c r="A5905" s="89" t="s">
        <v>3852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918"/>
        <v>110308.07</v>
      </c>
      <c r="X5905" s="6">
        <f t="shared" si="919"/>
        <v>309030.84999999998</v>
      </c>
      <c r="Y5905" s="13">
        <f t="shared" si="923"/>
        <v>0</v>
      </c>
      <c r="Z5905" s="66">
        <v>0</v>
      </c>
      <c r="AA5905" s="6">
        <v>0</v>
      </c>
      <c r="AB5905" s="4">
        <f t="shared" si="925"/>
        <v>309030.84999999998</v>
      </c>
      <c r="AC5905" s="6">
        <f t="shared" si="922"/>
        <v>0</v>
      </c>
      <c r="AD5905" s="6">
        <f t="shared" si="920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917"/>
        <v>31830.177549999997</v>
      </c>
      <c r="AG5905" s="14">
        <v>0</v>
      </c>
      <c r="AH5905" s="99">
        <f t="shared" si="921"/>
        <v>309030.84999999998</v>
      </c>
      <c r="AI5905" s="47"/>
      <c r="AJ5905" s="126" t="e">
        <v>#N/A</v>
      </c>
      <c r="AK5905" s="80">
        <f t="shared" si="924"/>
        <v>0</v>
      </c>
      <c r="AL5905" s="85"/>
      <c r="AM5905" s="85"/>
    </row>
    <row r="5906" spans="1:39" s="86" customFormat="1" ht="13.25" hidden="1" customHeight="1" x14ac:dyDescent="0.3">
      <c r="A5906" s="89" t="s">
        <v>3852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918"/>
        <v>265017.4599999999</v>
      </c>
      <c r="X5906" s="6">
        <f t="shared" si="919"/>
        <v>345423.7</v>
      </c>
      <c r="Y5906" s="13">
        <f t="shared" si="923"/>
        <v>0</v>
      </c>
      <c r="Z5906" s="66">
        <v>0</v>
      </c>
      <c r="AA5906" s="6">
        <v>0</v>
      </c>
      <c r="AB5906" s="4">
        <f t="shared" si="925"/>
        <v>345423.7</v>
      </c>
      <c r="AC5906" s="6">
        <f t="shared" si="922"/>
        <v>0</v>
      </c>
      <c r="AD5906" s="6">
        <f t="shared" si="920"/>
        <v>345423.7</v>
      </c>
      <c r="AE5906" s="14">
        <f>VLOOKUP(I5906,[2]媒体政策预估表!A:N,MATCH(O5906,[2]媒体政策预估表!$A$2:$M$2,0),0)</f>
        <v>0.10299999999999999</v>
      </c>
      <c r="AF5906" s="6">
        <f t="shared" si="917"/>
        <v>35578.641100000001</v>
      </c>
      <c r="AG5906" s="14">
        <v>0</v>
      </c>
      <c r="AH5906" s="99">
        <f t="shared" si="921"/>
        <v>345423.7</v>
      </c>
      <c r="AI5906" s="47"/>
      <c r="AJ5906" s="126" t="e">
        <v>#N/A</v>
      </c>
      <c r="AK5906" s="80">
        <f t="shared" si="924"/>
        <v>0</v>
      </c>
      <c r="AL5906" s="85"/>
      <c r="AM5906" s="85"/>
    </row>
    <row r="5907" spans="1:39" s="86" customFormat="1" ht="13.25" hidden="1" customHeight="1" x14ac:dyDescent="0.3">
      <c r="A5907" s="89" t="s">
        <v>3852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918"/>
        <v>143130.26999999996</v>
      </c>
      <c r="X5907" s="6">
        <f t="shared" si="919"/>
        <v>141851.95000000001</v>
      </c>
      <c r="Y5907" s="13">
        <f t="shared" si="923"/>
        <v>0</v>
      </c>
      <c r="Z5907" s="66">
        <v>0</v>
      </c>
      <c r="AA5907" s="6">
        <v>0</v>
      </c>
      <c r="AB5907" s="4">
        <f t="shared" si="925"/>
        <v>141851.95000000001</v>
      </c>
      <c r="AC5907" s="6">
        <f t="shared" si="922"/>
        <v>0</v>
      </c>
      <c r="AD5907" s="6">
        <f t="shared" si="920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917"/>
        <v>14610.75085</v>
      </c>
      <c r="AG5907" s="14">
        <v>0</v>
      </c>
      <c r="AH5907" s="99">
        <f t="shared" si="921"/>
        <v>141851.95000000001</v>
      </c>
      <c r="AI5907" s="47"/>
      <c r="AJ5907" s="126" t="e">
        <v>#N/A</v>
      </c>
      <c r="AK5907" s="80">
        <f t="shared" si="924"/>
        <v>0</v>
      </c>
      <c r="AL5907" s="85"/>
      <c r="AM5907" s="85"/>
    </row>
    <row r="5908" spans="1:39" s="86" customFormat="1" ht="13.25" hidden="1" customHeight="1" x14ac:dyDescent="0.3">
      <c r="A5908" s="89" t="s">
        <v>3852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918"/>
        <v>101592.60999999993</v>
      </c>
      <c r="X5908" s="6">
        <f t="shared" si="919"/>
        <v>268899.28000000003</v>
      </c>
      <c r="Y5908" s="13">
        <f t="shared" si="923"/>
        <v>0</v>
      </c>
      <c r="Z5908" s="66">
        <v>0</v>
      </c>
      <c r="AA5908" s="6">
        <v>0</v>
      </c>
      <c r="AB5908" s="4">
        <f t="shared" si="925"/>
        <v>268899.28000000003</v>
      </c>
      <c r="AC5908" s="6">
        <f t="shared" si="922"/>
        <v>0</v>
      </c>
      <c r="AD5908" s="6">
        <f t="shared" si="920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917"/>
        <v>27696.625840000001</v>
      </c>
      <c r="AG5908" s="14">
        <v>0</v>
      </c>
      <c r="AH5908" s="99">
        <f t="shared" si="921"/>
        <v>268899.28000000003</v>
      </c>
      <c r="AI5908" s="47"/>
      <c r="AJ5908" s="126" t="e">
        <v>#N/A</v>
      </c>
      <c r="AK5908" s="80">
        <f t="shared" si="924"/>
        <v>0</v>
      </c>
      <c r="AL5908" s="85"/>
      <c r="AM5908" s="85"/>
    </row>
    <row r="5909" spans="1:39" s="86" customFormat="1" ht="13.25" hidden="1" customHeight="1" x14ac:dyDescent="0.3">
      <c r="A5909" s="89" t="s">
        <v>3852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918"/>
        <v>64077.550000000025</v>
      </c>
      <c r="X5909" s="6">
        <f t="shared" si="919"/>
        <v>53683.99</v>
      </c>
      <c r="Y5909" s="13">
        <f t="shared" si="923"/>
        <v>0</v>
      </c>
      <c r="Z5909" s="66">
        <v>0</v>
      </c>
      <c r="AA5909" s="6">
        <v>0</v>
      </c>
      <c r="AB5909" s="4">
        <f t="shared" si="925"/>
        <v>53683.99</v>
      </c>
      <c r="AC5909" s="6">
        <f t="shared" si="922"/>
        <v>0</v>
      </c>
      <c r="AD5909" s="6">
        <f t="shared" si="920"/>
        <v>53683.99</v>
      </c>
      <c r="AE5909" s="14">
        <f>VLOOKUP(I5909,[2]媒体政策预估表!A:N,MATCH(O5909,[2]媒体政策预估表!$A$2:$M$2,0),0)</f>
        <v>0.10299999999999999</v>
      </c>
      <c r="AF5909" s="6">
        <f t="shared" si="917"/>
        <v>5529.4509699999999</v>
      </c>
      <c r="AG5909" s="14">
        <v>0</v>
      </c>
      <c r="AH5909" s="99">
        <f t="shared" si="921"/>
        <v>53683.99</v>
      </c>
      <c r="AI5909" s="47"/>
      <c r="AJ5909" s="126" t="e">
        <v>#N/A</v>
      </c>
      <c r="AK5909" s="80">
        <f t="shared" si="924"/>
        <v>0</v>
      </c>
      <c r="AL5909" s="85"/>
      <c r="AM5909" s="85"/>
    </row>
    <row r="5910" spans="1:39" s="86" customFormat="1" ht="13.25" hidden="1" customHeight="1" x14ac:dyDescent="0.3">
      <c r="A5910" s="89" t="s">
        <v>3852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918"/>
        <v>0</v>
      </c>
      <c r="X5910" s="6">
        <f t="shared" si="919"/>
        <v>0</v>
      </c>
      <c r="Y5910" s="13">
        <f t="shared" si="923"/>
        <v>0</v>
      </c>
      <c r="Z5910" s="66">
        <v>0</v>
      </c>
      <c r="AA5910" s="6">
        <v>0</v>
      </c>
      <c r="AB5910" s="4"/>
      <c r="AC5910" s="6">
        <f t="shared" si="922"/>
        <v>0</v>
      </c>
      <c r="AD5910" s="6">
        <f t="shared" si="920"/>
        <v>0</v>
      </c>
      <c r="AE5910" s="14">
        <f>VLOOKUP(I5910,[2]媒体政策预估表!A:N,MATCH(O5910,[2]媒体政策预估表!$A$2:$M$2,0),0)</f>
        <v>0.10299999999999999</v>
      </c>
      <c r="AF5910" s="6">
        <f t="shared" si="917"/>
        <v>0</v>
      </c>
      <c r="AG5910" s="14">
        <v>0</v>
      </c>
      <c r="AH5910" s="99">
        <f t="shared" si="921"/>
        <v>0</v>
      </c>
      <c r="AI5910" s="47"/>
      <c r="AJ5910" s="126">
        <v>117</v>
      </c>
      <c r="AK5910" s="80">
        <f t="shared" si="924"/>
        <v>0</v>
      </c>
      <c r="AL5910" s="85"/>
      <c r="AM5910" s="85"/>
    </row>
    <row r="5911" spans="1:39" s="86" customFormat="1" ht="13.25" hidden="1" customHeight="1" x14ac:dyDescent="0.3">
      <c r="A5911" s="89" t="s">
        <v>3852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918"/>
        <v>21003.78</v>
      </c>
      <c r="X5911" s="6">
        <f t="shared" si="919"/>
        <v>8568.1</v>
      </c>
      <c r="Y5911" s="13">
        <f t="shared" si="923"/>
        <v>0</v>
      </c>
      <c r="Z5911" s="66">
        <v>0</v>
      </c>
      <c r="AA5911" s="6">
        <v>0</v>
      </c>
      <c r="AB5911" s="4">
        <f t="shared" si="925"/>
        <v>8568.1</v>
      </c>
      <c r="AC5911" s="6">
        <f t="shared" si="922"/>
        <v>0</v>
      </c>
      <c r="AD5911" s="6">
        <f t="shared" si="920"/>
        <v>8568.1</v>
      </c>
      <c r="AE5911" s="14">
        <f>VLOOKUP(I5911,[2]媒体政策预估表!A:N,MATCH(O5911,[2]媒体政策预估表!$A$2:$M$2,0),0)</f>
        <v>0.10299999999999999</v>
      </c>
      <c r="AF5911" s="6">
        <f t="shared" si="917"/>
        <v>882.51429999999993</v>
      </c>
      <c r="AG5911" s="14">
        <v>0</v>
      </c>
      <c r="AH5911" s="99">
        <f t="shared" si="921"/>
        <v>8568.1</v>
      </c>
      <c r="AI5911" s="47"/>
      <c r="AJ5911" s="126" t="e">
        <v>#N/A</v>
      </c>
      <c r="AK5911" s="80">
        <f t="shared" si="924"/>
        <v>0</v>
      </c>
      <c r="AL5911" s="85"/>
      <c r="AM5911" s="85"/>
    </row>
    <row r="5912" spans="1:39" s="86" customFormat="1" ht="13.25" hidden="1" customHeight="1" x14ac:dyDescent="0.3">
      <c r="A5912" s="89" t="s">
        <v>3852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918"/>
        <v>15737.439999999995</v>
      </c>
      <c r="X5912" s="6">
        <f t="shared" si="919"/>
        <v>14195.04</v>
      </c>
      <c r="Y5912" s="13">
        <f t="shared" si="923"/>
        <v>0</v>
      </c>
      <c r="Z5912" s="66">
        <v>0</v>
      </c>
      <c r="AA5912" s="6">
        <v>0</v>
      </c>
      <c r="AB5912" s="4">
        <f t="shared" si="925"/>
        <v>14195.04</v>
      </c>
      <c r="AC5912" s="6">
        <f t="shared" si="922"/>
        <v>0</v>
      </c>
      <c r="AD5912" s="6">
        <f t="shared" si="920"/>
        <v>14195.04</v>
      </c>
      <c r="AE5912" s="14">
        <f>VLOOKUP(I5912,[2]媒体政策预估表!A:N,MATCH(O5912,[2]媒体政策预估表!$A$2:$M$2,0),0)</f>
        <v>0.10299999999999999</v>
      </c>
      <c r="AF5912" s="6">
        <f t="shared" si="917"/>
        <v>1462.0891200000001</v>
      </c>
      <c r="AG5912" s="14">
        <v>0</v>
      </c>
      <c r="AH5912" s="99">
        <f t="shared" si="921"/>
        <v>14195.04</v>
      </c>
      <c r="AI5912" s="47"/>
      <c r="AJ5912" s="126" t="e">
        <v>#N/A</v>
      </c>
      <c r="AK5912" s="80">
        <f t="shared" si="924"/>
        <v>0</v>
      </c>
      <c r="AL5912" s="85"/>
      <c r="AM5912" s="85"/>
    </row>
    <row r="5913" spans="1:39" s="86" customFormat="1" ht="13.25" hidden="1" customHeight="1" x14ac:dyDescent="0.3">
      <c r="A5913" s="89" t="s">
        <v>3792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918"/>
        <v>84505.829999999987</v>
      </c>
      <c r="X5913" s="6">
        <f t="shared" si="919"/>
        <v>45375.8</v>
      </c>
      <c r="Y5913" s="13">
        <f t="shared" si="923"/>
        <v>0</v>
      </c>
      <c r="Z5913" s="66">
        <v>0</v>
      </c>
      <c r="AA5913" s="6">
        <v>0</v>
      </c>
      <c r="AB5913" s="4">
        <f t="shared" si="925"/>
        <v>45375.8</v>
      </c>
      <c r="AC5913" s="6">
        <f t="shared" si="922"/>
        <v>0</v>
      </c>
      <c r="AD5913" s="6">
        <f t="shared" si="920"/>
        <v>45375.8</v>
      </c>
      <c r="AE5913" s="14">
        <f>VLOOKUP(I5913,[2]媒体政策预估表!A:N,MATCH(O5913,[2]媒体政策预估表!$A$2:$M$2,0),0)</f>
        <v>0.10299999999999999</v>
      </c>
      <c r="AF5913" s="6">
        <f t="shared" si="917"/>
        <v>4673.7074000000002</v>
      </c>
      <c r="AG5913" s="14">
        <v>0</v>
      </c>
      <c r="AH5913" s="99">
        <f t="shared" si="921"/>
        <v>45375.8</v>
      </c>
      <c r="AI5913" s="47"/>
      <c r="AJ5913" s="126" t="e">
        <v>#N/A</v>
      </c>
      <c r="AK5913" s="80">
        <f t="shared" si="924"/>
        <v>0</v>
      </c>
      <c r="AL5913" s="85"/>
      <c r="AM5913" s="85"/>
    </row>
    <row r="5914" spans="1:39" s="86" customFormat="1" ht="13.25" hidden="1" customHeight="1" x14ac:dyDescent="0.3">
      <c r="A5914" s="89" t="s">
        <v>3852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3883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918"/>
        <v>8079.89</v>
      </c>
      <c r="X5914" s="6">
        <f t="shared" si="919"/>
        <v>1920.11</v>
      </c>
      <c r="Y5914" s="13">
        <f t="shared" si="923"/>
        <v>0</v>
      </c>
      <c r="Z5914" s="66">
        <v>0</v>
      </c>
      <c r="AA5914" s="6">
        <v>0</v>
      </c>
      <c r="AB5914" s="4">
        <f t="shared" si="925"/>
        <v>1920.11</v>
      </c>
      <c r="AC5914" s="6">
        <f t="shared" si="922"/>
        <v>0</v>
      </c>
      <c r="AD5914" s="6">
        <f t="shared" si="920"/>
        <v>1920.11</v>
      </c>
      <c r="AE5914" s="14">
        <f>VLOOKUP(I5914,[2]媒体政策预估表!A:N,MATCH(O5914,[2]媒体政策预估表!$A$2:$M$2,0),0)</f>
        <v>0.10299999999999999</v>
      </c>
      <c r="AF5914" s="6">
        <f t="shared" si="917"/>
        <v>197.77132999999998</v>
      </c>
      <c r="AG5914" s="14">
        <v>0</v>
      </c>
      <c r="AH5914" s="99">
        <f t="shared" si="921"/>
        <v>1920.11</v>
      </c>
      <c r="AI5914" s="47"/>
      <c r="AJ5914" s="126" t="e">
        <v>#N/A</v>
      </c>
      <c r="AK5914" s="80">
        <f t="shared" si="924"/>
        <v>0</v>
      </c>
      <c r="AL5914" s="85"/>
      <c r="AM5914" s="85"/>
    </row>
    <row r="5915" spans="1:39" s="86" customFormat="1" ht="13.25" hidden="1" customHeight="1" x14ac:dyDescent="0.3">
      <c r="A5915" s="89" t="s">
        <v>3852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918"/>
        <v>21240.919999999984</v>
      </c>
      <c r="X5915" s="6">
        <f t="shared" si="919"/>
        <v>137617.92000000001</v>
      </c>
      <c r="Y5915" s="13">
        <f t="shared" si="923"/>
        <v>0</v>
      </c>
      <c r="Z5915" s="66">
        <v>0</v>
      </c>
      <c r="AA5915" s="6">
        <v>0</v>
      </c>
      <c r="AB5915" s="4">
        <f t="shared" si="925"/>
        <v>137617.92000000001</v>
      </c>
      <c r="AC5915" s="6">
        <f t="shared" si="922"/>
        <v>0</v>
      </c>
      <c r="AD5915" s="6">
        <f t="shared" si="920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917"/>
        <v>14174.645760000001</v>
      </c>
      <c r="AG5915" s="14">
        <v>0</v>
      </c>
      <c r="AH5915" s="99">
        <f t="shared" si="921"/>
        <v>137617.92000000001</v>
      </c>
      <c r="AI5915" s="47"/>
      <c r="AJ5915" s="126" t="e">
        <v>#N/A</v>
      </c>
      <c r="AK5915" s="80">
        <f t="shared" si="924"/>
        <v>0</v>
      </c>
      <c r="AL5915" s="85"/>
      <c r="AM5915" s="85"/>
    </row>
    <row r="5916" spans="1:39" s="86" customFormat="1" ht="13.25" hidden="1" customHeight="1" x14ac:dyDescent="0.3">
      <c r="A5916" s="89" t="s">
        <v>3792</v>
      </c>
      <c r="B5916" s="86" t="s">
        <v>35</v>
      </c>
      <c r="C5916" s="86" t="s">
        <v>184</v>
      </c>
      <c r="D5916" s="86" t="s">
        <v>54</v>
      </c>
      <c r="E5916" s="86" t="s">
        <v>3884</v>
      </c>
      <c r="F5916" s="86" t="s">
        <v>3884</v>
      </c>
      <c r="G5916" s="86" t="s">
        <v>3884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3884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918"/>
        <v>4445.2</v>
      </c>
      <c r="X5916" s="6">
        <f t="shared" si="919"/>
        <v>5554.8</v>
      </c>
      <c r="Y5916" s="13">
        <f t="shared" si="923"/>
        <v>0</v>
      </c>
      <c r="Z5916" s="66">
        <v>0</v>
      </c>
      <c r="AA5916" s="6">
        <v>0</v>
      </c>
      <c r="AB5916" s="4">
        <f t="shared" si="925"/>
        <v>5554.8</v>
      </c>
      <c r="AC5916" s="6">
        <f t="shared" si="922"/>
        <v>0</v>
      </c>
      <c r="AD5916" s="6">
        <f t="shared" si="920"/>
        <v>5554.8</v>
      </c>
      <c r="AE5916" s="14">
        <f>VLOOKUP(I5916,[2]媒体政策预估表!A:N,MATCH(O5916,[2]媒体政策预估表!$A$2:$M$2,0),0)</f>
        <v>0.10299999999999999</v>
      </c>
      <c r="AF5916" s="6">
        <f t="shared" si="917"/>
        <v>572.14440000000002</v>
      </c>
      <c r="AG5916" s="14">
        <v>0</v>
      </c>
      <c r="AH5916" s="99">
        <f t="shared" si="921"/>
        <v>5554.8</v>
      </c>
      <c r="AI5916" s="47"/>
      <c r="AJ5916" s="126" t="e">
        <v>#N/A</v>
      </c>
      <c r="AK5916" s="80">
        <f t="shared" si="924"/>
        <v>0</v>
      </c>
      <c r="AL5916" s="85"/>
      <c r="AM5916" s="85"/>
    </row>
    <row r="5917" spans="1:39" s="86" customFormat="1" ht="13.25" hidden="1" customHeight="1" x14ac:dyDescent="0.3">
      <c r="A5917" s="89" t="s">
        <v>3852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918"/>
        <v>117717.02000000002</v>
      </c>
      <c r="X5917" s="6">
        <f t="shared" si="919"/>
        <v>732099.8</v>
      </c>
      <c r="Y5917" s="13">
        <f t="shared" si="923"/>
        <v>0</v>
      </c>
      <c r="Z5917" s="66">
        <v>0</v>
      </c>
      <c r="AA5917" s="6">
        <v>0</v>
      </c>
      <c r="AB5917" s="4">
        <f t="shared" si="925"/>
        <v>732099.8</v>
      </c>
      <c r="AC5917" s="6">
        <f t="shared" si="922"/>
        <v>0</v>
      </c>
      <c r="AD5917" s="6">
        <f t="shared" si="920"/>
        <v>732099.8</v>
      </c>
      <c r="AE5917" s="14">
        <f>VLOOKUP(I5917,[2]媒体政策预估表!A:N,MATCH(O5917,[2]媒体政策预估表!$A$2:$M$2,0),0)</f>
        <v>0.10299999999999999</v>
      </c>
      <c r="AF5917" s="6">
        <f t="shared" si="917"/>
        <v>75406.279399999999</v>
      </c>
      <c r="AG5917" s="14">
        <v>0</v>
      </c>
      <c r="AH5917" s="99">
        <f t="shared" si="921"/>
        <v>732099.8</v>
      </c>
      <c r="AI5917" s="47"/>
      <c r="AJ5917" s="126" t="e">
        <v>#N/A</v>
      </c>
      <c r="AK5917" s="80">
        <f t="shared" si="924"/>
        <v>0</v>
      </c>
      <c r="AL5917" s="85"/>
      <c r="AM5917" s="85"/>
    </row>
    <row r="5918" spans="1:39" s="86" customFormat="1" ht="13.25" hidden="1" customHeight="1" x14ac:dyDescent="0.3">
      <c r="A5918" s="89" t="s">
        <v>3852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918"/>
        <v>37955.669999999925</v>
      </c>
      <c r="X5918" s="6">
        <f t="shared" si="919"/>
        <v>634442.76</v>
      </c>
      <c r="Y5918" s="13">
        <f t="shared" si="923"/>
        <v>0</v>
      </c>
      <c r="Z5918" s="66">
        <v>0</v>
      </c>
      <c r="AA5918" s="6">
        <v>0</v>
      </c>
      <c r="AB5918" s="4">
        <f t="shared" si="925"/>
        <v>634442.76</v>
      </c>
      <c r="AC5918" s="6">
        <f t="shared" si="922"/>
        <v>0</v>
      </c>
      <c r="AD5918" s="6">
        <f t="shared" si="920"/>
        <v>634442.76</v>
      </c>
      <c r="AE5918" s="14">
        <f>VLOOKUP(I5918,[2]媒体政策预估表!A:N,MATCH(O5918,[2]媒体政策预估表!$A$2:$M$2,0),0)</f>
        <v>0.10299999999999999</v>
      </c>
      <c r="AF5918" s="6">
        <f t="shared" si="917"/>
        <v>65347.60428</v>
      </c>
      <c r="AG5918" s="14">
        <v>0</v>
      </c>
      <c r="AH5918" s="99">
        <f t="shared" si="921"/>
        <v>634442.76</v>
      </c>
      <c r="AI5918" s="47"/>
      <c r="AJ5918" s="126" t="e">
        <v>#N/A</v>
      </c>
      <c r="AK5918" s="80">
        <f t="shared" si="924"/>
        <v>0</v>
      </c>
      <c r="AL5918" s="85"/>
      <c r="AM5918" s="85"/>
    </row>
    <row r="5919" spans="1:39" s="86" customFormat="1" ht="13.25" hidden="1" customHeight="1" x14ac:dyDescent="0.3">
      <c r="A5919" s="89" t="s">
        <v>3852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918"/>
        <v>55393.279999999984</v>
      </c>
      <c r="X5919" s="6">
        <f t="shared" si="919"/>
        <v>92695.77</v>
      </c>
      <c r="Y5919" s="13">
        <f t="shared" si="923"/>
        <v>0</v>
      </c>
      <c r="Z5919" s="66">
        <v>0</v>
      </c>
      <c r="AA5919" s="6">
        <v>0</v>
      </c>
      <c r="AB5919" s="4">
        <f t="shared" si="925"/>
        <v>92695.77</v>
      </c>
      <c r="AC5919" s="6">
        <f t="shared" si="922"/>
        <v>0</v>
      </c>
      <c r="AD5919" s="6">
        <f t="shared" si="920"/>
        <v>92695.77</v>
      </c>
      <c r="AE5919" s="14">
        <f>VLOOKUP(I5919,[2]媒体政策预估表!A:N,MATCH(O5919,[2]媒体政策预估表!$A$2:$M$2,0),0)</f>
        <v>0.10299999999999999</v>
      </c>
      <c r="AF5919" s="6">
        <f t="shared" si="917"/>
        <v>9547.6643100000001</v>
      </c>
      <c r="AG5919" s="14">
        <v>0</v>
      </c>
      <c r="AH5919" s="99">
        <f t="shared" si="921"/>
        <v>92695.77</v>
      </c>
      <c r="AI5919" s="47"/>
      <c r="AJ5919" s="126" t="e">
        <v>#N/A</v>
      </c>
      <c r="AK5919" s="80">
        <f t="shared" si="924"/>
        <v>0</v>
      </c>
      <c r="AL5919" s="85"/>
      <c r="AM5919" s="85"/>
    </row>
    <row r="5920" spans="1:39" s="86" customFormat="1" ht="13.25" hidden="1" customHeight="1" x14ac:dyDescent="0.3">
      <c r="A5920" s="89" t="s">
        <v>3852</v>
      </c>
      <c r="B5920" s="86" t="s">
        <v>35</v>
      </c>
      <c r="C5920" s="86" t="s">
        <v>184</v>
      </c>
      <c r="D5920" s="86" t="s">
        <v>54</v>
      </c>
      <c r="E5920" s="86" t="s">
        <v>3885</v>
      </c>
      <c r="F5920" s="86" t="s">
        <v>3885</v>
      </c>
      <c r="G5920" s="86" t="s">
        <v>3885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3885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918"/>
        <v>4500</v>
      </c>
      <c r="X5920" s="6">
        <f t="shared" si="919"/>
        <v>500</v>
      </c>
      <c r="Y5920" s="13">
        <f t="shared" si="923"/>
        <v>0</v>
      </c>
      <c r="Z5920" s="66">
        <v>0</v>
      </c>
      <c r="AA5920" s="6">
        <v>0</v>
      </c>
      <c r="AB5920" s="4"/>
      <c r="AC5920" s="6">
        <f t="shared" si="922"/>
        <v>0</v>
      </c>
      <c r="AD5920" s="6">
        <f t="shared" si="920"/>
        <v>500</v>
      </c>
      <c r="AE5920" s="14">
        <f>VLOOKUP(I5920,[2]媒体政策预估表!A:N,MATCH(O5920,[2]媒体政策预估表!$A$2:$M$2,0),0)</f>
        <v>0.10299999999999999</v>
      </c>
      <c r="AF5920" s="6">
        <f t="shared" si="917"/>
        <v>51.5</v>
      </c>
      <c r="AG5920" s="14">
        <v>0</v>
      </c>
      <c r="AH5920" s="99">
        <f t="shared" si="921"/>
        <v>500</v>
      </c>
      <c r="AI5920" s="47"/>
      <c r="AJ5920" s="126">
        <v>118</v>
      </c>
      <c r="AK5920" s="80">
        <f t="shared" si="924"/>
        <v>500</v>
      </c>
      <c r="AL5920" s="85"/>
      <c r="AM5920" s="85"/>
    </row>
    <row r="5921" spans="1:39" s="86" customFormat="1" ht="13.25" hidden="1" customHeight="1" x14ac:dyDescent="0.3">
      <c r="A5921" s="89" t="s">
        <v>3792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918"/>
        <v>23064.990000000071</v>
      </c>
      <c r="X5921" s="6">
        <f t="shared" si="919"/>
        <v>62746.860000000008</v>
      </c>
      <c r="Y5921" s="13">
        <f t="shared" si="923"/>
        <v>0</v>
      </c>
      <c r="Z5921" s="66">
        <v>0</v>
      </c>
      <c r="AA5921" s="6">
        <v>0</v>
      </c>
      <c r="AB5921" s="4">
        <f t="shared" si="925"/>
        <v>62746.860000000008</v>
      </c>
      <c r="AC5921" s="6">
        <f t="shared" si="922"/>
        <v>0</v>
      </c>
      <c r="AD5921" s="6">
        <f t="shared" si="920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917"/>
        <v>6462.9265800000003</v>
      </c>
      <c r="AG5921" s="14">
        <v>0</v>
      </c>
      <c r="AH5921" s="99">
        <f t="shared" si="921"/>
        <v>62746.860000000008</v>
      </c>
      <c r="AI5921" s="47"/>
      <c r="AJ5921" s="126" t="e">
        <v>#N/A</v>
      </c>
      <c r="AK5921" s="80">
        <f t="shared" si="924"/>
        <v>0</v>
      </c>
      <c r="AL5921" s="85"/>
      <c r="AM5921" s="85"/>
    </row>
    <row r="5922" spans="1:39" s="86" customFormat="1" ht="13.25" hidden="1" customHeight="1" x14ac:dyDescent="0.3">
      <c r="A5922" s="89" t="s">
        <v>3852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918"/>
        <v>1897489.9399999995</v>
      </c>
      <c r="X5922" s="6">
        <f t="shared" si="919"/>
        <v>5374152.3529411769</v>
      </c>
      <c r="Y5922" s="13">
        <f t="shared" si="923"/>
        <v>0</v>
      </c>
      <c r="Z5922" s="66">
        <v>0</v>
      </c>
      <c r="AA5922" s="6">
        <v>0</v>
      </c>
      <c r="AB5922" s="4">
        <f t="shared" si="925"/>
        <v>5374152.3529411769</v>
      </c>
      <c r="AC5922" s="6">
        <f t="shared" si="922"/>
        <v>107483.04705882352</v>
      </c>
      <c r="AD5922" s="6">
        <f t="shared" si="920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917"/>
        <v>564608.44620000001</v>
      </c>
      <c r="AG5922" s="14">
        <v>0</v>
      </c>
      <c r="AH5922" s="99">
        <f t="shared" si="921"/>
        <v>5481635.4000000004</v>
      </c>
      <c r="AI5922" s="47"/>
      <c r="AJ5922" s="126" t="e">
        <v>#N/A</v>
      </c>
      <c r="AK5922" s="80">
        <f t="shared" si="924"/>
        <v>0</v>
      </c>
      <c r="AL5922" s="85"/>
      <c r="AM5922" s="85"/>
    </row>
    <row r="5923" spans="1:39" s="86" customFormat="1" ht="13.25" hidden="1" customHeight="1" x14ac:dyDescent="0.3">
      <c r="A5923" s="89" t="s">
        <v>3792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918"/>
        <v>154985.61000000034</v>
      </c>
      <c r="X5923" s="6">
        <f t="shared" si="919"/>
        <v>1489898.9509803921</v>
      </c>
      <c r="Y5923" s="13">
        <f t="shared" si="923"/>
        <v>0</v>
      </c>
      <c r="Z5923" s="66">
        <v>0</v>
      </c>
      <c r="AA5923" s="6">
        <v>0</v>
      </c>
      <c r="AB5923" s="4">
        <f t="shared" si="925"/>
        <v>1489898.9509803921</v>
      </c>
      <c r="AC5923" s="6">
        <f t="shared" si="922"/>
        <v>29797.979019607883</v>
      </c>
      <c r="AD5923" s="6">
        <f t="shared" si="920"/>
        <v>1519696.93</v>
      </c>
      <c r="AE5923" s="14">
        <f>VLOOKUP(I5923,[2]媒体政策预估表!A:N,MATCH(O5923,[2]媒体政策预估表!$A$2:$M$2,0),0)</f>
        <v>0.10299999999999999</v>
      </c>
      <c r="AF5923" s="6">
        <f t="shared" si="917"/>
        <v>156528.78378999999</v>
      </c>
      <c r="AG5923" s="14">
        <v>0</v>
      </c>
      <c r="AH5923" s="99">
        <f t="shared" si="921"/>
        <v>1519696.93</v>
      </c>
      <c r="AI5923" s="47"/>
      <c r="AJ5923" s="126" t="e">
        <v>#N/A</v>
      </c>
      <c r="AK5923" s="80">
        <f t="shared" si="924"/>
        <v>0</v>
      </c>
      <c r="AL5923" s="85"/>
      <c r="AM5923" s="85"/>
    </row>
    <row r="5924" spans="1:39" s="86" customFormat="1" ht="13.25" hidden="1" customHeight="1" x14ac:dyDescent="0.3">
      <c r="A5924" s="89" t="s">
        <v>3852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3886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918"/>
        <v>84708.349999999977</v>
      </c>
      <c r="X5924" s="6">
        <f t="shared" si="919"/>
        <v>407148.67647058825</v>
      </c>
      <c r="Y5924" s="13">
        <f t="shared" si="923"/>
        <v>0</v>
      </c>
      <c r="Z5924" s="66">
        <v>0</v>
      </c>
      <c r="AA5924" s="6">
        <v>0</v>
      </c>
      <c r="AB5924" s="4">
        <f t="shared" si="925"/>
        <v>407148.67647058825</v>
      </c>
      <c r="AC5924" s="6">
        <f t="shared" si="922"/>
        <v>8142.9735294117709</v>
      </c>
      <c r="AD5924" s="6">
        <f t="shared" si="920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926">AD5924*AE5924</f>
        <v>42775.039949999998</v>
      </c>
      <c r="AG5924" s="14">
        <v>0</v>
      </c>
      <c r="AH5924" s="99">
        <f t="shared" si="921"/>
        <v>415291.65</v>
      </c>
      <c r="AI5924" s="47"/>
      <c r="AJ5924" s="126" t="e">
        <v>#N/A</v>
      </c>
      <c r="AK5924" s="80">
        <f t="shared" si="924"/>
        <v>0</v>
      </c>
      <c r="AL5924" s="85"/>
      <c r="AM5924" s="85"/>
    </row>
    <row r="5925" spans="1:39" s="86" customFormat="1" ht="13.25" hidden="1" customHeight="1" x14ac:dyDescent="0.3">
      <c r="A5925" s="89" t="s">
        <v>3852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918"/>
        <v>6808.0800000000017</v>
      </c>
      <c r="X5925" s="6">
        <f t="shared" si="919"/>
        <v>22606.901960784315</v>
      </c>
      <c r="Y5925" s="13">
        <f t="shared" si="923"/>
        <v>0</v>
      </c>
      <c r="Z5925" s="66">
        <v>0</v>
      </c>
      <c r="AA5925" s="6">
        <v>0</v>
      </c>
      <c r="AB5925" s="4">
        <f t="shared" si="925"/>
        <v>22606.901960784315</v>
      </c>
      <c r="AC5925" s="6">
        <f t="shared" si="922"/>
        <v>452.13803921568615</v>
      </c>
      <c r="AD5925" s="6">
        <f t="shared" si="920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926"/>
        <v>2375.0811199999998</v>
      </c>
      <c r="AG5925" s="14">
        <v>0</v>
      </c>
      <c r="AH5925" s="99">
        <f t="shared" si="921"/>
        <v>23059.040000000001</v>
      </c>
      <c r="AI5925" s="47"/>
      <c r="AJ5925" s="126" t="e">
        <v>#N/A</v>
      </c>
      <c r="AK5925" s="80">
        <f t="shared" si="924"/>
        <v>0</v>
      </c>
      <c r="AL5925" s="85"/>
      <c r="AM5925" s="85"/>
    </row>
    <row r="5926" spans="1:39" s="86" customFormat="1" ht="13.25" hidden="1" customHeight="1" x14ac:dyDescent="0.3">
      <c r="A5926" s="89" t="s">
        <v>3792</v>
      </c>
      <c r="B5926" s="86" t="s">
        <v>35</v>
      </c>
      <c r="C5926" s="86" t="s">
        <v>184</v>
      </c>
      <c r="D5926" s="86" t="s">
        <v>3849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918"/>
        <v>42227.059999999983</v>
      </c>
      <c r="X5926" s="6">
        <f t="shared" si="919"/>
        <v>23941.74</v>
      </c>
      <c r="Y5926" s="13">
        <f t="shared" si="923"/>
        <v>0</v>
      </c>
      <c r="Z5926" s="66">
        <v>0</v>
      </c>
      <c r="AA5926" s="6">
        <v>0</v>
      </c>
      <c r="AB5926" s="4">
        <f t="shared" si="925"/>
        <v>23941.74</v>
      </c>
      <c r="AC5926" s="6">
        <f t="shared" si="922"/>
        <v>0</v>
      </c>
      <c r="AD5926" s="6">
        <f t="shared" si="920"/>
        <v>23941.74</v>
      </c>
      <c r="AE5926" s="14">
        <f>VLOOKUP(I5926,[2]媒体政策预估表!A:N,MATCH(O5926,[2]媒体政策预估表!$A$2:$M$2,0),0)</f>
        <v>0.10299999999999999</v>
      </c>
      <c r="AF5926" s="6">
        <f t="shared" si="926"/>
        <v>2465.9992200000002</v>
      </c>
      <c r="AG5926" s="14">
        <v>0</v>
      </c>
      <c r="AH5926" s="99">
        <f t="shared" si="921"/>
        <v>23941.74</v>
      </c>
      <c r="AI5926" s="47"/>
      <c r="AJ5926" s="126" t="e">
        <v>#N/A</v>
      </c>
      <c r="AK5926" s="80">
        <f t="shared" si="924"/>
        <v>0</v>
      </c>
      <c r="AL5926" s="85"/>
      <c r="AM5926" s="85"/>
    </row>
    <row r="5927" spans="1:39" s="86" customFormat="1" ht="13.25" hidden="1" customHeight="1" x14ac:dyDescent="0.3">
      <c r="A5927" s="89" t="s">
        <v>3852</v>
      </c>
      <c r="B5927" s="86" t="s">
        <v>35</v>
      </c>
      <c r="C5927" s="86" t="s">
        <v>184</v>
      </c>
      <c r="D5927" s="86" t="s">
        <v>3849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918"/>
        <v>917825.32999999973</v>
      </c>
      <c r="X5927" s="6">
        <f t="shared" si="919"/>
        <v>697225.59</v>
      </c>
      <c r="Y5927" s="13">
        <f t="shared" si="923"/>
        <v>0</v>
      </c>
      <c r="Z5927" s="66">
        <v>0</v>
      </c>
      <c r="AA5927" s="6">
        <v>0</v>
      </c>
      <c r="AB5927" s="4">
        <f t="shared" si="925"/>
        <v>697225.59</v>
      </c>
      <c r="AC5927" s="6">
        <f t="shared" si="922"/>
        <v>0</v>
      </c>
      <c r="AD5927" s="6">
        <f t="shared" si="920"/>
        <v>697225.59</v>
      </c>
      <c r="AE5927" s="14">
        <f>VLOOKUP(I5927,[2]媒体政策预估表!A:N,MATCH(O5927,[2]媒体政策预估表!$A$2:$M$2,0),0)</f>
        <v>0.10299999999999999</v>
      </c>
      <c r="AF5927" s="6">
        <f t="shared" si="926"/>
        <v>71814.235769999999</v>
      </c>
      <c r="AG5927" s="14">
        <v>0</v>
      </c>
      <c r="AH5927" s="99">
        <f t="shared" si="921"/>
        <v>697225.59</v>
      </c>
      <c r="AI5927" s="47"/>
      <c r="AJ5927" s="126" t="e">
        <v>#N/A</v>
      </c>
      <c r="AK5927" s="80">
        <f t="shared" si="924"/>
        <v>0</v>
      </c>
      <c r="AL5927" s="85"/>
      <c r="AM5927" s="85"/>
    </row>
    <row r="5928" spans="1:39" s="86" customFormat="1" ht="13.25" hidden="1" customHeight="1" x14ac:dyDescent="0.3">
      <c r="A5928" s="89" t="s">
        <v>3852</v>
      </c>
      <c r="B5928" s="86" t="s">
        <v>35</v>
      </c>
      <c r="C5928" s="86" t="s">
        <v>184</v>
      </c>
      <c r="D5928" s="86" t="s">
        <v>3849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918"/>
        <v>1908751.3800000004</v>
      </c>
      <c r="X5928" s="6">
        <f t="shared" si="919"/>
        <v>770681.4</v>
      </c>
      <c r="Y5928" s="13">
        <f t="shared" si="923"/>
        <v>0</v>
      </c>
      <c r="Z5928" s="66">
        <v>0</v>
      </c>
      <c r="AA5928" s="6">
        <v>0</v>
      </c>
      <c r="AB5928" s="4">
        <f t="shared" si="925"/>
        <v>770681.4</v>
      </c>
      <c r="AC5928" s="6">
        <f t="shared" si="922"/>
        <v>0</v>
      </c>
      <c r="AD5928" s="6">
        <f t="shared" si="920"/>
        <v>770681.4</v>
      </c>
      <c r="AE5928" s="14">
        <f>VLOOKUP(I5928,[2]媒体政策预估表!A:N,MATCH(O5928,[2]媒体政策预估表!$A$2:$M$2,0),0)</f>
        <v>0.10299999999999999</v>
      </c>
      <c r="AF5928" s="6">
        <f t="shared" si="926"/>
        <v>79380.184200000003</v>
      </c>
      <c r="AG5928" s="14">
        <v>0</v>
      </c>
      <c r="AH5928" s="99">
        <f t="shared" si="921"/>
        <v>770681.4</v>
      </c>
      <c r="AI5928" s="47"/>
      <c r="AJ5928" s="126" t="e">
        <v>#N/A</v>
      </c>
      <c r="AK5928" s="80">
        <f t="shared" si="924"/>
        <v>0</v>
      </c>
      <c r="AL5928" s="85"/>
      <c r="AM5928" s="85"/>
    </row>
    <row r="5929" spans="1:39" s="86" customFormat="1" ht="13.25" hidden="1" customHeight="1" x14ac:dyDescent="0.3">
      <c r="A5929" s="89" t="s">
        <v>3852</v>
      </c>
      <c r="B5929" s="86" t="s">
        <v>35</v>
      </c>
      <c r="C5929" s="86" t="s">
        <v>184</v>
      </c>
      <c r="D5929" s="86" t="s">
        <v>3849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927">T5929+U5929-V5929</f>
        <v>100000</v>
      </c>
      <c r="X5929" s="6">
        <f t="shared" ref="X5929:X5992" si="928">IF(P5929="折扣",V5929*Q5929,IF(P5929="返现",V5929,V5929/(1+Q5929)))</f>
        <v>0</v>
      </c>
      <c r="Y5929" s="13">
        <f t="shared" si="923"/>
        <v>0</v>
      </c>
      <c r="Z5929" s="66">
        <v>0</v>
      </c>
      <c r="AA5929" s="6">
        <v>0</v>
      </c>
      <c r="AB5929" s="4">
        <f t="shared" si="925"/>
        <v>0</v>
      </c>
      <c r="AC5929" s="6">
        <f t="shared" si="922"/>
        <v>0</v>
      </c>
      <c r="AD5929" s="6">
        <f t="shared" ref="AD5929:AD5992" si="929">V5929</f>
        <v>0</v>
      </c>
      <c r="AE5929" s="14">
        <f>VLOOKUP(I5929,[2]媒体政策预估表!A:N,MATCH(O5929,[2]媒体政策预估表!$A$2:$M$2,0),0)</f>
        <v>0.10299999999999999</v>
      </c>
      <c r="AF5929" s="6">
        <f t="shared" si="926"/>
        <v>0</v>
      </c>
      <c r="AG5929" s="14">
        <v>0</v>
      </c>
      <c r="AH5929" s="99">
        <f t="shared" ref="AH5929:AH5992" si="930">V5929</f>
        <v>0</v>
      </c>
      <c r="AI5929" s="47"/>
      <c r="AJ5929" s="126" t="e">
        <v>#N/A</v>
      </c>
      <c r="AK5929" s="80">
        <f t="shared" si="924"/>
        <v>0</v>
      </c>
      <c r="AL5929" s="85"/>
      <c r="AM5929" s="85"/>
    </row>
    <row r="5930" spans="1:39" s="86" customFormat="1" ht="13.25" hidden="1" customHeight="1" x14ac:dyDescent="0.3">
      <c r="A5930" s="89" t="s">
        <v>3794</v>
      </c>
      <c r="B5930" s="86" t="s">
        <v>35</v>
      </c>
      <c r="C5930" s="86" t="s">
        <v>184</v>
      </c>
      <c r="D5930" s="86" t="s">
        <v>3849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3887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927"/>
        <v>87438.97</v>
      </c>
      <c r="X5930" s="6">
        <f t="shared" si="928"/>
        <v>12561.03</v>
      </c>
      <c r="Y5930" s="13">
        <f t="shared" si="923"/>
        <v>0</v>
      </c>
      <c r="Z5930" s="66">
        <v>0</v>
      </c>
      <c r="AA5930" s="6">
        <v>0</v>
      </c>
      <c r="AB5930" s="4">
        <f t="shared" si="925"/>
        <v>12561.03</v>
      </c>
      <c r="AC5930" s="6">
        <f t="shared" si="922"/>
        <v>0</v>
      </c>
      <c r="AD5930" s="6">
        <f t="shared" si="929"/>
        <v>12561.03</v>
      </c>
      <c r="AE5930" s="14">
        <f>VLOOKUP(I5930,[2]媒体政策预估表!A:N,MATCH(O5930,[2]媒体政策预估表!$A$2:$M$2,0),0)</f>
        <v>0.10299999999999999</v>
      </c>
      <c r="AF5930" s="6">
        <f t="shared" si="926"/>
        <v>1293.7860900000001</v>
      </c>
      <c r="AG5930" s="14">
        <v>0</v>
      </c>
      <c r="AH5930" s="99">
        <f t="shared" si="930"/>
        <v>12561.03</v>
      </c>
      <c r="AI5930" s="47"/>
      <c r="AJ5930" s="126" t="e">
        <v>#N/A</v>
      </c>
      <c r="AK5930" s="80">
        <f t="shared" si="924"/>
        <v>0</v>
      </c>
      <c r="AL5930" s="85"/>
      <c r="AM5930" s="85"/>
    </row>
    <row r="5931" spans="1:39" s="86" customFormat="1" ht="13.25" hidden="1" customHeight="1" x14ac:dyDescent="0.3">
      <c r="A5931" s="89" t="s">
        <v>3794</v>
      </c>
      <c r="B5931" s="86" t="s">
        <v>35</v>
      </c>
      <c r="C5931" s="86" t="s">
        <v>184</v>
      </c>
      <c r="D5931" s="86" t="s">
        <v>3849</v>
      </c>
      <c r="E5931" s="86" t="s">
        <v>3888</v>
      </c>
      <c r="F5931" s="86" t="s">
        <v>3888</v>
      </c>
      <c r="G5931" s="86" t="s">
        <v>3888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3888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927"/>
        <v>110159.44</v>
      </c>
      <c r="X5931" s="6">
        <f t="shared" si="928"/>
        <v>59840.56</v>
      </c>
      <c r="Y5931" s="13">
        <f t="shared" si="923"/>
        <v>0</v>
      </c>
      <c r="Z5931" s="66">
        <v>0</v>
      </c>
      <c r="AA5931" s="6">
        <v>0</v>
      </c>
      <c r="AB5931" s="4">
        <f t="shared" si="925"/>
        <v>59840.56</v>
      </c>
      <c r="AC5931" s="6">
        <f t="shared" si="922"/>
        <v>0</v>
      </c>
      <c r="AD5931" s="6">
        <f t="shared" si="929"/>
        <v>59840.56</v>
      </c>
      <c r="AE5931" s="14">
        <f>VLOOKUP(I5931,[2]媒体政策预估表!A:N,MATCH(O5931,[2]媒体政策预估表!$A$2:$M$2,0),0)</f>
        <v>0.10299999999999999</v>
      </c>
      <c r="AF5931" s="6">
        <f t="shared" si="926"/>
        <v>6163.5776799999994</v>
      </c>
      <c r="AG5931" s="14">
        <v>0</v>
      </c>
      <c r="AH5931" s="99">
        <f t="shared" si="930"/>
        <v>59840.56</v>
      </c>
      <c r="AI5931" s="47"/>
      <c r="AJ5931" s="126" t="e">
        <v>#N/A</v>
      </c>
      <c r="AK5931" s="80">
        <f t="shared" si="924"/>
        <v>0</v>
      </c>
      <c r="AL5931" s="85"/>
      <c r="AM5931" s="85"/>
    </row>
    <row r="5932" spans="1:39" s="86" customFormat="1" ht="13.25" hidden="1" customHeight="1" x14ac:dyDescent="0.3">
      <c r="A5932" s="89" t="s">
        <v>3794</v>
      </c>
      <c r="B5932" s="86" t="s">
        <v>35</v>
      </c>
      <c r="C5932" s="86" t="s">
        <v>184</v>
      </c>
      <c r="D5932" s="86" t="s">
        <v>3849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927"/>
        <v>50716.729999999981</v>
      </c>
      <c r="X5932" s="6">
        <f t="shared" si="928"/>
        <v>281253.72277227725</v>
      </c>
      <c r="Y5932" s="13">
        <f t="shared" si="923"/>
        <v>0</v>
      </c>
      <c r="Z5932" s="66">
        <v>0</v>
      </c>
      <c r="AA5932" s="6">
        <v>0</v>
      </c>
      <c r="AB5932" s="4">
        <f t="shared" si="925"/>
        <v>281253.72277227725</v>
      </c>
      <c r="AC5932" s="6">
        <f t="shared" si="922"/>
        <v>2812.537227722758</v>
      </c>
      <c r="AD5932" s="6">
        <f t="shared" si="929"/>
        <v>284066.26</v>
      </c>
      <c r="AE5932" s="14">
        <f>VLOOKUP(I5932,[2]媒体政策预估表!A:N,MATCH(O5932,[2]媒体政策预估表!$A$2:$M$2,0),0)</f>
        <v>0.10299999999999999</v>
      </c>
      <c r="AF5932" s="6">
        <f t="shared" si="926"/>
        <v>29258.824779999999</v>
      </c>
      <c r="AG5932" s="14">
        <v>0</v>
      </c>
      <c r="AH5932" s="99">
        <f t="shared" si="930"/>
        <v>284066.26</v>
      </c>
      <c r="AI5932" s="47"/>
      <c r="AJ5932" s="126" t="e">
        <v>#N/A</v>
      </c>
      <c r="AK5932" s="80">
        <f t="shared" si="924"/>
        <v>0</v>
      </c>
      <c r="AL5932" s="85"/>
      <c r="AM5932" s="85"/>
    </row>
    <row r="5933" spans="1:39" s="86" customFormat="1" ht="13.25" hidden="1" customHeight="1" x14ac:dyDescent="0.3">
      <c r="A5933" s="89" t="s">
        <v>3794</v>
      </c>
      <c r="B5933" s="86" t="s">
        <v>35</v>
      </c>
      <c r="C5933" s="86" t="s">
        <v>184</v>
      </c>
      <c r="D5933" s="86" t="s">
        <v>3849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927"/>
        <v>549269.05999999982</v>
      </c>
      <c r="X5933" s="6">
        <f t="shared" si="928"/>
        <v>58819.637254901958</v>
      </c>
      <c r="Y5933" s="13">
        <f t="shared" si="923"/>
        <v>0</v>
      </c>
      <c r="Z5933" s="66">
        <v>0</v>
      </c>
      <c r="AA5933" s="6">
        <v>0</v>
      </c>
      <c r="AB5933" s="4">
        <f t="shared" si="925"/>
        <v>58819.637254901958</v>
      </c>
      <c r="AC5933" s="6">
        <f t="shared" si="922"/>
        <v>1176.3927450980409</v>
      </c>
      <c r="AD5933" s="6">
        <f t="shared" si="929"/>
        <v>59996.03</v>
      </c>
      <c r="AE5933" s="14">
        <f>VLOOKUP(I5933,[2]媒体政策预估表!A:N,MATCH(O5933,[2]媒体政策预估表!$A$2:$M$2,0),0)</f>
        <v>0.10299999999999999</v>
      </c>
      <c r="AF5933" s="6">
        <f t="shared" si="926"/>
        <v>6179.5910899999999</v>
      </c>
      <c r="AG5933" s="14">
        <v>0</v>
      </c>
      <c r="AH5933" s="99">
        <f t="shared" si="930"/>
        <v>59996.03</v>
      </c>
      <c r="AI5933" s="47"/>
      <c r="AJ5933" s="126" t="e">
        <v>#N/A</v>
      </c>
      <c r="AK5933" s="80">
        <f t="shared" si="924"/>
        <v>0</v>
      </c>
      <c r="AL5933" s="85"/>
      <c r="AM5933" s="85"/>
    </row>
    <row r="5934" spans="1:39" s="86" customFormat="1" ht="13.25" hidden="1" customHeight="1" x14ac:dyDescent="0.3">
      <c r="A5934" s="89" t="s">
        <v>3792</v>
      </c>
      <c r="B5934" s="86" t="s">
        <v>35</v>
      </c>
      <c r="C5934" s="86" t="s">
        <v>184</v>
      </c>
      <c r="D5934" s="86" t="s">
        <v>3849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927"/>
        <v>52827.359999999884</v>
      </c>
      <c r="X5934" s="6">
        <f t="shared" si="928"/>
        <v>62000</v>
      </c>
      <c r="Y5934" s="13">
        <f t="shared" si="923"/>
        <v>0</v>
      </c>
      <c r="Z5934" s="66">
        <v>0</v>
      </c>
      <c r="AA5934" s="6">
        <v>0</v>
      </c>
      <c r="AB5934" s="4">
        <f t="shared" si="925"/>
        <v>62000</v>
      </c>
      <c r="AC5934" s="6">
        <f t="shared" si="922"/>
        <v>0</v>
      </c>
      <c r="AD5934" s="6">
        <f t="shared" si="929"/>
        <v>62000</v>
      </c>
      <c r="AE5934" s="14">
        <f>VLOOKUP(I5934,[2]媒体政策预估表!A:N,MATCH(O5934,[2]媒体政策预估表!$A$2:$M$2,0),0)</f>
        <v>0.10299999999999999</v>
      </c>
      <c r="AF5934" s="6">
        <f t="shared" si="926"/>
        <v>6386</v>
      </c>
      <c r="AG5934" s="14">
        <v>0</v>
      </c>
      <c r="AH5934" s="99">
        <f t="shared" si="930"/>
        <v>62000</v>
      </c>
      <c r="AI5934" s="47"/>
      <c r="AJ5934" s="126" t="e">
        <v>#N/A</v>
      </c>
      <c r="AK5934" s="80">
        <f t="shared" si="924"/>
        <v>0</v>
      </c>
      <c r="AL5934" s="85"/>
      <c r="AM5934" s="85"/>
    </row>
    <row r="5935" spans="1:39" s="86" customFormat="1" ht="13.25" hidden="1" customHeight="1" x14ac:dyDescent="0.3">
      <c r="A5935" s="89" t="s">
        <v>3792</v>
      </c>
      <c r="B5935" s="86" t="s">
        <v>35</v>
      </c>
      <c r="C5935" s="86" t="s">
        <v>184</v>
      </c>
      <c r="D5935" s="86" t="s">
        <v>3849</v>
      </c>
      <c r="E5935" s="86" t="s">
        <v>3889</v>
      </c>
      <c r="F5935" s="86" t="s">
        <v>3889</v>
      </c>
      <c r="G5935" s="86" t="s">
        <v>3889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3890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927"/>
        <v>47260.3</v>
      </c>
      <c r="X5935" s="6">
        <f t="shared" si="928"/>
        <v>2739.7</v>
      </c>
      <c r="Y5935" s="13">
        <f t="shared" si="923"/>
        <v>0</v>
      </c>
      <c r="Z5935" s="66">
        <v>0</v>
      </c>
      <c r="AA5935" s="6">
        <v>0</v>
      </c>
      <c r="AB5935" s="4">
        <f t="shared" si="925"/>
        <v>2739.7</v>
      </c>
      <c r="AC5935" s="6">
        <f t="shared" si="922"/>
        <v>0</v>
      </c>
      <c r="AD5935" s="6">
        <f t="shared" si="929"/>
        <v>2739.7</v>
      </c>
      <c r="AE5935" s="14">
        <f>VLOOKUP(I5935,[2]媒体政策预估表!A:N,MATCH(O5935,[2]媒体政策预估表!$A$2:$M$2,0),0)</f>
        <v>0.10299999999999999</v>
      </c>
      <c r="AF5935" s="6">
        <f t="shared" si="926"/>
        <v>282.18909999999994</v>
      </c>
      <c r="AG5935" s="14">
        <v>0</v>
      </c>
      <c r="AH5935" s="99">
        <f t="shared" si="930"/>
        <v>2739.7</v>
      </c>
      <c r="AI5935" s="47"/>
      <c r="AJ5935" s="126" t="e">
        <v>#N/A</v>
      </c>
      <c r="AK5935" s="80">
        <f t="shared" si="924"/>
        <v>0</v>
      </c>
      <c r="AL5935" s="85"/>
      <c r="AM5935" s="85"/>
    </row>
    <row r="5936" spans="1:39" s="86" customFormat="1" ht="13.25" hidden="1" customHeight="1" x14ac:dyDescent="0.3">
      <c r="A5936" s="89" t="s">
        <v>3792</v>
      </c>
      <c r="B5936" s="86" t="s">
        <v>35</v>
      </c>
      <c r="C5936" s="86" t="s">
        <v>184</v>
      </c>
      <c r="D5936" s="86" t="s">
        <v>3849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927"/>
        <v>4818.0799999999972</v>
      </c>
      <c r="X5936" s="6">
        <f t="shared" si="928"/>
        <v>7400.64</v>
      </c>
      <c r="Y5936" s="13">
        <f t="shared" si="923"/>
        <v>0</v>
      </c>
      <c r="Z5936" s="66">
        <v>0</v>
      </c>
      <c r="AA5936" s="6">
        <v>0</v>
      </c>
      <c r="AB5936" s="4">
        <f t="shared" si="925"/>
        <v>7400.64</v>
      </c>
      <c r="AC5936" s="6">
        <f t="shared" si="922"/>
        <v>0</v>
      </c>
      <c r="AD5936" s="6">
        <f t="shared" si="929"/>
        <v>7400.64</v>
      </c>
      <c r="AE5936" s="14">
        <f>VLOOKUP(I5936,[2]媒体政策预估表!A:N,MATCH(O5936,[2]媒体政策预估表!$A$2:$M$2,0),0)</f>
        <v>0.10299999999999999</v>
      </c>
      <c r="AF5936" s="6">
        <f t="shared" si="926"/>
        <v>762.26591999999994</v>
      </c>
      <c r="AG5936" s="14">
        <v>0</v>
      </c>
      <c r="AH5936" s="99">
        <f t="shared" si="930"/>
        <v>7400.64</v>
      </c>
      <c r="AI5936" s="47"/>
      <c r="AJ5936" s="126" t="e">
        <v>#N/A</v>
      </c>
      <c r="AK5936" s="80">
        <f t="shared" si="924"/>
        <v>0</v>
      </c>
      <c r="AL5936" s="85"/>
      <c r="AM5936" s="85"/>
    </row>
    <row r="5937" spans="1:39" s="86" customFormat="1" ht="13.25" hidden="1" customHeight="1" x14ac:dyDescent="0.3">
      <c r="A5937" s="89" t="s">
        <v>3794</v>
      </c>
      <c r="B5937" s="86" t="s">
        <v>35</v>
      </c>
      <c r="C5937" s="86" t="s">
        <v>184</v>
      </c>
      <c r="D5937" s="86" t="s">
        <v>3849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927"/>
        <v>114417.82000000004</v>
      </c>
      <c r="X5937" s="6">
        <f t="shared" si="928"/>
        <v>195286.15</v>
      </c>
      <c r="Y5937" s="13">
        <f t="shared" si="923"/>
        <v>0</v>
      </c>
      <c r="Z5937" s="66">
        <v>0</v>
      </c>
      <c r="AA5937" s="6">
        <v>0</v>
      </c>
      <c r="AB5937" s="4">
        <f t="shared" si="925"/>
        <v>195286.15</v>
      </c>
      <c r="AC5937" s="6">
        <f t="shared" si="922"/>
        <v>0</v>
      </c>
      <c r="AD5937" s="6">
        <f t="shared" si="929"/>
        <v>195286.15</v>
      </c>
      <c r="AE5937" s="14">
        <f>VLOOKUP(I5937,[2]媒体政策预估表!A:N,MATCH(O5937,[2]媒体政策预估表!$A$2:$M$2,0),0)</f>
        <v>0.10299999999999999</v>
      </c>
      <c r="AF5937" s="6">
        <f t="shared" si="926"/>
        <v>20114.473449999998</v>
      </c>
      <c r="AG5937" s="14">
        <v>0</v>
      </c>
      <c r="AH5937" s="99">
        <f t="shared" si="930"/>
        <v>195286.15</v>
      </c>
      <c r="AI5937" s="47"/>
      <c r="AJ5937" s="126" t="e">
        <v>#N/A</v>
      </c>
      <c r="AK5937" s="80">
        <f t="shared" si="924"/>
        <v>0</v>
      </c>
      <c r="AL5937" s="85"/>
      <c r="AM5937" s="85"/>
    </row>
    <row r="5938" spans="1:39" s="86" customFormat="1" ht="13.25" hidden="1" customHeight="1" x14ac:dyDescent="0.3">
      <c r="A5938" s="89" t="s">
        <v>3792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927"/>
        <v>2469.9999999999982</v>
      </c>
      <c r="X5938" s="6">
        <f t="shared" si="928"/>
        <v>2654.9019607843138</v>
      </c>
      <c r="Y5938" s="13">
        <f t="shared" si="923"/>
        <v>0</v>
      </c>
      <c r="Z5938" s="14">
        <v>0</v>
      </c>
      <c r="AA5938" s="6">
        <v>0</v>
      </c>
      <c r="AB5938" s="4">
        <f t="shared" si="925"/>
        <v>2654.9019607843138</v>
      </c>
      <c r="AC5938" s="6">
        <f t="shared" si="922"/>
        <v>53.098039215686185</v>
      </c>
      <c r="AD5938" s="6">
        <f t="shared" si="929"/>
        <v>2708</v>
      </c>
      <c r="AE5938" s="14">
        <f>VLOOKUP(I5938,[2]媒体政策预估表!A:N,MATCH(O5938,[2]媒体政策预估表!$A$2:$M$2,0),0)</f>
        <v>0.10299999999999999</v>
      </c>
      <c r="AF5938" s="6">
        <f t="shared" si="926"/>
        <v>278.92399999999998</v>
      </c>
      <c r="AG5938" s="14">
        <v>0</v>
      </c>
      <c r="AH5938" s="99">
        <f t="shared" si="930"/>
        <v>2708</v>
      </c>
      <c r="AI5938" s="47"/>
      <c r="AJ5938" s="126" t="e">
        <v>#N/A</v>
      </c>
      <c r="AK5938" s="80">
        <f t="shared" si="924"/>
        <v>0</v>
      </c>
      <c r="AL5938" s="85"/>
      <c r="AM5938" s="85"/>
    </row>
    <row r="5939" spans="1:39" s="86" customFormat="1" ht="13.25" hidden="1" customHeight="1" x14ac:dyDescent="0.3">
      <c r="A5939" s="89" t="s">
        <v>3792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927"/>
        <v>12583.830000000067</v>
      </c>
      <c r="X5939" s="6">
        <f t="shared" si="928"/>
        <v>6250.07</v>
      </c>
      <c r="Y5939" s="13">
        <f t="shared" si="923"/>
        <v>0</v>
      </c>
      <c r="Z5939" s="14">
        <v>0</v>
      </c>
      <c r="AA5939" s="6">
        <v>0</v>
      </c>
      <c r="AB5939" s="4">
        <f t="shared" si="925"/>
        <v>6250.07</v>
      </c>
      <c r="AC5939" s="6">
        <f t="shared" si="922"/>
        <v>0</v>
      </c>
      <c r="AD5939" s="6">
        <f t="shared" si="929"/>
        <v>6250.07</v>
      </c>
      <c r="AE5939" s="14">
        <f>VLOOKUP(I5939,[2]媒体政策预估表!A:N,MATCH(O5939,[2]媒体政策预估表!$A$2:$M$2,0),0)</f>
        <v>0.10299999999999999</v>
      </c>
      <c r="AF5939" s="6">
        <f t="shared" si="926"/>
        <v>643.75720999999999</v>
      </c>
      <c r="AG5939" s="14">
        <v>0</v>
      </c>
      <c r="AH5939" s="99">
        <f t="shared" si="930"/>
        <v>6250.07</v>
      </c>
      <c r="AI5939" s="47"/>
      <c r="AJ5939" s="126" t="e">
        <v>#N/A</v>
      </c>
      <c r="AK5939" s="80">
        <f t="shared" si="924"/>
        <v>0</v>
      </c>
      <c r="AL5939" s="85"/>
      <c r="AM5939" s="85"/>
    </row>
    <row r="5940" spans="1:39" s="86" customFormat="1" ht="13.25" hidden="1" customHeight="1" x14ac:dyDescent="0.3">
      <c r="A5940" s="89" t="s">
        <v>3794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927"/>
        <v>0</v>
      </c>
      <c r="X5940" s="6">
        <f t="shared" si="928"/>
        <v>9900.9900990099013</v>
      </c>
      <c r="Y5940" s="13">
        <f t="shared" si="923"/>
        <v>0</v>
      </c>
      <c r="Z5940" s="14">
        <v>0</v>
      </c>
      <c r="AA5940" s="6">
        <v>0</v>
      </c>
      <c r="AB5940" s="4">
        <f t="shared" si="925"/>
        <v>9900.9900990099013</v>
      </c>
      <c r="AC5940" s="6">
        <f t="shared" si="922"/>
        <v>99.009900990098686</v>
      </c>
      <c r="AD5940" s="6">
        <f t="shared" si="929"/>
        <v>10000</v>
      </c>
      <c r="AE5940" s="14">
        <f>VLOOKUP(I5940,[2]媒体政策预估表!A:N,MATCH(O5940,[2]媒体政策预估表!$A$2:$M$2,0),0)</f>
        <v>0.10299999999999999</v>
      </c>
      <c r="AF5940" s="6">
        <f t="shared" si="926"/>
        <v>1030</v>
      </c>
      <c r="AG5940" s="14">
        <v>0</v>
      </c>
      <c r="AH5940" s="99">
        <f t="shared" si="930"/>
        <v>10000</v>
      </c>
      <c r="AI5940" s="47"/>
      <c r="AJ5940" s="126" t="e">
        <v>#N/A</v>
      </c>
      <c r="AK5940" s="80">
        <f t="shared" si="924"/>
        <v>0</v>
      </c>
      <c r="AL5940" s="85"/>
      <c r="AM5940" s="85"/>
    </row>
    <row r="5941" spans="1:39" s="86" customFormat="1" ht="13.25" hidden="1" customHeight="1" x14ac:dyDescent="0.3">
      <c r="A5941" s="89" t="s">
        <v>3792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927"/>
        <v>23930.83</v>
      </c>
      <c r="X5941" s="6">
        <f t="shared" si="928"/>
        <v>0</v>
      </c>
      <c r="Y5941" s="13">
        <f t="shared" si="923"/>
        <v>0</v>
      </c>
      <c r="Z5941" s="14">
        <v>0</v>
      </c>
      <c r="AA5941" s="6">
        <v>0</v>
      </c>
      <c r="AB5941" s="4">
        <f t="shared" si="925"/>
        <v>0</v>
      </c>
      <c r="AC5941" s="6">
        <f t="shared" si="922"/>
        <v>0</v>
      </c>
      <c r="AD5941" s="6">
        <f t="shared" si="929"/>
        <v>0</v>
      </c>
      <c r="AE5941" s="14">
        <f>VLOOKUP(I5941,[2]媒体政策预估表!A:N,MATCH(O5941,[2]媒体政策预估表!$A$2:$M$2,0),0)</f>
        <v>0.10299999999999999</v>
      </c>
      <c r="AF5941" s="6">
        <f t="shared" si="926"/>
        <v>0</v>
      </c>
      <c r="AG5941" s="14">
        <v>0</v>
      </c>
      <c r="AH5941" s="99">
        <f t="shared" si="930"/>
        <v>0</v>
      </c>
      <c r="AI5941" s="47"/>
      <c r="AJ5941" s="126" t="e">
        <v>#N/A</v>
      </c>
      <c r="AK5941" s="80">
        <f t="shared" si="924"/>
        <v>0</v>
      </c>
      <c r="AL5941" s="85"/>
      <c r="AM5941" s="85"/>
    </row>
    <row r="5942" spans="1:39" s="86" customFormat="1" ht="13.25" hidden="1" customHeight="1" x14ac:dyDescent="0.3">
      <c r="A5942" s="89" t="s">
        <v>3794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927"/>
        <v>1176.4799999999959</v>
      </c>
      <c r="X5942" s="6">
        <f t="shared" si="928"/>
        <v>16968.460784313727</v>
      </c>
      <c r="Y5942" s="13">
        <f t="shared" si="923"/>
        <v>0</v>
      </c>
      <c r="Z5942" s="14">
        <v>0</v>
      </c>
      <c r="AA5942" s="6">
        <v>0</v>
      </c>
      <c r="AB5942" s="4">
        <f t="shared" si="925"/>
        <v>16968.460784313727</v>
      </c>
      <c r="AC5942" s="6">
        <f t="shared" si="922"/>
        <v>339.3692156862744</v>
      </c>
      <c r="AD5942" s="6">
        <f t="shared" si="929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926"/>
        <v>1782.70649</v>
      </c>
      <c r="AG5942" s="14">
        <v>0</v>
      </c>
      <c r="AH5942" s="99">
        <f t="shared" si="930"/>
        <v>17307.830000000002</v>
      </c>
      <c r="AI5942" s="47"/>
      <c r="AJ5942" s="126" t="e">
        <v>#N/A</v>
      </c>
      <c r="AK5942" s="80">
        <f t="shared" si="924"/>
        <v>0</v>
      </c>
      <c r="AL5942" s="85"/>
      <c r="AM5942" s="85"/>
    </row>
    <row r="5943" spans="1:39" s="86" customFormat="1" ht="13.25" hidden="1" customHeight="1" x14ac:dyDescent="0.3">
      <c r="A5943" s="89" t="s">
        <v>3792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927"/>
        <v>172076.80999999997</v>
      </c>
      <c r="X5943" s="6">
        <f t="shared" si="928"/>
        <v>0</v>
      </c>
      <c r="Y5943" s="13">
        <f t="shared" si="923"/>
        <v>0</v>
      </c>
      <c r="Z5943" s="14">
        <v>0</v>
      </c>
      <c r="AA5943" s="6">
        <v>0</v>
      </c>
      <c r="AB5943" s="4">
        <f t="shared" si="925"/>
        <v>0</v>
      </c>
      <c r="AC5943" s="6">
        <f t="shared" si="922"/>
        <v>0</v>
      </c>
      <c r="AD5943" s="6">
        <f t="shared" si="929"/>
        <v>0</v>
      </c>
      <c r="AE5943" s="14">
        <f>VLOOKUP(I5943,[2]媒体政策预估表!A:N,MATCH(O5943,[2]媒体政策预估表!$A$2:$M$2,0),0)</f>
        <v>0.10299999999999999</v>
      </c>
      <c r="AF5943" s="6">
        <f t="shared" si="926"/>
        <v>0</v>
      </c>
      <c r="AG5943" s="14">
        <v>0</v>
      </c>
      <c r="AH5943" s="99">
        <f t="shared" si="930"/>
        <v>0</v>
      </c>
      <c r="AI5943" s="47"/>
      <c r="AJ5943" s="126" t="e">
        <v>#N/A</v>
      </c>
      <c r="AK5943" s="80">
        <f t="shared" si="924"/>
        <v>0</v>
      </c>
      <c r="AL5943" s="85"/>
      <c r="AM5943" s="85"/>
    </row>
    <row r="5944" spans="1:39" s="86" customFormat="1" ht="13.25" hidden="1" customHeight="1" x14ac:dyDescent="0.3">
      <c r="A5944" s="89" t="s">
        <v>3792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927"/>
        <v>312908.65000000002</v>
      </c>
      <c r="X5944" s="6">
        <f t="shared" si="928"/>
        <v>21010.784313725489</v>
      </c>
      <c r="Y5944" s="13">
        <f t="shared" si="923"/>
        <v>0</v>
      </c>
      <c r="Z5944" s="14">
        <v>0</v>
      </c>
      <c r="AA5944" s="6">
        <v>0</v>
      </c>
      <c r="AB5944" s="4">
        <f t="shared" si="925"/>
        <v>21010.784313725489</v>
      </c>
      <c r="AC5944" s="6">
        <f t="shared" si="922"/>
        <v>420.21568627451052</v>
      </c>
      <c r="AD5944" s="6">
        <f t="shared" si="929"/>
        <v>21431</v>
      </c>
      <c r="AE5944" s="14">
        <f>VLOOKUP(I5944,[2]媒体政策预估表!A:N,MATCH(O5944,[2]媒体政策预估表!$A$2:$M$2,0),0)</f>
        <v>0.10299999999999999</v>
      </c>
      <c r="AF5944" s="6">
        <f t="shared" si="926"/>
        <v>2207.393</v>
      </c>
      <c r="AG5944" s="14">
        <v>0</v>
      </c>
      <c r="AH5944" s="99">
        <f t="shared" si="930"/>
        <v>21431</v>
      </c>
      <c r="AI5944" s="47"/>
      <c r="AJ5944" s="126" t="e">
        <v>#N/A</v>
      </c>
      <c r="AK5944" s="80">
        <f t="shared" si="924"/>
        <v>0</v>
      </c>
      <c r="AL5944" s="85"/>
      <c r="AM5944" s="85"/>
    </row>
    <row r="5945" spans="1:39" s="86" customFormat="1" ht="13.25" hidden="1" customHeight="1" x14ac:dyDescent="0.3">
      <c r="A5945" s="89" t="s">
        <v>3792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927"/>
        <v>54669.000000000044</v>
      </c>
      <c r="X5945" s="6">
        <f t="shared" si="928"/>
        <v>87397.67</v>
      </c>
      <c r="Y5945" s="13">
        <f t="shared" si="923"/>
        <v>0</v>
      </c>
      <c r="Z5945" s="14">
        <v>0</v>
      </c>
      <c r="AA5945" s="6">
        <v>0</v>
      </c>
      <c r="AB5945" s="4">
        <f t="shared" si="925"/>
        <v>87397.67</v>
      </c>
      <c r="AC5945" s="6">
        <f t="shared" si="922"/>
        <v>0</v>
      </c>
      <c r="AD5945" s="6">
        <f t="shared" si="929"/>
        <v>87397.67</v>
      </c>
      <c r="AE5945" s="14">
        <f>VLOOKUP(I5945,[2]媒体政策预估表!A:N,MATCH(O5945,[2]媒体政策预估表!$A$2:$M$2,0),0)</f>
        <v>0.10299999999999999</v>
      </c>
      <c r="AF5945" s="6">
        <f t="shared" si="926"/>
        <v>9001.9600099999989</v>
      </c>
      <c r="AG5945" s="14">
        <v>0</v>
      </c>
      <c r="AH5945" s="99">
        <f t="shared" si="930"/>
        <v>87397.67</v>
      </c>
      <c r="AI5945" s="47"/>
      <c r="AJ5945" s="126" t="e">
        <v>#N/A</v>
      </c>
      <c r="AK5945" s="80">
        <f t="shared" si="924"/>
        <v>0</v>
      </c>
      <c r="AL5945" s="85"/>
      <c r="AM5945" s="85"/>
    </row>
    <row r="5946" spans="1:39" s="86" customFormat="1" ht="13.25" hidden="1" customHeight="1" x14ac:dyDescent="0.3">
      <c r="A5946" s="89" t="s">
        <v>3792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927"/>
        <v>0</v>
      </c>
      <c r="X5946" s="6">
        <f t="shared" si="928"/>
        <v>9390.5200000000186</v>
      </c>
      <c r="Y5946" s="13">
        <f t="shared" si="923"/>
        <v>0</v>
      </c>
      <c r="Z5946" s="14">
        <v>0</v>
      </c>
      <c r="AA5946" s="6">
        <v>0</v>
      </c>
      <c r="AB5946" s="4">
        <f t="shared" si="925"/>
        <v>9390.5200000000186</v>
      </c>
      <c r="AC5946" s="6">
        <f t="shared" si="922"/>
        <v>0</v>
      </c>
      <c r="AD5946" s="6">
        <f t="shared" si="929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926"/>
        <v>967.22356000000184</v>
      </c>
      <c r="AG5946" s="14">
        <v>0</v>
      </c>
      <c r="AH5946" s="99">
        <f t="shared" si="930"/>
        <v>9390.5200000000186</v>
      </c>
      <c r="AI5946" s="47"/>
      <c r="AJ5946" s="126" t="e">
        <v>#N/A</v>
      </c>
      <c r="AK5946" s="80">
        <f t="shared" si="924"/>
        <v>0</v>
      </c>
      <c r="AL5946" s="85"/>
      <c r="AM5946" s="85"/>
    </row>
    <row r="5947" spans="1:39" s="86" customFormat="1" ht="13.25" hidden="1" customHeight="1" x14ac:dyDescent="0.3">
      <c r="A5947" s="89" t="s">
        <v>3794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927"/>
        <v>23523.52</v>
      </c>
      <c r="X5947" s="6">
        <f t="shared" si="928"/>
        <v>0</v>
      </c>
      <c r="Y5947" s="13">
        <f t="shared" si="923"/>
        <v>0</v>
      </c>
      <c r="Z5947" s="14">
        <v>0</v>
      </c>
      <c r="AA5947" s="6">
        <v>0</v>
      </c>
      <c r="AB5947" s="4">
        <f t="shared" si="925"/>
        <v>0</v>
      </c>
      <c r="AC5947" s="6">
        <f t="shared" si="922"/>
        <v>0</v>
      </c>
      <c r="AD5947" s="6">
        <f t="shared" si="929"/>
        <v>0</v>
      </c>
      <c r="AE5947" s="14">
        <f>VLOOKUP(I5947,[2]媒体政策预估表!A:N,MATCH(O5947,[2]媒体政策预估表!$A$2:$M$2,0),0)</f>
        <v>0.10299999999999999</v>
      </c>
      <c r="AF5947" s="6">
        <f t="shared" si="926"/>
        <v>0</v>
      </c>
      <c r="AG5947" s="14">
        <v>0</v>
      </c>
      <c r="AH5947" s="99">
        <f t="shared" si="930"/>
        <v>0</v>
      </c>
      <c r="AI5947" s="47"/>
      <c r="AJ5947" s="126" t="e">
        <v>#N/A</v>
      </c>
      <c r="AK5947" s="80">
        <f t="shared" si="924"/>
        <v>0</v>
      </c>
      <c r="AL5947" s="85"/>
      <c r="AM5947" s="85"/>
    </row>
    <row r="5948" spans="1:39" s="86" customFormat="1" ht="13.25" hidden="1" customHeight="1" x14ac:dyDescent="0.3">
      <c r="A5948" s="89" t="s">
        <v>3794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927"/>
        <v>-3337502.71</v>
      </c>
      <c r="X5948" s="6">
        <f t="shared" si="928"/>
        <v>1227783.0094339622</v>
      </c>
      <c r="Y5948" s="13">
        <f t="shared" si="923"/>
        <v>0</v>
      </c>
      <c r="Z5948" s="14">
        <v>0</v>
      </c>
      <c r="AA5948" s="6">
        <v>0</v>
      </c>
      <c r="AB5948" s="4">
        <f t="shared" si="925"/>
        <v>1227783.0094339622</v>
      </c>
      <c r="AC5948" s="6">
        <f t="shared" si="922"/>
        <v>73666.980566037819</v>
      </c>
      <c r="AD5948" s="6">
        <f t="shared" si="929"/>
        <v>1301449.99</v>
      </c>
      <c r="AE5948" s="14">
        <f>VLOOKUP(I5948,[2]媒体政策预估表!A:N,MATCH(O5948,[2]媒体政策预估表!$A$2:$M$2,0),0)</f>
        <v>0.223</v>
      </c>
      <c r="AF5948" s="6">
        <f t="shared" si="926"/>
        <v>290223.34776999999</v>
      </c>
      <c r="AG5948" s="14">
        <v>0</v>
      </c>
      <c r="AH5948" s="99">
        <f t="shared" si="930"/>
        <v>1301449.99</v>
      </c>
      <c r="AI5948" s="47"/>
      <c r="AJ5948" s="126" t="e">
        <v>#N/A</v>
      </c>
      <c r="AK5948" s="80">
        <f t="shared" si="924"/>
        <v>0</v>
      </c>
      <c r="AL5948" s="85"/>
      <c r="AM5948" s="85"/>
    </row>
    <row r="5949" spans="1:39" s="86" customFormat="1" ht="13.25" hidden="1" customHeight="1" x14ac:dyDescent="0.3">
      <c r="A5949" s="89" t="s">
        <v>3794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927"/>
        <v>0</v>
      </c>
      <c r="X5949" s="6">
        <f t="shared" si="928"/>
        <v>3561.25</v>
      </c>
      <c r="Y5949" s="13">
        <f t="shared" si="923"/>
        <v>0</v>
      </c>
      <c r="Z5949" s="14">
        <v>0</v>
      </c>
      <c r="AA5949" s="6">
        <v>0</v>
      </c>
      <c r="AB5949" s="4">
        <f t="shared" si="925"/>
        <v>3561.25</v>
      </c>
      <c r="AC5949" s="6">
        <f t="shared" si="922"/>
        <v>284.90000000000009</v>
      </c>
      <c r="AD5949" s="6">
        <f t="shared" si="929"/>
        <v>3846.15</v>
      </c>
      <c r="AE5949" s="14">
        <f>VLOOKUP(I5949,[2]媒体政策预估表!A:N,MATCH(O5949,[2]媒体政策预估表!$A$2:$M$2,0),0)</f>
        <v>0.223</v>
      </c>
      <c r="AF5949" s="6">
        <f t="shared" si="926"/>
        <v>857.69145000000003</v>
      </c>
      <c r="AG5949" s="14">
        <v>0</v>
      </c>
      <c r="AH5949" s="99">
        <f t="shared" si="930"/>
        <v>3846.15</v>
      </c>
      <c r="AI5949" s="47"/>
      <c r="AJ5949" s="126" t="e">
        <v>#N/A</v>
      </c>
      <c r="AK5949" s="80">
        <f t="shared" si="924"/>
        <v>0</v>
      </c>
      <c r="AL5949" s="85"/>
      <c r="AM5949" s="85"/>
    </row>
    <row r="5950" spans="1:39" s="86" customFormat="1" ht="13.25" hidden="1" customHeight="1" x14ac:dyDescent="0.3">
      <c r="A5950" s="89" t="s">
        <v>3794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927"/>
        <v>0</v>
      </c>
      <c r="X5950" s="6">
        <f t="shared" si="928"/>
        <v>990.04</v>
      </c>
      <c r="Y5950" s="13">
        <f t="shared" si="923"/>
        <v>0</v>
      </c>
      <c r="Z5950" s="14">
        <v>0</v>
      </c>
      <c r="AA5950" s="6">
        <v>0</v>
      </c>
      <c r="AB5950" s="4">
        <f t="shared" si="925"/>
        <v>990.04</v>
      </c>
      <c r="AC5950" s="6">
        <f t="shared" ref="AC5950:AC6013" si="931">IF(P5950="返现",X5950*Q5950,V5950-X5950)</f>
        <v>0</v>
      </c>
      <c r="AD5950" s="6">
        <f t="shared" si="929"/>
        <v>990.04</v>
      </c>
      <c r="AE5950" s="14">
        <f>VLOOKUP(I5950,[2]媒体政策预估表!A:N,MATCH(O5950,[2]媒体政策预估表!$A$2:$M$2,0),0)</f>
        <v>0.10299999999999999</v>
      </c>
      <c r="AF5950" s="6">
        <f t="shared" si="926"/>
        <v>101.97411999999998</v>
      </c>
      <c r="AG5950" s="14">
        <v>0</v>
      </c>
      <c r="AH5950" s="99">
        <f t="shared" si="930"/>
        <v>990.04</v>
      </c>
      <c r="AI5950" s="47"/>
      <c r="AJ5950" s="126" t="e">
        <v>#N/A</v>
      </c>
      <c r="AK5950" s="80">
        <f t="shared" si="924"/>
        <v>0</v>
      </c>
      <c r="AL5950" s="85"/>
      <c r="AM5950" s="85"/>
    </row>
    <row r="5951" spans="1:39" s="86" customFormat="1" ht="13.25" hidden="1" customHeight="1" x14ac:dyDescent="0.3">
      <c r="A5951" s="89" t="s">
        <v>3792</v>
      </c>
      <c r="B5951" s="86" t="s">
        <v>35</v>
      </c>
      <c r="C5951" s="86" t="s">
        <v>184</v>
      </c>
      <c r="D5951" s="86" t="s">
        <v>3849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927"/>
        <v>-41460.779999999992</v>
      </c>
      <c r="X5951" s="6">
        <f t="shared" si="928"/>
        <v>57730.36</v>
      </c>
      <c r="Y5951" s="13">
        <f t="shared" si="923"/>
        <v>0</v>
      </c>
      <c r="Z5951" s="14">
        <v>0</v>
      </c>
      <c r="AA5951" s="6">
        <v>0</v>
      </c>
      <c r="AB5951" s="4">
        <f t="shared" si="925"/>
        <v>57730.36</v>
      </c>
      <c r="AC5951" s="6">
        <f t="shared" si="931"/>
        <v>0</v>
      </c>
      <c r="AD5951" s="6">
        <f t="shared" si="929"/>
        <v>57730.36</v>
      </c>
      <c r="AE5951" s="14">
        <f>VLOOKUP(I5951,[2]媒体政策预估表!A:N,MATCH(O5951,[2]媒体政策预估表!$A$2:$M$2,0),0)</f>
        <v>0.223</v>
      </c>
      <c r="AF5951" s="6">
        <f t="shared" si="926"/>
        <v>12873.870280000001</v>
      </c>
      <c r="AG5951" s="14">
        <v>0</v>
      </c>
      <c r="AH5951" s="99">
        <f t="shared" si="930"/>
        <v>57730.36</v>
      </c>
      <c r="AI5951" s="47"/>
      <c r="AJ5951" s="126" t="e">
        <v>#N/A</v>
      </c>
      <c r="AK5951" s="80">
        <f t="shared" si="924"/>
        <v>0</v>
      </c>
      <c r="AL5951" s="85"/>
      <c r="AM5951" s="85"/>
    </row>
    <row r="5952" spans="1:39" s="86" customFormat="1" ht="13.25" hidden="1" customHeight="1" x14ac:dyDescent="0.3">
      <c r="A5952" s="89" t="s">
        <v>3794</v>
      </c>
      <c r="B5952" s="86" t="s">
        <v>35</v>
      </c>
      <c r="C5952" s="86" t="s">
        <v>184</v>
      </c>
      <c r="D5952" s="86" t="s">
        <v>3849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927"/>
        <v>255797.1700000001</v>
      </c>
      <c r="X5952" s="6">
        <f t="shared" si="928"/>
        <v>207638.28999999998</v>
      </c>
      <c r="Y5952" s="13">
        <f t="shared" si="923"/>
        <v>0</v>
      </c>
      <c r="Z5952" s="14">
        <v>0</v>
      </c>
      <c r="AA5952" s="6">
        <v>0</v>
      </c>
      <c r="AB5952" s="4">
        <f t="shared" si="925"/>
        <v>207638.28999999998</v>
      </c>
      <c r="AC5952" s="6">
        <f t="shared" si="931"/>
        <v>0</v>
      </c>
      <c r="AD5952" s="6">
        <f t="shared" si="929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926"/>
        <v>21386.743869999998</v>
      </c>
      <c r="AG5952" s="14">
        <v>0</v>
      </c>
      <c r="AH5952" s="99">
        <f t="shared" si="930"/>
        <v>207638.28999999998</v>
      </c>
      <c r="AI5952" s="47"/>
      <c r="AJ5952" s="126" t="e">
        <v>#N/A</v>
      </c>
      <c r="AK5952" s="80">
        <f t="shared" si="924"/>
        <v>0</v>
      </c>
      <c r="AL5952" s="85"/>
      <c r="AM5952" s="85"/>
    </row>
    <row r="5953" spans="1:39" s="86" customFormat="1" ht="13.25" hidden="1" customHeight="1" x14ac:dyDescent="0.3">
      <c r="A5953" s="89" t="s">
        <v>3794</v>
      </c>
      <c r="B5953" s="86" t="s">
        <v>35</v>
      </c>
      <c r="C5953" s="86" t="s">
        <v>184</v>
      </c>
      <c r="D5953" s="86" t="s">
        <v>3849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927"/>
        <v>81974.84</v>
      </c>
      <c r="X5953" s="6">
        <f t="shared" si="928"/>
        <v>80576.009433962274</v>
      </c>
      <c r="Y5953" s="13">
        <f t="shared" si="923"/>
        <v>0</v>
      </c>
      <c r="Z5953" s="14">
        <v>0</v>
      </c>
      <c r="AA5953" s="6">
        <v>0</v>
      </c>
      <c r="AB5953" s="4">
        <f t="shared" si="925"/>
        <v>80576.009433962274</v>
      </c>
      <c r="AC5953" s="6">
        <f t="shared" si="931"/>
        <v>4834.5605660377332</v>
      </c>
      <c r="AD5953" s="6">
        <f t="shared" si="929"/>
        <v>85410.57</v>
      </c>
      <c r="AE5953" s="14">
        <f>VLOOKUP(I5953,[2]媒体政策预估表!A:N,MATCH(O5953,[2]媒体政策预估表!$A$2:$M$2,0),0)</f>
        <v>0.223</v>
      </c>
      <c r="AF5953" s="6">
        <f t="shared" si="926"/>
        <v>19046.557110000002</v>
      </c>
      <c r="AG5953" s="14">
        <v>0</v>
      </c>
      <c r="AH5953" s="99">
        <f t="shared" si="930"/>
        <v>85410.57</v>
      </c>
      <c r="AI5953" s="47"/>
      <c r="AJ5953" s="126" t="e">
        <v>#N/A</v>
      </c>
      <c r="AK5953" s="80">
        <f t="shared" si="924"/>
        <v>0</v>
      </c>
      <c r="AL5953" s="85"/>
      <c r="AM5953" s="85"/>
    </row>
    <row r="5954" spans="1:39" s="86" customFormat="1" ht="13.25" hidden="1" customHeight="1" x14ac:dyDescent="0.3">
      <c r="A5954" s="89" t="s">
        <v>3792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927"/>
        <v>75201.069999999891</v>
      </c>
      <c r="X5954" s="6">
        <f t="shared" si="928"/>
        <v>142547.50980392157</v>
      </c>
      <c r="Y5954" s="13">
        <f t="shared" si="923"/>
        <v>0</v>
      </c>
      <c r="Z5954" s="14">
        <v>0</v>
      </c>
      <c r="AA5954" s="6">
        <v>0</v>
      </c>
      <c r="AB5954" s="4">
        <f t="shared" si="925"/>
        <v>142547.50980392157</v>
      </c>
      <c r="AC5954" s="6">
        <f t="shared" si="931"/>
        <v>2850.9501960784255</v>
      </c>
      <c r="AD5954" s="6">
        <f t="shared" si="929"/>
        <v>145398.46</v>
      </c>
      <c r="AE5954" s="14">
        <f>VLOOKUP(I5954,[2]媒体政策预估表!A:N,MATCH(O5954,[2]媒体政策预估表!$A$2:$M$2,0),0)</f>
        <v>0.10299999999999999</v>
      </c>
      <c r="AF5954" s="6">
        <f t="shared" si="926"/>
        <v>14976.041379999999</v>
      </c>
      <c r="AG5954" s="14">
        <v>0</v>
      </c>
      <c r="AH5954" s="99">
        <f t="shared" si="930"/>
        <v>145398.46</v>
      </c>
      <c r="AI5954" s="47"/>
      <c r="AJ5954" s="126" t="e">
        <v>#N/A</v>
      </c>
      <c r="AK5954" s="80">
        <f t="shared" si="924"/>
        <v>0</v>
      </c>
      <c r="AL5954" s="85"/>
      <c r="AM5954" s="85"/>
    </row>
    <row r="5955" spans="1:39" s="86" customFormat="1" ht="13.25" hidden="1" customHeight="1" x14ac:dyDescent="0.3">
      <c r="A5955" s="89" t="s">
        <v>3794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927"/>
        <v>9829.09</v>
      </c>
      <c r="X5955" s="6">
        <f t="shared" si="928"/>
        <v>0</v>
      </c>
      <c r="Y5955" s="13">
        <f t="shared" ref="Y5955:Y6018" si="932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933">X5955+AA5955</f>
        <v>0</v>
      </c>
      <c r="AC5955" s="6">
        <f t="shared" si="931"/>
        <v>0</v>
      </c>
      <c r="AD5955" s="6">
        <f t="shared" si="929"/>
        <v>0</v>
      </c>
      <c r="AE5955" s="14">
        <f>VLOOKUP(I5955,[2]媒体政策预估表!A:N,MATCH(O5955,[2]媒体政策预估表!$A$2:$M$2,0),0)</f>
        <v>0.223</v>
      </c>
      <c r="AF5955" s="6">
        <f t="shared" si="926"/>
        <v>0</v>
      </c>
      <c r="AG5955" s="14">
        <v>0</v>
      </c>
      <c r="AH5955" s="99">
        <f t="shared" si="930"/>
        <v>0</v>
      </c>
      <c r="AI5955" s="47"/>
      <c r="AJ5955" s="126" t="e">
        <v>#N/A</v>
      </c>
      <c r="AK5955" s="80">
        <f t="shared" ref="AK5955:AK6018" si="934">X5955+AA5955-AB5955</f>
        <v>0</v>
      </c>
      <c r="AL5955" s="85"/>
      <c r="AM5955" s="85"/>
    </row>
    <row r="5956" spans="1:39" s="86" customFormat="1" ht="13.25" hidden="1" customHeight="1" x14ac:dyDescent="0.3">
      <c r="A5956" s="89" t="s">
        <v>3794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927"/>
        <v>884000</v>
      </c>
      <c r="X5956" s="6">
        <f t="shared" si="928"/>
        <v>0</v>
      </c>
      <c r="Y5956" s="13">
        <f t="shared" si="932"/>
        <v>0</v>
      </c>
      <c r="Z5956" s="14">
        <v>0</v>
      </c>
      <c r="AA5956" s="6">
        <v>0</v>
      </c>
      <c r="AB5956" s="4">
        <f t="shared" si="933"/>
        <v>0</v>
      </c>
      <c r="AC5956" s="6">
        <f t="shared" si="931"/>
        <v>0</v>
      </c>
      <c r="AD5956" s="6">
        <f t="shared" si="929"/>
        <v>0</v>
      </c>
      <c r="AE5956" s="14">
        <f>VLOOKUP(I5956,[2]媒体政策预估表!A:N,MATCH(O5956,[2]媒体政策预估表!$A$2:$M$2,0),0)</f>
        <v>0.10299999999999999</v>
      </c>
      <c r="AF5956" s="6">
        <f t="shared" si="926"/>
        <v>0</v>
      </c>
      <c r="AG5956" s="14">
        <v>0</v>
      </c>
      <c r="AH5956" s="99">
        <f t="shared" si="930"/>
        <v>0</v>
      </c>
      <c r="AI5956" s="47"/>
      <c r="AJ5956" s="126" t="e">
        <v>#N/A</v>
      </c>
      <c r="AK5956" s="80">
        <f t="shared" si="934"/>
        <v>0</v>
      </c>
      <c r="AL5956" s="85"/>
      <c r="AM5956" s="85"/>
    </row>
    <row r="5957" spans="1:39" s="86" customFormat="1" ht="13.25" hidden="1" customHeight="1" x14ac:dyDescent="0.3">
      <c r="A5957" s="89" t="s">
        <v>3792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927"/>
        <v>536.60999999999694</v>
      </c>
      <c r="X5957" s="6">
        <f t="shared" si="928"/>
        <v>15239.663636363635</v>
      </c>
      <c r="Y5957" s="13">
        <f t="shared" si="932"/>
        <v>0</v>
      </c>
      <c r="Z5957" s="14">
        <v>0</v>
      </c>
      <c r="AA5957" s="6">
        <v>0</v>
      </c>
      <c r="AB5957" s="4">
        <f t="shared" si="933"/>
        <v>15239.663636363635</v>
      </c>
      <c r="AC5957" s="6">
        <f t="shared" si="931"/>
        <v>1523.9663636363657</v>
      </c>
      <c r="AD5957" s="6">
        <f t="shared" si="929"/>
        <v>16763.63</v>
      </c>
      <c r="AE5957" s="14">
        <f>VLOOKUP(I5957,[2]媒体政策预估表!A:N,MATCH(O5957,[2]媒体政策预估表!$A$2:$M$2,0),0)</f>
        <v>0.223</v>
      </c>
      <c r="AF5957" s="6">
        <f t="shared" si="926"/>
        <v>3738.2894900000001</v>
      </c>
      <c r="AG5957" s="14">
        <v>0</v>
      </c>
      <c r="AH5957" s="99">
        <f t="shared" si="930"/>
        <v>16763.63</v>
      </c>
      <c r="AI5957" s="47"/>
      <c r="AJ5957" s="126" t="e">
        <v>#N/A</v>
      </c>
      <c r="AK5957" s="80">
        <f t="shared" si="934"/>
        <v>0</v>
      </c>
      <c r="AL5957" s="85"/>
      <c r="AM5957" s="85"/>
    </row>
    <row r="5958" spans="1:39" s="86" customFormat="1" ht="13.25" hidden="1" customHeight="1" x14ac:dyDescent="0.3">
      <c r="A5958" s="89" t="s">
        <v>3792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927"/>
        <v>6022.2100000000028</v>
      </c>
      <c r="X5958" s="6">
        <f t="shared" si="928"/>
        <v>31016.754901960783</v>
      </c>
      <c r="Y5958" s="13">
        <f t="shared" si="932"/>
        <v>0</v>
      </c>
      <c r="Z5958" s="14">
        <v>0</v>
      </c>
      <c r="AA5958" s="6">
        <v>0</v>
      </c>
      <c r="AB5958" s="4">
        <f t="shared" si="933"/>
        <v>31016.754901960783</v>
      </c>
      <c r="AC5958" s="6">
        <f t="shared" si="931"/>
        <v>620.33509803921697</v>
      </c>
      <c r="AD5958" s="6">
        <f t="shared" si="929"/>
        <v>31637.09</v>
      </c>
      <c r="AE5958" s="14">
        <f>VLOOKUP(I5958,[2]媒体政策预估表!A:N,MATCH(O5958,[2]媒体政策预估表!$A$2:$M$2,0),0)</f>
        <v>0.10299999999999999</v>
      </c>
      <c r="AF5958" s="6">
        <f t="shared" si="926"/>
        <v>3258.6202699999999</v>
      </c>
      <c r="AG5958" s="14">
        <v>0</v>
      </c>
      <c r="AH5958" s="99">
        <f t="shared" si="930"/>
        <v>31637.09</v>
      </c>
      <c r="AI5958" s="47"/>
      <c r="AJ5958" s="126" t="e">
        <v>#N/A</v>
      </c>
      <c r="AK5958" s="80">
        <f t="shared" si="934"/>
        <v>0</v>
      </c>
      <c r="AL5958" s="85"/>
      <c r="AM5958" s="85"/>
    </row>
    <row r="5959" spans="1:39" s="86" customFormat="1" ht="13.25" hidden="1" customHeight="1" x14ac:dyDescent="0.3">
      <c r="A5959" s="89" t="s">
        <v>3792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927"/>
        <v>48518.630000000012</v>
      </c>
      <c r="X5959" s="6">
        <f t="shared" si="928"/>
        <v>0</v>
      </c>
      <c r="Y5959" s="13">
        <f t="shared" si="932"/>
        <v>0</v>
      </c>
      <c r="Z5959" s="14">
        <v>0</v>
      </c>
      <c r="AA5959" s="6">
        <v>0</v>
      </c>
      <c r="AB5959" s="4">
        <f t="shared" si="933"/>
        <v>0</v>
      </c>
      <c r="AC5959" s="6">
        <f t="shared" si="931"/>
        <v>0</v>
      </c>
      <c r="AD5959" s="6">
        <f t="shared" si="929"/>
        <v>0</v>
      </c>
      <c r="AE5959" s="14">
        <f>VLOOKUP(I5959,[2]媒体政策预估表!A:N,MATCH(O5959,[2]媒体政策预估表!$A$2:$M$2,0),0)</f>
        <v>0.223</v>
      </c>
      <c r="AF5959" s="6">
        <f t="shared" si="926"/>
        <v>0</v>
      </c>
      <c r="AG5959" s="14">
        <v>0</v>
      </c>
      <c r="AH5959" s="99">
        <f t="shared" si="930"/>
        <v>0</v>
      </c>
      <c r="AI5959" s="47"/>
      <c r="AJ5959" s="126" t="e">
        <v>#N/A</v>
      </c>
      <c r="AK5959" s="80">
        <f t="shared" si="934"/>
        <v>0</v>
      </c>
      <c r="AL5959" s="85"/>
      <c r="AM5959" s="85"/>
    </row>
    <row r="5960" spans="1:39" s="86" customFormat="1" ht="13.25" hidden="1" customHeight="1" x14ac:dyDescent="0.3">
      <c r="A5960" s="89" t="s">
        <v>3794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927"/>
        <v>0</v>
      </c>
      <c r="X5960" s="6">
        <f t="shared" si="928"/>
        <v>172229.09</v>
      </c>
      <c r="Y5960" s="13">
        <f t="shared" si="932"/>
        <v>0</v>
      </c>
      <c r="Z5960" s="14">
        <v>0</v>
      </c>
      <c r="AA5960" s="6">
        <v>0</v>
      </c>
      <c r="AB5960" s="4">
        <f t="shared" si="933"/>
        <v>172229.09</v>
      </c>
      <c r="AC5960" s="6">
        <f t="shared" si="931"/>
        <v>0</v>
      </c>
      <c r="AD5960" s="6">
        <f t="shared" si="929"/>
        <v>172229.09</v>
      </c>
      <c r="AE5960" s="14">
        <f>VLOOKUP(I5960,[2]媒体政策预估表!A:N,MATCH(O5960,[2]媒体政策预估表!$A$2:$M$2,0),0)</f>
        <v>0.10299999999999999</v>
      </c>
      <c r="AF5960" s="6">
        <f t="shared" si="926"/>
        <v>17739.596269999998</v>
      </c>
      <c r="AG5960" s="14">
        <v>0</v>
      </c>
      <c r="AH5960" s="99">
        <f t="shared" si="930"/>
        <v>172229.09</v>
      </c>
      <c r="AI5960" s="47"/>
      <c r="AJ5960" s="126" t="e">
        <v>#N/A</v>
      </c>
      <c r="AK5960" s="80">
        <f t="shared" si="934"/>
        <v>0</v>
      </c>
      <c r="AL5960" s="85"/>
      <c r="AM5960" s="85"/>
    </row>
    <row r="5961" spans="1:39" s="86" customFormat="1" ht="13.25" hidden="1" customHeight="1" x14ac:dyDescent="0.3">
      <c r="A5961" s="89" t="s">
        <v>3792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927"/>
        <v>29950.51999999999</v>
      </c>
      <c r="X5961" s="6">
        <f t="shared" si="928"/>
        <v>40049.48000000001</v>
      </c>
      <c r="Y5961" s="13">
        <f t="shared" si="932"/>
        <v>0</v>
      </c>
      <c r="Z5961" s="14">
        <v>0</v>
      </c>
      <c r="AA5961" s="6">
        <v>0</v>
      </c>
      <c r="AB5961" s="4">
        <f t="shared" si="933"/>
        <v>40049.48000000001</v>
      </c>
      <c r="AC5961" s="6">
        <f t="shared" si="931"/>
        <v>0</v>
      </c>
      <c r="AD5961" s="6">
        <f t="shared" si="929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926"/>
        <v>4125.0964400000012</v>
      </c>
      <c r="AG5961" s="14">
        <v>0</v>
      </c>
      <c r="AH5961" s="99">
        <f t="shared" si="930"/>
        <v>40049.48000000001</v>
      </c>
      <c r="AI5961" s="47"/>
      <c r="AJ5961" s="126" t="e">
        <v>#N/A</v>
      </c>
      <c r="AK5961" s="80">
        <f t="shared" si="934"/>
        <v>0</v>
      </c>
      <c r="AL5961" s="85"/>
      <c r="AM5961" s="85"/>
    </row>
    <row r="5962" spans="1:39" s="86" customFormat="1" ht="13.25" hidden="1" customHeight="1" x14ac:dyDescent="0.3">
      <c r="A5962" s="89" t="s">
        <v>3794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927"/>
        <v>12337.159999999993</v>
      </c>
      <c r="X5962" s="6">
        <f t="shared" si="928"/>
        <v>8008.06</v>
      </c>
      <c r="Y5962" s="13">
        <f t="shared" si="932"/>
        <v>0</v>
      </c>
      <c r="Z5962" s="14">
        <v>0</v>
      </c>
      <c r="AA5962" s="6">
        <v>0</v>
      </c>
      <c r="AB5962" s="4">
        <f t="shared" si="933"/>
        <v>8008.06</v>
      </c>
      <c r="AC5962" s="6">
        <f t="shared" si="931"/>
        <v>0</v>
      </c>
      <c r="AD5962" s="6">
        <f t="shared" si="929"/>
        <v>8008.06</v>
      </c>
      <c r="AE5962" s="14">
        <f>VLOOKUP(I5962,[2]媒体政策预估表!A:N,MATCH(O5962,[2]媒体政策预估表!$A$2:$M$2,0),0)</f>
        <v>0.10299999999999999</v>
      </c>
      <c r="AF5962" s="6">
        <f t="shared" si="926"/>
        <v>824.83018000000004</v>
      </c>
      <c r="AG5962" s="14">
        <v>0</v>
      </c>
      <c r="AH5962" s="99">
        <f t="shared" si="930"/>
        <v>8008.06</v>
      </c>
      <c r="AI5962" s="47"/>
      <c r="AJ5962" s="126" t="e">
        <v>#N/A</v>
      </c>
      <c r="AK5962" s="80">
        <f t="shared" si="934"/>
        <v>0</v>
      </c>
      <c r="AL5962" s="85"/>
      <c r="AM5962" s="85"/>
    </row>
    <row r="5963" spans="1:39" s="86" customFormat="1" ht="13.25" hidden="1" customHeight="1" x14ac:dyDescent="0.3">
      <c r="A5963" s="89" t="s">
        <v>3794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927"/>
        <v>6499.3000000000029</v>
      </c>
      <c r="X5963" s="6">
        <f t="shared" si="928"/>
        <v>14091.73</v>
      </c>
      <c r="Y5963" s="13">
        <f t="shared" si="932"/>
        <v>0</v>
      </c>
      <c r="Z5963" s="14">
        <v>0</v>
      </c>
      <c r="AA5963" s="6">
        <v>0</v>
      </c>
      <c r="AB5963" s="4">
        <f t="shared" si="933"/>
        <v>14091.73</v>
      </c>
      <c r="AC5963" s="6">
        <f t="shared" si="931"/>
        <v>0</v>
      </c>
      <c r="AD5963" s="6">
        <f t="shared" si="929"/>
        <v>14091.73</v>
      </c>
      <c r="AE5963" s="14">
        <f>VLOOKUP(I5963,[2]媒体政策预估表!A:N,MATCH(O5963,[2]媒体政策预估表!$A$2:$M$2,0),0)</f>
        <v>0.10299999999999999</v>
      </c>
      <c r="AF5963" s="6">
        <f t="shared" si="926"/>
        <v>1451.4481899999998</v>
      </c>
      <c r="AG5963" s="14">
        <v>0</v>
      </c>
      <c r="AH5963" s="99">
        <f t="shared" si="930"/>
        <v>14091.73</v>
      </c>
      <c r="AI5963" s="47"/>
      <c r="AJ5963" s="126" t="e">
        <v>#N/A</v>
      </c>
      <c r="AK5963" s="80">
        <f t="shared" si="934"/>
        <v>0</v>
      </c>
      <c r="AL5963" s="85"/>
      <c r="AM5963" s="85"/>
    </row>
    <row r="5964" spans="1:39" s="86" customFormat="1" ht="13.25" hidden="1" customHeight="1" x14ac:dyDescent="0.3">
      <c r="A5964" s="89" t="s">
        <v>3805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927"/>
        <v>0</v>
      </c>
      <c r="X5964" s="6">
        <f t="shared" si="928"/>
        <v>58938.25</v>
      </c>
      <c r="Y5964" s="13">
        <f t="shared" si="932"/>
        <v>0</v>
      </c>
      <c r="Z5964" s="14">
        <v>0</v>
      </c>
      <c r="AA5964" s="6">
        <v>0</v>
      </c>
      <c r="AB5964" s="4"/>
      <c r="AC5964" s="6">
        <f t="shared" si="931"/>
        <v>0</v>
      </c>
      <c r="AD5964" s="6">
        <f t="shared" si="929"/>
        <v>58938.25</v>
      </c>
      <c r="AE5964" s="14">
        <f>VLOOKUP(I5964,[2]媒体政策预估表!A:N,MATCH(O5964,[2]媒体政策预估表!$A$2:$M$2,0),0)</f>
        <v>0.10299999999999999</v>
      </c>
      <c r="AF5964" s="6">
        <f t="shared" si="926"/>
        <v>6070.6397499999994</v>
      </c>
      <c r="AG5964" s="14">
        <v>0</v>
      </c>
      <c r="AH5964" s="99">
        <f t="shared" si="930"/>
        <v>58938.25</v>
      </c>
      <c r="AI5964" s="47"/>
      <c r="AJ5964" s="126">
        <v>109</v>
      </c>
      <c r="AK5964" s="80">
        <f t="shared" si="934"/>
        <v>58938.25</v>
      </c>
      <c r="AL5964" s="85"/>
      <c r="AM5964" s="85"/>
    </row>
    <row r="5965" spans="1:39" s="86" customFormat="1" ht="13.25" hidden="1" customHeight="1" x14ac:dyDescent="0.3">
      <c r="A5965" s="89" t="s">
        <v>3794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927"/>
        <v>0</v>
      </c>
      <c r="X5965" s="6">
        <f t="shared" si="928"/>
        <v>86381.26</v>
      </c>
      <c r="Y5965" s="13">
        <f t="shared" si="932"/>
        <v>0</v>
      </c>
      <c r="Z5965" s="14">
        <v>0</v>
      </c>
      <c r="AA5965" s="6">
        <v>0</v>
      </c>
      <c r="AB5965" s="4"/>
      <c r="AC5965" s="6">
        <f t="shared" si="931"/>
        <v>0</v>
      </c>
      <c r="AD5965" s="6">
        <f t="shared" si="929"/>
        <v>86381.26</v>
      </c>
      <c r="AE5965" s="14">
        <f>VLOOKUP(I5965,[2]媒体政策预估表!A:N,MATCH(O5965,[2]媒体政策预估表!$A$2:$M$2,0),0)</f>
        <v>0.10299999999999999</v>
      </c>
      <c r="AF5965" s="6">
        <f t="shared" si="926"/>
        <v>8897.2697799999987</v>
      </c>
      <c r="AG5965" s="14">
        <v>0</v>
      </c>
      <c r="AH5965" s="99">
        <f t="shared" si="930"/>
        <v>86381.26</v>
      </c>
      <c r="AI5965" s="47"/>
      <c r="AJ5965" s="126">
        <v>109</v>
      </c>
      <c r="AK5965" s="80">
        <f t="shared" si="934"/>
        <v>86381.26</v>
      </c>
      <c r="AL5965" s="85"/>
      <c r="AM5965" s="85"/>
    </row>
    <row r="5966" spans="1:39" s="86" customFormat="1" ht="13.25" hidden="1" customHeight="1" x14ac:dyDescent="0.3">
      <c r="A5966" s="89" t="s">
        <v>3805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927"/>
        <v>6000</v>
      </c>
      <c r="X5966" s="6">
        <f t="shared" si="928"/>
        <v>0</v>
      </c>
      <c r="Y5966" s="13">
        <f t="shared" si="932"/>
        <v>0</v>
      </c>
      <c r="Z5966" s="14">
        <v>0</v>
      </c>
      <c r="AA5966" s="6">
        <v>0</v>
      </c>
      <c r="AB5966" s="4">
        <f t="shared" si="933"/>
        <v>0</v>
      </c>
      <c r="AC5966" s="6">
        <f t="shared" si="931"/>
        <v>0</v>
      </c>
      <c r="AD5966" s="6">
        <f t="shared" si="929"/>
        <v>0</v>
      </c>
      <c r="AE5966" s="14">
        <f>VLOOKUP(I5966,[2]媒体政策预估表!A:N,MATCH(O5966,[2]媒体政策预估表!$A$2:$M$2,0),0)</f>
        <v>0.10299999999999999</v>
      </c>
      <c r="AF5966" s="6">
        <f t="shared" si="926"/>
        <v>0</v>
      </c>
      <c r="AG5966" s="14">
        <v>0</v>
      </c>
      <c r="AH5966" s="99">
        <f t="shared" si="930"/>
        <v>0</v>
      </c>
      <c r="AI5966" s="47"/>
      <c r="AJ5966" s="126" t="e">
        <v>#N/A</v>
      </c>
      <c r="AK5966" s="80">
        <f t="shared" si="934"/>
        <v>0</v>
      </c>
      <c r="AL5966" s="85"/>
      <c r="AM5966" s="85"/>
    </row>
    <row r="5967" spans="1:39" s="86" customFormat="1" ht="13.25" hidden="1" customHeight="1" x14ac:dyDescent="0.3">
      <c r="A5967" s="89" t="s">
        <v>3792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927"/>
        <v>9417.880000000001</v>
      </c>
      <c r="X5967" s="6">
        <f t="shared" si="928"/>
        <v>30890.02</v>
      </c>
      <c r="Y5967" s="13">
        <f t="shared" si="932"/>
        <v>0</v>
      </c>
      <c r="Z5967" s="14">
        <v>0</v>
      </c>
      <c r="AA5967" s="6">
        <v>0</v>
      </c>
      <c r="AB5967" s="4">
        <f t="shared" si="933"/>
        <v>30890.02</v>
      </c>
      <c r="AC5967" s="6">
        <f t="shared" si="931"/>
        <v>0</v>
      </c>
      <c r="AD5967" s="6">
        <f t="shared" si="929"/>
        <v>30890.02</v>
      </c>
      <c r="AE5967" s="14">
        <f>VLOOKUP(I5967,[2]媒体政策预估表!A:N,MATCH(O5967,[2]媒体政策预估表!$A$2:$M$2,0),0)</f>
        <v>0.10299999999999999</v>
      </c>
      <c r="AF5967" s="6">
        <f t="shared" si="926"/>
        <v>3181.6720599999999</v>
      </c>
      <c r="AG5967" s="14">
        <v>0</v>
      </c>
      <c r="AH5967" s="99">
        <f t="shared" si="930"/>
        <v>30890.02</v>
      </c>
      <c r="AI5967" s="47"/>
      <c r="AJ5967" s="126" t="e">
        <v>#N/A</v>
      </c>
      <c r="AK5967" s="80">
        <f t="shared" si="934"/>
        <v>0</v>
      </c>
      <c r="AL5967" s="85"/>
      <c r="AM5967" s="85"/>
    </row>
    <row r="5968" spans="1:39" s="86" customFormat="1" ht="13.25" hidden="1" customHeight="1" x14ac:dyDescent="0.3">
      <c r="A5968" s="89" t="s">
        <v>3792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927"/>
        <v>2600</v>
      </c>
      <c r="X5968" s="6">
        <f t="shared" si="928"/>
        <v>0</v>
      </c>
      <c r="Y5968" s="13">
        <f t="shared" si="932"/>
        <v>0</v>
      </c>
      <c r="Z5968" s="14">
        <v>0</v>
      </c>
      <c r="AA5968" s="6">
        <v>0</v>
      </c>
      <c r="AB5968" s="4"/>
      <c r="AC5968" s="6">
        <f t="shared" si="931"/>
        <v>0</v>
      </c>
      <c r="AD5968" s="6">
        <f t="shared" si="929"/>
        <v>0</v>
      </c>
      <c r="AE5968" s="14">
        <f>VLOOKUP(I5968,[2]媒体政策预估表!A:N,MATCH(O5968,[2]媒体政策预估表!$A$2:$M$2,0),0)</f>
        <v>0.223</v>
      </c>
      <c r="AF5968" s="6">
        <f t="shared" si="926"/>
        <v>0</v>
      </c>
      <c r="AG5968" s="14">
        <v>0</v>
      </c>
      <c r="AH5968" s="99">
        <f t="shared" si="930"/>
        <v>0</v>
      </c>
      <c r="AI5968" s="47"/>
      <c r="AJ5968" s="126">
        <v>96</v>
      </c>
      <c r="AK5968" s="80">
        <f t="shared" si="934"/>
        <v>0</v>
      </c>
      <c r="AL5968" s="85"/>
      <c r="AM5968" s="85"/>
    </row>
    <row r="5969" spans="1:39" s="86" customFormat="1" ht="13.25" hidden="1" customHeight="1" x14ac:dyDescent="0.3">
      <c r="A5969" s="89" t="s">
        <v>3794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927"/>
        <v>-2600</v>
      </c>
      <c r="X5969" s="6">
        <f t="shared" si="928"/>
        <v>0</v>
      </c>
      <c r="Y5969" s="13">
        <f t="shared" si="932"/>
        <v>0</v>
      </c>
      <c r="Z5969" s="14">
        <v>0</v>
      </c>
      <c r="AA5969" s="6">
        <v>0</v>
      </c>
      <c r="AB5969" s="4"/>
      <c r="AC5969" s="6">
        <f t="shared" si="931"/>
        <v>0</v>
      </c>
      <c r="AD5969" s="6">
        <f t="shared" si="929"/>
        <v>0</v>
      </c>
      <c r="AE5969" s="14">
        <f>VLOOKUP(I5969,[2]媒体政策预估表!A:N,MATCH(O5969,[2]媒体政策预估表!$A$2:$M$2,0),0)</f>
        <v>0.10299999999999999</v>
      </c>
      <c r="AF5969" s="6">
        <f t="shared" si="926"/>
        <v>0</v>
      </c>
      <c r="AG5969" s="14">
        <v>0</v>
      </c>
      <c r="AH5969" s="99">
        <f t="shared" si="930"/>
        <v>0</v>
      </c>
      <c r="AI5969" s="47"/>
      <c r="AJ5969" s="126">
        <v>96</v>
      </c>
      <c r="AK5969" s="80">
        <f t="shared" si="934"/>
        <v>0</v>
      </c>
      <c r="AL5969" s="85"/>
      <c r="AM5969" s="85"/>
    </row>
    <row r="5970" spans="1:39" s="86" customFormat="1" ht="13.25" hidden="1" customHeight="1" x14ac:dyDescent="0.3">
      <c r="A5970" s="89" t="s">
        <v>3792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927"/>
        <v>-4675780.0199999996</v>
      </c>
      <c r="X5970" s="6">
        <f t="shared" si="928"/>
        <v>306155.55</v>
      </c>
      <c r="Y5970" s="13">
        <f t="shared" si="932"/>
        <v>0</v>
      </c>
      <c r="Z5970" s="14">
        <v>0</v>
      </c>
      <c r="AA5970" s="6">
        <v>0</v>
      </c>
      <c r="AB5970" s="4">
        <f t="shared" si="933"/>
        <v>306155.55</v>
      </c>
      <c r="AC5970" s="6">
        <f t="shared" si="931"/>
        <v>0</v>
      </c>
      <c r="AD5970" s="6">
        <f t="shared" si="929"/>
        <v>306155.55</v>
      </c>
      <c r="AE5970" s="14">
        <f>VLOOKUP(I5970,[2]媒体政策预估表!A:N,MATCH(O5970,[2]媒体政策预估表!$A$2:$M$2,0),0)</f>
        <v>0.223</v>
      </c>
      <c r="AF5970" s="6">
        <f t="shared" si="926"/>
        <v>68272.687649999993</v>
      </c>
      <c r="AG5970" s="14">
        <v>0</v>
      </c>
      <c r="AH5970" s="99">
        <f t="shared" si="930"/>
        <v>306155.55</v>
      </c>
      <c r="AI5970" s="47"/>
      <c r="AJ5970" s="126" t="e">
        <v>#N/A</v>
      </c>
      <c r="AK5970" s="80">
        <f t="shared" si="934"/>
        <v>0</v>
      </c>
      <c r="AL5970" s="85"/>
      <c r="AM5970" s="85"/>
    </row>
    <row r="5971" spans="1:39" s="86" customFormat="1" ht="13.25" hidden="1" customHeight="1" x14ac:dyDescent="0.3">
      <c r="A5971" s="89" t="s">
        <v>3792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927"/>
        <v>29980</v>
      </c>
      <c r="X5971" s="6">
        <f t="shared" si="928"/>
        <v>0</v>
      </c>
      <c r="Y5971" s="13">
        <f t="shared" si="932"/>
        <v>0</v>
      </c>
      <c r="Z5971" s="14">
        <v>0</v>
      </c>
      <c r="AA5971" s="6">
        <v>0</v>
      </c>
      <c r="AB5971" s="4">
        <f t="shared" si="933"/>
        <v>0</v>
      </c>
      <c r="AC5971" s="6">
        <f t="shared" si="931"/>
        <v>0</v>
      </c>
      <c r="AD5971" s="6">
        <f t="shared" si="929"/>
        <v>0</v>
      </c>
      <c r="AE5971" s="14">
        <f>VLOOKUP(I5971,[2]媒体政策预估表!A:N,MATCH(O5971,[2]媒体政策预估表!$A$2:$M$2,0),0)</f>
        <v>0.10299999999999999</v>
      </c>
      <c r="AF5971" s="6">
        <f t="shared" si="926"/>
        <v>0</v>
      </c>
      <c r="AG5971" s="14">
        <v>0</v>
      </c>
      <c r="AH5971" s="99">
        <f t="shared" si="930"/>
        <v>0</v>
      </c>
      <c r="AI5971" s="47"/>
      <c r="AJ5971" s="126" t="e">
        <v>#N/A</v>
      </c>
      <c r="AK5971" s="80">
        <f t="shared" si="934"/>
        <v>0</v>
      </c>
      <c r="AL5971" s="85"/>
      <c r="AM5971" s="85"/>
    </row>
    <row r="5972" spans="1:39" s="86" customFormat="1" ht="13.25" hidden="1" customHeight="1" x14ac:dyDescent="0.3">
      <c r="A5972" s="89" t="s">
        <v>3794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927"/>
        <v>11869.1</v>
      </c>
      <c r="X5972" s="6">
        <f t="shared" si="928"/>
        <v>0</v>
      </c>
      <c r="Y5972" s="13">
        <f t="shared" si="932"/>
        <v>0</v>
      </c>
      <c r="Z5972" s="14">
        <v>0</v>
      </c>
      <c r="AA5972" s="6">
        <v>0</v>
      </c>
      <c r="AB5972" s="4"/>
      <c r="AC5972" s="6">
        <f t="shared" si="931"/>
        <v>0</v>
      </c>
      <c r="AD5972" s="6">
        <f t="shared" si="929"/>
        <v>0</v>
      </c>
      <c r="AE5972" s="14">
        <f>VLOOKUP(I5972,[2]媒体政策预估表!A:N,MATCH(O5972,[2]媒体政策预估表!$A$2:$M$2,0),0)</f>
        <v>0.10299999999999999</v>
      </c>
      <c r="AF5972" s="6">
        <f t="shared" si="926"/>
        <v>0</v>
      </c>
      <c r="AG5972" s="14">
        <v>0</v>
      </c>
      <c r="AH5972" s="99">
        <f t="shared" si="930"/>
        <v>0</v>
      </c>
      <c r="AI5972" s="47"/>
      <c r="AJ5972" s="126">
        <v>119</v>
      </c>
      <c r="AK5972" s="80">
        <f t="shared" si="934"/>
        <v>0</v>
      </c>
      <c r="AL5972" s="85"/>
      <c r="AM5972" s="85"/>
    </row>
    <row r="5973" spans="1:39" s="86" customFormat="1" ht="13.25" hidden="1" customHeight="1" x14ac:dyDescent="0.3">
      <c r="A5973" s="89" t="s">
        <v>3794</v>
      </c>
      <c r="B5973" s="86" t="s">
        <v>35</v>
      </c>
      <c r="C5973" s="86" t="s">
        <v>184</v>
      </c>
      <c r="D5973" s="86" t="s">
        <v>3849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927"/>
        <v>-523192.05</v>
      </c>
      <c r="X5973" s="6">
        <f t="shared" si="928"/>
        <v>0</v>
      </c>
      <c r="Y5973" s="13">
        <f t="shared" si="932"/>
        <v>0</v>
      </c>
      <c r="Z5973" s="14">
        <v>0</v>
      </c>
      <c r="AA5973" s="6">
        <v>0</v>
      </c>
      <c r="AB5973" s="4">
        <f t="shared" si="933"/>
        <v>0</v>
      </c>
      <c r="AC5973" s="6">
        <f t="shared" si="931"/>
        <v>0</v>
      </c>
      <c r="AD5973" s="6">
        <f t="shared" si="929"/>
        <v>0</v>
      </c>
      <c r="AE5973" s="14">
        <f>VLOOKUP(I5973,[2]媒体政策预估表!A:N,MATCH(O5973,[2]媒体政策预估表!$A$2:$M$2,0),0)</f>
        <v>0.223</v>
      </c>
      <c r="AF5973" s="6">
        <f t="shared" si="926"/>
        <v>0</v>
      </c>
      <c r="AG5973" s="14">
        <v>0</v>
      </c>
      <c r="AH5973" s="99">
        <f t="shared" si="930"/>
        <v>0</v>
      </c>
      <c r="AI5973" s="47"/>
      <c r="AJ5973" s="126" t="e">
        <v>#N/A</v>
      </c>
      <c r="AK5973" s="80">
        <f t="shared" si="934"/>
        <v>0</v>
      </c>
      <c r="AL5973" s="85"/>
      <c r="AM5973" s="85"/>
    </row>
    <row r="5974" spans="1:39" s="86" customFormat="1" ht="13.25" hidden="1" customHeight="1" x14ac:dyDescent="0.3">
      <c r="A5974" s="89" t="s">
        <v>3794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927"/>
        <v>-161440.19</v>
      </c>
      <c r="X5974" s="6">
        <f t="shared" si="928"/>
        <v>6991.361904761905</v>
      </c>
      <c r="Y5974" s="13">
        <f t="shared" si="932"/>
        <v>0</v>
      </c>
      <c r="Z5974" s="14">
        <v>0</v>
      </c>
      <c r="AA5974" s="6">
        <v>0</v>
      </c>
      <c r="AB5974" s="4">
        <f t="shared" si="933"/>
        <v>6991.361904761905</v>
      </c>
      <c r="AC5974" s="6">
        <f t="shared" si="931"/>
        <v>349.56809523809534</v>
      </c>
      <c r="AD5974" s="6">
        <f t="shared" si="929"/>
        <v>7340.93</v>
      </c>
      <c r="AE5974" s="14">
        <f>VLOOKUP(I5974,[2]媒体政策预估表!A:N,MATCH(O5974,[2]媒体政策预估表!$A$2:$M$2,0),0)</f>
        <v>0.223</v>
      </c>
      <c r="AF5974" s="6">
        <f t="shared" si="926"/>
        <v>1637.0273900000002</v>
      </c>
      <c r="AG5974" s="14">
        <v>0</v>
      </c>
      <c r="AH5974" s="99">
        <f t="shared" si="930"/>
        <v>7340.93</v>
      </c>
      <c r="AI5974" s="47"/>
      <c r="AJ5974" s="126" t="e">
        <v>#N/A</v>
      </c>
      <c r="AK5974" s="80">
        <f t="shared" si="934"/>
        <v>0</v>
      </c>
      <c r="AL5974" s="85"/>
      <c r="AM5974" s="85"/>
    </row>
    <row r="5975" spans="1:39" s="86" customFormat="1" ht="13.25" hidden="1" customHeight="1" x14ac:dyDescent="0.3">
      <c r="A5975" s="89" t="s">
        <v>3794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927"/>
        <v>-112312.8</v>
      </c>
      <c r="X5975" s="6">
        <f t="shared" si="928"/>
        <v>108444.80769230769</v>
      </c>
      <c r="Y5975" s="13">
        <f t="shared" si="932"/>
        <v>0</v>
      </c>
      <c r="Z5975" s="14">
        <v>0</v>
      </c>
      <c r="AA5975" s="6">
        <v>0</v>
      </c>
      <c r="AB5975" s="4">
        <f t="shared" si="933"/>
        <v>108444.80769230769</v>
      </c>
      <c r="AC5975" s="6">
        <f t="shared" si="931"/>
        <v>4337.792307692318</v>
      </c>
      <c r="AD5975" s="6">
        <f t="shared" si="929"/>
        <v>112782.6</v>
      </c>
      <c r="AE5975" s="14">
        <f>VLOOKUP(I5975,[2]媒体政策预估表!A:N,MATCH(O5975,[2]媒体政策预估表!$A$2:$M$2,0),0)</f>
        <v>0.223</v>
      </c>
      <c r="AF5975" s="6">
        <f t="shared" si="926"/>
        <v>25150.519800000002</v>
      </c>
      <c r="AG5975" s="14">
        <v>0</v>
      </c>
      <c r="AH5975" s="99">
        <f t="shared" si="930"/>
        <v>112782.6</v>
      </c>
      <c r="AI5975" s="47"/>
      <c r="AJ5975" s="126" t="e">
        <v>#N/A</v>
      </c>
      <c r="AK5975" s="80">
        <f t="shared" si="934"/>
        <v>0</v>
      </c>
      <c r="AL5975" s="85"/>
      <c r="AM5975" s="85"/>
    </row>
    <row r="5976" spans="1:39" s="86" customFormat="1" ht="13.25" hidden="1" customHeight="1" x14ac:dyDescent="0.3">
      <c r="A5976" s="89" t="s">
        <v>3792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927"/>
        <v>935756.03</v>
      </c>
      <c r="X5976" s="6">
        <f t="shared" si="928"/>
        <v>0</v>
      </c>
      <c r="Y5976" s="13">
        <f t="shared" si="932"/>
        <v>0</v>
      </c>
      <c r="Z5976" s="14">
        <v>0</v>
      </c>
      <c r="AA5976" s="6">
        <v>0</v>
      </c>
      <c r="AB5976" s="4">
        <f t="shared" si="933"/>
        <v>0</v>
      </c>
      <c r="AC5976" s="6">
        <f t="shared" si="931"/>
        <v>0</v>
      </c>
      <c r="AD5976" s="6">
        <f t="shared" si="929"/>
        <v>0</v>
      </c>
      <c r="AE5976" s="14">
        <f>VLOOKUP(I5976,[2]媒体政策预估表!A:N,MATCH(O5976,[2]媒体政策预估表!$A$2:$M$2,0),0)</f>
        <v>0.10299999999999999</v>
      </c>
      <c r="AF5976" s="6">
        <f t="shared" si="926"/>
        <v>0</v>
      </c>
      <c r="AG5976" s="14">
        <v>0</v>
      </c>
      <c r="AH5976" s="99">
        <f t="shared" si="930"/>
        <v>0</v>
      </c>
      <c r="AI5976" s="47"/>
      <c r="AJ5976" s="126" t="e">
        <v>#N/A</v>
      </c>
      <c r="AK5976" s="80">
        <f t="shared" si="934"/>
        <v>0</v>
      </c>
      <c r="AL5976" s="85"/>
      <c r="AM5976" s="85"/>
    </row>
    <row r="5977" spans="1:39" s="86" customFormat="1" ht="13.25" hidden="1" customHeight="1" x14ac:dyDescent="0.3">
      <c r="A5977" s="89" t="s">
        <v>3805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927"/>
        <v>1007.83</v>
      </c>
      <c r="X5977" s="6">
        <f t="shared" si="928"/>
        <v>0</v>
      </c>
      <c r="Y5977" s="13">
        <f t="shared" si="932"/>
        <v>0</v>
      </c>
      <c r="Z5977" s="14">
        <v>0</v>
      </c>
      <c r="AA5977" s="6">
        <v>0</v>
      </c>
      <c r="AB5977" s="4"/>
      <c r="AC5977" s="6">
        <f t="shared" si="931"/>
        <v>0</v>
      </c>
      <c r="AD5977" s="6">
        <f t="shared" si="929"/>
        <v>0</v>
      </c>
      <c r="AE5977" s="14">
        <f>VLOOKUP(I5977,[2]媒体政策预估表!A:N,MATCH(O5977,[2]媒体政策预估表!$A$2:$M$2,0),0)</f>
        <v>0.10299999999999999</v>
      </c>
      <c r="AF5977" s="6">
        <f t="shared" si="926"/>
        <v>0</v>
      </c>
      <c r="AG5977" s="14">
        <v>0</v>
      </c>
      <c r="AH5977" s="99">
        <f t="shared" si="930"/>
        <v>0</v>
      </c>
      <c r="AI5977" s="47"/>
      <c r="AJ5977" s="126">
        <v>115</v>
      </c>
      <c r="AK5977" s="80">
        <f t="shared" si="934"/>
        <v>0</v>
      </c>
      <c r="AL5977" s="85"/>
      <c r="AM5977" s="85"/>
    </row>
    <row r="5978" spans="1:39" s="86" customFormat="1" ht="13.25" hidden="1" customHeight="1" x14ac:dyDescent="0.3">
      <c r="A5978" s="89" t="s">
        <v>3792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927"/>
        <v>23526.620000000003</v>
      </c>
      <c r="X5978" s="6">
        <f t="shared" si="928"/>
        <v>0</v>
      </c>
      <c r="Y5978" s="13">
        <f t="shared" si="932"/>
        <v>0</v>
      </c>
      <c r="Z5978" s="14">
        <v>0</v>
      </c>
      <c r="AA5978" s="6">
        <v>0</v>
      </c>
      <c r="AB5978" s="4">
        <f t="shared" si="933"/>
        <v>0</v>
      </c>
      <c r="AC5978" s="6">
        <f t="shared" si="931"/>
        <v>0</v>
      </c>
      <c r="AD5978" s="6">
        <f t="shared" si="929"/>
        <v>0</v>
      </c>
      <c r="AE5978" s="14">
        <f>VLOOKUP(I5978,[2]媒体政策预估表!A:N,MATCH(O5978,[2]媒体政策预估表!$A$2:$M$2,0),0)</f>
        <v>0.10299999999999999</v>
      </c>
      <c r="AF5978" s="6">
        <f t="shared" si="926"/>
        <v>0</v>
      </c>
      <c r="AG5978" s="14">
        <v>0</v>
      </c>
      <c r="AH5978" s="99">
        <f t="shared" si="930"/>
        <v>0</v>
      </c>
      <c r="AI5978" s="47"/>
      <c r="AJ5978" s="126" t="e">
        <v>#N/A</v>
      </c>
      <c r="AK5978" s="80">
        <f t="shared" si="934"/>
        <v>0</v>
      </c>
      <c r="AL5978" s="85"/>
      <c r="AM5978" s="85"/>
    </row>
    <row r="5979" spans="1:39" s="86" customFormat="1" ht="13.25" hidden="1" customHeight="1" x14ac:dyDescent="0.3">
      <c r="A5979" s="89" t="s">
        <v>3805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927"/>
        <v>1117.1299999999974</v>
      </c>
      <c r="X5979" s="6">
        <f t="shared" si="928"/>
        <v>0</v>
      </c>
      <c r="Y5979" s="13">
        <f t="shared" si="932"/>
        <v>0</v>
      </c>
      <c r="Z5979" s="14">
        <v>0</v>
      </c>
      <c r="AA5979" s="6">
        <v>0</v>
      </c>
      <c r="AB5979" s="4">
        <f t="shared" si="933"/>
        <v>0</v>
      </c>
      <c r="AC5979" s="6">
        <f t="shared" si="931"/>
        <v>0</v>
      </c>
      <c r="AD5979" s="6">
        <f t="shared" si="929"/>
        <v>0</v>
      </c>
      <c r="AE5979" s="14">
        <f>VLOOKUP(I5979,[2]媒体政策预估表!A:N,MATCH(O5979,[2]媒体政策预估表!$A$2:$M$2,0),0)</f>
        <v>0.10299999999999999</v>
      </c>
      <c r="AF5979" s="6">
        <f t="shared" si="926"/>
        <v>0</v>
      </c>
      <c r="AG5979" s="14">
        <v>0</v>
      </c>
      <c r="AH5979" s="99">
        <f t="shared" si="930"/>
        <v>0</v>
      </c>
      <c r="AI5979" s="47"/>
      <c r="AJ5979" s="126" t="e">
        <v>#N/A</v>
      </c>
      <c r="AK5979" s="80">
        <f t="shared" si="934"/>
        <v>0</v>
      </c>
      <c r="AL5979" s="85"/>
      <c r="AM5979" s="85"/>
    </row>
    <row r="5980" spans="1:39" s="86" customFormat="1" ht="13.25" hidden="1" customHeight="1" x14ac:dyDescent="0.3">
      <c r="A5980" s="89" t="s">
        <v>3792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927"/>
        <v>1849.3599999999981</v>
      </c>
      <c r="X5980" s="6">
        <f t="shared" si="928"/>
        <v>0</v>
      </c>
      <c r="Y5980" s="13">
        <f t="shared" si="932"/>
        <v>0</v>
      </c>
      <c r="Z5980" s="14">
        <v>0</v>
      </c>
      <c r="AA5980" s="6">
        <v>0</v>
      </c>
      <c r="AB5980" s="4">
        <f t="shared" si="933"/>
        <v>0</v>
      </c>
      <c r="AC5980" s="6">
        <f t="shared" si="931"/>
        <v>0</v>
      </c>
      <c r="AD5980" s="6">
        <f t="shared" si="929"/>
        <v>0</v>
      </c>
      <c r="AE5980" s="14">
        <f>VLOOKUP(I5980,[2]媒体政策预估表!A:N,MATCH(O5980,[2]媒体政策预估表!$A$2:$M$2,0),0)</f>
        <v>0.10299999999999999</v>
      </c>
      <c r="AF5980" s="6">
        <f t="shared" si="926"/>
        <v>0</v>
      </c>
      <c r="AG5980" s="14">
        <v>0</v>
      </c>
      <c r="AH5980" s="99">
        <f t="shared" si="930"/>
        <v>0</v>
      </c>
      <c r="AI5980" s="47"/>
      <c r="AJ5980" s="126" t="e">
        <v>#N/A</v>
      </c>
      <c r="AK5980" s="80">
        <f t="shared" si="934"/>
        <v>0</v>
      </c>
      <c r="AL5980" s="85"/>
      <c r="AM5980" s="85"/>
    </row>
    <row r="5981" spans="1:39" s="86" customFormat="1" ht="13.25" hidden="1" customHeight="1" x14ac:dyDescent="0.3">
      <c r="A5981" s="89" t="s">
        <v>3794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927"/>
        <v>8650.2400000001362</v>
      </c>
      <c r="X5981" s="6">
        <f t="shared" si="928"/>
        <v>0</v>
      </c>
      <c r="Y5981" s="13">
        <f t="shared" si="932"/>
        <v>0</v>
      </c>
      <c r="Z5981" s="14">
        <v>0.02</v>
      </c>
      <c r="AA5981" s="6">
        <f>X5981/(1-Z5981)*Z5981</f>
        <v>0</v>
      </c>
      <c r="AB5981" s="4">
        <f t="shared" si="933"/>
        <v>0</v>
      </c>
      <c r="AC5981" s="6">
        <f t="shared" si="931"/>
        <v>0</v>
      </c>
      <c r="AD5981" s="6">
        <f t="shared" si="929"/>
        <v>0</v>
      </c>
      <c r="AE5981" s="14">
        <f>VLOOKUP(I5981,[2]媒体政策预估表!A:N,MATCH(O5981,[2]媒体政策预估表!$A$2:$M$2,0),0)</f>
        <v>0.10299999999999999</v>
      </c>
      <c r="AF5981" s="6">
        <f t="shared" si="926"/>
        <v>0</v>
      </c>
      <c r="AG5981" s="14">
        <v>0</v>
      </c>
      <c r="AH5981" s="99">
        <f t="shared" si="930"/>
        <v>0</v>
      </c>
      <c r="AI5981" s="47"/>
      <c r="AJ5981" s="126" t="e">
        <v>#N/A</v>
      </c>
      <c r="AK5981" s="80">
        <f t="shared" si="934"/>
        <v>0</v>
      </c>
      <c r="AL5981" s="85"/>
      <c r="AM5981" s="85"/>
    </row>
    <row r="5982" spans="1:39" s="86" customFormat="1" ht="13.25" hidden="1" customHeight="1" x14ac:dyDescent="0.3">
      <c r="A5982" s="89" t="s">
        <v>3794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927"/>
        <v>4013.5999999999626</v>
      </c>
      <c r="X5982" s="6">
        <f t="shared" si="928"/>
        <v>0</v>
      </c>
      <c r="Y5982" s="13">
        <f t="shared" si="932"/>
        <v>0</v>
      </c>
      <c r="Z5982" s="14">
        <v>0</v>
      </c>
      <c r="AA5982" s="6">
        <v>0</v>
      </c>
      <c r="AB5982" s="4">
        <f t="shared" si="933"/>
        <v>0</v>
      </c>
      <c r="AC5982" s="6">
        <f t="shared" si="931"/>
        <v>0</v>
      </c>
      <c r="AD5982" s="6">
        <f t="shared" si="929"/>
        <v>0</v>
      </c>
      <c r="AE5982" s="14">
        <f>VLOOKUP(I5982,[2]媒体政策预估表!A:N,MATCH(O5982,[2]媒体政策预估表!$A$2:$M$2,0),0)</f>
        <v>0.10299999999999999</v>
      </c>
      <c r="AF5982" s="6">
        <f t="shared" si="926"/>
        <v>0</v>
      </c>
      <c r="AG5982" s="14">
        <v>0</v>
      </c>
      <c r="AH5982" s="99">
        <f t="shared" si="930"/>
        <v>0</v>
      </c>
      <c r="AI5982" s="47"/>
      <c r="AJ5982" s="126" t="e">
        <v>#N/A</v>
      </c>
      <c r="AK5982" s="80">
        <f t="shared" si="934"/>
        <v>0</v>
      </c>
      <c r="AL5982" s="85"/>
      <c r="AM5982" s="85"/>
    </row>
    <row r="5983" spans="1:39" s="86" customFormat="1" ht="13.25" hidden="1" customHeight="1" x14ac:dyDescent="0.3">
      <c r="A5983" s="89" t="s">
        <v>3794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927"/>
        <v>0</v>
      </c>
      <c r="X5983" s="6">
        <f t="shared" si="928"/>
        <v>16038.40384615368</v>
      </c>
      <c r="Y5983" s="13">
        <f t="shared" si="932"/>
        <v>0</v>
      </c>
      <c r="Z5983" s="14">
        <v>0</v>
      </c>
      <c r="AA5983" s="6">
        <v>0</v>
      </c>
      <c r="AB5983" s="4">
        <f t="shared" si="933"/>
        <v>16038.40384615368</v>
      </c>
      <c r="AC5983" s="6">
        <f t="shared" si="931"/>
        <v>641.5361538461475</v>
      </c>
      <c r="AD5983" s="6">
        <f t="shared" si="929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926"/>
        <v>1718.0338199999821</v>
      </c>
      <c r="AG5983" s="14">
        <v>0</v>
      </c>
      <c r="AH5983" s="99">
        <f t="shared" si="930"/>
        <v>16679.939999999828</v>
      </c>
      <c r="AI5983" s="47"/>
      <c r="AJ5983" s="126" t="e">
        <v>#N/A</v>
      </c>
      <c r="AK5983" s="80">
        <f t="shared" si="934"/>
        <v>0</v>
      </c>
      <c r="AL5983" s="85"/>
      <c r="AM5983" s="85"/>
    </row>
    <row r="5984" spans="1:39" s="86" customFormat="1" ht="13.25" hidden="1" customHeight="1" x14ac:dyDescent="0.3">
      <c r="A5984" s="89" t="s">
        <v>3792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927"/>
        <v>4073.05</v>
      </c>
      <c r="X5984" s="6">
        <f t="shared" si="928"/>
        <v>0</v>
      </c>
      <c r="Y5984" s="13">
        <f t="shared" si="932"/>
        <v>0</v>
      </c>
      <c r="Z5984" s="14">
        <v>0</v>
      </c>
      <c r="AA5984" s="6">
        <v>0</v>
      </c>
      <c r="AB5984" s="4">
        <f t="shared" si="933"/>
        <v>0</v>
      </c>
      <c r="AC5984" s="6">
        <f t="shared" si="931"/>
        <v>0</v>
      </c>
      <c r="AD5984" s="6">
        <f t="shared" si="929"/>
        <v>0</v>
      </c>
      <c r="AE5984" s="14">
        <f>VLOOKUP(I5984,[2]媒体政策预估表!A:N,MATCH(O5984,[2]媒体政策预估表!$A$2:$M$2,0),0)</f>
        <v>0.10299999999999999</v>
      </c>
      <c r="AF5984" s="6">
        <f t="shared" si="926"/>
        <v>0</v>
      </c>
      <c r="AG5984" s="14">
        <v>0</v>
      </c>
      <c r="AH5984" s="99">
        <f t="shared" si="930"/>
        <v>0</v>
      </c>
      <c r="AI5984" s="47"/>
      <c r="AJ5984" s="126" t="e">
        <v>#N/A</v>
      </c>
      <c r="AK5984" s="80">
        <f t="shared" si="934"/>
        <v>0</v>
      </c>
      <c r="AL5984" s="85"/>
      <c r="AM5984" s="85"/>
    </row>
    <row r="5985" spans="1:39" s="86" customFormat="1" ht="13.25" hidden="1" customHeight="1" x14ac:dyDescent="0.3">
      <c r="A5985" s="89" t="s">
        <v>3794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927"/>
        <v>0</v>
      </c>
      <c r="X5985" s="6">
        <f t="shared" si="928"/>
        <v>70429.760000000009</v>
      </c>
      <c r="Y5985" s="13">
        <f t="shared" si="932"/>
        <v>0</v>
      </c>
      <c r="Z5985" s="14">
        <v>0</v>
      </c>
      <c r="AA5985" s="6">
        <v>0</v>
      </c>
      <c r="AB5985" s="4">
        <f t="shared" si="933"/>
        <v>70429.760000000009</v>
      </c>
      <c r="AC5985" s="6">
        <f t="shared" si="931"/>
        <v>0</v>
      </c>
      <c r="AD5985" s="6">
        <f t="shared" si="929"/>
        <v>70429.760000000009</v>
      </c>
      <c r="AE5985" s="14">
        <f>VLOOKUP(I5985,[2]媒体政策预估表!A:N,MATCH(O5985,[2]媒体政策预估表!$A$2:$M$2,0),0)</f>
        <v>0.223</v>
      </c>
      <c r="AF5985" s="6">
        <f t="shared" si="926"/>
        <v>15705.836480000002</v>
      </c>
      <c r="AG5985" s="14">
        <v>0</v>
      </c>
      <c r="AH5985" s="99">
        <f t="shared" si="930"/>
        <v>70429.760000000009</v>
      </c>
      <c r="AI5985" s="47"/>
      <c r="AJ5985" s="126" t="e">
        <v>#N/A</v>
      </c>
      <c r="AK5985" s="80">
        <f t="shared" si="934"/>
        <v>0</v>
      </c>
      <c r="AL5985" s="85"/>
      <c r="AM5985" s="85"/>
    </row>
    <row r="5986" spans="1:39" s="86" customFormat="1" ht="13.25" hidden="1" customHeight="1" x14ac:dyDescent="0.3">
      <c r="A5986" s="89" t="s">
        <v>3794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927"/>
        <v>29890.9</v>
      </c>
      <c r="X5986" s="6">
        <f t="shared" si="928"/>
        <v>0</v>
      </c>
      <c r="Y5986" s="13">
        <f t="shared" si="932"/>
        <v>0</v>
      </c>
      <c r="Z5986" s="14">
        <v>0</v>
      </c>
      <c r="AA5986" s="6">
        <v>0</v>
      </c>
      <c r="AB5986" s="4">
        <f t="shared" si="933"/>
        <v>0</v>
      </c>
      <c r="AC5986" s="6">
        <f t="shared" si="931"/>
        <v>0</v>
      </c>
      <c r="AD5986" s="6">
        <f t="shared" si="929"/>
        <v>0</v>
      </c>
      <c r="AE5986" s="14">
        <f>VLOOKUP(I5986,[2]媒体政策预估表!A:N,MATCH(O5986,[2]媒体政策预估表!$A$2:$M$2,0),0)</f>
        <v>0.10299999999999999</v>
      </c>
      <c r="AF5986" s="6">
        <f t="shared" si="926"/>
        <v>0</v>
      </c>
      <c r="AG5986" s="14">
        <v>0</v>
      </c>
      <c r="AH5986" s="99">
        <f t="shared" si="930"/>
        <v>0</v>
      </c>
      <c r="AI5986" s="47"/>
      <c r="AJ5986" s="126" t="e">
        <v>#N/A</v>
      </c>
      <c r="AK5986" s="80">
        <f t="shared" si="934"/>
        <v>0</v>
      </c>
      <c r="AL5986" s="85"/>
      <c r="AM5986" s="85"/>
    </row>
    <row r="5987" spans="1:39" s="86" customFormat="1" ht="13.25" hidden="1" customHeight="1" x14ac:dyDescent="0.3">
      <c r="A5987" s="89" t="s">
        <v>3805</v>
      </c>
      <c r="B5987" s="86" t="s">
        <v>35</v>
      </c>
      <c r="C5987" s="86" t="s">
        <v>184</v>
      </c>
      <c r="D5987" s="86" t="s">
        <v>3849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928"/>
        <v>3887.9029126213582</v>
      </c>
      <c r="Y5987" s="13">
        <f t="shared" si="932"/>
        <v>0</v>
      </c>
      <c r="Z5987" s="14">
        <v>0</v>
      </c>
      <c r="AA5987" s="6">
        <v>0</v>
      </c>
      <c r="AB5987" s="4">
        <f t="shared" si="933"/>
        <v>3887.9029126213582</v>
      </c>
      <c r="AC5987" s="6">
        <f t="shared" si="931"/>
        <v>116.6370873786409</v>
      </c>
      <c r="AD5987" s="6">
        <f t="shared" si="929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926"/>
        <v>412.4676199999999</v>
      </c>
      <c r="AG5987" s="14">
        <v>0</v>
      </c>
      <c r="AH5987" s="99">
        <f t="shared" si="930"/>
        <v>4004.5399999999991</v>
      </c>
      <c r="AI5987" s="47"/>
      <c r="AJ5987" s="126" t="e">
        <v>#N/A</v>
      </c>
      <c r="AK5987" s="80">
        <f t="shared" si="934"/>
        <v>0</v>
      </c>
      <c r="AL5987" s="85"/>
      <c r="AM5987" s="85"/>
    </row>
    <row r="5988" spans="1:39" s="86" customFormat="1" ht="13.25" hidden="1" customHeight="1" x14ac:dyDescent="0.3">
      <c r="A5988" s="89" t="s">
        <v>3794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927"/>
        <v>1134.8800000000028</v>
      </c>
      <c r="X5988" s="6">
        <f t="shared" si="928"/>
        <v>1159.2352941176471</v>
      </c>
      <c r="Y5988" s="13">
        <f t="shared" si="932"/>
        <v>0</v>
      </c>
      <c r="Z5988" s="14">
        <v>0</v>
      </c>
      <c r="AA5988" s="6">
        <v>0</v>
      </c>
      <c r="AB5988" s="4">
        <f t="shared" si="933"/>
        <v>1159.2352941176471</v>
      </c>
      <c r="AC5988" s="6">
        <f t="shared" si="931"/>
        <v>23.184705882353001</v>
      </c>
      <c r="AD5988" s="6">
        <f t="shared" si="929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935">AD5988*AE5988</f>
        <v>121.78926</v>
      </c>
      <c r="AG5988" s="14">
        <v>0</v>
      </c>
      <c r="AH5988" s="99">
        <f t="shared" si="930"/>
        <v>1182.42</v>
      </c>
      <c r="AI5988" s="47"/>
      <c r="AJ5988" s="126" t="e">
        <v>#N/A</v>
      </c>
      <c r="AK5988" s="80">
        <f t="shared" si="934"/>
        <v>0</v>
      </c>
      <c r="AL5988" s="85"/>
      <c r="AM5988" s="85"/>
    </row>
    <row r="5989" spans="1:39" s="86" customFormat="1" ht="13.25" hidden="1" customHeight="1" x14ac:dyDescent="0.3">
      <c r="A5989" s="89" t="s">
        <v>3794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927"/>
        <v>15479.45</v>
      </c>
      <c r="X5989" s="6">
        <f t="shared" si="928"/>
        <v>0</v>
      </c>
      <c r="Y5989" s="13">
        <f t="shared" si="932"/>
        <v>0</v>
      </c>
      <c r="Z5989" s="14">
        <v>0</v>
      </c>
      <c r="AA5989" s="6">
        <v>0</v>
      </c>
      <c r="AB5989" s="4">
        <f t="shared" si="933"/>
        <v>0</v>
      </c>
      <c r="AC5989" s="6">
        <f t="shared" si="931"/>
        <v>0</v>
      </c>
      <c r="AD5989" s="6">
        <f t="shared" si="929"/>
        <v>0</v>
      </c>
      <c r="AE5989" s="14">
        <f>VLOOKUP(I5989,[2]媒体政策预估表!A:N,MATCH(O5989,[2]媒体政策预估表!$A$2:$M$2,0),0)</f>
        <v>0.10299999999999999</v>
      </c>
      <c r="AF5989" s="6">
        <f t="shared" si="935"/>
        <v>0</v>
      </c>
      <c r="AG5989" s="14">
        <v>0</v>
      </c>
      <c r="AH5989" s="99">
        <f t="shared" si="930"/>
        <v>0</v>
      </c>
      <c r="AI5989" s="47"/>
      <c r="AJ5989" s="126" t="e">
        <v>#N/A</v>
      </c>
      <c r="AK5989" s="80">
        <f t="shared" si="934"/>
        <v>0</v>
      </c>
      <c r="AL5989" s="85"/>
      <c r="AM5989" s="85"/>
    </row>
    <row r="5990" spans="1:39" s="86" customFormat="1" ht="13.25" hidden="1" customHeight="1" x14ac:dyDescent="0.3">
      <c r="A5990" s="89" t="s">
        <v>3794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927"/>
        <v>371992.43</v>
      </c>
      <c r="X5990" s="6">
        <f t="shared" si="928"/>
        <v>0</v>
      </c>
      <c r="Y5990" s="13">
        <f t="shared" si="932"/>
        <v>0</v>
      </c>
      <c r="Z5990" s="14">
        <v>0</v>
      </c>
      <c r="AA5990" s="6">
        <v>0</v>
      </c>
      <c r="AB5990" s="4">
        <f t="shared" si="933"/>
        <v>0</v>
      </c>
      <c r="AC5990" s="6">
        <f t="shared" si="931"/>
        <v>0</v>
      </c>
      <c r="AD5990" s="6">
        <f t="shared" si="929"/>
        <v>0</v>
      </c>
      <c r="AE5990" s="14">
        <f>VLOOKUP(I5990,[2]媒体政策预估表!A:N,MATCH(O5990,[2]媒体政策预估表!$A$2:$M$2,0),0)</f>
        <v>0.223</v>
      </c>
      <c r="AF5990" s="6">
        <f t="shared" si="935"/>
        <v>0</v>
      </c>
      <c r="AG5990" s="14">
        <v>0</v>
      </c>
      <c r="AH5990" s="99">
        <f t="shared" si="930"/>
        <v>0</v>
      </c>
      <c r="AI5990" s="47"/>
      <c r="AJ5990" s="126" t="e">
        <v>#N/A</v>
      </c>
      <c r="AK5990" s="80">
        <f t="shared" si="934"/>
        <v>0</v>
      </c>
      <c r="AL5990" s="85"/>
      <c r="AM5990" s="85"/>
    </row>
    <row r="5991" spans="1:39" s="86" customFormat="1" ht="13.25" hidden="1" customHeight="1" x14ac:dyDescent="0.3">
      <c r="A5991" s="89" t="s">
        <v>3794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927"/>
        <v>4305.5400000000018</v>
      </c>
      <c r="X5991" s="6">
        <f t="shared" si="928"/>
        <v>22</v>
      </c>
      <c r="Y5991" s="13">
        <f t="shared" si="932"/>
        <v>0</v>
      </c>
      <c r="Z5991" s="14">
        <v>0</v>
      </c>
      <c r="AA5991" s="6">
        <v>0</v>
      </c>
      <c r="AB5991" s="4">
        <f t="shared" si="933"/>
        <v>22</v>
      </c>
      <c r="AC5991" s="6">
        <f t="shared" si="931"/>
        <v>0</v>
      </c>
      <c r="AD5991" s="6">
        <f t="shared" si="929"/>
        <v>22</v>
      </c>
      <c r="AE5991" s="14">
        <f>VLOOKUP(I5991,[2]媒体政策预估表!A:N,MATCH(O5991,[2]媒体政策预估表!$A$2:$M$2,0),0)</f>
        <v>0.10299999999999999</v>
      </c>
      <c r="AF5991" s="6">
        <f t="shared" si="935"/>
        <v>2.266</v>
      </c>
      <c r="AG5991" s="14">
        <v>0</v>
      </c>
      <c r="AH5991" s="99">
        <f t="shared" si="930"/>
        <v>22</v>
      </c>
      <c r="AI5991" s="47"/>
      <c r="AJ5991" s="126" t="e">
        <v>#N/A</v>
      </c>
      <c r="AK5991" s="80">
        <f t="shared" si="934"/>
        <v>0</v>
      </c>
      <c r="AL5991" s="85"/>
      <c r="AM5991" s="85"/>
    </row>
    <row r="5992" spans="1:39" s="86" customFormat="1" ht="13.25" hidden="1" customHeight="1" x14ac:dyDescent="0.3">
      <c r="A5992" s="89" t="s">
        <v>3792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927"/>
        <v>3000</v>
      </c>
      <c r="X5992" s="6">
        <f t="shared" si="928"/>
        <v>0</v>
      </c>
      <c r="Y5992" s="13">
        <f t="shared" si="932"/>
        <v>0</v>
      </c>
      <c r="Z5992" s="14">
        <v>0</v>
      </c>
      <c r="AA5992" s="6">
        <v>0</v>
      </c>
      <c r="AB5992" s="4">
        <f t="shared" si="933"/>
        <v>0</v>
      </c>
      <c r="AC5992" s="6">
        <f t="shared" si="931"/>
        <v>0</v>
      </c>
      <c r="AD5992" s="6">
        <f t="shared" si="929"/>
        <v>0</v>
      </c>
      <c r="AE5992" s="14">
        <f>VLOOKUP(I5992,[2]媒体政策预估表!A:N,MATCH(O5992,[2]媒体政策预估表!$A$2:$M$2,0),0)</f>
        <v>0.10299999999999999</v>
      </c>
      <c r="AF5992" s="6">
        <f t="shared" si="935"/>
        <v>0</v>
      </c>
      <c r="AG5992" s="14">
        <v>0</v>
      </c>
      <c r="AH5992" s="99">
        <f t="shared" si="930"/>
        <v>0</v>
      </c>
      <c r="AI5992" s="47"/>
      <c r="AJ5992" s="126" t="e">
        <v>#N/A</v>
      </c>
      <c r="AK5992" s="80">
        <f t="shared" si="934"/>
        <v>0</v>
      </c>
      <c r="AL5992" s="85"/>
      <c r="AM5992" s="85"/>
    </row>
    <row r="5993" spans="1:39" s="86" customFormat="1" ht="13.25" hidden="1" customHeight="1" x14ac:dyDescent="0.3">
      <c r="A5993" s="89" t="s">
        <v>3792</v>
      </c>
      <c r="B5993" s="86" t="s">
        <v>35</v>
      </c>
      <c r="C5993" s="86" t="s">
        <v>184</v>
      </c>
      <c r="D5993" s="86" t="s">
        <v>3849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936">T5993+U5993-V5993</f>
        <v>75415.339999999982</v>
      </c>
      <c r="X5993" s="6">
        <f t="shared" ref="X5993:X6056" si="937">IF(P5993="折扣",V5993*Q5993,IF(P5993="返现",V5993,V5993/(1+Q5993)))</f>
        <v>0</v>
      </c>
      <c r="Y5993" s="13">
        <f t="shared" si="932"/>
        <v>0</v>
      </c>
      <c r="Z5993" s="14">
        <v>0</v>
      </c>
      <c r="AA5993" s="6">
        <v>0</v>
      </c>
      <c r="AB5993" s="4">
        <f t="shared" si="933"/>
        <v>0</v>
      </c>
      <c r="AC5993" s="6">
        <f t="shared" si="931"/>
        <v>0</v>
      </c>
      <c r="AD5993" s="6">
        <f t="shared" ref="AD5993:AD6056" si="938">V5993</f>
        <v>0</v>
      </c>
      <c r="AE5993" s="14">
        <f>VLOOKUP(I5993,[2]媒体政策预估表!A:N,MATCH(O5993,[2]媒体政策预估表!$A$2:$M$2,0),0)</f>
        <v>0.10299999999999999</v>
      </c>
      <c r="AF5993" s="6">
        <f t="shared" si="935"/>
        <v>0</v>
      </c>
      <c r="AG5993" s="14">
        <v>0</v>
      </c>
      <c r="AH5993" s="99">
        <f t="shared" ref="AH5993:AH6056" si="939">V5993</f>
        <v>0</v>
      </c>
      <c r="AI5993" s="47"/>
      <c r="AJ5993" s="126" t="e">
        <v>#N/A</v>
      </c>
      <c r="AK5993" s="80">
        <f t="shared" si="934"/>
        <v>0</v>
      </c>
      <c r="AL5993" s="85"/>
      <c r="AM5993" s="85"/>
    </row>
    <row r="5994" spans="1:39" s="86" customFormat="1" ht="13.25" hidden="1" customHeight="1" x14ac:dyDescent="0.3">
      <c r="A5994" s="89" t="s">
        <v>3794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936"/>
        <v>1297.6300000000019</v>
      </c>
      <c r="X5994" s="6">
        <f t="shared" si="937"/>
        <v>0</v>
      </c>
      <c r="Y5994" s="13">
        <f t="shared" si="932"/>
        <v>0</v>
      </c>
      <c r="Z5994" s="14">
        <v>0</v>
      </c>
      <c r="AA5994" s="6">
        <v>0</v>
      </c>
      <c r="AB5994" s="4">
        <f t="shared" si="933"/>
        <v>0</v>
      </c>
      <c r="AC5994" s="6">
        <f t="shared" si="931"/>
        <v>0</v>
      </c>
      <c r="AD5994" s="6">
        <f t="shared" si="938"/>
        <v>0</v>
      </c>
      <c r="AE5994" s="14">
        <f>VLOOKUP(I5994,[2]媒体政策预估表!A:N,MATCH(O5994,[2]媒体政策预估表!$A$2:$M$2,0),0)</f>
        <v>0.10299999999999999</v>
      </c>
      <c r="AF5994" s="6">
        <f t="shared" si="935"/>
        <v>0</v>
      </c>
      <c r="AG5994" s="14">
        <v>0</v>
      </c>
      <c r="AH5994" s="99">
        <f t="shared" si="939"/>
        <v>0</v>
      </c>
      <c r="AI5994" s="47"/>
      <c r="AJ5994" s="126" t="e">
        <v>#N/A</v>
      </c>
      <c r="AK5994" s="80">
        <f t="shared" si="934"/>
        <v>0</v>
      </c>
      <c r="AL5994" s="85"/>
      <c r="AM5994" s="85"/>
    </row>
    <row r="5995" spans="1:39" s="86" customFormat="1" ht="13.25" hidden="1" customHeight="1" x14ac:dyDescent="0.3">
      <c r="A5995" s="89" t="s">
        <v>3794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936"/>
        <v>3711.48</v>
      </c>
      <c r="X5995" s="6">
        <f t="shared" si="937"/>
        <v>0</v>
      </c>
      <c r="Y5995" s="13">
        <f t="shared" si="932"/>
        <v>0</v>
      </c>
      <c r="Z5995" s="14">
        <v>0</v>
      </c>
      <c r="AA5995" s="6">
        <v>0</v>
      </c>
      <c r="AB5995" s="4">
        <f t="shared" si="933"/>
        <v>0</v>
      </c>
      <c r="AC5995" s="6">
        <f t="shared" si="931"/>
        <v>0</v>
      </c>
      <c r="AD5995" s="6">
        <f t="shared" si="938"/>
        <v>0</v>
      </c>
      <c r="AE5995" s="14">
        <f>VLOOKUP(I5995,[2]媒体政策预估表!A:N,MATCH(O5995,[2]媒体政策预估表!$A$2:$M$2,0),0)</f>
        <v>0.10299999999999999</v>
      </c>
      <c r="AF5995" s="6">
        <f t="shared" si="935"/>
        <v>0</v>
      </c>
      <c r="AG5995" s="14">
        <v>0</v>
      </c>
      <c r="AH5995" s="99">
        <f t="shared" si="939"/>
        <v>0</v>
      </c>
      <c r="AI5995" s="47"/>
      <c r="AJ5995" s="126" t="e">
        <v>#N/A</v>
      </c>
      <c r="AK5995" s="80">
        <f t="shared" si="934"/>
        <v>0</v>
      </c>
      <c r="AL5995" s="85"/>
      <c r="AM5995" s="85"/>
    </row>
    <row r="5996" spans="1:39" s="86" customFormat="1" ht="13.25" hidden="1" customHeight="1" x14ac:dyDescent="0.3">
      <c r="A5996" s="89" t="s">
        <v>3794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936"/>
        <v>100990.47999999998</v>
      </c>
      <c r="X5996" s="6">
        <f t="shared" si="937"/>
        <v>0</v>
      </c>
      <c r="Y5996" s="13">
        <f t="shared" si="932"/>
        <v>0</v>
      </c>
      <c r="Z5996" s="14">
        <v>0</v>
      </c>
      <c r="AA5996" s="6">
        <v>0</v>
      </c>
      <c r="AB5996" s="4">
        <f t="shared" si="933"/>
        <v>0</v>
      </c>
      <c r="AC5996" s="6">
        <f t="shared" si="931"/>
        <v>0</v>
      </c>
      <c r="AD5996" s="6">
        <f t="shared" si="938"/>
        <v>0</v>
      </c>
      <c r="AE5996" s="14">
        <f>VLOOKUP(I5996,[2]媒体政策预估表!A:N,MATCH(O5996,[2]媒体政策预估表!$A$2:$M$2,0),0)</f>
        <v>0.10299999999999999</v>
      </c>
      <c r="AF5996" s="6">
        <f t="shared" si="935"/>
        <v>0</v>
      </c>
      <c r="AG5996" s="14">
        <v>0</v>
      </c>
      <c r="AH5996" s="99">
        <f t="shared" si="939"/>
        <v>0</v>
      </c>
      <c r="AI5996" s="47"/>
      <c r="AJ5996" s="126" t="e">
        <v>#N/A</v>
      </c>
      <c r="AK5996" s="80">
        <f t="shared" si="934"/>
        <v>0</v>
      </c>
      <c r="AL5996" s="85"/>
      <c r="AM5996" s="85"/>
    </row>
    <row r="5997" spans="1:39" s="86" customFormat="1" ht="13.25" hidden="1" customHeight="1" x14ac:dyDescent="0.3">
      <c r="A5997" s="89" t="s">
        <v>3794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936"/>
        <v>9071.89</v>
      </c>
      <c r="X5997" s="6">
        <f t="shared" si="937"/>
        <v>0</v>
      </c>
      <c r="Y5997" s="13">
        <f t="shared" si="932"/>
        <v>0</v>
      </c>
      <c r="Z5997" s="14">
        <v>0</v>
      </c>
      <c r="AA5997" s="6">
        <v>0</v>
      </c>
      <c r="AB5997" s="4">
        <f t="shared" si="933"/>
        <v>0</v>
      </c>
      <c r="AC5997" s="6">
        <f t="shared" si="931"/>
        <v>0</v>
      </c>
      <c r="AD5997" s="6">
        <f t="shared" si="938"/>
        <v>0</v>
      </c>
      <c r="AE5997" s="14">
        <f>VLOOKUP(I5997,[2]媒体政策预估表!A:N,MATCH(O5997,[2]媒体政策预估表!$A$2:$M$2,0),0)</f>
        <v>0.10299999999999999</v>
      </c>
      <c r="AF5997" s="6">
        <f t="shared" si="935"/>
        <v>0</v>
      </c>
      <c r="AG5997" s="14">
        <v>0</v>
      </c>
      <c r="AH5997" s="99">
        <f t="shared" si="939"/>
        <v>0</v>
      </c>
      <c r="AI5997" s="47"/>
      <c r="AJ5997" s="126" t="e">
        <v>#N/A</v>
      </c>
      <c r="AK5997" s="80">
        <f t="shared" si="934"/>
        <v>0</v>
      </c>
      <c r="AL5997" s="85"/>
      <c r="AM5997" s="85"/>
    </row>
    <row r="5998" spans="1:39" s="86" customFormat="1" ht="13.25" hidden="1" customHeight="1" x14ac:dyDescent="0.3">
      <c r="A5998" s="89" t="s">
        <v>3794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936"/>
        <v>42453.239999999983</v>
      </c>
      <c r="X5998" s="6">
        <f t="shared" si="937"/>
        <v>0</v>
      </c>
      <c r="Y5998" s="13">
        <f t="shared" si="932"/>
        <v>0</v>
      </c>
      <c r="Z5998" s="14">
        <v>0</v>
      </c>
      <c r="AA5998" s="6">
        <v>0</v>
      </c>
      <c r="AB5998" s="4">
        <f t="shared" si="933"/>
        <v>0</v>
      </c>
      <c r="AC5998" s="6">
        <f t="shared" si="931"/>
        <v>0</v>
      </c>
      <c r="AD5998" s="6">
        <f t="shared" si="938"/>
        <v>0</v>
      </c>
      <c r="AE5998" s="14">
        <f>VLOOKUP(I5998,[2]媒体政策预估表!A:N,MATCH(O5998,[2]媒体政策预估表!$A$2:$M$2,0),0)</f>
        <v>0.10299999999999999</v>
      </c>
      <c r="AF5998" s="6">
        <f t="shared" si="935"/>
        <v>0</v>
      </c>
      <c r="AG5998" s="14">
        <v>0</v>
      </c>
      <c r="AH5998" s="99">
        <f t="shared" si="939"/>
        <v>0</v>
      </c>
      <c r="AI5998" s="47"/>
      <c r="AJ5998" s="126" t="e">
        <v>#N/A</v>
      </c>
      <c r="AK5998" s="80">
        <f t="shared" si="934"/>
        <v>0</v>
      </c>
      <c r="AL5998" s="85"/>
      <c r="AM5998" s="85"/>
    </row>
    <row r="5999" spans="1:39" s="86" customFormat="1" ht="13.25" hidden="1" customHeight="1" x14ac:dyDescent="0.3">
      <c r="A5999" s="89" t="s">
        <v>3794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936"/>
        <v>43378.239999999998</v>
      </c>
      <c r="X5999" s="6">
        <f t="shared" si="937"/>
        <v>0</v>
      </c>
      <c r="Y5999" s="13">
        <f t="shared" si="932"/>
        <v>0</v>
      </c>
      <c r="Z5999" s="14">
        <v>0</v>
      </c>
      <c r="AA5999" s="6">
        <v>0</v>
      </c>
      <c r="AB5999" s="4">
        <f t="shared" si="933"/>
        <v>0</v>
      </c>
      <c r="AC5999" s="6">
        <f t="shared" si="931"/>
        <v>0</v>
      </c>
      <c r="AD5999" s="6">
        <f t="shared" si="938"/>
        <v>0</v>
      </c>
      <c r="AE5999" s="14">
        <f>VLOOKUP(I5999,[2]媒体政策预估表!A:N,MATCH(O5999,[2]媒体政策预估表!$A$2:$M$2,0),0)</f>
        <v>0.10299999999999999</v>
      </c>
      <c r="AF5999" s="6">
        <f t="shared" si="935"/>
        <v>0</v>
      </c>
      <c r="AG5999" s="14">
        <v>0</v>
      </c>
      <c r="AH5999" s="99">
        <f t="shared" si="939"/>
        <v>0</v>
      </c>
      <c r="AI5999" s="47"/>
      <c r="AJ5999" s="126" t="e">
        <v>#N/A</v>
      </c>
      <c r="AK5999" s="80">
        <f t="shared" si="934"/>
        <v>0</v>
      </c>
      <c r="AL5999" s="85"/>
      <c r="AM5999" s="85"/>
    </row>
    <row r="6000" spans="1:39" s="86" customFormat="1" ht="13.25" hidden="1" customHeight="1" x14ac:dyDescent="0.3">
      <c r="A6000" s="89" t="s">
        <v>3792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936"/>
        <v>18.449999999999818</v>
      </c>
      <c r="X6000" s="6">
        <f t="shared" si="937"/>
        <v>0</v>
      </c>
      <c r="Y6000" s="13">
        <f t="shared" si="932"/>
        <v>0</v>
      </c>
      <c r="Z6000" s="14">
        <v>0</v>
      </c>
      <c r="AA6000" s="6">
        <v>0</v>
      </c>
      <c r="AB6000" s="4">
        <f t="shared" si="933"/>
        <v>0</v>
      </c>
      <c r="AC6000" s="6">
        <f t="shared" si="931"/>
        <v>0</v>
      </c>
      <c r="AD6000" s="6">
        <f t="shared" si="938"/>
        <v>0</v>
      </c>
      <c r="AE6000" s="14">
        <f>VLOOKUP(I6000,[2]媒体政策预估表!A:N,MATCH(O6000,[2]媒体政策预估表!$A$2:$M$2,0),0)</f>
        <v>0.10299999999999999</v>
      </c>
      <c r="AF6000" s="6">
        <f t="shared" si="935"/>
        <v>0</v>
      </c>
      <c r="AG6000" s="14">
        <v>0</v>
      </c>
      <c r="AH6000" s="99">
        <f t="shared" si="939"/>
        <v>0</v>
      </c>
      <c r="AI6000" s="47"/>
      <c r="AJ6000" s="126" t="e">
        <v>#N/A</v>
      </c>
      <c r="AK6000" s="80">
        <f t="shared" si="934"/>
        <v>0</v>
      </c>
      <c r="AL6000" s="85"/>
      <c r="AM6000" s="85"/>
    </row>
    <row r="6001" spans="1:39" s="86" customFormat="1" ht="13.25" hidden="1" customHeight="1" x14ac:dyDescent="0.3">
      <c r="A6001" s="89" t="s">
        <v>3792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936"/>
        <v>-25461.18</v>
      </c>
      <c r="X6001" s="6">
        <f t="shared" si="937"/>
        <v>7636.1904761904761</v>
      </c>
      <c r="Y6001" s="13">
        <f t="shared" si="932"/>
        <v>0</v>
      </c>
      <c r="Z6001" s="14">
        <v>0</v>
      </c>
      <c r="AA6001" s="6">
        <v>0</v>
      </c>
      <c r="AB6001" s="4">
        <f t="shared" si="933"/>
        <v>7636.1904761904761</v>
      </c>
      <c r="AC6001" s="6">
        <f t="shared" si="931"/>
        <v>381.80952380952385</v>
      </c>
      <c r="AD6001" s="6">
        <f t="shared" si="938"/>
        <v>8018</v>
      </c>
      <c r="AE6001" s="14">
        <f>VLOOKUP(I6001,[2]媒体政策预估表!A:N,MATCH(O6001,[2]媒体政策预估表!$A$2:$M$2,0),0)</f>
        <v>0.223</v>
      </c>
      <c r="AF6001" s="6">
        <f t="shared" si="935"/>
        <v>1788.0140000000001</v>
      </c>
      <c r="AG6001" s="14">
        <v>0</v>
      </c>
      <c r="AH6001" s="99">
        <f t="shared" si="939"/>
        <v>8018</v>
      </c>
      <c r="AI6001" s="47"/>
      <c r="AJ6001" s="126" t="e">
        <v>#N/A</v>
      </c>
      <c r="AK6001" s="80">
        <f t="shared" si="934"/>
        <v>0</v>
      </c>
      <c r="AL6001" s="85"/>
      <c r="AM6001" s="85"/>
    </row>
    <row r="6002" spans="1:39" s="86" customFormat="1" ht="13.25" hidden="1" customHeight="1" x14ac:dyDescent="0.3">
      <c r="A6002" s="89" t="s">
        <v>3792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936"/>
        <v>-119973.93</v>
      </c>
      <c r="X6002" s="6">
        <f t="shared" si="937"/>
        <v>114260.8857142857</v>
      </c>
      <c r="Y6002" s="13">
        <f t="shared" si="932"/>
        <v>0</v>
      </c>
      <c r="Z6002" s="14">
        <v>0</v>
      </c>
      <c r="AA6002" s="6">
        <v>0</v>
      </c>
      <c r="AB6002" s="4">
        <f t="shared" si="933"/>
        <v>114260.8857142857</v>
      </c>
      <c r="AC6002" s="6">
        <f t="shared" si="931"/>
        <v>5713.0442857142916</v>
      </c>
      <c r="AD6002" s="6">
        <f t="shared" si="938"/>
        <v>119973.93</v>
      </c>
      <c r="AE6002" s="14">
        <f>VLOOKUP(I6002,[2]媒体政策预估表!A:N,MATCH(O6002,[2]媒体政策预估表!$A$2:$M$2,0),0)</f>
        <v>0.223</v>
      </c>
      <c r="AF6002" s="6">
        <f t="shared" si="935"/>
        <v>26754.186389999999</v>
      </c>
      <c r="AG6002" s="14">
        <v>0</v>
      </c>
      <c r="AH6002" s="99">
        <f t="shared" si="939"/>
        <v>119973.93</v>
      </c>
      <c r="AI6002" s="47"/>
      <c r="AJ6002" s="126" t="e">
        <v>#N/A</v>
      </c>
      <c r="AK6002" s="80">
        <f t="shared" si="934"/>
        <v>0</v>
      </c>
      <c r="AL6002" s="85"/>
      <c r="AM6002" s="85"/>
    </row>
    <row r="6003" spans="1:39" s="86" customFormat="1" ht="13.25" hidden="1" customHeight="1" x14ac:dyDescent="0.3">
      <c r="A6003" s="89" t="s">
        <v>3792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936"/>
        <v>23558.670000000006</v>
      </c>
      <c r="X6003" s="6">
        <f t="shared" si="937"/>
        <v>0</v>
      </c>
      <c r="Y6003" s="13">
        <f t="shared" si="932"/>
        <v>0</v>
      </c>
      <c r="Z6003" s="14">
        <v>0</v>
      </c>
      <c r="AA6003" s="6">
        <v>0</v>
      </c>
      <c r="AB6003" s="4">
        <f t="shared" si="933"/>
        <v>0</v>
      </c>
      <c r="AC6003" s="6">
        <f t="shared" si="931"/>
        <v>0</v>
      </c>
      <c r="AD6003" s="6">
        <f t="shared" si="938"/>
        <v>0</v>
      </c>
      <c r="AE6003" s="14">
        <f>VLOOKUP(I6003,[2]媒体政策预估表!A:N,MATCH(O6003,[2]媒体政策预估表!$A$2:$M$2,0),0)</f>
        <v>0.10299999999999999</v>
      </c>
      <c r="AF6003" s="6">
        <f t="shared" si="935"/>
        <v>0</v>
      </c>
      <c r="AG6003" s="14">
        <v>0</v>
      </c>
      <c r="AH6003" s="99">
        <f t="shared" si="939"/>
        <v>0</v>
      </c>
      <c r="AI6003" s="47"/>
      <c r="AJ6003" s="126" t="e">
        <v>#N/A</v>
      </c>
      <c r="AK6003" s="80">
        <f t="shared" si="934"/>
        <v>0</v>
      </c>
      <c r="AL6003" s="85"/>
      <c r="AM6003" s="85"/>
    </row>
    <row r="6004" spans="1:39" s="86" customFormat="1" ht="13.25" hidden="1" customHeight="1" x14ac:dyDescent="0.3">
      <c r="A6004" s="89" t="s">
        <v>3794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936"/>
        <v>427.65</v>
      </c>
      <c r="X6004" s="6">
        <f t="shared" si="937"/>
        <v>0</v>
      </c>
      <c r="Y6004" s="13">
        <f t="shared" si="932"/>
        <v>0</v>
      </c>
      <c r="Z6004" s="14">
        <v>0</v>
      </c>
      <c r="AA6004" s="6">
        <v>0</v>
      </c>
      <c r="AB6004" s="4">
        <f t="shared" si="933"/>
        <v>0</v>
      </c>
      <c r="AC6004" s="6">
        <f t="shared" si="931"/>
        <v>0</v>
      </c>
      <c r="AD6004" s="6">
        <f t="shared" si="938"/>
        <v>0</v>
      </c>
      <c r="AE6004" s="14">
        <f>VLOOKUP(I6004,[2]媒体政策预估表!A:N,MATCH(O6004,[2]媒体政策预估表!$A$2:$M$2,0),0)</f>
        <v>0.10299999999999999</v>
      </c>
      <c r="AF6004" s="6">
        <f t="shared" si="935"/>
        <v>0</v>
      </c>
      <c r="AG6004" s="14">
        <v>0</v>
      </c>
      <c r="AH6004" s="99">
        <f t="shared" si="939"/>
        <v>0</v>
      </c>
      <c r="AI6004" s="47"/>
      <c r="AJ6004" s="126" t="e">
        <v>#N/A</v>
      </c>
      <c r="AK6004" s="80">
        <f t="shared" si="934"/>
        <v>0</v>
      </c>
      <c r="AL6004" s="85"/>
      <c r="AM6004" s="85"/>
    </row>
    <row r="6005" spans="1:39" s="86" customFormat="1" ht="13.25" hidden="1" customHeight="1" x14ac:dyDescent="0.3">
      <c r="A6005" s="89" t="s">
        <v>3794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936"/>
        <v>25000</v>
      </c>
      <c r="X6005" s="6">
        <f t="shared" si="937"/>
        <v>0</v>
      </c>
      <c r="Y6005" s="13">
        <f t="shared" si="932"/>
        <v>0</v>
      </c>
      <c r="Z6005" s="14">
        <v>0</v>
      </c>
      <c r="AA6005" s="6">
        <v>0</v>
      </c>
      <c r="AB6005" s="4">
        <f t="shared" si="933"/>
        <v>0</v>
      </c>
      <c r="AC6005" s="6">
        <f t="shared" si="931"/>
        <v>0</v>
      </c>
      <c r="AD6005" s="6">
        <f t="shared" si="938"/>
        <v>0</v>
      </c>
      <c r="AE6005" s="14">
        <f>VLOOKUP(I6005,[2]媒体政策预估表!A:N,MATCH(O6005,[2]媒体政策预估表!$A$2:$M$2,0),0)</f>
        <v>0.10299999999999999</v>
      </c>
      <c r="AF6005" s="6">
        <f t="shared" si="935"/>
        <v>0</v>
      </c>
      <c r="AG6005" s="14">
        <v>0</v>
      </c>
      <c r="AH6005" s="99">
        <f t="shared" si="939"/>
        <v>0</v>
      </c>
      <c r="AI6005" s="47"/>
      <c r="AJ6005" s="126" t="e">
        <v>#N/A</v>
      </c>
      <c r="AK6005" s="80">
        <f t="shared" si="934"/>
        <v>0</v>
      </c>
      <c r="AL6005" s="85"/>
      <c r="AM6005" s="85"/>
    </row>
    <row r="6006" spans="1:39" s="86" customFormat="1" ht="13.25" hidden="1" customHeight="1" x14ac:dyDescent="0.3">
      <c r="A6006" s="89" t="s">
        <v>3794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936"/>
        <v>9500</v>
      </c>
      <c r="X6006" s="6">
        <f t="shared" si="937"/>
        <v>0</v>
      </c>
      <c r="Y6006" s="13">
        <f t="shared" si="932"/>
        <v>0</v>
      </c>
      <c r="Z6006" s="14">
        <v>0</v>
      </c>
      <c r="AA6006" s="6">
        <v>0</v>
      </c>
      <c r="AB6006" s="4">
        <f t="shared" si="933"/>
        <v>0</v>
      </c>
      <c r="AC6006" s="6">
        <f t="shared" si="931"/>
        <v>0</v>
      </c>
      <c r="AD6006" s="6">
        <f t="shared" si="938"/>
        <v>0</v>
      </c>
      <c r="AE6006" s="14">
        <f>VLOOKUP(I6006,[2]媒体政策预估表!A:N,MATCH(O6006,[2]媒体政策预估表!$A$2:$M$2,0),0)</f>
        <v>0.10299999999999999</v>
      </c>
      <c r="AF6006" s="6">
        <f t="shared" si="935"/>
        <v>0</v>
      </c>
      <c r="AG6006" s="14">
        <v>0</v>
      </c>
      <c r="AH6006" s="99">
        <f t="shared" si="939"/>
        <v>0</v>
      </c>
      <c r="AI6006" s="47"/>
      <c r="AJ6006" s="126" t="e">
        <v>#N/A</v>
      </c>
      <c r="AK6006" s="80">
        <f t="shared" si="934"/>
        <v>0</v>
      </c>
      <c r="AL6006" s="85"/>
      <c r="AM6006" s="85"/>
    </row>
    <row r="6007" spans="1:39" s="86" customFormat="1" ht="13.25" hidden="1" customHeight="1" x14ac:dyDescent="0.3">
      <c r="A6007" s="89" t="s">
        <v>3794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936"/>
        <v>-1143.1799999999998</v>
      </c>
      <c r="X6007" s="6">
        <f t="shared" si="937"/>
        <v>0</v>
      </c>
      <c r="Y6007" s="13">
        <f t="shared" si="932"/>
        <v>0</v>
      </c>
      <c r="Z6007" s="14">
        <v>0</v>
      </c>
      <c r="AA6007" s="6">
        <v>0</v>
      </c>
      <c r="AB6007" s="4">
        <f t="shared" si="933"/>
        <v>0</v>
      </c>
      <c r="AC6007" s="6">
        <f t="shared" si="931"/>
        <v>0</v>
      </c>
      <c r="AD6007" s="6">
        <f t="shared" si="938"/>
        <v>0</v>
      </c>
      <c r="AE6007" s="14">
        <f>VLOOKUP(I6007,[2]媒体政策预估表!A:N,MATCH(O6007,[2]媒体政策预估表!$A$2:$M$2,0),0)</f>
        <v>0.223</v>
      </c>
      <c r="AF6007" s="6">
        <f t="shared" si="935"/>
        <v>0</v>
      </c>
      <c r="AG6007" s="14">
        <v>0</v>
      </c>
      <c r="AH6007" s="99">
        <f t="shared" si="939"/>
        <v>0</v>
      </c>
      <c r="AI6007" s="47"/>
      <c r="AJ6007" s="126" t="e">
        <v>#N/A</v>
      </c>
      <c r="AK6007" s="80">
        <f t="shared" si="934"/>
        <v>0</v>
      </c>
      <c r="AL6007" s="85"/>
      <c r="AM6007" s="85"/>
    </row>
    <row r="6008" spans="1:39" s="86" customFormat="1" ht="13.25" hidden="1" customHeight="1" x14ac:dyDescent="0.3">
      <c r="A6008" s="89" t="s">
        <v>3792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936"/>
        <v>2808.2299999999996</v>
      </c>
      <c r="X6008" s="6">
        <f t="shared" si="937"/>
        <v>0</v>
      </c>
      <c r="Y6008" s="13">
        <f t="shared" si="932"/>
        <v>0</v>
      </c>
      <c r="Z6008" s="14">
        <v>0</v>
      </c>
      <c r="AA6008" s="6">
        <v>0</v>
      </c>
      <c r="AB6008" s="4">
        <f t="shared" si="933"/>
        <v>0</v>
      </c>
      <c r="AC6008" s="6">
        <f t="shared" si="931"/>
        <v>0</v>
      </c>
      <c r="AD6008" s="6">
        <f t="shared" si="938"/>
        <v>0</v>
      </c>
      <c r="AE6008" s="14">
        <f>VLOOKUP(I6008,[2]媒体政策预估表!A:N,MATCH(O6008,[2]媒体政策预估表!$A$2:$M$2,0),0)</f>
        <v>0.10299999999999999</v>
      </c>
      <c r="AF6008" s="6">
        <f t="shared" si="935"/>
        <v>0</v>
      </c>
      <c r="AG6008" s="14">
        <v>0</v>
      </c>
      <c r="AH6008" s="99">
        <f t="shared" si="939"/>
        <v>0</v>
      </c>
      <c r="AI6008" s="47"/>
      <c r="AJ6008" s="126" t="e">
        <v>#N/A</v>
      </c>
      <c r="AK6008" s="80">
        <f t="shared" si="934"/>
        <v>0</v>
      </c>
      <c r="AL6008" s="85"/>
      <c r="AM6008" s="85"/>
    </row>
    <row r="6009" spans="1:39" s="86" customFormat="1" ht="13.25" hidden="1" customHeight="1" x14ac:dyDescent="0.3">
      <c r="A6009" s="89" t="s">
        <v>3792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936"/>
        <v>10079.870000000001</v>
      </c>
      <c r="X6009" s="6">
        <f t="shared" si="937"/>
        <v>0</v>
      </c>
      <c r="Y6009" s="13">
        <f t="shared" si="932"/>
        <v>0</v>
      </c>
      <c r="Z6009" s="14">
        <v>0</v>
      </c>
      <c r="AA6009" s="6">
        <v>0</v>
      </c>
      <c r="AB6009" s="4">
        <f t="shared" si="933"/>
        <v>0</v>
      </c>
      <c r="AC6009" s="6">
        <f t="shared" si="931"/>
        <v>0</v>
      </c>
      <c r="AD6009" s="6">
        <f t="shared" si="938"/>
        <v>0</v>
      </c>
      <c r="AE6009" s="14">
        <f>VLOOKUP(I6009,[2]媒体政策预估表!A:N,MATCH(O6009,[2]媒体政策预估表!$A$2:$M$2,0),0)</f>
        <v>0.10299999999999999</v>
      </c>
      <c r="AF6009" s="6">
        <f t="shared" si="935"/>
        <v>0</v>
      </c>
      <c r="AG6009" s="14">
        <v>0</v>
      </c>
      <c r="AH6009" s="99">
        <f t="shared" si="939"/>
        <v>0</v>
      </c>
      <c r="AI6009" s="47"/>
      <c r="AJ6009" s="126" t="e">
        <v>#N/A</v>
      </c>
      <c r="AK6009" s="80">
        <f t="shared" si="934"/>
        <v>0</v>
      </c>
      <c r="AL6009" s="85"/>
      <c r="AM6009" s="85"/>
    </row>
    <row r="6010" spans="1:39" s="86" customFormat="1" ht="13.25" hidden="1" customHeight="1" x14ac:dyDescent="0.3">
      <c r="A6010" s="89" t="s">
        <v>3794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936"/>
        <v>-44356.04</v>
      </c>
      <c r="X6010" s="6">
        <f t="shared" si="937"/>
        <v>1533.6</v>
      </c>
      <c r="Y6010" s="13">
        <f t="shared" si="932"/>
        <v>0</v>
      </c>
      <c r="Z6010" s="14">
        <v>0</v>
      </c>
      <c r="AA6010" s="6">
        <v>0</v>
      </c>
      <c r="AB6010" s="4">
        <f t="shared" si="933"/>
        <v>1533.6</v>
      </c>
      <c r="AC6010" s="6">
        <f t="shared" si="931"/>
        <v>0</v>
      </c>
      <c r="AD6010" s="6">
        <f t="shared" si="938"/>
        <v>1533.6</v>
      </c>
      <c r="AE6010" s="14">
        <f>VLOOKUP(I6010,[2]媒体政策预估表!A:N,MATCH(O6010,[2]媒体政策预估表!$A$2:$M$2,0),0)</f>
        <v>0.223</v>
      </c>
      <c r="AF6010" s="6">
        <f t="shared" si="935"/>
        <v>341.99279999999999</v>
      </c>
      <c r="AG6010" s="14">
        <v>0</v>
      </c>
      <c r="AH6010" s="99">
        <f t="shared" si="939"/>
        <v>1533.6</v>
      </c>
      <c r="AI6010" s="47"/>
      <c r="AJ6010" s="126" t="e">
        <v>#N/A</v>
      </c>
      <c r="AK6010" s="80">
        <f t="shared" si="934"/>
        <v>0</v>
      </c>
      <c r="AL6010" s="85"/>
      <c r="AM6010" s="85"/>
    </row>
    <row r="6011" spans="1:39" s="86" customFormat="1" ht="13.25" hidden="1" customHeight="1" x14ac:dyDescent="0.3">
      <c r="A6011" s="89" t="s">
        <v>3794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936"/>
        <v>27897.68</v>
      </c>
      <c r="X6011" s="6">
        <f t="shared" si="937"/>
        <v>0</v>
      </c>
      <c r="Y6011" s="13">
        <f t="shared" si="932"/>
        <v>0</v>
      </c>
      <c r="Z6011" s="14">
        <v>0</v>
      </c>
      <c r="AA6011" s="6">
        <v>0</v>
      </c>
      <c r="AB6011" s="4">
        <f t="shared" si="933"/>
        <v>0</v>
      </c>
      <c r="AC6011" s="6">
        <f t="shared" si="931"/>
        <v>0</v>
      </c>
      <c r="AD6011" s="6">
        <f t="shared" si="938"/>
        <v>0</v>
      </c>
      <c r="AE6011" s="14">
        <f>VLOOKUP(I6011,[2]媒体政策预估表!A:N,MATCH(O6011,[2]媒体政策预估表!$A$2:$M$2,0),0)</f>
        <v>0.10299999999999999</v>
      </c>
      <c r="AF6011" s="6">
        <f t="shared" si="935"/>
        <v>0</v>
      </c>
      <c r="AG6011" s="14">
        <v>0</v>
      </c>
      <c r="AH6011" s="99">
        <f t="shared" si="939"/>
        <v>0</v>
      </c>
      <c r="AI6011" s="47"/>
      <c r="AJ6011" s="126" t="e">
        <v>#N/A</v>
      </c>
      <c r="AK6011" s="80">
        <f t="shared" si="934"/>
        <v>0</v>
      </c>
      <c r="AL6011" s="85"/>
      <c r="AM6011" s="85"/>
    </row>
    <row r="6012" spans="1:39" s="86" customFormat="1" ht="13.25" hidden="1" customHeight="1" x14ac:dyDescent="0.3">
      <c r="A6012" s="89" t="s">
        <v>3792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936"/>
        <v>4006.75</v>
      </c>
      <c r="X6012" s="6">
        <f t="shared" si="937"/>
        <v>0</v>
      </c>
      <c r="Y6012" s="13">
        <f t="shared" si="932"/>
        <v>0</v>
      </c>
      <c r="Z6012" s="14">
        <v>0</v>
      </c>
      <c r="AA6012" s="6">
        <v>0</v>
      </c>
      <c r="AB6012" s="4">
        <f t="shared" si="933"/>
        <v>0</v>
      </c>
      <c r="AC6012" s="6">
        <f t="shared" si="931"/>
        <v>0</v>
      </c>
      <c r="AD6012" s="6">
        <f t="shared" si="938"/>
        <v>0</v>
      </c>
      <c r="AE6012" s="14">
        <f>VLOOKUP(I6012,[2]媒体政策预估表!A:N,MATCH(O6012,[2]媒体政策预估表!$A$2:$M$2,0),0)</f>
        <v>0.10299999999999999</v>
      </c>
      <c r="AF6012" s="6">
        <f t="shared" si="935"/>
        <v>0</v>
      </c>
      <c r="AG6012" s="14">
        <v>0</v>
      </c>
      <c r="AH6012" s="99">
        <f t="shared" si="939"/>
        <v>0</v>
      </c>
      <c r="AI6012" s="47"/>
      <c r="AJ6012" s="126" t="e">
        <v>#N/A</v>
      </c>
      <c r="AK6012" s="80">
        <f t="shared" si="934"/>
        <v>0</v>
      </c>
      <c r="AL6012" s="85"/>
      <c r="AM6012" s="85"/>
    </row>
    <row r="6013" spans="1:39" s="86" customFormat="1" ht="13.25" hidden="1" customHeight="1" x14ac:dyDescent="0.3">
      <c r="A6013" s="89" t="s">
        <v>3792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936"/>
        <v>2238.3000000000002</v>
      </c>
      <c r="X6013" s="6">
        <f t="shared" si="937"/>
        <v>0</v>
      </c>
      <c r="Y6013" s="13">
        <f t="shared" si="932"/>
        <v>0</v>
      </c>
      <c r="Z6013" s="14">
        <v>0</v>
      </c>
      <c r="AA6013" s="6">
        <v>0</v>
      </c>
      <c r="AB6013" s="4">
        <f t="shared" si="933"/>
        <v>0</v>
      </c>
      <c r="AC6013" s="6">
        <f t="shared" si="931"/>
        <v>0</v>
      </c>
      <c r="AD6013" s="6">
        <f t="shared" si="938"/>
        <v>0</v>
      </c>
      <c r="AE6013" s="14">
        <f>VLOOKUP(I6013,[2]媒体政策预估表!A:N,MATCH(O6013,[2]媒体政策预估表!$A$2:$M$2,0),0)</f>
        <v>0.223</v>
      </c>
      <c r="AF6013" s="6">
        <f t="shared" si="935"/>
        <v>0</v>
      </c>
      <c r="AG6013" s="14">
        <v>0</v>
      </c>
      <c r="AH6013" s="99">
        <f t="shared" si="939"/>
        <v>0</v>
      </c>
      <c r="AI6013" s="47"/>
      <c r="AJ6013" s="126" t="e">
        <v>#N/A</v>
      </c>
      <c r="AK6013" s="80">
        <f t="shared" si="934"/>
        <v>0</v>
      </c>
      <c r="AL6013" s="85"/>
      <c r="AM6013" s="85"/>
    </row>
    <row r="6014" spans="1:39" s="86" customFormat="1" ht="13.25" hidden="1" customHeight="1" x14ac:dyDescent="0.3">
      <c r="A6014" s="89" t="s">
        <v>3792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936"/>
        <v>4257.3999999999996</v>
      </c>
      <c r="X6014" s="6">
        <f t="shared" si="937"/>
        <v>0</v>
      </c>
      <c r="Y6014" s="13">
        <f t="shared" si="932"/>
        <v>0</v>
      </c>
      <c r="Z6014" s="14">
        <v>0</v>
      </c>
      <c r="AA6014" s="6">
        <v>0</v>
      </c>
      <c r="AB6014" s="4">
        <f t="shared" si="933"/>
        <v>0</v>
      </c>
      <c r="AC6014" s="6">
        <f t="shared" ref="AC6014:AC6077" si="940">IF(P6014="返现",X6014*Q6014,V6014-X6014)</f>
        <v>0</v>
      </c>
      <c r="AD6014" s="6">
        <f t="shared" si="938"/>
        <v>0</v>
      </c>
      <c r="AE6014" s="14">
        <f>VLOOKUP(I6014,[2]媒体政策预估表!A:N,MATCH(O6014,[2]媒体政策预估表!$A$2:$M$2,0),0)</f>
        <v>0.10299999999999999</v>
      </c>
      <c r="AF6014" s="6">
        <f t="shared" si="935"/>
        <v>0</v>
      </c>
      <c r="AG6014" s="14">
        <v>0</v>
      </c>
      <c r="AH6014" s="99">
        <f t="shared" si="939"/>
        <v>0</v>
      </c>
      <c r="AI6014" s="47"/>
      <c r="AJ6014" s="126" t="e">
        <v>#N/A</v>
      </c>
      <c r="AK6014" s="80">
        <f t="shared" si="934"/>
        <v>0</v>
      </c>
      <c r="AL6014" s="85"/>
      <c r="AM6014" s="85"/>
    </row>
    <row r="6015" spans="1:39" s="86" customFormat="1" ht="13.25" hidden="1" customHeight="1" x14ac:dyDescent="0.3">
      <c r="A6015" s="89" t="s">
        <v>3794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936"/>
        <v>-2947630.5500000003</v>
      </c>
      <c r="X6015" s="6">
        <f t="shared" si="937"/>
        <v>321257.09999999998</v>
      </c>
      <c r="Y6015" s="13">
        <f t="shared" si="932"/>
        <v>0</v>
      </c>
      <c r="Z6015" s="14">
        <v>0</v>
      </c>
      <c r="AA6015" s="6">
        <v>0</v>
      </c>
      <c r="AB6015" s="4">
        <f t="shared" si="933"/>
        <v>321257.09999999998</v>
      </c>
      <c r="AC6015" s="6">
        <f t="shared" si="940"/>
        <v>0</v>
      </c>
      <c r="AD6015" s="6">
        <f t="shared" si="938"/>
        <v>321257.09999999998</v>
      </c>
      <c r="AE6015" s="14">
        <f>VLOOKUP(I6015,[2]媒体政策预估表!A:N,MATCH(O6015,[2]媒体政策预估表!$A$2:$M$2,0),0)</f>
        <v>0.223</v>
      </c>
      <c r="AF6015" s="6">
        <f t="shared" si="935"/>
        <v>71640.333299999998</v>
      </c>
      <c r="AG6015" s="14">
        <v>0</v>
      </c>
      <c r="AH6015" s="99">
        <f t="shared" si="939"/>
        <v>321257.09999999998</v>
      </c>
      <c r="AI6015" s="47"/>
      <c r="AJ6015" s="126" t="e">
        <v>#N/A</v>
      </c>
      <c r="AK6015" s="80">
        <f t="shared" si="934"/>
        <v>0</v>
      </c>
      <c r="AL6015" s="85"/>
      <c r="AM6015" s="85"/>
    </row>
    <row r="6016" spans="1:39" s="86" customFormat="1" ht="13.25" hidden="1" customHeight="1" x14ac:dyDescent="0.3">
      <c r="A6016" s="89" t="s">
        <v>3794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936"/>
        <v>33802.089999999997</v>
      </c>
      <c r="X6016" s="6">
        <f t="shared" si="937"/>
        <v>0</v>
      </c>
      <c r="Y6016" s="13">
        <f t="shared" si="932"/>
        <v>0</v>
      </c>
      <c r="Z6016" s="14">
        <v>0</v>
      </c>
      <c r="AA6016" s="6">
        <v>0</v>
      </c>
      <c r="AB6016" s="4">
        <f t="shared" si="933"/>
        <v>0</v>
      </c>
      <c r="AC6016" s="6">
        <f t="shared" si="940"/>
        <v>0</v>
      </c>
      <c r="AD6016" s="6">
        <f t="shared" si="938"/>
        <v>0</v>
      </c>
      <c r="AE6016" s="14">
        <f>VLOOKUP(I6016,[2]媒体政策预估表!A:N,MATCH(O6016,[2]媒体政策预估表!$A$2:$M$2,0),0)</f>
        <v>0.10299999999999999</v>
      </c>
      <c r="AF6016" s="6">
        <f t="shared" si="935"/>
        <v>0</v>
      </c>
      <c r="AG6016" s="14">
        <v>0</v>
      </c>
      <c r="AH6016" s="99">
        <f t="shared" si="939"/>
        <v>0</v>
      </c>
      <c r="AI6016" s="47"/>
      <c r="AJ6016" s="126" t="e">
        <v>#N/A</v>
      </c>
      <c r="AK6016" s="80">
        <f t="shared" si="934"/>
        <v>0</v>
      </c>
      <c r="AL6016" s="85"/>
      <c r="AM6016" s="85"/>
    </row>
    <row r="6017" spans="1:39" s="86" customFormat="1" ht="13.25" hidden="1" customHeight="1" x14ac:dyDescent="0.3">
      <c r="A6017" s="89" t="s">
        <v>3805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936"/>
        <v>1153.1199999999999</v>
      </c>
      <c r="X6017" s="6">
        <f t="shared" si="937"/>
        <v>0</v>
      </c>
      <c r="Y6017" s="13">
        <f t="shared" si="932"/>
        <v>0</v>
      </c>
      <c r="Z6017" s="14">
        <v>0</v>
      </c>
      <c r="AA6017" s="6">
        <v>0</v>
      </c>
      <c r="AB6017" s="4"/>
      <c r="AC6017" s="6">
        <f t="shared" si="940"/>
        <v>0</v>
      </c>
      <c r="AD6017" s="6">
        <f t="shared" si="938"/>
        <v>0</v>
      </c>
      <c r="AE6017" s="14">
        <f>VLOOKUP(I6017,[2]媒体政策预估表!A:N,MATCH(O6017,[2]媒体政策预估表!$A$2:$M$2,0),0)</f>
        <v>0.223</v>
      </c>
      <c r="AF6017" s="6">
        <f t="shared" si="935"/>
        <v>0</v>
      </c>
      <c r="AG6017" s="14">
        <v>0</v>
      </c>
      <c r="AH6017" s="99">
        <f t="shared" si="939"/>
        <v>0</v>
      </c>
      <c r="AI6017" s="47"/>
      <c r="AJ6017" s="126">
        <v>25</v>
      </c>
      <c r="AK6017" s="80">
        <f t="shared" si="934"/>
        <v>0</v>
      </c>
      <c r="AL6017" s="85"/>
      <c r="AM6017" s="85"/>
    </row>
    <row r="6018" spans="1:39" s="86" customFormat="1" ht="13.25" hidden="1" customHeight="1" x14ac:dyDescent="0.3">
      <c r="A6018" s="89" t="s">
        <v>3794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936"/>
        <v>977.7</v>
      </c>
      <c r="X6018" s="6">
        <f t="shared" si="937"/>
        <v>0</v>
      </c>
      <c r="Y6018" s="13">
        <f t="shared" si="932"/>
        <v>0</v>
      </c>
      <c r="Z6018" s="14">
        <v>0</v>
      </c>
      <c r="AA6018" s="6">
        <v>0</v>
      </c>
      <c r="AB6018" s="4">
        <f t="shared" si="933"/>
        <v>0</v>
      </c>
      <c r="AC6018" s="6">
        <f t="shared" si="940"/>
        <v>0</v>
      </c>
      <c r="AD6018" s="6">
        <f t="shared" si="938"/>
        <v>0</v>
      </c>
      <c r="AE6018" s="14">
        <f>VLOOKUP(I6018,[2]媒体政策预估表!A:N,MATCH(O6018,[2]媒体政策预估表!$A$2:$M$2,0),0)</f>
        <v>0.10299999999999999</v>
      </c>
      <c r="AF6018" s="6">
        <f t="shared" si="935"/>
        <v>0</v>
      </c>
      <c r="AG6018" s="14">
        <v>0</v>
      </c>
      <c r="AH6018" s="99">
        <f t="shared" si="939"/>
        <v>0</v>
      </c>
      <c r="AI6018" s="47"/>
      <c r="AJ6018" s="126" t="e">
        <v>#N/A</v>
      </c>
      <c r="AK6018" s="80">
        <f t="shared" si="934"/>
        <v>0</v>
      </c>
      <c r="AL6018" s="85"/>
      <c r="AM6018" s="85"/>
    </row>
    <row r="6019" spans="1:39" s="86" customFormat="1" ht="13.25" hidden="1" customHeight="1" x14ac:dyDescent="0.3">
      <c r="A6019" s="89" t="s">
        <v>3794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936"/>
        <v>-732126.01</v>
      </c>
      <c r="X6019" s="6">
        <f t="shared" si="937"/>
        <v>0</v>
      </c>
      <c r="Y6019" s="13">
        <f t="shared" ref="Y6019:Y6082" si="941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942">X6019+AA6019</f>
        <v>0</v>
      </c>
      <c r="AC6019" s="6">
        <f t="shared" si="940"/>
        <v>0</v>
      </c>
      <c r="AD6019" s="6">
        <f t="shared" si="938"/>
        <v>0</v>
      </c>
      <c r="AE6019" s="14">
        <f>VLOOKUP(I6019,[2]媒体政策预估表!A:N,MATCH(O6019,[2]媒体政策预估表!$A$2:$M$2,0),0)</f>
        <v>0.223</v>
      </c>
      <c r="AF6019" s="6">
        <f t="shared" si="935"/>
        <v>0</v>
      </c>
      <c r="AG6019" s="14">
        <v>0</v>
      </c>
      <c r="AH6019" s="99">
        <f t="shared" si="939"/>
        <v>0</v>
      </c>
      <c r="AI6019" s="47"/>
      <c r="AJ6019" s="126" t="e">
        <v>#N/A</v>
      </c>
      <c r="AK6019" s="80">
        <f t="shared" ref="AK6019:AK6082" si="943">X6019+AA6019-AB6019</f>
        <v>0</v>
      </c>
      <c r="AL6019" s="85"/>
      <c r="AM6019" s="85"/>
    </row>
    <row r="6020" spans="1:39" s="86" customFormat="1" ht="13.25" hidden="1" customHeight="1" x14ac:dyDescent="0.3">
      <c r="A6020" s="89" t="s">
        <v>3792</v>
      </c>
      <c r="B6020" s="86" t="s">
        <v>35</v>
      </c>
      <c r="C6020" s="86" t="s">
        <v>184</v>
      </c>
      <c r="D6020" s="86" t="s">
        <v>3849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936"/>
        <v>-288203.2</v>
      </c>
      <c r="X6020" s="6">
        <f t="shared" si="937"/>
        <v>0</v>
      </c>
      <c r="Y6020" s="13">
        <f t="shared" si="941"/>
        <v>0</v>
      </c>
      <c r="Z6020" s="14">
        <v>0</v>
      </c>
      <c r="AA6020" s="6">
        <v>0</v>
      </c>
      <c r="AB6020" s="4">
        <f t="shared" si="942"/>
        <v>0</v>
      </c>
      <c r="AC6020" s="6">
        <f t="shared" si="940"/>
        <v>0</v>
      </c>
      <c r="AD6020" s="6">
        <f t="shared" si="938"/>
        <v>0</v>
      </c>
      <c r="AE6020" s="14">
        <f>VLOOKUP(I6020,[2]媒体政策预估表!A:N,MATCH(O6020,[2]媒体政策预估表!$A$2:$M$2,0),0)</f>
        <v>0.223</v>
      </c>
      <c r="AF6020" s="6">
        <f t="shared" si="935"/>
        <v>0</v>
      </c>
      <c r="AG6020" s="14">
        <v>0</v>
      </c>
      <c r="AH6020" s="99">
        <f t="shared" si="939"/>
        <v>0</v>
      </c>
      <c r="AI6020" s="47"/>
      <c r="AJ6020" s="126" t="e">
        <v>#N/A</v>
      </c>
      <c r="AK6020" s="80">
        <f t="shared" si="943"/>
        <v>0</v>
      </c>
      <c r="AL6020" s="85"/>
      <c r="AM6020" s="85"/>
    </row>
    <row r="6021" spans="1:39" s="86" customFormat="1" ht="13.25" hidden="1" customHeight="1" x14ac:dyDescent="0.3">
      <c r="A6021" s="89" t="s">
        <v>3794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936"/>
        <v>4458.1899999999996</v>
      </c>
      <c r="X6021" s="6">
        <f t="shared" si="937"/>
        <v>0</v>
      </c>
      <c r="Y6021" s="13">
        <f t="shared" si="941"/>
        <v>0</v>
      </c>
      <c r="Z6021" s="14">
        <v>0</v>
      </c>
      <c r="AA6021" s="6">
        <v>0</v>
      </c>
      <c r="AB6021" s="4">
        <f t="shared" si="942"/>
        <v>0</v>
      </c>
      <c r="AC6021" s="6">
        <f t="shared" si="940"/>
        <v>0</v>
      </c>
      <c r="AD6021" s="6">
        <f t="shared" si="938"/>
        <v>0</v>
      </c>
      <c r="AE6021" s="14">
        <f>VLOOKUP(I6021,[2]媒体政策预估表!A:N,MATCH(O6021,[2]媒体政策预估表!$A$2:$M$2,0),0)</f>
        <v>0.10299999999999999</v>
      </c>
      <c r="AF6021" s="6">
        <f t="shared" si="935"/>
        <v>0</v>
      </c>
      <c r="AG6021" s="14">
        <v>0</v>
      </c>
      <c r="AH6021" s="99">
        <f t="shared" si="939"/>
        <v>0</v>
      </c>
      <c r="AI6021" s="47"/>
      <c r="AJ6021" s="126" t="e">
        <v>#N/A</v>
      </c>
      <c r="AK6021" s="80">
        <f t="shared" si="943"/>
        <v>0</v>
      </c>
      <c r="AL6021" s="85"/>
      <c r="AM6021" s="85"/>
    </row>
    <row r="6022" spans="1:39" s="86" customFormat="1" ht="13.25" hidden="1" customHeight="1" x14ac:dyDescent="0.3">
      <c r="A6022" s="89" t="s">
        <v>3792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936"/>
        <v>69200.62</v>
      </c>
      <c r="X6022" s="6">
        <f t="shared" si="937"/>
        <v>0</v>
      </c>
      <c r="Y6022" s="13">
        <f t="shared" si="941"/>
        <v>0</v>
      </c>
      <c r="Z6022" s="14">
        <v>0</v>
      </c>
      <c r="AA6022" s="6">
        <v>0</v>
      </c>
      <c r="AB6022" s="4">
        <f t="shared" si="942"/>
        <v>0</v>
      </c>
      <c r="AC6022" s="6">
        <f t="shared" si="940"/>
        <v>0</v>
      </c>
      <c r="AD6022" s="6">
        <f t="shared" si="938"/>
        <v>0</v>
      </c>
      <c r="AE6022" s="14">
        <f>VLOOKUP(I6022,[2]媒体政策预估表!A:N,MATCH(O6022,[2]媒体政策预估表!$A$2:$M$2,0),0)</f>
        <v>0.10299999999999999</v>
      </c>
      <c r="AF6022" s="6">
        <f t="shared" si="935"/>
        <v>0</v>
      </c>
      <c r="AG6022" s="14">
        <v>0</v>
      </c>
      <c r="AH6022" s="99">
        <f t="shared" si="939"/>
        <v>0</v>
      </c>
      <c r="AI6022" s="47"/>
      <c r="AJ6022" s="126" t="e">
        <v>#N/A</v>
      </c>
      <c r="AK6022" s="80">
        <f t="shared" si="943"/>
        <v>0</v>
      </c>
      <c r="AL6022" s="85"/>
      <c r="AM6022" s="85"/>
    </row>
    <row r="6023" spans="1:39" s="86" customFormat="1" ht="13.25" hidden="1" customHeight="1" x14ac:dyDescent="0.3">
      <c r="A6023" s="89" t="s">
        <v>3794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936"/>
        <v>4331.8599999999997</v>
      </c>
      <c r="X6023" s="6">
        <f t="shared" si="937"/>
        <v>0</v>
      </c>
      <c r="Y6023" s="13">
        <f t="shared" si="941"/>
        <v>0</v>
      </c>
      <c r="Z6023" s="14">
        <v>0</v>
      </c>
      <c r="AA6023" s="6">
        <v>0</v>
      </c>
      <c r="AB6023" s="4">
        <f t="shared" si="942"/>
        <v>0</v>
      </c>
      <c r="AC6023" s="6">
        <f t="shared" si="940"/>
        <v>0</v>
      </c>
      <c r="AD6023" s="6">
        <f t="shared" si="938"/>
        <v>0</v>
      </c>
      <c r="AE6023" s="14">
        <f>VLOOKUP(I6023,[2]媒体政策预估表!A:N,MATCH(O6023,[2]媒体政策预估表!$A$2:$M$2,0),0)</f>
        <v>0.10299999999999999</v>
      </c>
      <c r="AF6023" s="6">
        <f t="shared" si="935"/>
        <v>0</v>
      </c>
      <c r="AG6023" s="14">
        <v>0</v>
      </c>
      <c r="AH6023" s="99">
        <f t="shared" si="939"/>
        <v>0</v>
      </c>
      <c r="AI6023" s="47"/>
      <c r="AJ6023" s="126" t="e">
        <v>#N/A</v>
      </c>
      <c r="AK6023" s="80">
        <f t="shared" si="943"/>
        <v>0</v>
      </c>
      <c r="AL6023" s="85"/>
      <c r="AM6023" s="85"/>
    </row>
    <row r="6024" spans="1:39" s="86" customFormat="1" ht="13.25" hidden="1" customHeight="1" x14ac:dyDescent="0.3">
      <c r="A6024" s="89" t="s">
        <v>3805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936"/>
        <v>-5342.56</v>
      </c>
      <c r="X6024" s="6">
        <f t="shared" si="937"/>
        <v>0</v>
      </c>
      <c r="Y6024" s="13">
        <f t="shared" si="941"/>
        <v>0</v>
      </c>
      <c r="Z6024" s="14">
        <v>0</v>
      </c>
      <c r="AA6024" s="6">
        <v>0</v>
      </c>
      <c r="AB6024" s="4">
        <f t="shared" si="942"/>
        <v>0</v>
      </c>
      <c r="AC6024" s="6">
        <f t="shared" si="940"/>
        <v>0</v>
      </c>
      <c r="AD6024" s="6">
        <f t="shared" si="938"/>
        <v>0</v>
      </c>
      <c r="AE6024" s="14">
        <f>VLOOKUP(I6024,[2]媒体政策预估表!A:N,MATCH(O6024,[2]媒体政策预估表!$A$2:$M$2,0),0)</f>
        <v>0.223</v>
      </c>
      <c r="AF6024" s="6">
        <f t="shared" si="935"/>
        <v>0</v>
      </c>
      <c r="AG6024" s="14">
        <v>0</v>
      </c>
      <c r="AH6024" s="99">
        <f t="shared" si="939"/>
        <v>0</v>
      </c>
      <c r="AI6024" s="47"/>
      <c r="AJ6024" s="126" t="e">
        <v>#N/A</v>
      </c>
      <c r="AK6024" s="80">
        <f t="shared" si="943"/>
        <v>0</v>
      </c>
      <c r="AL6024" s="85"/>
      <c r="AM6024" s="85"/>
    </row>
    <row r="6025" spans="1:39" s="86" customFormat="1" ht="13.25" hidden="1" customHeight="1" x14ac:dyDescent="0.3">
      <c r="A6025" s="89" t="s">
        <v>3792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936"/>
        <v>102479.85</v>
      </c>
      <c r="X6025" s="6">
        <f t="shared" si="937"/>
        <v>0</v>
      </c>
      <c r="Y6025" s="13">
        <f t="shared" si="941"/>
        <v>0</v>
      </c>
      <c r="Z6025" s="14">
        <v>0</v>
      </c>
      <c r="AA6025" s="6">
        <v>0</v>
      </c>
      <c r="AB6025" s="4">
        <f t="shared" si="942"/>
        <v>0</v>
      </c>
      <c r="AC6025" s="6">
        <f t="shared" si="940"/>
        <v>0</v>
      </c>
      <c r="AD6025" s="6">
        <f t="shared" si="938"/>
        <v>0</v>
      </c>
      <c r="AE6025" s="14">
        <f>VLOOKUP(I6025,[2]媒体政策预估表!A:N,MATCH(O6025,[2]媒体政策预估表!$A$2:$M$2,0),0)</f>
        <v>0.10299999999999999</v>
      </c>
      <c r="AF6025" s="6">
        <f t="shared" si="935"/>
        <v>0</v>
      </c>
      <c r="AG6025" s="14">
        <v>0</v>
      </c>
      <c r="AH6025" s="99">
        <f t="shared" si="939"/>
        <v>0</v>
      </c>
      <c r="AI6025" s="47"/>
      <c r="AJ6025" s="126" t="e">
        <v>#N/A</v>
      </c>
      <c r="AK6025" s="80">
        <f t="shared" si="943"/>
        <v>0</v>
      </c>
      <c r="AL6025" s="85"/>
      <c r="AM6025" s="85"/>
    </row>
    <row r="6026" spans="1:39" s="86" customFormat="1" ht="13.25" hidden="1" customHeight="1" x14ac:dyDescent="0.3">
      <c r="A6026" s="89" t="s">
        <v>3794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936"/>
        <v>-307236.3</v>
      </c>
      <c r="X6026" s="6">
        <f t="shared" si="937"/>
        <v>0</v>
      </c>
      <c r="Y6026" s="13">
        <f t="shared" si="941"/>
        <v>0</v>
      </c>
      <c r="Z6026" s="14">
        <v>0</v>
      </c>
      <c r="AA6026" s="6">
        <v>0</v>
      </c>
      <c r="AB6026" s="4">
        <f t="shared" si="942"/>
        <v>0</v>
      </c>
      <c r="AC6026" s="6">
        <f t="shared" si="940"/>
        <v>0</v>
      </c>
      <c r="AD6026" s="6">
        <f t="shared" si="938"/>
        <v>0</v>
      </c>
      <c r="AE6026" s="14">
        <f>VLOOKUP(I6026,[2]媒体政策预估表!A:N,MATCH(O6026,[2]媒体政策预估表!$A$2:$M$2,0),0)</f>
        <v>0.223</v>
      </c>
      <c r="AF6026" s="6">
        <f t="shared" si="935"/>
        <v>0</v>
      </c>
      <c r="AG6026" s="14">
        <v>0</v>
      </c>
      <c r="AH6026" s="99">
        <f t="shared" si="939"/>
        <v>0</v>
      </c>
      <c r="AI6026" s="47"/>
      <c r="AJ6026" s="126" t="e">
        <v>#N/A</v>
      </c>
      <c r="AK6026" s="80">
        <f t="shared" si="943"/>
        <v>0</v>
      </c>
      <c r="AL6026" s="85"/>
      <c r="AM6026" s="85"/>
    </row>
    <row r="6027" spans="1:39" s="86" customFormat="1" ht="13.25" hidden="1" customHeight="1" x14ac:dyDescent="0.3">
      <c r="A6027" s="89" t="s">
        <v>3794</v>
      </c>
      <c r="B6027" s="86" t="s">
        <v>35</v>
      </c>
      <c r="C6027" s="86" t="s">
        <v>184</v>
      </c>
      <c r="D6027" s="86" t="s">
        <v>3849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936"/>
        <v>-1438333.99</v>
      </c>
      <c r="X6027" s="6">
        <f t="shared" si="937"/>
        <v>22024.400000000001</v>
      </c>
      <c r="Y6027" s="13">
        <f t="shared" si="941"/>
        <v>0</v>
      </c>
      <c r="Z6027" s="14">
        <v>0</v>
      </c>
      <c r="AA6027" s="6">
        <v>0</v>
      </c>
      <c r="AB6027" s="4">
        <f t="shared" si="942"/>
        <v>22024.400000000001</v>
      </c>
      <c r="AC6027" s="6">
        <f t="shared" si="940"/>
        <v>0</v>
      </c>
      <c r="AD6027" s="6">
        <f t="shared" si="938"/>
        <v>22024.400000000001</v>
      </c>
      <c r="AE6027" s="14">
        <f>VLOOKUP(I6027,[2]媒体政策预估表!A:N,MATCH(O6027,[2]媒体政策预估表!$A$2:$M$2,0),0)</f>
        <v>0.223</v>
      </c>
      <c r="AF6027" s="6">
        <f t="shared" si="935"/>
        <v>4911.4412000000002</v>
      </c>
      <c r="AG6027" s="14">
        <v>0</v>
      </c>
      <c r="AH6027" s="99">
        <f t="shared" si="939"/>
        <v>22024.400000000001</v>
      </c>
      <c r="AI6027" s="47"/>
      <c r="AJ6027" s="126" t="e">
        <v>#N/A</v>
      </c>
      <c r="AK6027" s="80">
        <f t="shared" si="943"/>
        <v>0</v>
      </c>
      <c r="AL6027" s="85"/>
      <c r="AM6027" s="85"/>
    </row>
    <row r="6028" spans="1:39" s="86" customFormat="1" ht="13.25" hidden="1" customHeight="1" x14ac:dyDescent="0.3">
      <c r="A6028" s="89" t="s">
        <v>3794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936"/>
        <v>10000</v>
      </c>
      <c r="X6028" s="6">
        <f t="shared" si="937"/>
        <v>0</v>
      </c>
      <c r="Y6028" s="13">
        <f t="shared" si="941"/>
        <v>0</v>
      </c>
      <c r="Z6028" s="14">
        <v>0</v>
      </c>
      <c r="AA6028" s="6">
        <v>0</v>
      </c>
      <c r="AB6028" s="4">
        <f t="shared" si="942"/>
        <v>0</v>
      </c>
      <c r="AC6028" s="6">
        <f t="shared" si="940"/>
        <v>0</v>
      </c>
      <c r="AD6028" s="6">
        <f t="shared" si="938"/>
        <v>0</v>
      </c>
      <c r="AE6028" s="14">
        <f>VLOOKUP(I6028,[2]媒体政策预估表!A:N,MATCH(O6028,[2]媒体政策预估表!$A$2:$M$2,0),0)</f>
        <v>0.10299999999999999</v>
      </c>
      <c r="AF6028" s="6">
        <f t="shared" si="935"/>
        <v>0</v>
      </c>
      <c r="AG6028" s="14">
        <v>0</v>
      </c>
      <c r="AH6028" s="99">
        <f t="shared" si="939"/>
        <v>0</v>
      </c>
      <c r="AI6028" s="47"/>
      <c r="AJ6028" s="126" t="e">
        <v>#N/A</v>
      </c>
      <c r="AK6028" s="80">
        <f t="shared" si="943"/>
        <v>0</v>
      </c>
      <c r="AL6028" s="85"/>
      <c r="AM6028" s="85"/>
    </row>
    <row r="6029" spans="1:39" s="86" customFormat="1" ht="13.25" hidden="1" customHeight="1" x14ac:dyDescent="0.3">
      <c r="A6029" s="89" t="s">
        <v>3794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936"/>
        <v>8478.73</v>
      </c>
      <c r="X6029" s="6">
        <f t="shared" si="937"/>
        <v>0</v>
      </c>
      <c r="Y6029" s="13">
        <f t="shared" si="941"/>
        <v>0</v>
      </c>
      <c r="Z6029" s="14">
        <v>0</v>
      </c>
      <c r="AA6029" s="6">
        <v>0</v>
      </c>
      <c r="AB6029" s="4">
        <f t="shared" si="942"/>
        <v>0</v>
      </c>
      <c r="AC6029" s="6">
        <f t="shared" si="940"/>
        <v>0</v>
      </c>
      <c r="AD6029" s="6">
        <f t="shared" si="938"/>
        <v>0</v>
      </c>
      <c r="AE6029" s="14">
        <f>VLOOKUP(I6029,[2]媒体政策预估表!A:N,MATCH(O6029,[2]媒体政策预估表!$A$2:$M$2,0),0)</f>
        <v>0.10299999999999999</v>
      </c>
      <c r="AF6029" s="6">
        <f t="shared" si="935"/>
        <v>0</v>
      </c>
      <c r="AG6029" s="14">
        <v>0</v>
      </c>
      <c r="AH6029" s="99">
        <f t="shared" si="939"/>
        <v>0</v>
      </c>
      <c r="AI6029" s="47"/>
      <c r="AJ6029" s="126" t="e">
        <v>#N/A</v>
      </c>
      <c r="AK6029" s="80">
        <f t="shared" si="943"/>
        <v>0</v>
      </c>
      <c r="AL6029" s="85"/>
      <c r="AM6029" s="85"/>
    </row>
    <row r="6030" spans="1:39" s="86" customFormat="1" ht="13.25" hidden="1" customHeight="1" x14ac:dyDescent="0.3">
      <c r="A6030" s="89" t="s">
        <v>3794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936"/>
        <v>1105.3699999999999</v>
      </c>
      <c r="X6030" s="6">
        <f t="shared" si="937"/>
        <v>0</v>
      </c>
      <c r="Y6030" s="13">
        <f t="shared" si="941"/>
        <v>0</v>
      </c>
      <c r="Z6030" s="14">
        <v>0</v>
      </c>
      <c r="AA6030" s="6">
        <v>0</v>
      </c>
      <c r="AB6030" s="4">
        <f t="shared" si="942"/>
        <v>0</v>
      </c>
      <c r="AC6030" s="6">
        <f t="shared" si="940"/>
        <v>0</v>
      </c>
      <c r="AD6030" s="6">
        <f t="shared" si="938"/>
        <v>0</v>
      </c>
      <c r="AE6030" s="14">
        <f>VLOOKUP(I6030,[2]媒体政策预估表!A:N,MATCH(O6030,[2]媒体政策预估表!$A$2:$M$2,0),0)</f>
        <v>0.10299999999999999</v>
      </c>
      <c r="AF6030" s="6">
        <f t="shared" si="935"/>
        <v>0</v>
      </c>
      <c r="AG6030" s="14">
        <v>0</v>
      </c>
      <c r="AH6030" s="99">
        <f t="shared" si="939"/>
        <v>0</v>
      </c>
      <c r="AI6030" s="47"/>
      <c r="AJ6030" s="126" t="e">
        <v>#N/A</v>
      </c>
      <c r="AK6030" s="80">
        <f t="shared" si="943"/>
        <v>0</v>
      </c>
      <c r="AL6030" s="85"/>
      <c r="AM6030" s="85"/>
    </row>
    <row r="6031" spans="1:39" s="86" customFormat="1" ht="13.25" hidden="1" customHeight="1" x14ac:dyDescent="0.3">
      <c r="A6031" s="89" t="s">
        <v>3805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936"/>
        <v>500000</v>
      </c>
      <c r="X6031" s="6">
        <f t="shared" si="937"/>
        <v>0</v>
      </c>
      <c r="Y6031" s="13">
        <f t="shared" si="941"/>
        <v>0</v>
      </c>
      <c r="Z6031" s="14">
        <v>0</v>
      </c>
      <c r="AA6031" s="6">
        <v>0</v>
      </c>
      <c r="AB6031" s="4">
        <f t="shared" si="942"/>
        <v>0</v>
      </c>
      <c r="AC6031" s="6">
        <f t="shared" si="940"/>
        <v>0</v>
      </c>
      <c r="AD6031" s="6">
        <f t="shared" si="938"/>
        <v>0</v>
      </c>
      <c r="AE6031" s="14">
        <f>VLOOKUP(I6031,[2]媒体政策预估表!A:N,MATCH(O6031,[2]媒体政策预估表!$A$2:$M$2,0),0)</f>
        <v>0.10299999999999999</v>
      </c>
      <c r="AF6031" s="6">
        <f t="shared" si="935"/>
        <v>0</v>
      </c>
      <c r="AG6031" s="14">
        <v>0</v>
      </c>
      <c r="AH6031" s="99">
        <f t="shared" si="939"/>
        <v>0</v>
      </c>
      <c r="AI6031" s="47"/>
      <c r="AJ6031" s="126" t="e">
        <v>#N/A</v>
      </c>
      <c r="AK6031" s="80">
        <f t="shared" si="943"/>
        <v>0</v>
      </c>
      <c r="AL6031" s="85"/>
      <c r="AM6031" s="85"/>
    </row>
    <row r="6032" spans="1:39" s="86" customFormat="1" ht="13.25" hidden="1" customHeight="1" x14ac:dyDescent="0.3">
      <c r="A6032" s="89" t="s">
        <v>3792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936"/>
        <v>26746.11</v>
      </c>
      <c r="X6032" s="6">
        <f t="shared" si="937"/>
        <v>0</v>
      </c>
      <c r="Y6032" s="13">
        <f t="shared" si="941"/>
        <v>0</v>
      </c>
      <c r="Z6032" s="14">
        <v>0</v>
      </c>
      <c r="AA6032" s="6">
        <v>0</v>
      </c>
      <c r="AB6032" s="4">
        <f t="shared" si="942"/>
        <v>0</v>
      </c>
      <c r="AC6032" s="6">
        <f t="shared" si="940"/>
        <v>0</v>
      </c>
      <c r="AD6032" s="6">
        <f t="shared" si="938"/>
        <v>0</v>
      </c>
      <c r="AE6032" s="14">
        <f>VLOOKUP(I6032,[2]媒体政策预估表!A:N,MATCH(O6032,[2]媒体政策预估表!$A$2:$M$2,0),0)</f>
        <v>0.10299999999999999</v>
      </c>
      <c r="AF6032" s="6">
        <f t="shared" si="935"/>
        <v>0</v>
      </c>
      <c r="AG6032" s="14">
        <v>0</v>
      </c>
      <c r="AH6032" s="99">
        <f t="shared" si="939"/>
        <v>0</v>
      </c>
      <c r="AI6032" s="47"/>
      <c r="AJ6032" s="126" t="e">
        <v>#N/A</v>
      </c>
      <c r="AK6032" s="80">
        <f t="shared" si="943"/>
        <v>0</v>
      </c>
      <c r="AL6032" s="85"/>
      <c r="AM6032" s="85"/>
    </row>
    <row r="6033" spans="1:39" s="86" customFormat="1" ht="13.25" hidden="1" customHeight="1" x14ac:dyDescent="0.3">
      <c r="A6033" s="89" t="s">
        <v>3794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936"/>
        <v>1262.4100000000001</v>
      </c>
      <c r="X6033" s="6">
        <f t="shared" si="937"/>
        <v>0</v>
      </c>
      <c r="Y6033" s="13">
        <f t="shared" si="941"/>
        <v>0</v>
      </c>
      <c r="Z6033" s="14">
        <v>0</v>
      </c>
      <c r="AA6033" s="6">
        <v>0</v>
      </c>
      <c r="AB6033" s="4">
        <f t="shared" si="942"/>
        <v>0</v>
      </c>
      <c r="AC6033" s="6">
        <f t="shared" si="940"/>
        <v>0</v>
      </c>
      <c r="AD6033" s="6">
        <f t="shared" si="938"/>
        <v>0</v>
      </c>
      <c r="AE6033" s="14">
        <f>VLOOKUP(I6033,[2]媒体政策预估表!A:N,MATCH(O6033,[2]媒体政策预估表!$A$2:$M$2,0),0)</f>
        <v>0.223</v>
      </c>
      <c r="AF6033" s="6">
        <f t="shared" si="935"/>
        <v>0</v>
      </c>
      <c r="AG6033" s="14">
        <v>0</v>
      </c>
      <c r="AH6033" s="99">
        <f t="shared" si="939"/>
        <v>0</v>
      </c>
      <c r="AI6033" s="47"/>
      <c r="AJ6033" s="126" t="e">
        <v>#N/A</v>
      </c>
      <c r="AK6033" s="80">
        <f t="shared" si="943"/>
        <v>0</v>
      </c>
      <c r="AL6033" s="85"/>
      <c r="AM6033" s="85"/>
    </row>
    <row r="6034" spans="1:39" s="86" customFormat="1" ht="13.25" hidden="1" customHeight="1" x14ac:dyDescent="0.3">
      <c r="A6034" s="89" t="s">
        <v>3794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936"/>
        <v>7397.8599999999988</v>
      </c>
      <c r="X6034" s="6">
        <f t="shared" si="937"/>
        <v>0</v>
      </c>
      <c r="Y6034" s="13">
        <f t="shared" si="941"/>
        <v>0</v>
      </c>
      <c r="Z6034" s="14">
        <v>0</v>
      </c>
      <c r="AA6034" s="6">
        <v>0</v>
      </c>
      <c r="AB6034" s="4">
        <f t="shared" si="942"/>
        <v>0</v>
      </c>
      <c r="AC6034" s="6">
        <f t="shared" si="940"/>
        <v>0</v>
      </c>
      <c r="AD6034" s="6">
        <f t="shared" si="938"/>
        <v>0</v>
      </c>
      <c r="AE6034" s="14">
        <f>VLOOKUP(I6034,[2]媒体政策预估表!A:N,MATCH(O6034,[2]媒体政策预估表!$A$2:$M$2,0),0)</f>
        <v>0.10299999999999999</v>
      </c>
      <c r="AF6034" s="6">
        <f t="shared" si="935"/>
        <v>0</v>
      </c>
      <c r="AG6034" s="14">
        <v>0</v>
      </c>
      <c r="AH6034" s="99">
        <f t="shared" si="939"/>
        <v>0</v>
      </c>
      <c r="AI6034" s="47"/>
      <c r="AJ6034" s="126" t="e">
        <v>#N/A</v>
      </c>
      <c r="AK6034" s="80">
        <f t="shared" si="943"/>
        <v>0</v>
      </c>
      <c r="AL6034" s="85"/>
      <c r="AM6034" s="85"/>
    </row>
    <row r="6035" spans="1:39" s="86" customFormat="1" ht="13.25" hidden="1" customHeight="1" x14ac:dyDescent="0.3">
      <c r="A6035" s="89" t="s">
        <v>3794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936"/>
        <v>-259787.84</v>
      </c>
      <c r="X6035" s="6">
        <f t="shared" si="937"/>
        <v>0</v>
      </c>
      <c r="Y6035" s="13">
        <f t="shared" si="941"/>
        <v>0</v>
      </c>
      <c r="Z6035" s="14">
        <v>0.02</v>
      </c>
      <c r="AA6035" s="6">
        <f>X6035/(1-Z6035)*Z6035</f>
        <v>0</v>
      </c>
      <c r="AB6035" s="4">
        <f t="shared" si="942"/>
        <v>0</v>
      </c>
      <c r="AC6035" s="6">
        <f t="shared" si="940"/>
        <v>0</v>
      </c>
      <c r="AD6035" s="6">
        <f t="shared" si="938"/>
        <v>0</v>
      </c>
      <c r="AE6035" s="14">
        <f>VLOOKUP(I6035,[2]媒体政策预估表!A:N,MATCH(O6035,[2]媒体政策预估表!$A$2:$M$2,0),0)</f>
        <v>0.223</v>
      </c>
      <c r="AF6035" s="6">
        <f t="shared" si="935"/>
        <v>0</v>
      </c>
      <c r="AG6035" s="14">
        <v>0</v>
      </c>
      <c r="AH6035" s="99">
        <f t="shared" si="939"/>
        <v>0</v>
      </c>
      <c r="AI6035" s="47"/>
      <c r="AJ6035" s="126" t="e">
        <v>#N/A</v>
      </c>
      <c r="AK6035" s="80">
        <f t="shared" si="943"/>
        <v>0</v>
      </c>
      <c r="AL6035" s="85"/>
      <c r="AM6035" s="85"/>
    </row>
    <row r="6036" spans="1:39" s="86" customFormat="1" ht="13.25" hidden="1" customHeight="1" x14ac:dyDescent="0.3">
      <c r="A6036" s="89" t="s">
        <v>3794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936"/>
        <v>-658752.69999999995</v>
      </c>
      <c r="X6036" s="6">
        <f t="shared" si="937"/>
        <v>48911.470588235294</v>
      </c>
      <c r="Y6036" s="13">
        <f t="shared" si="941"/>
        <v>0</v>
      </c>
      <c r="Z6036" s="14">
        <v>0</v>
      </c>
      <c r="AA6036" s="6">
        <v>0</v>
      </c>
      <c r="AB6036" s="4">
        <f t="shared" si="942"/>
        <v>48911.470588235294</v>
      </c>
      <c r="AC6036" s="6">
        <f t="shared" si="940"/>
        <v>978.2294117647034</v>
      </c>
      <c r="AD6036" s="6">
        <f t="shared" si="938"/>
        <v>49889.7</v>
      </c>
      <c r="AE6036" s="14">
        <f>VLOOKUP(I6036,[2]媒体政策预估表!A:N,MATCH(O6036,[2]媒体政策预估表!$A$2:$M$2,0),0)</f>
        <v>0.223</v>
      </c>
      <c r="AF6036" s="6">
        <f t="shared" si="935"/>
        <v>11125.4031</v>
      </c>
      <c r="AG6036" s="14">
        <v>0</v>
      </c>
      <c r="AH6036" s="99">
        <f t="shared" si="939"/>
        <v>49889.7</v>
      </c>
      <c r="AI6036" s="47"/>
      <c r="AJ6036" s="126" t="e">
        <v>#N/A</v>
      </c>
      <c r="AK6036" s="80">
        <f t="shared" si="943"/>
        <v>0</v>
      </c>
      <c r="AL6036" s="85"/>
      <c r="AM6036" s="85"/>
    </row>
    <row r="6037" spans="1:39" s="86" customFormat="1" ht="13.25" hidden="1" customHeight="1" x14ac:dyDescent="0.3">
      <c r="A6037" s="89" t="s">
        <v>3805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936"/>
        <v>650</v>
      </c>
      <c r="X6037" s="6">
        <f t="shared" si="937"/>
        <v>0</v>
      </c>
      <c r="Y6037" s="13">
        <f t="shared" si="941"/>
        <v>0</v>
      </c>
      <c r="Z6037" s="14">
        <v>0</v>
      </c>
      <c r="AA6037" s="6">
        <v>0</v>
      </c>
      <c r="AB6037" s="4"/>
      <c r="AC6037" s="6">
        <f t="shared" si="940"/>
        <v>0</v>
      </c>
      <c r="AD6037" s="6">
        <f t="shared" si="938"/>
        <v>0</v>
      </c>
      <c r="AE6037" s="14">
        <f>VLOOKUP(I6037,[2]媒体政策预估表!A:N,MATCH(O6037,[2]媒体政策预估表!$A$2:$M$2,0),0)</f>
        <v>0.10299999999999999</v>
      </c>
      <c r="AF6037" s="6">
        <f t="shared" si="935"/>
        <v>0</v>
      </c>
      <c r="AG6037" s="14">
        <v>0</v>
      </c>
      <c r="AH6037" s="99">
        <f t="shared" si="939"/>
        <v>0</v>
      </c>
      <c r="AI6037" s="47"/>
      <c r="AJ6037" s="126">
        <v>3</v>
      </c>
      <c r="AK6037" s="80">
        <f t="shared" si="943"/>
        <v>0</v>
      </c>
      <c r="AL6037" s="85"/>
      <c r="AM6037" s="85"/>
    </row>
    <row r="6038" spans="1:39" s="86" customFormat="1" ht="13.25" hidden="1" customHeight="1" x14ac:dyDescent="0.3">
      <c r="A6038" s="89" t="s">
        <v>3792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936"/>
        <v>19864.599999999999</v>
      </c>
      <c r="X6038" s="6">
        <f t="shared" si="937"/>
        <v>0</v>
      </c>
      <c r="Y6038" s="13">
        <f t="shared" si="941"/>
        <v>0</v>
      </c>
      <c r="Z6038" s="14">
        <v>0</v>
      </c>
      <c r="AA6038" s="6">
        <v>0</v>
      </c>
      <c r="AB6038" s="4">
        <f t="shared" si="942"/>
        <v>0</v>
      </c>
      <c r="AC6038" s="6">
        <f t="shared" si="940"/>
        <v>0</v>
      </c>
      <c r="AD6038" s="6">
        <f t="shared" si="938"/>
        <v>0</v>
      </c>
      <c r="AE6038" s="14">
        <f>VLOOKUP(I6038,[2]媒体政策预估表!A:N,MATCH(O6038,[2]媒体政策预估表!$A$2:$M$2,0),0)</f>
        <v>0.10299999999999999</v>
      </c>
      <c r="AF6038" s="6">
        <f t="shared" si="935"/>
        <v>0</v>
      </c>
      <c r="AG6038" s="14">
        <v>0</v>
      </c>
      <c r="AH6038" s="99">
        <f t="shared" si="939"/>
        <v>0</v>
      </c>
      <c r="AI6038" s="47"/>
      <c r="AJ6038" s="126" t="e">
        <v>#N/A</v>
      </c>
      <c r="AK6038" s="80">
        <f t="shared" si="943"/>
        <v>0</v>
      </c>
      <c r="AL6038" s="85"/>
      <c r="AM6038" s="85"/>
    </row>
    <row r="6039" spans="1:39" s="86" customFormat="1" ht="13.25" hidden="1" customHeight="1" x14ac:dyDescent="0.3">
      <c r="A6039" s="89" t="s">
        <v>3792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936"/>
        <v>2641</v>
      </c>
      <c r="X6039" s="6">
        <f t="shared" si="937"/>
        <v>0</v>
      </c>
      <c r="Y6039" s="13">
        <f t="shared" si="941"/>
        <v>0</v>
      </c>
      <c r="Z6039" s="14">
        <v>0</v>
      </c>
      <c r="AA6039" s="6">
        <v>0</v>
      </c>
      <c r="AB6039" s="4">
        <f t="shared" si="942"/>
        <v>0</v>
      </c>
      <c r="AC6039" s="6">
        <f t="shared" si="940"/>
        <v>0</v>
      </c>
      <c r="AD6039" s="6">
        <f t="shared" si="938"/>
        <v>0</v>
      </c>
      <c r="AE6039" s="14">
        <f>VLOOKUP(I6039,[2]媒体政策预估表!A:N,MATCH(O6039,[2]媒体政策预估表!$A$2:$M$2,0),0)</f>
        <v>0.10299999999999999</v>
      </c>
      <c r="AF6039" s="6">
        <f t="shared" si="935"/>
        <v>0</v>
      </c>
      <c r="AG6039" s="14">
        <v>0</v>
      </c>
      <c r="AH6039" s="99">
        <f t="shared" si="939"/>
        <v>0</v>
      </c>
      <c r="AI6039" s="47"/>
      <c r="AJ6039" s="126" t="e">
        <v>#N/A</v>
      </c>
      <c r="AK6039" s="80">
        <f t="shared" si="943"/>
        <v>0</v>
      </c>
      <c r="AL6039" s="85"/>
      <c r="AM6039" s="85"/>
    </row>
    <row r="6040" spans="1:39" s="86" customFormat="1" ht="13.25" hidden="1" customHeight="1" x14ac:dyDescent="0.3">
      <c r="A6040" s="89" t="s">
        <v>3792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936"/>
        <v>3533.05</v>
      </c>
      <c r="X6040" s="6">
        <f t="shared" si="937"/>
        <v>0</v>
      </c>
      <c r="Y6040" s="13">
        <f t="shared" si="941"/>
        <v>0</v>
      </c>
      <c r="Z6040" s="14">
        <v>0</v>
      </c>
      <c r="AA6040" s="6">
        <v>0</v>
      </c>
      <c r="AB6040" s="4">
        <f t="shared" si="942"/>
        <v>0</v>
      </c>
      <c r="AC6040" s="6">
        <f t="shared" si="940"/>
        <v>0</v>
      </c>
      <c r="AD6040" s="6">
        <f t="shared" si="938"/>
        <v>0</v>
      </c>
      <c r="AE6040" s="14">
        <f>VLOOKUP(I6040,[2]媒体政策预估表!A:N,MATCH(O6040,[2]媒体政策预估表!$A$2:$M$2,0),0)</f>
        <v>0.10299999999999999</v>
      </c>
      <c r="AF6040" s="6">
        <f t="shared" si="935"/>
        <v>0</v>
      </c>
      <c r="AG6040" s="14">
        <v>0</v>
      </c>
      <c r="AH6040" s="99">
        <f t="shared" si="939"/>
        <v>0</v>
      </c>
      <c r="AI6040" s="47"/>
      <c r="AJ6040" s="126" t="e">
        <v>#N/A</v>
      </c>
      <c r="AK6040" s="80">
        <f t="shared" si="943"/>
        <v>0</v>
      </c>
      <c r="AL6040" s="85"/>
      <c r="AM6040" s="85"/>
    </row>
    <row r="6041" spans="1:39" s="86" customFormat="1" ht="13.25" hidden="1" customHeight="1" x14ac:dyDescent="0.3">
      <c r="A6041" s="89" t="s">
        <v>3794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936"/>
        <v>-9240.98</v>
      </c>
      <c r="X6041" s="6">
        <f t="shared" si="937"/>
        <v>8087.74</v>
      </c>
      <c r="Y6041" s="13">
        <f t="shared" si="941"/>
        <v>0</v>
      </c>
      <c r="Z6041" s="14">
        <v>0</v>
      </c>
      <c r="AA6041" s="6">
        <v>0</v>
      </c>
      <c r="AB6041" s="4">
        <f t="shared" si="942"/>
        <v>8087.74</v>
      </c>
      <c r="AC6041" s="6">
        <f t="shared" si="940"/>
        <v>0</v>
      </c>
      <c r="AD6041" s="6">
        <f t="shared" si="938"/>
        <v>8087.74</v>
      </c>
      <c r="AE6041" s="14">
        <f>VLOOKUP(I6041,[2]媒体政策预估表!A:N,MATCH(O6041,[2]媒体政策预估表!$A$2:$M$2,0),0)</f>
        <v>0.223</v>
      </c>
      <c r="AF6041" s="6">
        <f t="shared" si="935"/>
        <v>1803.56602</v>
      </c>
      <c r="AG6041" s="14">
        <v>0</v>
      </c>
      <c r="AH6041" s="99">
        <f t="shared" si="939"/>
        <v>8087.74</v>
      </c>
      <c r="AI6041" s="47"/>
      <c r="AJ6041" s="126" t="e">
        <v>#N/A</v>
      </c>
      <c r="AK6041" s="80">
        <f t="shared" si="943"/>
        <v>0</v>
      </c>
      <c r="AL6041" s="85"/>
      <c r="AM6041" s="85"/>
    </row>
    <row r="6042" spans="1:39" s="86" customFormat="1" ht="13.25" hidden="1" customHeight="1" x14ac:dyDescent="0.3">
      <c r="A6042" s="89" t="s">
        <v>3794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936"/>
        <v>-67672</v>
      </c>
      <c r="X6042" s="6">
        <f t="shared" si="937"/>
        <v>0</v>
      </c>
      <c r="Y6042" s="13">
        <f t="shared" si="941"/>
        <v>0</v>
      </c>
      <c r="Z6042" s="14">
        <v>0</v>
      </c>
      <c r="AA6042" s="6">
        <v>0</v>
      </c>
      <c r="AB6042" s="4">
        <f t="shared" si="942"/>
        <v>0</v>
      </c>
      <c r="AC6042" s="6">
        <f t="shared" si="940"/>
        <v>0</v>
      </c>
      <c r="AD6042" s="6">
        <f t="shared" si="938"/>
        <v>0</v>
      </c>
      <c r="AE6042" s="14">
        <f>VLOOKUP(I6042,[2]媒体政策预估表!A:N,MATCH(O6042,[2]媒体政策预估表!$A$2:$M$2,0),0)</f>
        <v>0.223</v>
      </c>
      <c r="AF6042" s="6">
        <f t="shared" si="935"/>
        <v>0</v>
      </c>
      <c r="AG6042" s="14">
        <v>0</v>
      </c>
      <c r="AH6042" s="99">
        <f t="shared" si="939"/>
        <v>0</v>
      </c>
      <c r="AI6042" s="47"/>
      <c r="AJ6042" s="126" t="e">
        <v>#N/A</v>
      </c>
      <c r="AK6042" s="80">
        <f t="shared" si="943"/>
        <v>0</v>
      </c>
      <c r="AL6042" s="85"/>
      <c r="AM6042" s="85"/>
    </row>
    <row r="6043" spans="1:39" s="86" customFormat="1" ht="13.25" hidden="1" customHeight="1" x14ac:dyDescent="0.3">
      <c r="A6043" s="89" t="s">
        <v>3794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936"/>
        <v>7130.130000000001</v>
      </c>
      <c r="X6043" s="6">
        <f t="shared" si="937"/>
        <v>0</v>
      </c>
      <c r="Y6043" s="13">
        <f t="shared" si="941"/>
        <v>0</v>
      </c>
      <c r="Z6043" s="14">
        <v>0</v>
      </c>
      <c r="AA6043" s="6">
        <v>0</v>
      </c>
      <c r="AB6043" s="4">
        <f t="shared" si="942"/>
        <v>0</v>
      </c>
      <c r="AC6043" s="6">
        <f t="shared" si="940"/>
        <v>0</v>
      </c>
      <c r="AD6043" s="6">
        <f t="shared" si="938"/>
        <v>0</v>
      </c>
      <c r="AE6043" s="14">
        <f>VLOOKUP(I6043,[2]媒体政策预估表!A:N,MATCH(O6043,[2]媒体政策预估表!$A$2:$M$2,0),0)</f>
        <v>0.10299999999999999</v>
      </c>
      <c r="AF6043" s="6">
        <f t="shared" si="935"/>
        <v>0</v>
      </c>
      <c r="AG6043" s="14">
        <v>0</v>
      </c>
      <c r="AH6043" s="99">
        <f t="shared" si="939"/>
        <v>0</v>
      </c>
      <c r="AI6043" s="47"/>
      <c r="AJ6043" s="126" t="e">
        <v>#N/A</v>
      </c>
      <c r="AK6043" s="80">
        <f t="shared" si="943"/>
        <v>0</v>
      </c>
      <c r="AL6043" s="85"/>
      <c r="AM6043" s="85"/>
    </row>
    <row r="6044" spans="1:39" s="86" customFormat="1" ht="13.25" hidden="1" customHeight="1" x14ac:dyDescent="0.3">
      <c r="A6044" s="89" t="s">
        <v>3792</v>
      </c>
      <c r="B6044" s="86" t="s">
        <v>35</v>
      </c>
      <c r="C6044" s="86" t="s">
        <v>184</v>
      </c>
      <c r="D6044" s="86" t="s">
        <v>3849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936"/>
        <v>-41545.46</v>
      </c>
      <c r="X6044" s="6">
        <f t="shared" si="937"/>
        <v>0</v>
      </c>
      <c r="Y6044" s="13">
        <f t="shared" si="941"/>
        <v>0</v>
      </c>
      <c r="Z6044" s="14">
        <v>0</v>
      </c>
      <c r="AA6044" s="6">
        <v>0</v>
      </c>
      <c r="AB6044" s="4">
        <f t="shared" si="942"/>
        <v>0</v>
      </c>
      <c r="AC6044" s="6">
        <f t="shared" si="940"/>
        <v>0</v>
      </c>
      <c r="AD6044" s="6">
        <f t="shared" si="938"/>
        <v>0</v>
      </c>
      <c r="AE6044" s="14">
        <f>VLOOKUP(I6044,[2]媒体政策预估表!A:N,MATCH(O6044,[2]媒体政策预估表!$A$2:$M$2,0),0)</f>
        <v>0.223</v>
      </c>
      <c r="AF6044" s="6">
        <f t="shared" si="935"/>
        <v>0</v>
      </c>
      <c r="AG6044" s="14">
        <v>0</v>
      </c>
      <c r="AH6044" s="99">
        <f t="shared" si="939"/>
        <v>0</v>
      </c>
      <c r="AI6044" s="47"/>
      <c r="AJ6044" s="126" t="e">
        <v>#N/A</v>
      </c>
      <c r="AK6044" s="80">
        <f t="shared" si="943"/>
        <v>0</v>
      </c>
      <c r="AL6044" s="85"/>
      <c r="AM6044" s="85"/>
    </row>
    <row r="6045" spans="1:39" s="86" customFormat="1" ht="13.25" hidden="1" customHeight="1" x14ac:dyDescent="0.3">
      <c r="A6045" s="89" t="s">
        <v>3792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936"/>
        <v>-10080.1</v>
      </c>
      <c r="X6045" s="6">
        <f t="shared" si="937"/>
        <v>0</v>
      </c>
      <c r="Y6045" s="13">
        <f t="shared" si="941"/>
        <v>0</v>
      </c>
      <c r="Z6045" s="14">
        <v>0</v>
      </c>
      <c r="AA6045" s="6">
        <v>0</v>
      </c>
      <c r="AB6045" s="4">
        <f t="shared" si="942"/>
        <v>0</v>
      </c>
      <c r="AC6045" s="6">
        <f t="shared" si="940"/>
        <v>0</v>
      </c>
      <c r="AD6045" s="6">
        <f t="shared" si="938"/>
        <v>0</v>
      </c>
      <c r="AE6045" s="14">
        <f>VLOOKUP(I6045,[2]媒体政策预估表!A:N,MATCH(O6045,[2]媒体政策预估表!$A$2:$M$2,0),0)</f>
        <v>0.223</v>
      </c>
      <c r="AF6045" s="6">
        <f t="shared" si="935"/>
        <v>0</v>
      </c>
      <c r="AG6045" s="14">
        <v>0</v>
      </c>
      <c r="AH6045" s="99">
        <f t="shared" si="939"/>
        <v>0</v>
      </c>
      <c r="AI6045" s="47"/>
      <c r="AJ6045" s="126" t="e">
        <v>#N/A</v>
      </c>
      <c r="AK6045" s="80">
        <f t="shared" si="943"/>
        <v>0</v>
      </c>
      <c r="AL6045" s="85"/>
      <c r="AM6045" s="85"/>
    </row>
    <row r="6046" spans="1:39" s="86" customFormat="1" ht="13.25" hidden="1" customHeight="1" x14ac:dyDescent="0.3">
      <c r="A6046" s="89" t="s">
        <v>3794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936"/>
        <v>-365615.88</v>
      </c>
      <c r="X6046" s="6">
        <f t="shared" si="937"/>
        <v>0</v>
      </c>
      <c r="Y6046" s="13">
        <f t="shared" si="941"/>
        <v>0</v>
      </c>
      <c r="Z6046" s="14">
        <v>0</v>
      </c>
      <c r="AA6046" s="6">
        <v>0</v>
      </c>
      <c r="AB6046" s="4">
        <f t="shared" si="942"/>
        <v>0</v>
      </c>
      <c r="AC6046" s="6">
        <f t="shared" si="940"/>
        <v>0</v>
      </c>
      <c r="AD6046" s="6">
        <f t="shared" si="938"/>
        <v>0</v>
      </c>
      <c r="AE6046" s="14">
        <f>VLOOKUP(I6046,[2]媒体政策预估表!A:N,MATCH(O6046,[2]媒体政策预估表!$A$2:$M$2,0),0)</f>
        <v>0.223</v>
      </c>
      <c r="AF6046" s="6">
        <f t="shared" si="935"/>
        <v>0</v>
      </c>
      <c r="AG6046" s="14">
        <v>0</v>
      </c>
      <c r="AH6046" s="99">
        <f t="shared" si="939"/>
        <v>0</v>
      </c>
      <c r="AI6046" s="47"/>
      <c r="AJ6046" s="126" t="e">
        <v>#N/A</v>
      </c>
      <c r="AK6046" s="80">
        <f t="shared" si="943"/>
        <v>0</v>
      </c>
      <c r="AL6046" s="85"/>
      <c r="AM6046" s="85"/>
    </row>
    <row r="6047" spans="1:39" s="86" customFormat="1" ht="13.25" hidden="1" customHeight="1" x14ac:dyDescent="0.3">
      <c r="A6047" s="89" t="s">
        <v>3794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936"/>
        <v>-171139.40999999997</v>
      </c>
      <c r="X6047" s="6">
        <f t="shared" si="937"/>
        <v>2374.8000000000002</v>
      </c>
      <c r="Y6047" s="13">
        <f t="shared" si="941"/>
        <v>0</v>
      </c>
      <c r="Z6047" s="14">
        <v>0</v>
      </c>
      <c r="AA6047" s="6">
        <v>0</v>
      </c>
      <c r="AB6047" s="4">
        <f t="shared" si="942"/>
        <v>2374.8000000000002</v>
      </c>
      <c r="AC6047" s="6">
        <f t="shared" si="940"/>
        <v>0</v>
      </c>
      <c r="AD6047" s="6">
        <f t="shared" si="938"/>
        <v>2374.8000000000002</v>
      </c>
      <c r="AE6047" s="14">
        <f>VLOOKUP(I6047,[2]媒体政策预估表!A:N,MATCH(O6047,[2]媒体政策预估表!$A$2:$M$2,0),0)</f>
        <v>0.223</v>
      </c>
      <c r="AF6047" s="6">
        <f t="shared" si="935"/>
        <v>529.58040000000005</v>
      </c>
      <c r="AG6047" s="14">
        <v>0</v>
      </c>
      <c r="AH6047" s="99">
        <f t="shared" si="939"/>
        <v>2374.8000000000002</v>
      </c>
      <c r="AI6047" s="47"/>
      <c r="AJ6047" s="126" t="e">
        <v>#N/A</v>
      </c>
      <c r="AK6047" s="80">
        <f t="shared" si="943"/>
        <v>0</v>
      </c>
      <c r="AL6047" s="85"/>
      <c r="AM6047" s="85"/>
    </row>
    <row r="6048" spans="1:39" s="86" customFormat="1" ht="13.25" hidden="1" customHeight="1" x14ac:dyDescent="0.3">
      <c r="A6048" s="89" t="s">
        <v>3805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936"/>
        <v>-51441.16</v>
      </c>
      <c r="X6048" s="6">
        <f t="shared" si="937"/>
        <v>0</v>
      </c>
      <c r="Y6048" s="13">
        <f t="shared" si="941"/>
        <v>0</v>
      </c>
      <c r="Z6048" s="14">
        <v>0</v>
      </c>
      <c r="AA6048" s="6">
        <v>0</v>
      </c>
      <c r="AB6048" s="4">
        <f t="shared" si="942"/>
        <v>0</v>
      </c>
      <c r="AC6048" s="6">
        <f t="shared" si="940"/>
        <v>0</v>
      </c>
      <c r="AD6048" s="6">
        <f t="shared" si="938"/>
        <v>0</v>
      </c>
      <c r="AE6048" s="14">
        <f>VLOOKUP(I6048,[2]媒体政策预估表!A:N,MATCH(O6048,[2]媒体政策预估表!$A$2:$M$2,0),0)</f>
        <v>0.223</v>
      </c>
      <c r="AF6048" s="6">
        <f t="shared" si="935"/>
        <v>0</v>
      </c>
      <c r="AG6048" s="14">
        <v>0</v>
      </c>
      <c r="AH6048" s="99">
        <f t="shared" si="939"/>
        <v>0</v>
      </c>
      <c r="AI6048" s="47"/>
      <c r="AJ6048" s="126" t="e">
        <v>#N/A</v>
      </c>
      <c r="AK6048" s="80">
        <f t="shared" si="943"/>
        <v>0</v>
      </c>
      <c r="AL6048" s="85"/>
      <c r="AM6048" s="85"/>
    </row>
    <row r="6049" spans="1:39" s="86" customFormat="1" ht="13.25" hidden="1" customHeight="1" x14ac:dyDescent="0.3">
      <c r="A6049" s="89" t="s">
        <v>3794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937"/>
        <v>0</v>
      </c>
      <c r="Y6049" s="13">
        <f t="shared" si="941"/>
        <v>0</v>
      </c>
      <c r="Z6049" s="14">
        <v>0</v>
      </c>
      <c r="AA6049" s="6">
        <v>0</v>
      </c>
      <c r="AB6049" s="4">
        <f t="shared" si="942"/>
        <v>0</v>
      </c>
      <c r="AC6049" s="6">
        <f t="shared" si="940"/>
        <v>0</v>
      </c>
      <c r="AD6049" s="6">
        <f t="shared" si="938"/>
        <v>0</v>
      </c>
      <c r="AE6049" s="14">
        <f>VLOOKUP(I6049,[2]媒体政策预估表!A:N,MATCH(O6049,[2]媒体政策预估表!$A$2:$M$2,0),0)</f>
        <v>0.223</v>
      </c>
      <c r="AF6049" s="6">
        <f t="shared" si="935"/>
        <v>0</v>
      </c>
      <c r="AG6049" s="14">
        <v>0</v>
      </c>
      <c r="AH6049" s="99">
        <f t="shared" si="939"/>
        <v>0</v>
      </c>
      <c r="AI6049" s="47"/>
      <c r="AJ6049" s="126" t="e">
        <v>#N/A</v>
      </c>
      <c r="AK6049" s="80">
        <f t="shared" si="943"/>
        <v>0</v>
      </c>
      <c r="AL6049" s="85"/>
      <c r="AM6049" s="85"/>
    </row>
    <row r="6050" spans="1:39" s="86" customFormat="1" ht="13.25" hidden="1" customHeight="1" x14ac:dyDescent="0.3">
      <c r="A6050" s="89" t="s">
        <v>3794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936"/>
        <v>-6716.95</v>
      </c>
      <c r="X6050" s="6">
        <f t="shared" si="937"/>
        <v>0</v>
      </c>
      <c r="Y6050" s="13">
        <f t="shared" si="941"/>
        <v>0</v>
      </c>
      <c r="Z6050" s="14">
        <v>0</v>
      </c>
      <c r="AA6050" s="6">
        <v>0</v>
      </c>
      <c r="AB6050" s="4">
        <f t="shared" si="942"/>
        <v>0</v>
      </c>
      <c r="AC6050" s="6">
        <f t="shared" si="940"/>
        <v>0</v>
      </c>
      <c r="AD6050" s="6">
        <f t="shared" si="938"/>
        <v>0</v>
      </c>
      <c r="AE6050" s="14">
        <f>VLOOKUP(I6050,[2]媒体政策预估表!A:N,MATCH(O6050,[2]媒体政策预估表!$A$2:$M$2,0),0)</f>
        <v>0.223</v>
      </c>
      <c r="AF6050" s="6">
        <f t="shared" si="935"/>
        <v>0</v>
      </c>
      <c r="AG6050" s="14">
        <v>0</v>
      </c>
      <c r="AH6050" s="99">
        <f t="shared" si="939"/>
        <v>0</v>
      </c>
      <c r="AI6050" s="47"/>
      <c r="AJ6050" s="126" t="e">
        <v>#N/A</v>
      </c>
      <c r="AK6050" s="80">
        <f t="shared" si="943"/>
        <v>0</v>
      </c>
      <c r="AL6050" s="85"/>
      <c r="AM6050" s="85"/>
    </row>
    <row r="6051" spans="1:39" s="86" customFormat="1" ht="13.25" hidden="1" customHeight="1" x14ac:dyDescent="0.3">
      <c r="A6051" s="89" t="s">
        <v>3794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936"/>
        <v>-3229.28</v>
      </c>
      <c r="X6051" s="6">
        <f t="shared" si="937"/>
        <v>0</v>
      </c>
      <c r="Y6051" s="13">
        <f t="shared" si="941"/>
        <v>0</v>
      </c>
      <c r="Z6051" s="14">
        <v>0</v>
      </c>
      <c r="AA6051" s="6">
        <v>0</v>
      </c>
      <c r="AB6051" s="4">
        <f t="shared" si="942"/>
        <v>0</v>
      </c>
      <c r="AC6051" s="6">
        <f t="shared" si="940"/>
        <v>0</v>
      </c>
      <c r="AD6051" s="6">
        <f t="shared" si="938"/>
        <v>0</v>
      </c>
      <c r="AE6051" s="14">
        <f>VLOOKUP(I6051,[2]媒体政策预估表!A:N,MATCH(O6051,[2]媒体政策预估表!$A$2:$M$2,0),0)</f>
        <v>0.223</v>
      </c>
      <c r="AF6051" s="6">
        <f t="shared" si="935"/>
        <v>0</v>
      </c>
      <c r="AG6051" s="14">
        <v>0</v>
      </c>
      <c r="AH6051" s="99">
        <f t="shared" si="939"/>
        <v>0</v>
      </c>
      <c r="AI6051" s="47"/>
      <c r="AJ6051" s="126" t="e">
        <v>#N/A</v>
      </c>
      <c r="AK6051" s="80">
        <f t="shared" si="943"/>
        <v>0</v>
      </c>
      <c r="AL6051" s="85"/>
      <c r="AM6051" s="85"/>
    </row>
    <row r="6052" spans="1:39" s="86" customFormat="1" ht="13.25" hidden="1" customHeight="1" x14ac:dyDescent="0.3">
      <c r="A6052" s="89" t="s">
        <v>3792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936"/>
        <v>-70367.600000000006</v>
      </c>
      <c r="X6052" s="6">
        <f t="shared" si="937"/>
        <v>0</v>
      </c>
      <c r="Y6052" s="13">
        <f t="shared" si="941"/>
        <v>0</v>
      </c>
      <c r="Z6052" s="14">
        <v>0</v>
      </c>
      <c r="AA6052" s="6">
        <v>0</v>
      </c>
      <c r="AB6052" s="4">
        <f t="shared" si="942"/>
        <v>0</v>
      </c>
      <c r="AC6052" s="6">
        <f t="shared" si="940"/>
        <v>0</v>
      </c>
      <c r="AD6052" s="6">
        <f t="shared" si="938"/>
        <v>0</v>
      </c>
      <c r="AE6052" s="14">
        <f>VLOOKUP(I6052,[2]媒体政策预估表!A:N,MATCH(O6052,[2]媒体政策预估表!$A$2:$M$2,0),0)</f>
        <v>0.223</v>
      </c>
      <c r="AF6052" s="6">
        <f t="shared" ref="AF6052:AF6115" si="944">AD6052*AE6052</f>
        <v>0</v>
      </c>
      <c r="AG6052" s="14">
        <v>0</v>
      </c>
      <c r="AH6052" s="99">
        <f t="shared" si="939"/>
        <v>0</v>
      </c>
      <c r="AI6052" s="47"/>
      <c r="AJ6052" s="126" t="e">
        <v>#N/A</v>
      </c>
      <c r="AK6052" s="80">
        <f t="shared" si="943"/>
        <v>0</v>
      </c>
      <c r="AL6052" s="85"/>
      <c r="AM6052" s="85"/>
    </row>
    <row r="6053" spans="1:39" s="86" customFormat="1" ht="13.25" hidden="1" customHeight="1" x14ac:dyDescent="0.3">
      <c r="A6053" s="89" t="s">
        <v>3794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936"/>
        <v>-26</v>
      </c>
      <c r="X6053" s="6">
        <f t="shared" si="937"/>
        <v>0</v>
      </c>
      <c r="Y6053" s="13">
        <f t="shared" si="941"/>
        <v>0</v>
      </c>
      <c r="Z6053" s="14">
        <v>0.02</v>
      </c>
      <c r="AA6053" s="6">
        <f>X6053/(1-Z6053)*Z6053</f>
        <v>0</v>
      </c>
      <c r="AB6053" s="4">
        <f t="shared" si="942"/>
        <v>0</v>
      </c>
      <c r="AC6053" s="6">
        <f t="shared" si="940"/>
        <v>0</v>
      </c>
      <c r="AD6053" s="6">
        <f t="shared" si="938"/>
        <v>0</v>
      </c>
      <c r="AE6053" s="14">
        <f>VLOOKUP(I6053,[2]媒体政策预估表!A:N,MATCH(O6053,[2]媒体政策预估表!$A$2:$M$2,0),0)</f>
        <v>0.223</v>
      </c>
      <c r="AF6053" s="6">
        <f t="shared" si="944"/>
        <v>0</v>
      </c>
      <c r="AG6053" s="14">
        <v>0</v>
      </c>
      <c r="AH6053" s="99">
        <f t="shared" si="939"/>
        <v>0</v>
      </c>
      <c r="AI6053" s="47"/>
      <c r="AJ6053" s="126" t="e">
        <v>#N/A</v>
      </c>
      <c r="AK6053" s="80">
        <f t="shared" si="943"/>
        <v>0</v>
      </c>
      <c r="AL6053" s="85"/>
      <c r="AM6053" s="85"/>
    </row>
    <row r="6054" spans="1:39" s="86" customFormat="1" ht="13.25" hidden="1" customHeight="1" x14ac:dyDescent="0.3">
      <c r="A6054" s="89" t="s">
        <v>3792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936"/>
        <v>-160375.22</v>
      </c>
      <c r="X6054" s="6">
        <f t="shared" si="937"/>
        <v>0</v>
      </c>
      <c r="Y6054" s="13">
        <f t="shared" si="941"/>
        <v>0</v>
      </c>
      <c r="Z6054" s="14">
        <v>0</v>
      </c>
      <c r="AA6054" s="6">
        <v>0</v>
      </c>
      <c r="AB6054" s="4">
        <f t="shared" si="942"/>
        <v>0</v>
      </c>
      <c r="AC6054" s="6">
        <f t="shared" si="940"/>
        <v>0</v>
      </c>
      <c r="AD6054" s="6">
        <f t="shared" si="938"/>
        <v>0</v>
      </c>
      <c r="AE6054" s="14">
        <f>VLOOKUP(I6054,[2]媒体政策预估表!A:N,MATCH(O6054,[2]媒体政策预估表!$A$2:$M$2,0),0)</f>
        <v>0.223</v>
      </c>
      <c r="AF6054" s="6">
        <f t="shared" si="944"/>
        <v>0</v>
      </c>
      <c r="AG6054" s="14">
        <v>0</v>
      </c>
      <c r="AH6054" s="99">
        <f t="shared" si="939"/>
        <v>0</v>
      </c>
      <c r="AI6054" s="47"/>
      <c r="AJ6054" s="126" t="e">
        <v>#N/A</v>
      </c>
      <c r="AK6054" s="80">
        <f t="shared" si="943"/>
        <v>0</v>
      </c>
      <c r="AL6054" s="85"/>
      <c r="AM6054" s="85"/>
    </row>
    <row r="6055" spans="1:39" s="86" customFormat="1" ht="13.25" hidden="1" customHeight="1" x14ac:dyDescent="0.3">
      <c r="A6055" s="89" t="s">
        <v>3794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936"/>
        <v>356.31999999999971</v>
      </c>
      <c r="X6055" s="6">
        <f t="shared" si="937"/>
        <v>0</v>
      </c>
      <c r="Y6055" s="13">
        <f t="shared" si="941"/>
        <v>0</v>
      </c>
      <c r="Z6055" s="14">
        <v>0</v>
      </c>
      <c r="AA6055" s="6">
        <v>0</v>
      </c>
      <c r="AB6055" s="4">
        <f t="shared" si="942"/>
        <v>0</v>
      </c>
      <c r="AC6055" s="6">
        <f t="shared" si="940"/>
        <v>0</v>
      </c>
      <c r="AD6055" s="6">
        <f t="shared" si="938"/>
        <v>0</v>
      </c>
      <c r="AE6055" s="14">
        <f>VLOOKUP(I6055,[2]媒体政策预估表!A:N,MATCH(O6055,[2]媒体政策预估表!$A$2:$M$2,0),0)</f>
        <v>0.10299999999999999</v>
      </c>
      <c r="AF6055" s="6">
        <f t="shared" si="944"/>
        <v>0</v>
      </c>
      <c r="AG6055" s="14">
        <v>0</v>
      </c>
      <c r="AH6055" s="99">
        <f t="shared" si="939"/>
        <v>0</v>
      </c>
      <c r="AI6055" s="47"/>
      <c r="AJ6055" s="126" t="e">
        <v>#N/A</v>
      </c>
      <c r="AK6055" s="80">
        <f t="shared" si="943"/>
        <v>0</v>
      </c>
      <c r="AL6055" s="85"/>
      <c r="AM6055" s="85"/>
    </row>
    <row r="6056" spans="1:39" s="86" customFormat="1" ht="13.25" hidden="1" customHeight="1" x14ac:dyDescent="0.3">
      <c r="A6056" s="89" t="s">
        <v>3792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936"/>
        <v>-48518.63</v>
      </c>
      <c r="X6056" s="6">
        <f t="shared" si="937"/>
        <v>0</v>
      </c>
      <c r="Y6056" s="13">
        <f t="shared" si="941"/>
        <v>0</v>
      </c>
      <c r="Z6056" s="14">
        <v>0</v>
      </c>
      <c r="AA6056" s="6">
        <v>0</v>
      </c>
      <c r="AB6056" s="4">
        <f t="shared" si="942"/>
        <v>0</v>
      </c>
      <c r="AC6056" s="6">
        <f t="shared" si="940"/>
        <v>0</v>
      </c>
      <c r="AD6056" s="6">
        <f t="shared" si="938"/>
        <v>0</v>
      </c>
      <c r="AE6056" s="14">
        <f>VLOOKUP(I6056,[2]媒体政策预估表!A:N,MATCH(O6056,[2]媒体政策预估表!$A$2:$M$2,0),0)</f>
        <v>0.10299999999999999</v>
      </c>
      <c r="AF6056" s="6">
        <f t="shared" si="944"/>
        <v>0</v>
      </c>
      <c r="AG6056" s="14">
        <v>0</v>
      </c>
      <c r="AH6056" s="99">
        <f t="shared" si="939"/>
        <v>0</v>
      </c>
      <c r="AI6056" s="47"/>
      <c r="AJ6056" s="126" t="e">
        <v>#N/A</v>
      </c>
      <c r="AK6056" s="80">
        <f t="shared" si="943"/>
        <v>0</v>
      </c>
      <c r="AL6056" s="85"/>
      <c r="AM6056" s="85"/>
    </row>
    <row r="6057" spans="1:39" s="86" customFormat="1" ht="13.25" hidden="1" customHeight="1" x14ac:dyDescent="0.3">
      <c r="A6057" s="89" t="s">
        <v>3794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945">T6057+U6057-V6057</f>
        <v>-293.76</v>
      </c>
      <c r="X6057" s="6">
        <f t="shared" ref="X6057:X6074" si="946">IF(P6057="折扣",V6057*Q6057,IF(P6057="返现",V6057,V6057/(1+Q6057)))</f>
        <v>0</v>
      </c>
      <c r="Y6057" s="13">
        <f t="shared" si="941"/>
        <v>0</v>
      </c>
      <c r="Z6057" s="14">
        <v>0</v>
      </c>
      <c r="AA6057" s="6">
        <v>0</v>
      </c>
      <c r="AB6057" s="4">
        <f t="shared" si="942"/>
        <v>0</v>
      </c>
      <c r="AC6057" s="6">
        <f t="shared" si="940"/>
        <v>0</v>
      </c>
      <c r="AD6057" s="6">
        <f t="shared" ref="AD6057:AD6074" si="947">V6057</f>
        <v>0</v>
      </c>
      <c r="AE6057" s="14">
        <f>VLOOKUP(I6057,[2]媒体政策预估表!A:N,MATCH(O6057,[2]媒体政策预估表!$A$2:$M$2,0),0)</f>
        <v>0.223</v>
      </c>
      <c r="AF6057" s="6">
        <f t="shared" si="944"/>
        <v>0</v>
      </c>
      <c r="AG6057" s="14">
        <v>0</v>
      </c>
      <c r="AH6057" s="99">
        <f t="shared" ref="AH6057:AH6074" si="948">V6057</f>
        <v>0</v>
      </c>
      <c r="AI6057" s="47"/>
      <c r="AJ6057" s="126" t="e">
        <v>#N/A</v>
      </c>
      <c r="AK6057" s="80">
        <f t="shared" si="943"/>
        <v>0</v>
      </c>
      <c r="AL6057" s="85"/>
      <c r="AM6057" s="85"/>
    </row>
    <row r="6058" spans="1:39" s="86" customFormat="1" ht="13.25" hidden="1" customHeight="1" x14ac:dyDescent="0.3">
      <c r="A6058" s="89" t="s">
        <v>3792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945"/>
        <v>-935756.02</v>
      </c>
      <c r="X6058" s="6">
        <f t="shared" si="946"/>
        <v>0</v>
      </c>
      <c r="Y6058" s="13">
        <f t="shared" si="941"/>
        <v>0</v>
      </c>
      <c r="Z6058" s="14">
        <v>0</v>
      </c>
      <c r="AA6058" s="6">
        <v>0</v>
      </c>
      <c r="AB6058" s="4">
        <f t="shared" si="942"/>
        <v>0</v>
      </c>
      <c r="AC6058" s="6">
        <f t="shared" si="940"/>
        <v>0</v>
      </c>
      <c r="AD6058" s="6">
        <f t="shared" si="947"/>
        <v>0</v>
      </c>
      <c r="AE6058" s="14">
        <f>VLOOKUP(I6058,[2]媒体政策预估表!A:N,MATCH(O6058,[2]媒体政策预估表!$A$2:$M$2,0),0)</f>
        <v>0.223</v>
      </c>
      <c r="AF6058" s="6">
        <f t="shared" si="944"/>
        <v>0</v>
      </c>
      <c r="AG6058" s="14">
        <v>0</v>
      </c>
      <c r="AH6058" s="99">
        <f t="shared" si="948"/>
        <v>0</v>
      </c>
      <c r="AI6058" s="47"/>
      <c r="AJ6058" s="126" t="e">
        <v>#N/A</v>
      </c>
      <c r="AK6058" s="80">
        <f t="shared" si="943"/>
        <v>0</v>
      </c>
      <c r="AL6058" s="85"/>
      <c r="AM6058" s="85"/>
    </row>
    <row r="6059" spans="1:39" s="86" customFormat="1" ht="13.25" hidden="1" customHeight="1" x14ac:dyDescent="0.3">
      <c r="A6059" s="89" t="s">
        <v>3794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945"/>
        <v>-1757512.11</v>
      </c>
      <c r="X6059" s="6">
        <f t="shared" si="946"/>
        <v>439505.24038461538</v>
      </c>
      <c r="Y6059" s="13">
        <f t="shared" si="941"/>
        <v>0</v>
      </c>
      <c r="Z6059" s="14">
        <v>0</v>
      </c>
      <c r="AA6059" s="6">
        <v>0</v>
      </c>
      <c r="AB6059" s="4">
        <f t="shared" si="942"/>
        <v>439505.24038461538</v>
      </c>
      <c r="AC6059" s="6">
        <f t="shared" si="940"/>
        <v>17580.209615384636</v>
      </c>
      <c r="AD6059" s="6">
        <f t="shared" si="947"/>
        <v>457085.45</v>
      </c>
      <c r="AE6059" s="14">
        <f>VLOOKUP(I6059,[2]媒体政策预估表!A:N,MATCH(O6059,[2]媒体政策预估表!$A$2:$M$2,0),0)</f>
        <v>0.223</v>
      </c>
      <c r="AF6059" s="6">
        <f t="shared" si="944"/>
        <v>101930.05535000001</v>
      </c>
      <c r="AG6059" s="14">
        <v>0</v>
      </c>
      <c r="AH6059" s="99">
        <f t="shared" si="948"/>
        <v>457085.45</v>
      </c>
      <c r="AI6059" s="47"/>
      <c r="AJ6059" s="126" t="e">
        <v>#N/A</v>
      </c>
      <c r="AK6059" s="80">
        <f t="shared" si="943"/>
        <v>0</v>
      </c>
      <c r="AL6059" s="85"/>
      <c r="AM6059" s="85"/>
    </row>
    <row r="6060" spans="1:39" s="86" customFormat="1" ht="13.25" hidden="1" customHeight="1" x14ac:dyDescent="0.3">
      <c r="A6060" s="89" t="s">
        <v>3792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945"/>
        <v>-23601.200000000001</v>
      </c>
      <c r="X6060" s="6">
        <f t="shared" si="946"/>
        <v>0</v>
      </c>
      <c r="Y6060" s="13">
        <f t="shared" si="941"/>
        <v>0</v>
      </c>
      <c r="Z6060" s="14">
        <v>0</v>
      </c>
      <c r="AA6060" s="6">
        <v>0</v>
      </c>
      <c r="AB6060" s="4">
        <f t="shared" si="942"/>
        <v>0</v>
      </c>
      <c r="AC6060" s="6">
        <f t="shared" si="940"/>
        <v>0</v>
      </c>
      <c r="AD6060" s="6">
        <f t="shared" si="947"/>
        <v>0</v>
      </c>
      <c r="AE6060" s="14">
        <f>VLOOKUP(I6060,[2]媒体政策预估表!A:N,MATCH(O6060,[2]媒体政策预估表!$A$2:$M$2,0),0)</f>
        <v>0.223</v>
      </c>
      <c r="AF6060" s="6">
        <f t="shared" si="944"/>
        <v>0</v>
      </c>
      <c r="AG6060" s="14">
        <v>0</v>
      </c>
      <c r="AH6060" s="99">
        <f t="shared" si="948"/>
        <v>0</v>
      </c>
      <c r="AI6060" s="47"/>
      <c r="AJ6060" s="126" t="e">
        <v>#N/A</v>
      </c>
      <c r="AK6060" s="80">
        <f t="shared" si="943"/>
        <v>0</v>
      </c>
      <c r="AL6060" s="85"/>
      <c r="AM6060" s="85"/>
    </row>
    <row r="6061" spans="1:39" s="86" customFormat="1" ht="13.25" hidden="1" customHeight="1" x14ac:dyDescent="0.3">
      <c r="A6061" s="89" t="s">
        <v>3794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945"/>
        <v>-100437.53</v>
      </c>
      <c r="X6061" s="6">
        <f t="shared" si="946"/>
        <v>12584.038461538461</v>
      </c>
      <c r="Y6061" s="13">
        <f t="shared" si="941"/>
        <v>0</v>
      </c>
      <c r="Z6061" s="14">
        <v>0</v>
      </c>
      <c r="AA6061" s="6">
        <v>0</v>
      </c>
      <c r="AB6061" s="4">
        <f t="shared" si="942"/>
        <v>12584.038461538461</v>
      </c>
      <c r="AC6061" s="6">
        <f t="shared" si="940"/>
        <v>503.36153846153866</v>
      </c>
      <c r="AD6061" s="6">
        <f t="shared" si="947"/>
        <v>13087.4</v>
      </c>
      <c r="AE6061" s="14">
        <f>VLOOKUP(I6061,[2]媒体政策预估表!A:N,MATCH(O6061,[2]媒体政策预估表!$A$2:$M$2,0),0)</f>
        <v>0.223</v>
      </c>
      <c r="AF6061" s="6">
        <f t="shared" si="944"/>
        <v>2918.4902000000002</v>
      </c>
      <c r="AG6061" s="14">
        <v>0</v>
      </c>
      <c r="AH6061" s="99">
        <f t="shared" si="948"/>
        <v>13087.4</v>
      </c>
      <c r="AI6061" s="47"/>
      <c r="AJ6061" s="126" t="e">
        <v>#N/A</v>
      </c>
      <c r="AK6061" s="80">
        <f t="shared" si="943"/>
        <v>0</v>
      </c>
      <c r="AL6061" s="85"/>
      <c r="AM6061" s="85"/>
    </row>
    <row r="6062" spans="1:39" s="86" customFormat="1" ht="13.25" hidden="1" customHeight="1" x14ac:dyDescent="0.3">
      <c r="A6062" s="89" t="s">
        <v>3794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945"/>
        <v>-75624.570000000007</v>
      </c>
      <c r="X6062" s="6">
        <f t="shared" si="946"/>
        <v>0</v>
      </c>
      <c r="Y6062" s="13">
        <f t="shared" si="941"/>
        <v>0</v>
      </c>
      <c r="Z6062" s="14">
        <v>0</v>
      </c>
      <c r="AA6062" s="6">
        <v>0</v>
      </c>
      <c r="AB6062" s="4">
        <f t="shared" si="942"/>
        <v>0</v>
      </c>
      <c r="AC6062" s="6">
        <f t="shared" si="940"/>
        <v>0</v>
      </c>
      <c r="AD6062" s="6">
        <f t="shared" si="947"/>
        <v>0</v>
      </c>
      <c r="AE6062" s="14">
        <f>VLOOKUP(I6062,[2]媒体政策预估表!A:N,MATCH(O6062,[2]媒体政策预估表!$A$2:$M$2,0),0)</f>
        <v>0.223</v>
      </c>
      <c r="AF6062" s="6">
        <f t="shared" si="944"/>
        <v>0</v>
      </c>
      <c r="AG6062" s="14">
        <v>0</v>
      </c>
      <c r="AH6062" s="99">
        <f t="shared" si="948"/>
        <v>0</v>
      </c>
      <c r="AI6062" s="47"/>
      <c r="AJ6062" s="126" t="e">
        <v>#N/A</v>
      </c>
      <c r="AK6062" s="80">
        <f t="shared" si="943"/>
        <v>0</v>
      </c>
      <c r="AL6062" s="85"/>
      <c r="AM6062" s="85"/>
    </row>
    <row r="6063" spans="1:39" s="86" customFormat="1" ht="13.25" hidden="1" customHeight="1" x14ac:dyDescent="0.3">
      <c r="A6063" s="89" t="s">
        <v>3792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945"/>
        <v>-3903698.38</v>
      </c>
      <c r="X6063" s="6">
        <f t="shared" si="946"/>
        <v>1887262.2571428572</v>
      </c>
      <c r="Y6063" s="13">
        <f t="shared" si="941"/>
        <v>0</v>
      </c>
      <c r="Z6063" s="14">
        <v>0</v>
      </c>
      <c r="AA6063" s="6">
        <v>0</v>
      </c>
      <c r="AB6063" s="4">
        <f t="shared" si="942"/>
        <v>1887262.2571428572</v>
      </c>
      <c r="AC6063" s="6">
        <f t="shared" si="940"/>
        <v>94363.112857142929</v>
      </c>
      <c r="AD6063" s="6">
        <f t="shared" si="947"/>
        <v>1981625.37</v>
      </c>
      <c r="AE6063" s="14">
        <f>VLOOKUP(I6063,[2]媒体政策预估表!A:N,MATCH(O6063,[2]媒体政策预估表!$A$2:$M$2,0),0)</f>
        <v>0.223</v>
      </c>
      <c r="AF6063" s="6">
        <f t="shared" si="944"/>
        <v>441902.45751000004</v>
      </c>
      <c r="AG6063" s="14">
        <v>0</v>
      </c>
      <c r="AH6063" s="99">
        <f t="shared" si="948"/>
        <v>1981625.37</v>
      </c>
      <c r="AI6063" s="47"/>
      <c r="AJ6063" s="126" t="e">
        <v>#N/A</v>
      </c>
      <c r="AK6063" s="80">
        <f t="shared" si="943"/>
        <v>0</v>
      </c>
      <c r="AL6063" s="85"/>
      <c r="AM6063" s="85"/>
    </row>
    <row r="6064" spans="1:39" s="86" customFormat="1" ht="13.25" hidden="1" customHeight="1" x14ac:dyDescent="0.3">
      <c r="A6064" s="89" t="s">
        <v>3794</v>
      </c>
      <c r="B6064" s="86" t="s">
        <v>35</v>
      </c>
      <c r="C6064" s="86" t="s">
        <v>184</v>
      </c>
      <c r="D6064" s="86" t="s">
        <v>3849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946"/>
        <v>0</v>
      </c>
      <c r="Y6064" s="13">
        <f t="shared" si="941"/>
        <v>0</v>
      </c>
      <c r="Z6064" s="14">
        <v>0</v>
      </c>
      <c r="AA6064" s="6">
        <v>0</v>
      </c>
      <c r="AB6064" s="4">
        <f t="shared" si="942"/>
        <v>0</v>
      </c>
      <c r="AC6064" s="6">
        <f t="shared" si="940"/>
        <v>0</v>
      </c>
      <c r="AD6064" s="6">
        <f t="shared" si="947"/>
        <v>0</v>
      </c>
      <c r="AE6064" s="14">
        <f>VLOOKUP(I6064,[2]媒体政策预估表!A:N,MATCH(O6064,[2]媒体政策预估表!$A$2:$M$2,0),0)</f>
        <v>0.223</v>
      </c>
      <c r="AF6064" s="6">
        <f t="shared" si="944"/>
        <v>0</v>
      </c>
      <c r="AG6064" s="14">
        <v>0</v>
      </c>
      <c r="AH6064" s="99">
        <f t="shared" si="948"/>
        <v>0</v>
      </c>
      <c r="AI6064" s="47"/>
      <c r="AJ6064" s="126" t="e">
        <v>#N/A</v>
      </c>
      <c r="AK6064" s="80">
        <f t="shared" si="943"/>
        <v>0</v>
      </c>
      <c r="AL6064" s="85"/>
      <c r="AM6064" s="85"/>
    </row>
    <row r="6065" spans="1:39" s="86" customFormat="1" ht="13.25" hidden="1" customHeight="1" x14ac:dyDescent="0.3">
      <c r="A6065" s="89" t="s">
        <v>3792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945"/>
        <v>-608.1</v>
      </c>
      <c r="X6065" s="6">
        <f t="shared" si="946"/>
        <v>0</v>
      </c>
      <c r="Y6065" s="13">
        <f t="shared" si="941"/>
        <v>0</v>
      </c>
      <c r="Z6065" s="14">
        <v>0</v>
      </c>
      <c r="AA6065" s="6">
        <v>0</v>
      </c>
      <c r="AB6065" s="4">
        <f t="shared" si="942"/>
        <v>0</v>
      </c>
      <c r="AC6065" s="6">
        <f t="shared" si="940"/>
        <v>0</v>
      </c>
      <c r="AD6065" s="6">
        <f t="shared" si="947"/>
        <v>0</v>
      </c>
      <c r="AE6065" s="14">
        <f>VLOOKUP(I6065,[2]媒体政策预估表!A:N,MATCH(O6065,[2]媒体政策预估表!$A$2:$M$2,0),0)</f>
        <v>0.223</v>
      </c>
      <c r="AF6065" s="6">
        <f t="shared" si="944"/>
        <v>0</v>
      </c>
      <c r="AG6065" s="14">
        <v>0</v>
      </c>
      <c r="AH6065" s="99">
        <f t="shared" si="948"/>
        <v>0</v>
      </c>
      <c r="AI6065" s="47"/>
      <c r="AJ6065" s="126" t="e">
        <v>#N/A</v>
      </c>
      <c r="AK6065" s="80">
        <f t="shared" si="943"/>
        <v>0</v>
      </c>
      <c r="AL6065" s="85"/>
      <c r="AM6065" s="85"/>
    </row>
    <row r="6066" spans="1:39" s="86" customFormat="1" ht="13.25" hidden="1" customHeight="1" x14ac:dyDescent="0.3">
      <c r="A6066" s="89" t="s">
        <v>3792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945"/>
        <v>-26375.030000000002</v>
      </c>
      <c r="X6066" s="6">
        <f t="shared" si="946"/>
        <v>24774.13</v>
      </c>
      <c r="Y6066" s="13">
        <f t="shared" si="941"/>
        <v>0</v>
      </c>
      <c r="Z6066" s="14">
        <v>0</v>
      </c>
      <c r="AA6066" s="6">
        <v>0</v>
      </c>
      <c r="AB6066" s="4">
        <f t="shared" si="942"/>
        <v>24774.13</v>
      </c>
      <c r="AC6066" s="6">
        <f t="shared" si="940"/>
        <v>0</v>
      </c>
      <c r="AD6066" s="6">
        <f t="shared" si="947"/>
        <v>24774.13</v>
      </c>
      <c r="AE6066" s="14">
        <f>VLOOKUP(I6066,[2]媒体政策预估表!A:N,MATCH(O6066,[2]媒体政策预估表!$A$2:$M$2,0),0)</f>
        <v>0.223</v>
      </c>
      <c r="AF6066" s="6">
        <f t="shared" si="944"/>
        <v>5524.6309900000006</v>
      </c>
      <c r="AG6066" s="14">
        <v>0</v>
      </c>
      <c r="AH6066" s="99">
        <f t="shared" si="948"/>
        <v>24774.13</v>
      </c>
      <c r="AI6066" s="47"/>
      <c r="AJ6066" s="126" t="e">
        <v>#N/A</v>
      </c>
      <c r="AK6066" s="80">
        <f t="shared" si="943"/>
        <v>0</v>
      </c>
      <c r="AL6066" s="85"/>
      <c r="AM6066" s="85"/>
    </row>
    <row r="6067" spans="1:39" s="86" customFormat="1" ht="13.25" hidden="1" customHeight="1" x14ac:dyDescent="0.3">
      <c r="A6067" s="89" t="s">
        <v>3794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945"/>
        <v>-1117.1300000000001</v>
      </c>
      <c r="X6067" s="6">
        <f t="shared" si="946"/>
        <v>0</v>
      </c>
      <c r="Y6067" s="13">
        <f t="shared" si="941"/>
        <v>0</v>
      </c>
      <c r="Z6067" s="14">
        <v>0</v>
      </c>
      <c r="AA6067" s="6">
        <v>0</v>
      </c>
      <c r="AB6067" s="4">
        <f t="shared" si="942"/>
        <v>0</v>
      </c>
      <c r="AC6067" s="6">
        <f t="shared" si="940"/>
        <v>0</v>
      </c>
      <c r="AD6067" s="6">
        <f t="shared" si="947"/>
        <v>0</v>
      </c>
      <c r="AE6067" s="14">
        <f>VLOOKUP(I6067,[2]媒体政策预估表!A:N,MATCH(O6067,[2]媒体政策预估表!$A$2:$M$2,0),0)</f>
        <v>0.223</v>
      </c>
      <c r="AF6067" s="6">
        <f t="shared" si="944"/>
        <v>0</v>
      </c>
      <c r="AG6067" s="14">
        <v>0</v>
      </c>
      <c r="AH6067" s="99">
        <f t="shared" si="948"/>
        <v>0</v>
      </c>
      <c r="AI6067" s="47"/>
      <c r="AJ6067" s="126" t="e">
        <v>#N/A</v>
      </c>
      <c r="AK6067" s="80">
        <f t="shared" si="943"/>
        <v>0</v>
      </c>
      <c r="AL6067" s="85"/>
      <c r="AM6067" s="85"/>
    </row>
    <row r="6068" spans="1:39" s="86" customFormat="1" ht="13.25" hidden="1" customHeight="1" x14ac:dyDescent="0.3">
      <c r="A6068" s="89" t="s">
        <v>3792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945"/>
        <v>-153455.21</v>
      </c>
      <c r="X6068" s="6">
        <f t="shared" si="946"/>
        <v>89045.31</v>
      </c>
      <c r="Y6068" s="13">
        <f t="shared" si="941"/>
        <v>0</v>
      </c>
      <c r="Z6068" s="14">
        <v>0</v>
      </c>
      <c r="AA6068" s="6">
        <v>0</v>
      </c>
      <c r="AB6068" s="4">
        <f t="shared" si="942"/>
        <v>89045.31</v>
      </c>
      <c r="AC6068" s="6">
        <f t="shared" si="940"/>
        <v>0</v>
      </c>
      <c r="AD6068" s="6">
        <f t="shared" si="947"/>
        <v>89045.31</v>
      </c>
      <c r="AE6068" s="14">
        <f>VLOOKUP(I6068,[2]媒体政策预估表!A:N,MATCH(O6068,[2]媒体政策预估表!$A$2:$M$2,0),0)</f>
        <v>0.223</v>
      </c>
      <c r="AF6068" s="6">
        <f t="shared" si="944"/>
        <v>19857.10413</v>
      </c>
      <c r="AG6068" s="14">
        <v>0</v>
      </c>
      <c r="AH6068" s="99">
        <f t="shared" si="948"/>
        <v>89045.31</v>
      </c>
      <c r="AI6068" s="47"/>
      <c r="AJ6068" s="126" t="e">
        <v>#N/A</v>
      </c>
      <c r="AK6068" s="80">
        <f t="shared" si="943"/>
        <v>0</v>
      </c>
      <c r="AL6068" s="85"/>
      <c r="AM6068" s="85"/>
    </row>
    <row r="6069" spans="1:39" s="86" customFormat="1" ht="13.25" hidden="1" customHeight="1" x14ac:dyDescent="0.3">
      <c r="A6069" s="89" t="s">
        <v>3794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945"/>
        <v>0</v>
      </c>
      <c r="X6069" s="6">
        <f t="shared" si="946"/>
        <v>8344.8137254901958</v>
      </c>
      <c r="Y6069" s="13">
        <f t="shared" si="941"/>
        <v>0</v>
      </c>
      <c r="Z6069" s="14">
        <v>0</v>
      </c>
      <c r="AA6069" s="6">
        <v>0</v>
      </c>
      <c r="AB6069" s="4">
        <f t="shared" si="942"/>
        <v>8344.8137254901958</v>
      </c>
      <c r="AC6069" s="6">
        <f t="shared" si="940"/>
        <v>166.89627450980333</v>
      </c>
      <c r="AD6069" s="6">
        <f t="shared" si="947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944"/>
        <v>876.70612999999992</v>
      </c>
      <c r="AG6069" s="14">
        <v>0</v>
      </c>
      <c r="AH6069" s="99">
        <f t="shared" si="948"/>
        <v>8511.7099999999991</v>
      </c>
      <c r="AI6069" s="47"/>
      <c r="AJ6069" s="126" t="e">
        <v>#N/A</v>
      </c>
      <c r="AK6069" s="80">
        <f t="shared" si="943"/>
        <v>0</v>
      </c>
      <c r="AL6069" s="85"/>
      <c r="AM6069" s="85"/>
    </row>
    <row r="6070" spans="1:39" s="86" customFormat="1" ht="13.25" hidden="1" customHeight="1" x14ac:dyDescent="0.3">
      <c r="A6070" s="89" t="s">
        <v>3794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3868</v>
      </c>
      <c r="O6070" s="47" t="s">
        <v>3891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945"/>
        <v>-53733</v>
      </c>
      <c r="X6070" s="6">
        <f t="shared" si="946"/>
        <v>52679.411764705881</v>
      </c>
      <c r="Y6070" s="13">
        <f t="shared" si="941"/>
        <v>0</v>
      </c>
      <c r="Z6070" s="66">
        <v>0</v>
      </c>
      <c r="AA6070" s="6">
        <v>0</v>
      </c>
      <c r="AB6070" s="4">
        <f t="shared" si="942"/>
        <v>52679.411764705881</v>
      </c>
      <c r="AC6070" s="6">
        <f t="shared" si="940"/>
        <v>1053.5882352941189</v>
      </c>
      <c r="AD6070" s="6">
        <f t="shared" si="947"/>
        <v>53733</v>
      </c>
      <c r="AE6070" s="14">
        <f>VLOOKUP(I6070,[2]媒体政策预估表!A:N,MATCH(O6070,[2]媒体政策预估表!$A$2:$M$2,0),0)</f>
        <v>0.223</v>
      </c>
      <c r="AF6070" s="6">
        <f t="shared" si="944"/>
        <v>11982.459000000001</v>
      </c>
      <c r="AG6070" s="14">
        <v>0</v>
      </c>
      <c r="AH6070" s="99">
        <f t="shared" si="948"/>
        <v>53733</v>
      </c>
      <c r="AI6070" s="47"/>
      <c r="AJ6070" s="126" t="e">
        <v>#N/A</v>
      </c>
      <c r="AK6070" s="80">
        <f t="shared" si="943"/>
        <v>0</v>
      </c>
      <c r="AL6070" s="85"/>
      <c r="AM6070" s="85"/>
    </row>
    <row r="6071" spans="1:39" s="86" customFormat="1" ht="13.25" hidden="1" customHeight="1" x14ac:dyDescent="0.3">
      <c r="A6071" s="89" t="s">
        <v>3794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3891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945"/>
        <v>-46440.480000000003</v>
      </c>
      <c r="X6071" s="6">
        <f t="shared" si="946"/>
        <v>45529.882352941182</v>
      </c>
      <c r="Y6071" s="13">
        <f t="shared" si="941"/>
        <v>0</v>
      </c>
      <c r="Z6071" s="66">
        <v>0</v>
      </c>
      <c r="AA6071" s="6">
        <v>0</v>
      </c>
      <c r="AB6071" s="4">
        <f t="shared" si="942"/>
        <v>45529.882352941182</v>
      </c>
      <c r="AC6071" s="6">
        <f t="shared" si="940"/>
        <v>910.59764705882117</v>
      </c>
      <c r="AD6071" s="6">
        <f t="shared" si="947"/>
        <v>46440.480000000003</v>
      </c>
      <c r="AE6071" s="14">
        <f>VLOOKUP(I6071,[2]媒体政策预估表!A:N,MATCH(O6071,[2]媒体政策预估表!$A$2:$M$2,0),0)</f>
        <v>0.223</v>
      </c>
      <c r="AF6071" s="6">
        <f t="shared" si="944"/>
        <v>10356.227040000002</v>
      </c>
      <c r="AG6071" s="14">
        <v>0</v>
      </c>
      <c r="AH6071" s="99">
        <f t="shared" si="948"/>
        <v>46440.480000000003</v>
      </c>
      <c r="AI6071" s="47"/>
      <c r="AJ6071" s="126" t="e">
        <v>#N/A</v>
      </c>
      <c r="AK6071" s="80">
        <f t="shared" si="943"/>
        <v>0</v>
      </c>
      <c r="AL6071" s="85"/>
      <c r="AM6071" s="85"/>
    </row>
    <row r="6072" spans="1:39" s="86" customFormat="1" ht="13.25" hidden="1" customHeight="1" x14ac:dyDescent="0.3">
      <c r="A6072" s="89" t="s">
        <v>3792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3870</v>
      </c>
      <c r="O6072" s="47" t="s">
        <v>3892</v>
      </c>
      <c r="P6072" s="47" t="s">
        <v>46</v>
      </c>
      <c r="Q6072" s="14">
        <v>0.05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945"/>
        <v>-2073.14</v>
      </c>
      <c r="X6072" s="6">
        <f t="shared" si="946"/>
        <v>1974.4190476190474</v>
      </c>
      <c r="Y6072" s="13">
        <f t="shared" si="941"/>
        <v>0</v>
      </c>
      <c r="Z6072" s="66">
        <v>0</v>
      </c>
      <c r="AA6072" s="6">
        <v>0</v>
      </c>
      <c r="AB6072" s="4">
        <f t="shared" si="942"/>
        <v>1974.4190476190474</v>
      </c>
      <c r="AC6072" s="6">
        <f t="shared" si="940"/>
        <v>98.72095238095244</v>
      </c>
      <c r="AD6072" s="6">
        <f t="shared" si="947"/>
        <v>2073.14</v>
      </c>
      <c r="AE6072" s="14">
        <f>VLOOKUP(I6072,[2]媒体政策预估表!A:N,MATCH(O6072,[2]媒体政策预估表!$A$2:$M$2,0),0)</f>
        <v>0.223</v>
      </c>
      <c r="AF6072" s="6">
        <f t="shared" si="944"/>
        <v>462.31021999999996</v>
      </c>
      <c r="AG6072" s="14">
        <v>0</v>
      </c>
      <c r="AH6072" s="99">
        <f t="shared" si="948"/>
        <v>2073.14</v>
      </c>
      <c r="AI6072" s="47"/>
      <c r="AJ6072" s="126" t="e">
        <v>#N/A</v>
      </c>
      <c r="AK6072" s="80">
        <f t="shared" si="943"/>
        <v>0</v>
      </c>
      <c r="AL6072" s="85"/>
      <c r="AM6072" s="85"/>
    </row>
    <row r="6073" spans="1:39" s="86" customFormat="1" ht="13.25" hidden="1" customHeight="1" x14ac:dyDescent="0.3">
      <c r="A6073" s="89" t="s">
        <v>3794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3873</v>
      </c>
      <c r="O6073" s="47" t="s">
        <v>3891</v>
      </c>
      <c r="P6073" s="47" t="s">
        <v>46</v>
      </c>
      <c r="Q6073" s="14">
        <v>0.04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945"/>
        <v>-34605.379999999997</v>
      </c>
      <c r="X6073" s="6">
        <f t="shared" si="946"/>
        <v>33274.403846153844</v>
      </c>
      <c r="Y6073" s="13">
        <f t="shared" si="941"/>
        <v>0</v>
      </c>
      <c r="Z6073" s="66">
        <v>0</v>
      </c>
      <c r="AA6073" s="6">
        <v>0</v>
      </c>
      <c r="AB6073" s="4">
        <f t="shared" si="942"/>
        <v>33274.403846153844</v>
      </c>
      <c r="AC6073" s="6">
        <f t="shared" si="940"/>
        <v>1330.9761538461535</v>
      </c>
      <c r="AD6073" s="6">
        <f t="shared" si="947"/>
        <v>34605.379999999997</v>
      </c>
      <c r="AE6073" s="14">
        <f>VLOOKUP(I6073,[2]媒体政策预估表!A:N,MATCH(O6073,[2]媒体政策预估表!$A$2:$M$2,0),0)</f>
        <v>0.223</v>
      </c>
      <c r="AF6073" s="6">
        <f t="shared" si="944"/>
        <v>7716.9997399999993</v>
      </c>
      <c r="AG6073" s="14">
        <v>0</v>
      </c>
      <c r="AH6073" s="99">
        <f t="shared" si="948"/>
        <v>34605.379999999997</v>
      </c>
      <c r="AI6073" s="47"/>
      <c r="AJ6073" s="126" t="e">
        <v>#N/A</v>
      </c>
      <c r="AK6073" s="80">
        <f t="shared" si="943"/>
        <v>0</v>
      </c>
      <c r="AL6073" s="85"/>
      <c r="AM6073" s="85"/>
    </row>
    <row r="6074" spans="1:39" s="86" customFormat="1" ht="13.25" hidden="1" customHeight="1" x14ac:dyDescent="0.3">
      <c r="A6074" s="89" t="s">
        <v>3794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3892</v>
      </c>
      <c r="P6074" s="14" t="s">
        <v>46</v>
      </c>
      <c r="Q6074" s="14">
        <v>0.04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945"/>
        <v>-26435.809999999998</v>
      </c>
      <c r="X6074" s="6">
        <f t="shared" si="946"/>
        <v>25419.048076923074</v>
      </c>
      <c r="Y6074" s="13">
        <f t="shared" si="941"/>
        <v>0</v>
      </c>
      <c r="Z6074" s="14">
        <v>0</v>
      </c>
      <c r="AA6074" s="6">
        <v>0</v>
      </c>
      <c r="AB6074" s="4">
        <f t="shared" si="942"/>
        <v>25419.048076923074</v>
      </c>
      <c r="AC6074" s="6">
        <f t="shared" si="940"/>
        <v>1016.7619230769233</v>
      </c>
      <c r="AD6074" s="6">
        <f t="shared" si="947"/>
        <v>26435.809999999998</v>
      </c>
      <c r="AE6074" s="14">
        <f>VLOOKUP(I6074,[2]媒体政策预估表!A:N,MATCH(O6074,[2]媒体政策预估表!$A$2:$M$2,0),0)</f>
        <v>0.223</v>
      </c>
      <c r="AF6074" s="6">
        <f t="shared" si="944"/>
        <v>5895.1856299999999</v>
      </c>
      <c r="AG6074" s="14">
        <v>0</v>
      </c>
      <c r="AH6074" s="99">
        <f t="shared" si="948"/>
        <v>26435.809999999998</v>
      </c>
      <c r="AI6074" s="47"/>
      <c r="AJ6074" s="126" t="e">
        <v>#N/A</v>
      </c>
      <c r="AK6074" s="80">
        <f t="shared" si="943"/>
        <v>0</v>
      </c>
      <c r="AL6074" s="85"/>
      <c r="AM6074" s="85"/>
    </row>
    <row r="6075" spans="1:39" s="86" customFormat="1" ht="13.25" hidden="1" customHeight="1" x14ac:dyDescent="0.3">
      <c r="A6075" s="89" t="s">
        <v>3794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945"/>
        <v>10000</v>
      </c>
      <c r="X6075" s="6">
        <f>IF(P6075="折扣",V6075*Q6075,IF(P6075="返现",V6075,V6075/(1+Q6075+AG6075)))</f>
        <v>0</v>
      </c>
      <c r="Y6075" s="13">
        <f t="shared" si="941"/>
        <v>0</v>
      </c>
      <c r="Z6075" s="66">
        <v>0</v>
      </c>
      <c r="AA6075" s="6">
        <v>0</v>
      </c>
      <c r="AB6075" s="4">
        <f t="shared" si="942"/>
        <v>0</v>
      </c>
      <c r="AC6075" s="6">
        <f t="shared" si="940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944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943"/>
        <v>0</v>
      </c>
      <c r="AL6075" s="85"/>
      <c r="AM6075" s="85"/>
    </row>
    <row r="6076" spans="1:39" s="86" customFormat="1" ht="13.25" hidden="1" customHeight="1" x14ac:dyDescent="0.3">
      <c r="A6076" s="89" t="s">
        <v>3794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3893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945"/>
        <v>0</v>
      </c>
      <c r="X6076" s="6">
        <f t="shared" ref="X6076:X6139" si="949">IF(P6076="折扣",V6076*Q6076,IF(P6076="返现",V6076,V6076/(1+Q6076+AG6076)))</f>
        <v>-38066.76699029126</v>
      </c>
      <c r="Y6076" s="13">
        <f t="shared" si="941"/>
        <v>0</v>
      </c>
      <c r="Z6076" s="66">
        <v>0</v>
      </c>
      <c r="AA6076" s="6">
        <v>0</v>
      </c>
      <c r="AB6076" s="4">
        <f t="shared" si="942"/>
        <v>-38066.76699029126</v>
      </c>
      <c r="AC6076" s="6">
        <f t="shared" si="940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944"/>
        <v>576.5830000000002</v>
      </c>
      <c r="AG6076" s="14">
        <v>0</v>
      </c>
      <c r="AH6076" s="6">
        <f t="shared" ref="AH6076:AH6139" si="950">V6076/(1+AG6076)</f>
        <v>-39208.769999999997</v>
      </c>
      <c r="AI6076" s="47"/>
      <c r="AJ6076" s="126" t="e">
        <v>#N/A</v>
      </c>
      <c r="AK6076" s="80">
        <f t="shared" si="943"/>
        <v>0</v>
      </c>
      <c r="AL6076" s="85"/>
      <c r="AM6076" s="85"/>
    </row>
    <row r="6077" spans="1:39" s="86" customFormat="1" ht="13.25" hidden="1" customHeight="1" x14ac:dyDescent="0.3">
      <c r="A6077" s="89" t="s">
        <v>3794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945"/>
        <v>5886204.0446199989</v>
      </c>
      <c r="X6077" s="6">
        <f t="shared" si="949"/>
        <v>5816722.9000000013</v>
      </c>
      <c r="Y6077" s="13">
        <f t="shared" si="941"/>
        <v>0</v>
      </c>
      <c r="Z6077" s="66">
        <v>0</v>
      </c>
      <c r="AA6077" s="6">
        <v>0</v>
      </c>
      <c r="AB6077" s="4">
        <f t="shared" si="942"/>
        <v>5816722.9000000013</v>
      </c>
      <c r="AC6077" s="6">
        <f t="shared" si="940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944"/>
        <v>407170.60300000012</v>
      </c>
      <c r="AG6077" s="14">
        <v>0</v>
      </c>
      <c r="AH6077" s="6">
        <f t="shared" si="950"/>
        <v>5816722.9000000013</v>
      </c>
      <c r="AI6077" s="47"/>
      <c r="AJ6077" s="126" t="e">
        <v>#N/A</v>
      </c>
      <c r="AK6077" s="80">
        <f t="shared" si="943"/>
        <v>0</v>
      </c>
      <c r="AL6077" s="85"/>
      <c r="AM6077" s="85"/>
    </row>
    <row r="6078" spans="1:39" s="86" customFormat="1" ht="13.25" hidden="1" customHeight="1" x14ac:dyDescent="0.3">
      <c r="A6078" s="89" t="s">
        <v>3792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945"/>
        <v>2287320.780000004</v>
      </c>
      <c r="X6078" s="6">
        <f t="shared" si="949"/>
        <v>4391257.3299999954</v>
      </c>
      <c r="Y6078" s="13">
        <f t="shared" si="941"/>
        <v>0</v>
      </c>
      <c r="Z6078" s="66">
        <v>0</v>
      </c>
      <c r="AA6078" s="6">
        <v>0</v>
      </c>
      <c r="AB6078" s="4">
        <f t="shared" si="942"/>
        <v>4391257.3299999954</v>
      </c>
      <c r="AC6078" s="6">
        <f t="shared" ref="AC6078:AC6141" si="951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944"/>
        <v>395213.15969999955</v>
      </c>
      <c r="AG6078" s="14">
        <v>0</v>
      </c>
      <c r="AH6078" s="6">
        <f t="shared" si="950"/>
        <v>4391257.3299999954</v>
      </c>
      <c r="AI6078" s="47"/>
      <c r="AJ6078" s="126" t="e">
        <v>#N/A</v>
      </c>
      <c r="AK6078" s="80">
        <f t="shared" si="943"/>
        <v>0</v>
      </c>
      <c r="AL6078" s="85"/>
      <c r="AM6078" s="85"/>
    </row>
    <row r="6079" spans="1:39" s="86" customFormat="1" ht="13.25" hidden="1" customHeight="1" x14ac:dyDescent="0.3">
      <c r="A6079" s="89" t="s">
        <v>3794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 t="s">
        <v>4235</v>
      </c>
      <c r="T6079" s="6">
        <v>897724.64445999998</v>
      </c>
      <c r="U6079" s="6">
        <v>2050116.37</v>
      </c>
      <c r="V6079" s="6">
        <v>1741351.550000001</v>
      </c>
      <c r="W6079" s="6">
        <f t="shared" si="945"/>
        <v>1206489.4644599992</v>
      </c>
      <c r="X6079" s="6">
        <f>IF(P6079="折扣",V6079*Q6079,IF(P6079="返现",V6079,(V6079-116.37)/(1+Q6079+AG6079)))</f>
        <v>1741235.1800000009</v>
      </c>
      <c r="Y6079" s="13">
        <f t="shared" si="941"/>
        <v>0</v>
      </c>
      <c r="Z6079" s="66">
        <v>0</v>
      </c>
      <c r="AA6079" s="6">
        <v>0</v>
      </c>
      <c r="AB6079" s="4">
        <f t="shared" si="942"/>
        <v>1741235.1800000009</v>
      </c>
      <c r="AC6079" s="6">
        <f t="shared" si="951"/>
        <v>116.37000000011176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944"/>
        <v>156711.16620000009</v>
      </c>
      <c r="AG6079" s="14">
        <v>0</v>
      </c>
      <c r="AH6079" s="6">
        <f t="shared" si="950"/>
        <v>1741351.550000001</v>
      </c>
      <c r="AI6079" s="47"/>
      <c r="AJ6079" s="126" t="e">
        <v>#N/A</v>
      </c>
      <c r="AK6079" s="80">
        <f t="shared" si="943"/>
        <v>0</v>
      </c>
      <c r="AL6079" s="85"/>
      <c r="AM6079" s="85"/>
    </row>
    <row r="6080" spans="1:39" s="86" customFormat="1" ht="13.25" hidden="1" customHeight="1" x14ac:dyDescent="0.3">
      <c r="A6080" s="89" t="s">
        <v>3794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3856</v>
      </c>
      <c r="T6080" s="6">
        <v>285686.96000000008</v>
      </c>
      <c r="U6080" s="6">
        <v>-285730.15000000002</v>
      </c>
      <c r="V6080" s="6">
        <v>0</v>
      </c>
      <c r="W6080" s="6">
        <f t="shared" si="945"/>
        <v>-43.189999999944121</v>
      </c>
      <c r="X6080" s="6">
        <v>64.8</v>
      </c>
      <c r="Y6080" s="13">
        <f t="shared" si="941"/>
        <v>64.8</v>
      </c>
      <c r="Z6080" s="66">
        <v>0</v>
      </c>
      <c r="AA6080" s="6">
        <v>0</v>
      </c>
      <c r="AB6080" s="4">
        <f t="shared" si="942"/>
        <v>64.8</v>
      </c>
      <c r="AC6080" s="6">
        <f t="shared" si="951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944"/>
        <v>0</v>
      </c>
      <c r="AG6080" s="14">
        <v>0</v>
      </c>
      <c r="AH6080" s="6">
        <f t="shared" si="950"/>
        <v>0</v>
      </c>
      <c r="AI6080" s="47"/>
      <c r="AJ6080" s="126" t="e">
        <v>#N/A</v>
      </c>
      <c r="AK6080" s="80">
        <f t="shared" si="943"/>
        <v>0</v>
      </c>
      <c r="AL6080" s="85"/>
      <c r="AM6080" s="85"/>
    </row>
    <row r="6081" spans="1:39" s="86" customFormat="1" ht="13.25" hidden="1" customHeight="1" x14ac:dyDescent="0.3">
      <c r="A6081" s="89" t="s">
        <v>3792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3894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945"/>
        <v>560000</v>
      </c>
      <c r="X6081" s="6">
        <f t="shared" si="949"/>
        <v>0</v>
      </c>
      <c r="Y6081" s="13">
        <f t="shared" si="941"/>
        <v>0</v>
      </c>
      <c r="Z6081" s="66">
        <v>0</v>
      </c>
      <c r="AA6081" s="6">
        <v>0</v>
      </c>
      <c r="AB6081" s="4">
        <f t="shared" si="942"/>
        <v>0</v>
      </c>
      <c r="AC6081" s="6">
        <f t="shared" si="951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944"/>
        <v>0</v>
      </c>
      <c r="AG6081" s="14">
        <v>0</v>
      </c>
      <c r="AH6081" s="6">
        <f t="shared" si="950"/>
        <v>0</v>
      </c>
      <c r="AI6081" s="47"/>
      <c r="AJ6081" s="126" t="e">
        <v>#N/A</v>
      </c>
      <c r="AK6081" s="80">
        <f t="shared" si="943"/>
        <v>0</v>
      </c>
      <c r="AL6081" s="85"/>
      <c r="AM6081" s="85"/>
    </row>
    <row r="6082" spans="1:39" s="86" customFormat="1" ht="13.25" hidden="1" customHeight="1" x14ac:dyDescent="0.3">
      <c r="A6082" s="89" t="s">
        <v>3794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3894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945"/>
        <v>2786163.27</v>
      </c>
      <c r="X6082" s="6">
        <f t="shared" si="949"/>
        <v>13115.383886255926</v>
      </c>
      <c r="Y6082" s="13">
        <f t="shared" si="941"/>
        <v>0</v>
      </c>
      <c r="Z6082" s="66">
        <v>0</v>
      </c>
      <c r="AA6082" s="6">
        <v>0</v>
      </c>
      <c r="AB6082" s="4">
        <f t="shared" si="942"/>
        <v>13115.383886255926</v>
      </c>
      <c r="AC6082" s="6">
        <f t="shared" si="951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944"/>
        <v>1245.3057000000001</v>
      </c>
      <c r="AG6082" s="14">
        <v>0</v>
      </c>
      <c r="AH6082" s="6">
        <f t="shared" si="950"/>
        <v>13836.730000000001</v>
      </c>
      <c r="AI6082" s="47"/>
      <c r="AJ6082" s="126" t="e">
        <v>#N/A</v>
      </c>
      <c r="AK6082" s="80">
        <f t="shared" si="943"/>
        <v>0</v>
      </c>
      <c r="AL6082" s="85"/>
      <c r="AM6082" s="85"/>
    </row>
    <row r="6083" spans="1:39" s="86" customFormat="1" ht="13.25" hidden="1" customHeight="1" x14ac:dyDescent="0.3">
      <c r="A6083" s="89" t="s">
        <v>3792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945"/>
        <v>26170.670000000013</v>
      </c>
      <c r="X6083" s="6">
        <f t="shared" si="949"/>
        <v>35778.90047393366</v>
      </c>
      <c r="Y6083" s="13">
        <f t="shared" ref="Y6083:Y6146" si="952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953">X6083+AA6083</f>
        <v>35778.90047393366</v>
      </c>
      <c r="AC6083" s="6">
        <f t="shared" si="951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944"/>
        <v>2642.2718000000004</v>
      </c>
      <c r="AG6083" s="14">
        <v>0</v>
      </c>
      <c r="AH6083" s="6">
        <f t="shared" si="950"/>
        <v>37746.740000000005</v>
      </c>
      <c r="AI6083" s="47"/>
      <c r="AJ6083" s="126" t="e">
        <v>#N/A</v>
      </c>
      <c r="AK6083" s="80">
        <f t="shared" ref="AK6083:AK6146" si="954">X6083+AA6083-AB6083</f>
        <v>0</v>
      </c>
      <c r="AL6083" s="85"/>
      <c r="AM6083" s="85"/>
    </row>
    <row r="6084" spans="1:39" s="86" customFormat="1" ht="13.25" hidden="1" customHeight="1" x14ac:dyDescent="0.3">
      <c r="A6084" s="89" t="s">
        <v>3792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945"/>
        <v>10964985.969999995</v>
      </c>
      <c r="X6084" s="6">
        <f t="shared" si="949"/>
        <v>14212055.345971569</v>
      </c>
      <c r="Y6084" s="13">
        <f t="shared" si="952"/>
        <v>0</v>
      </c>
      <c r="Z6084" s="66">
        <v>0</v>
      </c>
      <c r="AA6084" s="6">
        <v>0</v>
      </c>
      <c r="AB6084" s="4">
        <f t="shared" si="953"/>
        <v>14212055.345971569</v>
      </c>
      <c r="AC6084" s="6">
        <f t="shared" si="951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944"/>
        <v>1049560.2873000004</v>
      </c>
      <c r="AG6084" s="14">
        <v>0</v>
      </c>
      <c r="AH6084" s="6">
        <f t="shared" si="950"/>
        <v>14993718.390000004</v>
      </c>
      <c r="AI6084" s="47"/>
      <c r="AJ6084" s="126" t="e">
        <v>#N/A</v>
      </c>
      <c r="AK6084" s="80">
        <f t="shared" si="954"/>
        <v>0</v>
      </c>
      <c r="AL6084" s="85"/>
      <c r="AM6084" s="85"/>
    </row>
    <row r="6085" spans="1:39" s="86" customFormat="1" ht="13.25" hidden="1" customHeight="1" x14ac:dyDescent="0.3">
      <c r="A6085" s="89" t="s">
        <v>3794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945"/>
        <v>2996747.0500000003</v>
      </c>
      <c r="X6085" s="6">
        <f t="shared" si="949"/>
        <v>1044329.6113744074</v>
      </c>
      <c r="Y6085" s="13">
        <f t="shared" si="952"/>
        <v>0</v>
      </c>
      <c r="Z6085" s="66">
        <v>0</v>
      </c>
      <c r="AA6085" s="6">
        <v>0</v>
      </c>
      <c r="AB6085" s="4">
        <f t="shared" si="953"/>
        <v>1044329.6113744074</v>
      </c>
      <c r="AC6085" s="6">
        <f t="shared" si="951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944"/>
        <v>99159.096599999975</v>
      </c>
      <c r="AG6085" s="14">
        <v>0</v>
      </c>
      <c r="AH6085" s="6">
        <f t="shared" si="950"/>
        <v>1101767.7399999998</v>
      </c>
      <c r="AI6085" s="47"/>
      <c r="AJ6085" s="126" t="e">
        <v>#N/A</v>
      </c>
      <c r="AK6085" s="80">
        <f t="shared" si="954"/>
        <v>0</v>
      </c>
      <c r="AL6085" s="85"/>
      <c r="AM6085" s="85"/>
    </row>
    <row r="6086" spans="1:39" s="86" customFormat="1" ht="13.25" hidden="1" customHeight="1" x14ac:dyDescent="0.3">
      <c r="A6086" s="89" t="s">
        <v>3792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945"/>
        <v>516306.64999999985</v>
      </c>
      <c r="X6086" s="6">
        <f t="shared" si="949"/>
        <v>419525.93364928907</v>
      </c>
      <c r="Y6086" s="13">
        <f t="shared" si="952"/>
        <v>0</v>
      </c>
      <c r="Z6086" s="66">
        <v>0</v>
      </c>
      <c r="AA6086" s="6">
        <v>0</v>
      </c>
      <c r="AB6086" s="4">
        <f t="shared" si="953"/>
        <v>419525.93364928907</v>
      </c>
      <c r="AC6086" s="6">
        <f t="shared" si="951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944"/>
        <v>30981.990199999997</v>
      </c>
      <c r="AG6086" s="14">
        <v>0</v>
      </c>
      <c r="AH6086" s="6">
        <f t="shared" si="950"/>
        <v>442599.85999999993</v>
      </c>
      <c r="AI6086" s="47"/>
      <c r="AJ6086" s="126" t="e">
        <v>#N/A</v>
      </c>
      <c r="AK6086" s="80">
        <f t="shared" si="954"/>
        <v>0</v>
      </c>
      <c r="AL6086" s="85"/>
      <c r="AM6086" s="85"/>
    </row>
    <row r="6087" spans="1:39" s="86" customFormat="1" ht="13.25" hidden="1" customHeight="1" x14ac:dyDescent="0.3">
      <c r="A6087" s="89" t="s">
        <v>3794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945"/>
        <v>1669726.71</v>
      </c>
      <c r="X6087" s="6">
        <f t="shared" si="949"/>
        <v>9737.7156398104271</v>
      </c>
      <c r="Y6087" s="13">
        <f t="shared" si="952"/>
        <v>0</v>
      </c>
      <c r="Z6087" s="66">
        <v>0</v>
      </c>
      <c r="AA6087" s="6">
        <v>0</v>
      </c>
      <c r="AB6087" s="4">
        <f t="shared" si="953"/>
        <v>9737.7156398104271</v>
      </c>
      <c r="AC6087" s="6">
        <f t="shared" si="951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944"/>
        <v>924.59610000000009</v>
      </c>
      <c r="AG6087" s="14">
        <v>0</v>
      </c>
      <c r="AH6087" s="6">
        <f t="shared" si="950"/>
        <v>10273.290000000001</v>
      </c>
      <c r="AI6087" s="47"/>
      <c r="AJ6087" s="126" t="e">
        <v>#N/A</v>
      </c>
      <c r="AK6087" s="80">
        <f t="shared" si="954"/>
        <v>0</v>
      </c>
      <c r="AL6087" s="85"/>
      <c r="AM6087" s="85"/>
    </row>
    <row r="6088" spans="1:39" s="86" customFormat="1" ht="13.25" hidden="1" customHeight="1" x14ac:dyDescent="0.3">
      <c r="A6088" s="89" t="s">
        <v>3794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945"/>
        <v>1779895.3899999997</v>
      </c>
      <c r="X6088" s="6">
        <f t="shared" si="949"/>
        <v>4165811.5924170613</v>
      </c>
      <c r="Y6088" s="13">
        <f t="shared" si="952"/>
        <v>0</v>
      </c>
      <c r="Z6088" s="66">
        <v>0</v>
      </c>
      <c r="AA6088" s="6">
        <v>0</v>
      </c>
      <c r="AB6088" s="4">
        <f t="shared" si="953"/>
        <v>4165811.5924170613</v>
      </c>
      <c r="AC6088" s="6">
        <f t="shared" si="951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944"/>
        <v>307645.18609999999</v>
      </c>
      <c r="AG6088" s="14">
        <v>0</v>
      </c>
      <c r="AH6088" s="6">
        <f t="shared" si="950"/>
        <v>4394931.2299999995</v>
      </c>
      <c r="AI6088" s="47"/>
      <c r="AJ6088" s="126" t="e">
        <v>#N/A</v>
      </c>
      <c r="AK6088" s="80">
        <f t="shared" si="954"/>
        <v>0</v>
      </c>
      <c r="AL6088" s="85"/>
      <c r="AM6088" s="85"/>
    </row>
    <row r="6089" spans="1:39" s="86" customFormat="1" ht="13.25" hidden="1" customHeight="1" x14ac:dyDescent="0.3">
      <c r="A6089" s="89" t="s">
        <v>3792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945"/>
        <v>5225773.6699999887</v>
      </c>
      <c r="X6089" s="6">
        <f t="shared" si="949"/>
        <v>8254938.82464456</v>
      </c>
      <c r="Y6089" s="13">
        <f t="shared" si="952"/>
        <v>0</v>
      </c>
      <c r="Z6089" s="66">
        <v>0</v>
      </c>
      <c r="AA6089" s="6">
        <v>0</v>
      </c>
      <c r="AB6089" s="4">
        <f t="shared" si="953"/>
        <v>8254938.82464456</v>
      </c>
      <c r="AC6089" s="6">
        <f t="shared" si="951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944"/>
        <v>783806.44140000094</v>
      </c>
      <c r="AG6089" s="14">
        <v>0</v>
      </c>
      <c r="AH6089" s="6">
        <f t="shared" si="950"/>
        <v>8708960.4600000102</v>
      </c>
      <c r="AI6089" s="47"/>
      <c r="AJ6089" s="126" t="e">
        <v>#N/A</v>
      </c>
      <c r="AK6089" s="80">
        <f t="shared" si="954"/>
        <v>0</v>
      </c>
      <c r="AL6089" s="85"/>
      <c r="AM6089" s="85"/>
    </row>
    <row r="6090" spans="1:39" s="86" customFormat="1" ht="13.25" hidden="1" customHeight="1" x14ac:dyDescent="0.3">
      <c r="A6090" s="89" t="s">
        <v>3792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945"/>
        <v>9013.7599999999293</v>
      </c>
      <c r="X6090" s="6">
        <f t="shared" si="949"/>
        <v>58090.369668246436</v>
      </c>
      <c r="Y6090" s="13">
        <f t="shared" si="952"/>
        <v>0</v>
      </c>
      <c r="Z6090" s="66">
        <v>0</v>
      </c>
      <c r="AA6090" s="6">
        <v>0</v>
      </c>
      <c r="AB6090" s="4">
        <f t="shared" si="953"/>
        <v>58090.369668246436</v>
      </c>
      <c r="AC6090" s="6">
        <f t="shared" si="951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944"/>
        <v>4289.9737999999998</v>
      </c>
      <c r="AG6090" s="14">
        <v>0</v>
      </c>
      <c r="AH6090" s="6">
        <f t="shared" si="950"/>
        <v>61285.339999999989</v>
      </c>
      <c r="AI6090" s="47"/>
      <c r="AJ6090" s="126" t="e">
        <v>#N/A</v>
      </c>
      <c r="AK6090" s="80">
        <f t="shared" si="954"/>
        <v>0</v>
      </c>
      <c r="AL6090" s="85"/>
      <c r="AM6090" s="85"/>
    </row>
    <row r="6091" spans="1:39" s="86" customFormat="1" ht="13.25" hidden="1" customHeight="1" x14ac:dyDescent="0.3">
      <c r="A6091" s="89" t="s">
        <v>3794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945"/>
        <v>1019083.3875999998</v>
      </c>
      <c r="X6091" s="6">
        <f t="shared" si="949"/>
        <v>215702.1767068273</v>
      </c>
      <c r="Y6091" s="13">
        <f t="shared" si="952"/>
        <v>0</v>
      </c>
      <c r="Z6091" s="66">
        <v>0</v>
      </c>
      <c r="AA6091" s="6">
        <v>0</v>
      </c>
      <c r="AB6091" s="4">
        <f t="shared" si="953"/>
        <v>215702.1767068273</v>
      </c>
      <c r="AC6091" s="6">
        <f t="shared" si="951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944"/>
        <v>15797.039300000002</v>
      </c>
      <c r="AG6091" s="14">
        <v>0.19</v>
      </c>
      <c r="AH6091" s="6">
        <f t="shared" si="950"/>
        <v>225671.60504201677</v>
      </c>
      <c r="AI6091" s="47"/>
      <c r="AJ6091" s="126" t="e">
        <v>#N/A</v>
      </c>
      <c r="AK6091" s="80">
        <f t="shared" si="954"/>
        <v>0</v>
      </c>
      <c r="AL6091" s="85"/>
      <c r="AM6091" s="85"/>
    </row>
    <row r="6092" spans="1:39" s="86" customFormat="1" ht="13.25" hidden="1" customHeight="1" x14ac:dyDescent="0.3">
      <c r="A6092" s="89" t="s">
        <v>3792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945"/>
        <v>0</v>
      </c>
      <c r="X6092" s="6">
        <f t="shared" si="949"/>
        <v>39208.769999999997</v>
      </c>
      <c r="Y6092" s="13">
        <f t="shared" si="952"/>
        <v>39208.769999999997</v>
      </c>
      <c r="Z6092" s="66">
        <v>0</v>
      </c>
      <c r="AA6092" s="6">
        <v>0</v>
      </c>
      <c r="AB6092" s="4">
        <f t="shared" si="953"/>
        <v>39208.769999999997</v>
      </c>
      <c r="AC6092" s="6">
        <f t="shared" si="951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944"/>
        <v>0</v>
      </c>
      <c r="AG6092" s="14">
        <v>0</v>
      </c>
      <c r="AH6092" s="6">
        <f t="shared" si="950"/>
        <v>39208.769999999997</v>
      </c>
      <c r="AI6092" s="47"/>
      <c r="AJ6092" s="126" t="e">
        <v>#N/A</v>
      </c>
      <c r="AK6092" s="80">
        <f t="shared" si="954"/>
        <v>0</v>
      </c>
      <c r="AL6092" s="85"/>
      <c r="AM6092" s="85"/>
    </row>
    <row r="6093" spans="1:39" s="86" customFormat="1" ht="13.25" hidden="1" customHeight="1" x14ac:dyDescent="0.3">
      <c r="A6093" s="89" t="s">
        <v>3792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945"/>
        <v>217338.25999999978</v>
      </c>
      <c r="X6093" s="6">
        <f t="shared" si="949"/>
        <v>496992.05687203782</v>
      </c>
      <c r="Y6093" s="13">
        <f t="shared" si="952"/>
        <v>0</v>
      </c>
      <c r="Z6093" s="66">
        <v>0</v>
      </c>
      <c r="AA6093" s="6">
        <v>0</v>
      </c>
      <c r="AB6093" s="4">
        <f t="shared" si="953"/>
        <v>496992.05687203782</v>
      </c>
      <c r="AC6093" s="6">
        <f t="shared" si="951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944"/>
        <v>36702.863399999995</v>
      </c>
      <c r="AG6093" s="14">
        <v>0</v>
      </c>
      <c r="AH6093" s="6">
        <f t="shared" si="950"/>
        <v>524326.61999999988</v>
      </c>
      <c r="AI6093" s="47"/>
      <c r="AJ6093" s="126" t="e">
        <v>#N/A</v>
      </c>
      <c r="AK6093" s="80">
        <f t="shared" si="954"/>
        <v>0</v>
      </c>
      <c r="AL6093" s="85"/>
      <c r="AM6093" s="85"/>
    </row>
    <row r="6094" spans="1:39" s="86" customFormat="1" ht="13.25" hidden="1" customHeight="1" x14ac:dyDescent="0.3">
      <c r="A6094" s="89" t="s">
        <v>3794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945"/>
        <v>78120.400000000256</v>
      </c>
      <c r="X6094" s="6">
        <f t="shared" si="949"/>
        <v>664312.65402843594</v>
      </c>
      <c r="Y6094" s="13">
        <f t="shared" si="952"/>
        <v>0</v>
      </c>
      <c r="Z6094" s="66">
        <v>0</v>
      </c>
      <c r="AA6094" s="6">
        <v>0</v>
      </c>
      <c r="AB6094" s="4">
        <f t="shared" si="953"/>
        <v>664312.65402843594</v>
      </c>
      <c r="AC6094" s="6">
        <f t="shared" si="951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944"/>
        <v>49059.489499999996</v>
      </c>
      <c r="AG6094" s="14">
        <v>0</v>
      </c>
      <c r="AH6094" s="6">
        <f t="shared" si="950"/>
        <v>700849.84999999986</v>
      </c>
      <c r="AI6094" s="47"/>
      <c r="AJ6094" s="126" t="e">
        <v>#N/A</v>
      </c>
      <c r="AK6094" s="80">
        <f t="shared" si="954"/>
        <v>0</v>
      </c>
      <c r="AL6094" s="85"/>
      <c r="AM6094" s="85"/>
    </row>
    <row r="6095" spans="1:39" s="86" customFormat="1" ht="13.25" hidden="1" customHeight="1" x14ac:dyDescent="0.3">
      <c r="A6095" s="89" t="s">
        <v>3794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945"/>
        <v>13576.929999999993</v>
      </c>
      <c r="X6095" s="6">
        <f t="shared" si="949"/>
        <v>17735.971563981046</v>
      </c>
      <c r="Y6095" s="13">
        <f t="shared" si="952"/>
        <v>0</v>
      </c>
      <c r="Z6095" s="66">
        <v>0</v>
      </c>
      <c r="AA6095" s="6">
        <v>0</v>
      </c>
      <c r="AB6095" s="4">
        <f t="shared" si="953"/>
        <v>17735.971563981046</v>
      </c>
      <c r="AC6095" s="6">
        <f t="shared" si="951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944"/>
        <v>1309.8015000000003</v>
      </c>
      <c r="AG6095" s="14">
        <v>0</v>
      </c>
      <c r="AH6095" s="6">
        <f t="shared" si="950"/>
        <v>18711.45</v>
      </c>
      <c r="AI6095" s="47"/>
      <c r="AJ6095" s="126" t="e">
        <v>#N/A</v>
      </c>
      <c r="AK6095" s="80">
        <f t="shared" si="954"/>
        <v>0</v>
      </c>
      <c r="AL6095" s="85"/>
      <c r="AM6095" s="85"/>
    </row>
    <row r="6096" spans="1:39" s="86" customFormat="1" ht="13.25" hidden="1" customHeight="1" x14ac:dyDescent="0.3">
      <c r="A6096" s="89" t="s">
        <v>3792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945"/>
        <v>622373.61000000034</v>
      </c>
      <c r="X6096" s="6">
        <f t="shared" si="949"/>
        <v>1516612.6919431277</v>
      </c>
      <c r="Y6096" s="13">
        <f t="shared" si="952"/>
        <v>0</v>
      </c>
      <c r="Z6096" s="66">
        <v>0</v>
      </c>
      <c r="AA6096" s="6">
        <v>0</v>
      </c>
      <c r="AB6096" s="4">
        <f t="shared" si="953"/>
        <v>1516612.6919431277</v>
      </c>
      <c r="AC6096" s="6">
        <f t="shared" si="951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944"/>
        <v>112001.84729999999</v>
      </c>
      <c r="AG6096" s="14">
        <v>0</v>
      </c>
      <c r="AH6096" s="6">
        <f t="shared" si="950"/>
        <v>1600026.3899999997</v>
      </c>
      <c r="AI6096" s="47"/>
      <c r="AJ6096" s="126" t="e">
        <v>#N/A</v>
      </c>
      <c r="AK6096" s="80">
        <f t="shared" si="954"/>
        <v>0</v>
      </c>
      <c r="AL6096" s="85"/>
      <c r="AM6096" s="85"/>
    </row>
    <row r="6097" spans="1:39" s="86" customFormat="1" ht="13.25" hidden="1" customHeight="1" x14ac:dyDescent="0.3">
      <c r="A6097" s="89" t="s">
        <v>3792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945"/>
        <v>-3.0000000006111804E-3</v>
      </c>
      <c r="X6097" s="6">
        <f t="shared" si="949"/>
        <v>0</v>
      </c>
      <c r="Y6097" s="13">
        <f t="shared" si="952"/>
        <v>0</v>
      </c>
      <c r="Z6097" s="66">
        <v>0</v>
      </c>
      <c r="AA6097" s="6">
        <v>0</v>
      </c>
      <c r="AB6097" s="4">
        <f t="shared" si="953"/>
        <v>0</v>
      </c>
      <c r="AC6097" s="6">
        <f t="shared" si="951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944"/>
        <v>0</v>
      </c>
      <c r="AG6097" s="14">
        <v>0.1</v>
      </c>
      <c r="AH6097" s="6">
        <f t="shared" si="950"/>
        <v>0</v>
      </c>
      <c r="AI6097" s="47"/>
      <c r="AJ6097" s="126" t="e">
        <v>#N/A</v>
      </c>
      <c r="AK6097" s="80">
        <f t="shared" si="954"/>
        <v>0</v>
      </c>
      <c r="AL6097" s="85"/>
      <c r="AM6097" s="85"/>
    </row>
    <row r="6098" spans="1:39" s="86" customFormat="1" ht="13.25" hidden="1" customHeight="1" x14ac:dyDescent="0.3">
      <c r="A6098" s="89" t="s">
        <v>3794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945"/>
        <v>0</v>
      </c>
      <c r="X6098" s="6">
        <f t="shared" si="949"/>
        <v>0</v>
      </c>
      <c r="Y6098" s="13">
        <f t="shared" si="952"/>
        <v>0</v>
      </c>
      <c r="Z6098" s="66">
        <v>0</v>
      </c>
      <c r="AA6098" s="6">
        <v>0</v>
      </c>
      <c r="AB6098" s="4">
        <f t="shared" si="953"/>
        <v>0</v>
      </c>
      <c r="AC6098" s="6">
        <f t="shared" si="951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944"/>
        <v>0</v>
      </c>
      <c r="AG6098" s="14">
        <v>0.25</v>
      </c>
      <c r="AH6098" s="6">
        <f t="shared" si="950"/>
        <v>0</v>
      </c>
      <c r="AI6098" s="47"/>
      <c r="AJ6098" s="126" t="e">
        <v>#N/A</v>
      </c>
      <c r="AK6098" s="80">
        <f t="shared" si="954"/>
        <v>0</v>
      </c>
      <c r="AL6098" s="85"/>
      <c r="AM6098" s="85"/>
    </row>
    <row r="6099" spans="1:39" s="86" customFormat="1" ht="13.25" hidden="1" customHeight="1" x14ac:dyDescent="0.3">
      <c r="A6099" s="89" t="s">
        <v>3794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945"/>
        <v>1591966.9699999993</v>
      </c>
      <c r="X6099" s="6">
        <f t="shared" si="949"/>
        <v>2133690.0758293848</v>
      </c>
      <c r="Y6099" s="13">
        <f t="shared" si="952"/>
        <v>0</v>
      </c>
      <c r="Z6099" s="66">
        <v>0</v>
      </c>
      <c r="AA6099" s="6">
        <v>0</v>
      </c>
      <c r="AB6099" s="4">
        <f t="shared" si="953"/>
        <v>2133690.0758293848</v>
      </c>
      <c r="AC6099" s="6">
        <f t="shared" si="951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944"/>
        <v>157573.01210000008</v>
      </c>
      <c r="AG6099" s="14">
        <v>0</v>
      </c>
      <c r="AH6099" s="6">
        <f t="shared" si="950"/>
        <v>2251043.0300000007</v>
      </c>
      <c r="AI6099" s="47"/>
      <c r="AJ6099" s="126" t="e">
        <v>#N/A</v>
      </c>
      <c r="AK6099" s="80">
        <f t="shared" si="954"/>
        <v>0</v>
      </c>
      <c r="AL6099" s="85"/>
      <c r="AM6099" s="85"/>
    </row>
    <row r="6100" spans="1:39" s="86" customFormat="1" ht="13.25" hidden="1" customHeight="1" x14ac:dyDescent="0.3">
      <c r="A6100" s="89" t="s">
        <v>3794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945"/>
        <v>4701834.3727999795</v>
      </c>
      <c r="X6100" s="6">
        <f t="shared" si="949"/>
        <v>15173420.161137447</v>
      </c>
      <c r="Y6100" s="13">
        <f t="shared" si="952"/>
        <v>0</v>
      </c>
      <c r="Z6100" s="66">
        <v>0</v>
      </c>
      <c r="AA6100" s="6">
        <v>0</v>
      </c>
      <c r="AB6100" s="4">
        <f t="shared" si="953"/>
        <v>15173420.161137447</v>
      </c>
      <c r="AC6100" s="6">
        <f t="shared" si="951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944"/>
        <v>1120557.0789000005</v>
      </c>
      <c r="AG6100" s="14">
        <v>0</v>
      </c>
      <c r="AH6100" s="6">
        <f t="shared" si="950"/>
        <v>16007958.270000005</v>
      </c>
      <c r="AI6100" s="47"/>
      <c r="AJ6100" s="126" t="e">
        <v>#N/A</v>
      </c>
      <c r="AK6100" s="80">
        <f t="shared" si="954"/>
        <v>0</v>
      </c>
      <c r="AL6100" s="85"/>
      <c r="AM6100" s="85"/>
    </row>
    <row r="6101" spans="1:39" s="86" customFormat="1" ht="13.25" hidden="1" customHeight="1" x14ac:dyDescent="0.3">
      <c r="A6101" s="89" t="s">
        <v>3794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945"/>
        <v>3604816.5</v>
      </c>
      <c r="X6101" s="6">
        <f t="shared" si="949"/>
        <v>6362543.6018957347</v>
      </c>
      <c r="Y6101" s="13">
        <f t="shared" si="952"/>
        <v>0</v>
      </c>
      <c r="Z6101" s="66">
        <v>0</v>
      </c>
      <c r="AA6101" s="6">
        <v>0</v>
      </c>
      <c r="AB6101" s="4">
        <f t="shared" si="953"/>
        <v>6362543.6018957347</v>
      </c>
      <c r="AC6101" s="6">
        <f t="shared" si="951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944"/>
        <v>604116.97919999994</v>
      </c>
      <c r="AG6101" s="14">
        <v>0</v>
      </c>
      <c r="AH6101" s="6">
        <f t="shared" si="950"/>
        <v>6712483.5</v>
      </c>
      <c r="AI6101" s="47"/>
      <c r="AJ6101" s="126" t="e">
        <v>#N/A</v>
      </c>
      <c r="AK6101" s="80">
        <f t="shared" si="954"/>
        <v>0</v>
      </c>
      <c r="AL6101" s="85"/>
      <c r="AM6101" s="85"/>
    </row>
    <row r="6102" spans="1:39" s="86" customFormat="1" ht="13.25" hidden="1" customHeight="1" x14ac:dyDescent="0.3">
      <c r="A6102" s="89" t="s">
        <v>3794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945"/>
        <v>176254.08000000025</v>
      </c>
      <c r="X6102" s="6">
        <f t="shared" si="949"/>
        <v>281690.91943127953</v>
      </c>
      <c r="Y6102" s="13">
        <f t="shared" si="952"/>
        <v>0</v>
      </c>
      <c r="Z6102" s="66">
        <v>0</v>
      </c>
      <c r="AA6102" s="6">
        <v>0</v>
      </c>
      <c r="AB6102" s="4">
        <f t="shared" si="953"/>
        <v>281690.91943127953</v>
      </c>
      <c r="AC6102" s="6">
        <f t="shared" si="951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944"/>
        <v>20802.874399999993</v>
      </c>
      <c r="AG6102" s="14">
        <v>0</v>
      </c>
      <c r="AH6102" s="6">
        <f t="shared" si="950"/>
        <v>297183.91999999987</v>
      </c>
      <c r="AI6102" s="47"/>
      <c r="AJ6102" s="126" t="e">
        <v>#N/A</v>
      </c>
      <c r="AK6102" s="80">
        <f t="shared" si="954"/>
        <v>0</v>
      </c>
      <c r="AL6102" s="85"/>
      <c r="AM6102" s="85"/>
    </row>
    <row r="6103" spans="1:39" s="86" customFormat="1" ht="13.25" hidden="1" customHeight="1" x14ac:dyDescent="0.3">
      <c r="A6103" s="89" t="s">
        <v>3792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3895</v>
      </c>
      <c r="T6103" s="6">
        <v>14770</v>
      </c>
      <c r="U6103" s="6">
        <v>-14770</v>
      </c>
      <c r="V6103" s="6">
        <v>0</v>
      </c>
      <c r="W6103" s="6">
        <f t="shared" si="945"/>
        <v>0</v>
      </c>
      <c r="X6103" s="6">
        <v>-1451.96</v>
      </c>
      <c r="Y6103" s="13">
        <f t="shared" si="952"/>
        <v>0</v>
      </c>
      <c r="Z6103" s="66">
        <v>0</v>
      </c>
      <c r="AA6103" s="6">
        <v>0</v>
      </c>
      <c r="AB6103" s="4">
        <f t="shared" si="953"/>
        <v>-1451.96</v>
      </c>
      <c r="AC6103" s="6">
        <f t="shared" si="951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944"/>
        <v>0</v>
      </c>
      <c r="AG6103" s="14">
        <v>0</v>
      </c>
      <c r="AH6103" s="6">
        <f t="shared" si="950"/>
        <v>0</v>
      </c>
      <c r="AI6103" s="47"/>
      <c r="AJ6103" s="126" t="e">
        <v>#N/A</v>
      </c>
      <c r="AK6103" s="80">
        <f t="shared" si="954"/>
        <v>0</v>
      </c>
      <c r="AL6103" s="85"/>
      <c r="AM6103" s="85"/>
    </row>
    <row r="6104" spans="1:39" s="86" customFormat="1" ht="13.25" hidden="1" customHeight="1" x14ac:dyDescent="0.3">
      <c r="A6104" s="89" t="s">
        <v>3794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3896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945"/>
        <v>165600</v>
      </c>
      <c r="X6104" s="6">
        <f t="shared" si="949"/>
        <v>0</v>
      </c>
      <c r="Y6104" s="13">
        <f t="shared" si="952"/>
        <v>0</v>
      </c>
      <c r="Z6104" s="66">
        <v>0</v>
      </c>
      <c r="AA6104" s="6">
        <v>0</v>
      </c>
      <c r="AB6104" s="4">
        <f t="shared" si="953"/>
        <v>0</v>
      </c>
      <c r="AC6104" s="6">
        <f t="shared" si="951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944"/>
        <v>0</v>
      </c>
      <c r="AG6104" s="14">
        <v>0.38</v>
      </c>
      <c r="AH6104" s="6">
        <f t="shared" si="950"/>
        <v>0</v>
      </c>
      <c r="AI6104" s="47"/>
      <c r="AJ6104" s="126" t="e">
        <v>#N/A</v>
      </c>
      <c r="AK6104" s="80">
        <f t="shared" si="954"/>
        <v>0</v>
      </c>
      <c r="AL6104" s="85"/>
      <c r="AM6104" s="85"/>
    </row>
    <row r="6105" spans="1:39" s="86" customFormat="1" ht="13.25" hidden="1" customHeight="1" x14ac:dyDescent="0.3">
      <c r="A6105" s="89" t="s">
        <v>3794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945"/>
        <v>37432.783900000271</v>
      </c>
      <c r="X6105" s="6">
        <f t="shared" si="949"/>
        <v>284413.56000000006</v>
      </c>
      <c r="Y6105" s="13">
        <f t="shared" si="952"/>
        <v>298.30000000004657</v>
      </c>
      <c r="Z6105" s="66">
        <v>0</v>
      </c>
      <c r="AA6105" s="6">
        <v>0</v>
      </c>
      <c r="AB6105" s="4">
        <f t="shared" si="953"/>
        <v>284413.56000000006</v>
      </c>
      <c r="AC6105" s="6">
        <f t="shared" si="951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944"/>
        <v>19888.068200000002</v>
      </c>
      <c r="AG6105" s="14">
        <v>0</v>
      </c>
      <c r="AH6105" s="6">
        <f t="shared" si="950"/>
        <v>284413.56000000006</v>
      </c>
      <c r="AI6105" s="47"/>
      <c r="AJ6105" s="126" t="e">
        <v>#N/A</v>
      </c>
      <c r="AK6105" s="80">
        <f t="shared" si="954"/>
        <v>0</v>
      </c>
      <c r="AL6105" s="85"/>
      <c r="AM6105" s="85"/>
    </row>
    <row r="6106" spans="1:39" s="86" customFormat="1" ht="13.25" hidden="1" customHeight="1" x14ac:dyDescent="0.3">
      <c r="A6106" s="89" t="s">
        <v>3792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14">
        <v>2.5000000000000001E-2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945"/>
        <v>46874.629999999946</v>
      </c>
      <c r="X6106" s="6">
        <f t="shared" si="949"/>
        <v>494486.32195121958</v>
      </c>
      <c r="Y6106" s="13">
        <f t="shared" si="952"/>
        <v>0</v>
      </c>
      <c r="Z6106" s="66">
        <v>0</v>
      </c>
      <c r="AA6106" s="6">
        <v>0</v>
      </c>
      <c r="AB6106" s="4">
        <f t="shared" si="953"/>
        <v>494486.32195121958</v>
      </c>
      <c r="AC6106" s="6">
        <f t="shared" si="951"/>
        <v>12362.15804878046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944"/>
        <v>35479.393600000003</v>
      </c>
      <c r="AG6106" s="14">
        <v>0</v>
      </c>
      <c r="AH6106" s="6">
        <f t="shared" si="950"/>
        <v>506848.48000000004</v>
      </c>
      <c r="AI6106" s="47"/>
      <c r="AJ6106" s="126" t="e">
        <v>#N/A</v>
      </c>
      <c r="AK6106" s="80">
        <f t="shared" si="954"/>
        <v>0</v>
      </c>
      <c r="AL6106" s="85"/>
      <c r="AM6106" s="85"/>
    </row>
    <row r="6107" spans="1:39" s="86" customFormat="1" ht="13.25" hidden="1" customHeight="1" x14ac:dyDescent="0.3">
      <c r="A6107" s="89" t="s">
        <v>3792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14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945"/>
        <v>49020.914300000004</v>
      </c>
      <c r="X6107" s="6">
        <f t="shared" si="949"/>
        <v>777.05555555555281</v>
      </c>
      <c r="Y6107" s="13">
        <f t="shared" si="952"/>
        <v>0</v>
      </c>
      <c r="Z6107" s="66">
        <v>0</v>
      </c>
      <c r="AA6107" s="6">
        <v>0</v>
      </c>
      <c r="AB6107" s="4">
        <f t="shared" si="953"/>
        <v>777.05555555555281</v>
      </c>
      <c r="AC6107" s="6">
        <f t="shared" si="951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944"/>
        <v>4684.1291999999994</v>
      </c>
      <c r="AG6107" s="14">
        <v>0.23</v>
      </c>
      <c r="AH6107" s="6">
        <f t="shared" si="950"/>
        <v>796.00813008129796</v>
      </c>
      <c r="AI6107" s="47"/>
      <c r="AJ6107" s="126" t="e">
        <v>#N/A</v>
      </c>
      <c r="AK6107" s="80">
        <f t="shared" si="954"/>
        <v>0</v>
      </c>
      <c r="AL6107" s="85"/>
      <c r="AM6107" s="85"/>
    </row>
    <row r="6108" spans="1:39" s="86" customFormat="1" ht="13.25" hidden="1" customHeight="1" x14ac:dyDescent="0.3">
      <c r="A6108" s="89" t="s">
        <v>3792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945"/>
        <v>1000000</v>
      </c>
      <c r="X6108" s="6">
        <f t="shared" si="949"/>
        <v>0</v>
      </c>
      <c r="Y6108" s="13">
        <f t="shared" si="952"/>
        <v>0</v>
      </c>
      <c r="Z6108" s="66">
        <v>0</v>
      </c>
      <c r="AA6108" s="6">
        <v>0</v>
      </c>
      <c r="AB6108" s="4">
        <f t="shared" si="953"/>
        <v>0</v>
      </c>
      <c r="AC6108" s="6">
        <f t="shared" si="951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944"/>
        <v>45542.452899999997</v>
      </c>
      <c r="AG6108" s="14">
        <v>0</v>
      </c>
      <c r="AH6108" s="6">
        <f t="shared" si="950"/>
        <v>0</v>
      </c>
      <c r="AI6108" s="47"/>
      <c r="AJ6108" s="126" t="e">
        <v>#N/A</v>
      </c>
      <c r="AK6108" s="80">
        <f t="shared" si="954"/>
        <v>0</v>
      </c>
      <c r="AL6108" s="85"/>
      <c r="AM6108" s="85"/>
    </row>
    <row r="6109" spans="1:39" s="86" customFormat="1" ht="13.25" hidden="1" customHeight="1" x14ac:dyDescent="0.3">
      <c r="A6109" s="89" t="s">
        <v>3794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945"/>
        <v>0</v>
      </c>
      <c r="X6109" s="6">
        <f t="shared" si="949"/>
        <v>0</v>
      </c>
      <c r="Y6109" s="13">
        <f t="shared" si="952"/>
        <v>0</v>
      </c>
      <c r="Z6109" s="66">
        <v>0</v>
      </c>
      <c r="AA6109" s="6">
        <v>0</v>
      </c>
      <c r="AB6109" s="4">
        <f t="shared" si="953"/>
        <v>0</v>
      </c>
      <c r="AC6109" s="6">
        <f t="shared" si="951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944"/>
        <v>0</v>
      </c>
      <c r="AG6109" s="14">
        <v>0</v>
      </c>
      <c r="AH6109" s="6">
        <f t="shared" si="950"/>
        <v>0</v>
      </c>
      <c r="AI6109" s="47"/>
      <c r="AJ6109" s="126" t="e">
        <v>#N/A</v>
      </c>
      <c r="AK6109" s="80">
        <f t="shared" si="954"/>
        <v>0</v>
      </c>
      <c r="AL6109" s="85"/>
      <c r="AM6109" s="85"/>
    </row>
    <row r="6110" spans="1:39" s="86" customFormat="1" ht="13.25" hidden="1" customHeight="1" x14ac:dyDescent="0.3">
      <c r="A6110" s="89" t="s">
        <v>3792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945"/>
        <v>19.999999999997783</v>
      </c>
      <c r="X6110" s="6">
        <f t="shared" si="949"/>
        <v>456.15000000000003</v>
      </c>
      <c r="Y6110" s="13">
        <f t="shared" si="952"/>
        <v>0</v>
      </c>
      <c r="Z6110" s="66">
        <v>0</v>
      </c>
      <c r="AA6110" s="6">
        <v>0</v>
      </c>
      <c r="AB6110" s="4">
        <f t="shared" si="953"/>
        <v>456.15000000000003</v>
      </c>
      <c r="AC6110" s="6">
        <f t="shared" si="951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944"/>
        <v>41.0535</v>
      </c>
      <c r="AG6110" s="14">
        <v>0</v>
      </c>
      <c r="AH6110" s="6">
        <f t="shared" si="950"/>
        <v>456.15000000000003</v>
      </c>
      <c r="AI6110" s="47"/>
      <c r="AJ6110" s="126" t="e">
        <v>#N/A</v>
      </c>
      <c r="AK6110" s="80">
        <f t="shared" si="954"/>
        <v>0</v>
      </c>
      <c r="AL6110" s="85"/>
      <c r="AM6110" s="85"/>
    </row>
    <row r="6111" spans="1:39" s="86" customFormat="1" ht="13.25" hidden="1" customHeight="1" x14ac:dyDescent="0.3">
      <c r="A6111" s="89" t="s">
        <v>3794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945"/>
        <v>-21765.969999999987</v>
      </c>
      <c r="X6111" s="6">
        <f t="shared" si="949"/>
        <v>69675.699029126205</v>
      </c>
      <c r="Y6111" s="13">
        <f t="shared" si="952"/>
        <v>0</v>
      </c>
      <c r="Z6111" s="66">
        <v>0</v>
      </c>
      <c r="AA6111" s="6">
        <v>0</v>
      </c>
      <c r="AB6111" s="4">
        <f t="shared" si="953"/>
        <v>69675.699029126205</v>
      </c>
      <c r="AC6111" s="6">
        <f t="shared" si="951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944"/>
        <v>5023.6178999999993</v>
      </c>
      <c r="AG6111" s="14">
        <v>0</v>
      </c>
      <c r="AH6111" s="6">
        <f t="shared" si="950"/>
        <v>71765.969999999987</v>
      </c>
      <c r="AI6111" s="47"/>
      <c r="AJ6111" s="126" t="e">
        <v>#N/A</v>
      </c>
      <c r="AK6111" s="80">
        <f t="shared" si="954"/>
        <v>0</v>
      </c>
      <c r="AL6111" s="85"/>
      <c r="AM6111" s="85"/>
    </row>
    <row r="6112" spans="1:39" s="86" customFormat="1" ht="13.25" hidden="1" customHeight="1" x14ac:dyDescent="0.3">
      <c r="A6112" s="89" t="s">
        <v>3794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945"/>
        <v>21759.96999999999</v>
      </c>
      <c r="X6112" s="6">
        <f t="shared" si="949"/>
        <v>0</v>
      </c>
      <c r="Y6112" s="13">
        <f t="shared" si="952"/>
        <v>0</v>
      </c>
      <c r="Z6112" s="66">
        <v>0</v>
      </c>
      <c r="AA6112" s="6">
        <v>0</v>
      </c>
      <c r="AB6112" s="4">
        <f t="shared" si="953"/>
        <v>0</v>
      </c>
      <c r="AC6112" s="6">
        <f t="shared" si="951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944"/>
        <v>0</v>
      </c>
      <c r="AG6112" s="14">
        <v>0</v>
      </c>
      <c r="AH6112" s="6">
        <f t="shared" si="950"/>
        <v>0</v>
      </c>
      <c r="AI6112" s="47"/>
      <c r="AJ6112" s="126" t="e">
        <v>#N/A</v>
      </c>
      <c r="AK6112" s="80">
        <f t="shared" si="954"/>
        <v>0</v>
      </c>
      <c r="AL6112" s="85"/>
      <c r="AM6112" s="85"/>
    </row>
    <row r="6113" spans="1:39" s="86" customFormat="1" ht="13.25" hidden="1" customHeight="1" x14ac:dyDescent="0.3">
      <c r="A6113" s="89" t="s">
        <v>3792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945"/>
        <v>371587.56109999772</v>
      </c>
      <c r="X6113" s="6">
        <f t="shared" si="949"/>
        <v>2267082.33</v>
      </c>
      <c r="Y6113" s="13">
        <f t="shared" si="952"/>
        <v>33449.119999999646</v>
      </c>
      <c r="Z6113" s="66">
        <v>0</v>
      </c>
      <c r="AA6113" s="6">
        <v>0</v>
      </c>
      <c r="AB6113" s="4">
        <f t="shared" si="953"/>
        <v>2267082.33</v>
      </c>
      <c r="AC6113" s="6">
        <f t="shared" si="951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944"/>
        <v>156354.32470000006</v>
      </c>
      <c r="AG6113" s="14">
        <v>0</v>
      </c>
      <c r="AH6113" s="6">
        <f t="shared" si="950"/>
        <v>2267082.33</v>
      </c>
      <c r="AI6113" s="47"/>
      <c r="AJ6113" s="126" t="e">
        <v>#N/A</v>
      </c>
      <c r="AK6113" s="80">
        <f t="shared" si="954"/>
        <v>0</v>
      </c>
      <c r="AL6113" s="85"/>
      <c r="AM6113" s="85"/>
    </row>
    <row r="6114" spans="1:39" s="86" customFormat="1" ht="13.25" hidden="1" customHeight="1" x14ac:dyDescent="0.3">
      <c r="A6114" s="89" t="s">
        <v>3794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945"/>
        <v>31883.159999999993</v>
      </c>
      <c r="X6114" s="6">
        <f t="shared" si="949"/>
        <v>28563.84466019418</v>
      </c>
      <c r="Y6114" s="13">
        <f t="shared" si="952"/>
        <v>0</v>
      </c>
      <c r="Z6114" s="66">
        <v>0</v>
      </c>
      <c r="AA6114" s="6">
        <v>0</v>
      </c>
      <c r="AB6114" s="4">
        <f t="shared" si="953"/>
        <v>28563.84466019418</v>
      </c>
      <c r="AC6114" s="6">
        <f t="shared" si="951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944"/>
        <v>2059.4532000000004</v>
      </c>
      <c r="AG6114" s="14">
        <v>0</v>
      </c>
      <c r="AH6114" s="6">
        <f t="shared" si="950"/>
        <v>29420.760000000006</v>
      </c>
      <c r="AI6114" s="47"/>
      <c r="AJ6114" s="126" t="e">
        <v>#N/A</v>
      </c>
      <c r="AK6114" s="80">
        <f t="shared" si="954"/>
        <v>0</v>
      </c>
      <c r="AL6114" s="85"/>
      <c r="AM6114" s="85"/>
    </row>
    <row r="6115" spans="1:39" s="86" customFormat="1" ht="13.25" hidden="1" customHeight="1" x14ac:dyDescent="0.3">
      <c r="A6115" s="89" t="s">
        <v>3792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945"/>
        <v>0</v>
      </c>
      <c r="X6115" s="6">
        <f t="shared" si="949"/>
        <v>0</v>
      </c>
      <c r="Y6115" s="13">
        <f t="shared" si="952"/>
        <v>0</v>
      </c>
      <c r="Z6115" s="66">
        <v>0</v>
      </c>
      <c r="AA6115" s="6">
        <v>0</v>
      </c>
      <c r="AB6115" s="4">
        <f t="shared" si="953"/>
        <v>0</v>
      </c>
      <c r="AC6115" s="6">
        <f t="shared" si="951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944"/>
        <v>0</v>
      </c>
      <c r="AG6115" s="14">
        <v>0</v>
      </c>
      <c r="AH6115" s="6">
        <f t="shared" si="950"/>
        <v>0</v>
      </c>
      <c r="AI6115" s="47"/>
      <c r="AJ6115" s="126" t="e">
        <v>#N/A</v>
      </c>
      <c r="AK6115" s="80">
        <f t="shared" si="954"/>
        <v>0</v>
      </c>
      <c r="AL6115" s="85"/>
      <c r="AM6115" s="85"/>
    </row>
    <row r="6116" spans="1:39" s="86" customFormat="1" ht="13.25" hidden="1" customHeight="1" x14ac:dyDescent="0.3">
      <c r="A6116" s="89" t="s">
        <v>3792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945"/>
        <v>881446.0399999998</v>
      </c>
      <c r="X6116" s="6">
        <f t="shared" si="949"/>
        <v>997020.04000000027</v>
      </c>
      <c r="Y6116" s="13">
        <f t="shared" si="952"/>
        <v>0</v>
      </c>
      <c r="Z6116" s="66">
        <v>0</v>
      </c>
      <c r="AA6116" s="6">
        <v>0</v>
      </c>
      <c r="AB6116" s="4">
        <f t="shared" si="953"/>
        <v>997020.04000000027</v>
      </c>
      <c r="AC6116" s="6">
        <f t="shared" si="951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955">AD6116*AE6116</f>
        <v>69791.402800000025</v>
      </c>
      <c r="AG6116" s="14">
        <v>0</v>
      </c>
      <c r="AH6116" s="6">
        <f t="shared" si="950"/>
        <v>997020.04000000027</v>
      </c>
      <c r="AI6116" s="47"/>
      <c r="AJ6116" s="126" t="e">
        <v>#N/A</v>
      </c>
      <c r="AK6116" s="80">
        <f t="shared" si="954"/>
        <v>0</v>
      </c>
      <c r="AL6116" s="85"/>
      <c r="AM6116" s="85"/>
    </row>
    <row r="6117" spans="1:39" s="86" customFormat="1" ht="13.25" hidden="1" customHeight="1" x14ac:dyDescent="0.3">
      <c r="A6117" s="89" t="s">
        <v>3794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945"/>
        <v>-4642128.3899999987</v>
      </c>
      <c r="X6117" s="6">
        <f t="shared" si="949"/>
        <v>33299.750000000007</v>
      </c>
      <c r="Y6117" s="13">
        <f t="shared" si="952"/>
        <v>0.37000000000261934</v>
      </c>
      <c r="Z6117" s="66">
        <v>0</v>
      </c>
      <c r="AA6117" s="6">
        <v>0</v>
      </c>
      <c r="AB6117" s="4">
        <f t="shared" si="953"/>
        <v>33299.750000000007</v>
      </c>
      <c r="AC6117" s="6">
        <f t="shared" si="951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955"/>
        <v>2996.9442000000004</v>
      </c>
      <c r="AG6117" s="14">
        <v>0</v>
      </c>
      <c r="AH6117" s="6">
        <f t="shared" si="950"/>
        <v>33299.750000000007</v>
      </c>
      <c r="AI6117" s="47"/>
      <c r="AJ6117" s="126" t="e">
        <v>#N/A</v>
      </c>
      <c r="AK6117" s="80">
        <f t="shared" si="954"/>
        <v>0</v>
      </c>
      <c r="AL6117" s="85"/>
      <c r="AM6117" s="85"/>
    </row>
    <row r="6118" spans="1:39" s="86" customFormat="1" ht="13.25" hidden="1" customHeight="1" x14ac:dyDescent="0.3">
      <c r="A6118" s="89" t="s">
        <v>3794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945"/>
        <v>72828.319999999992</v>
      </c>
      <c r="X6118" s="6">
        <f t="shared" si="949"/>
        <v>57250.090000000011</v>
      </c>
      <c r="Y6118" s="13">
        <f t="shared" si="952"/>
        <v>0</v>
      </c>
      <c r="Z6118" s="66">
        <v>0</v>
      </c>
      <c r="AA6118" s="6">
        <v>0</v>
      </c>
      <c r="AB6118" s="4">
        <f t="shared" si="953"/>
        <v>57250.090000000011</v>
      </c>
      <c r="AC6118" s="6">
        <f t="shared" si="951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955"/>
        <v>5152.5081000000009</v>
      </c>
      <c r="AG6118" s="14">
        <v>0</v>
      </c>
      <c r="AH6118" s="6">
        <f t="shared" si="950"/>
        <v>57250.090000000011</v>
      </c>
      <c r="AI6118" s="47"/>
      <c r="AJ6118" s="126" t="e">
        <v>#N/A</v>
      </c>
      <c r="AK6118" s="80">
        <f t="shared" si="954"/>
        <v>0</v>
      </c>
      <c r="AL6118" s="85"/>
      <c r="AM6118" s="85"/>
    </row>
    <row r="6119" spans="1:39" s="86" customFormat="1" ht="13.25" hidden="1" customHeight="1" x14ac:dyDescent="0.3">
      <c r="A6119" s="89" t="s">
        <v>3794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945"/>
        <v>0</v>
      </c>
      <c r="X6119" s="6">
        <f t="shared" si="949"/>
        <v>0</v>
      </c>
      <c r="Y6119" s="13">
        <f t="shared" si="952"/>
        <v>0</v>
      </c>
      <c r="Z6119" s="66">
        <v>0</v>
      </c>
      <c r="AA6119" s="6">
        <v>0</v>
      </c>
      <c r="AB6119" s="4">
        <f t="shared" si="953"/>
        <v>0</v>
      </c>
      <c r="AC6119" s="6">
        <f t="shared" si="951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955"/>
        <v>0</v>
      </c>
      <c r="AG6119" s="14">
        <v>0</v>
      </c>
      <c r="AH6119" s="6">
        <f t="shared" si="950"/>
        <v>0</v>
      </c>
      <c r="AI6119" s="47"/>
      <c r="AJ6119" s="126" t="e">
        <v>#N/A</v>
      </c>
      <c r="AK6119" s="80">
        <f t="shared" si="954"/>
        <v>0</v>
      </c>
      <c r="AL6119" s="85"/>
      <c r="AM6119" s="85"/>
    </row>
    <row r="6120" spans="1:39" s="86" customFormat="1" ht="13.25" hidden="1" customHeight="1" x14ac:dyDescent="0.3">
      <c r="A6120" s="89" t="s">
        <v>3792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945"/>
        <v>1030000</v>
      </c>
      <c r="X6120" s="6">
        <f t="shared" si="949"/>
        <v>0</v>
      </c>
      <c r="Y6120" s="13">
        <f t="shared" si="952"/>
        <v>0</v>
      </c>
      <c r="Z6120" s="66">
        <v>0</v>
      </c>
      <c r="AA6120" s="6">
        <v>0</v>
      </c>
      <c r="AB6120" s="4">
        <f t="shared" si="953"/>
        <v>0</v>
      </c>
      <c r="AC6120" s="6">
        <f t="shared" si="951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955"/>
        <v>0</v>
      </c>
      <c r="AG6120" s="14">
        <v>0</v>
      </c>
      <c r="AH6120" s="6">
        <f t="shared" si="950"/>
        <v>0</v>
      </c>
      <c r="AI6120" s="47"/>
      <c r="AJ6120" s="126" t="e">
        <v>#N/A</v>
      </c>
      <c r="AK6120" s="80">
        <f t="shared" si="954"/>
        <v>0</v>
      </c>
      <c r="AL6120" s="85"/>
      <c r="AM6120" s="85"/>
    </row>
    <row r="6121" spans="1:39" s="86" customFormat="1" ht="13.25" hidden="1" customHeight="1" x14ac:dyDescent="0.3">
      <c r="A6121" s="89" t="s">
        <v>3792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3755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956">T6121+U6121-V6121</f>
        <v>89723.189999999944</v>
      </c>
      <c r="X6121" s="6">
        <f t="shared" si="949"/>
        <v>40151.708737864086</v>
      </c>
      <c r="Y6121" s="13">
        <f t="shared" si="952"/>
        <v>2230.9987378640799</v>
      </c>
      <c r="Z6121" s="66">
        <v>0</v>
      </c>
      <c r="AA6121" s="6">
        <v>0</v>
      </c>
      <c r="AB6121" s="4">
        <f t="shared" si="953"/>
        <v>40151.708737864086</v>
      </c>
      <c r="AC6121" s="6">
        <f t="shared" si="951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955"/>
        <v>3412.8639000000003</v>
      </c>
      <c r="AG6121" s="14">
        <v>0</v>
      </c>
      <c r="AH6121" s="6">
        <f t="shared" si="950"/>
        <v>41356.260000000009</v>
      </c>
      <c r="AI6121" s="47"/>
      <c r="AJ6121" s="126" t="e">
        <v>#N/A</v>
      </c>
      <c r="AK6121" s="80">
        <f t="shared" si="954"/>
        <v>0</v>
      </c>
      <c r="AL6121" s="85"/>
      <c r="AM6121" s="85"/>
    </row>
    <row r="6122" spans="1:39" s="86" customFormat="1" ht="13.25" hidden="1" customHeight="1" x14ac:dyDescent="0.3">
      <c r="A6122" s="89" t="s">
        <v>3794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956"/>
        <v>51000</v>
      </c>
      <c r="X6122" s="6">
        <f t="shared" si="949"/>
        <v>0</v>
      </c>
      <c r="Y6122" s="13">
        <f t="shared" si="952"/>
        <v>0</v>
      </c>
      <c r="Z6122" s="66">
        <v>0</v>
      </c>
      <c r="AA6122" s="6">
        <v>0</v>
      </c>
      <c r="AB6122" s="4">
        <f t="shared" si="953"/>
        <v>0</v>
      </c>
      <c r="AC6122" s="6">
        <f t="shared" si="951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955"/>
        <v>0</v>
      </c>
      <c r="AG6122" s="14">
        <v>0</v>
      </c>
      <c r="AH6122" s="6">
        <f t="shared" si="950"/>
        <v>0</v>
      </c>
      <c r="AI6122" s="47"/>
      <c r="AJ6122" s="126" t="e">
        <v>#N/A</v>
      </c>
      <c r="AK6122" s="80">
        <f t="shared" si="954"/>
        <v>0</v>
      </c>
      <c r="AL6122" s="85"/>
      <c r="AM6122" s="85"/>
    </row>
    <row r="6123" spans="1:39" s="86" customFormat="1" ht="13.25" hidden="1" customHeight="1" x14ac:dyDescent="0.3">
      <c r="A6123" s="89" t="s">
        <v>3792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956"/>
        <v>330350.86</v>
      </c>
      <c r="X6123" s="6">
        <f t="shared" si="949"/>
        <v>40163.271844660208</v>
      </c>
      <c r="Y6123" s="13">
        <f t="shared" si="952"/>
        <v>0</v>
      </c>
      <c r="Z6123" s="66">
        <v>0</v>
      </c>
      <c r="AA6123" s="6">
        <v>0</v>
      </c>
      <c r="AB6123" s="4">
        <f t="shared" si="953"/>
        <v>40163.271844660208</v>
      </c>
      <c r="AC6123" s="6">
        <f t="shared" si="951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955"/>
        <v>3723.1353000000008</v>
      </c>
      <c r="AG6123" s="14">
        <v>0</v>
      </c>
      <c r="AH6123" s="6">
        <f t="shared" si="950"/>
        <v>41368.170000000013</v>
      </c>
      <c r="AI6123" s="47"/>
      <c r="AJ6123" s="126" t="e">
        <v>#N/A</v>
      </c>
      <c r="AK6123" s="80">
        <f t="shared" si="954"/>
        <v>0</v>
      </c>
      <c r="AL6123" s="85"/>
      <c r="AM6123" s="85"/>
    </row>
    <row r="6124" spans="1:39" s="86" customFormat="1" ht="13.25" hidden="1" customHeight="1" x14ac:dyDescent="0.3">
      <c r="A6124" s="89" t="s">
        <v>3792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956"/>
        <v>266200</v>
      </c>
      <c r="X6124" s="6">
        <f t="shared" si="949"/>
        <v>0</v>
      </c>
      <c r="Y6124" s="13">
        <f t="shared" si="952"/>
        <v>0</v>
      </c>
      <c r="Z6124" s="66">
        <v>0</v>
      </c>
      <c r="AA6124" s="6">
        <v>0</v>
      </c>
      <c r="AB6124" s="4">
        <f t="shared" si="953"/>
        <v>0</v>
      </c>
      <c r="AC6124" s="6">
        <f t="shared" si="951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955"/>
        <v>164662.3103999999</v>
      </c>
      <c r="AG6124" s="14">
        <v>0.21</v>
      </c>
      <c r="AH6124" s="6">
        <f t="shared" si="950"/>
        <v>0</v>
      </c>
      <c r="AI6124" s="47"/>
      <c r="AJ6124" s="126" t="s">
        <v>4223</v>
      </c>
      <c r="AK6124" s="80">
        <f t="shared" si="954"/>
        <v>0</v>
      </c>
      <c r="AL6124" s="150"/>
      <c r="AM6124" s="85"/>
    </row>
    <row r="6125" spans="1:39" s="86" customFormat="1" ht="13.25" hidden="1" customHeight="1" x14ac:dyDescent="0.3">
      <c r="A6125" s="89" t="s">
        <v>3792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956"/>
        <v>640459.48000001023</v>
      </c>
      <c r="X6125" s="6">
        <f t="shared" si="949"/>
        <v>2363978.9199999981</v>
      </c>
      <c r="Y6125" s="13">
        <f t="shared" si="952"/>
        <v>2363978.9199999981</v>
      </c>
      <c r="Z6125" s="66">
        <v>0</v>
      </c>
      <c r="AA6125" s="6">
        <v>0</v>
      </c>
      <c r="AB6125" s="4">
        <f t="shared" si="953"/>
        <v>2363978.9199999981</v>
      </c>
      <c r="AC6125" s="6">
        <f t="shared" si="951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955"/>
        <v>0</v>
      </c>
      <c r="AG6125" s="14">
        <v>0</v>
      </c>
      <c r="AH6125" s="6">
        <f t="shared" si="950"/>
        <v>2363978.9199999981</v>
      </c>
      <c r="AI6125" s="47"/>
      <c r="AJ6125" s="126" t="s">
        <v>4223</v>
      </c>
      <c r="AK6125" s="80">
        <f t="shared" si="954"/>
        <v>0</v>
      </c>
      <c r="AL6125" s="150"/>
      <c r="AM6125" s="85"/>
    </row>
    <row r="6126" spans="1:39" s="86" customFormat="1" ht="13.25" hidden="1" customHeight="1" x14ac:dyDescent="0.3">
      <c r="A6126" s="89" t="s">
        <v>3794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956"/>
        <v>31332251.288110007</v>
      </c>
      <c r="X6126" s="6">
        <f t="shared" si="949"/>
        <v>4882401.5874011815</v>
      </c>
      <c r="Y6126" s="13">
        <f t="shared" si="952"/>
        <v>0</v>
      </c>
      <c r="Z6126" s="66">
        <v>0</v>
      </c>
      <c r="AA6126" s="6">
        <v>0</v>
      </c>
      <c r="AB6126" s="4">
        <f t="shared" si="953"/>
        <v>4882401.5874011815</v>
      </c>
      <c r="AC6126" s="6">
        <f t="shared" si="951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955"/>
        <v>464643.97380000015</v>
      </c>
      <c r="AG6126" s="14">
        <v>0.503</v>
      </c>
      <c r="AH6126" s="6">
        <f t="shared" si="950"/>
        <v>5177359.7139055235</v>
      </c>
      <c r="AI6126" s="47"/>
      <c r="AJ6126" s="126" t="e">
        <v>#N/A</v>
      </c>
      <c r="AK6126" s="80">
        <f t="shared" si="954"/>
        <v>0</v>
      </c>
      <c r="AL6126" s="85"/>
      <c r="AM6126" s="85"/>
    </row>
    <row r="6127" spans="1:39" s="86" customFormat="1" ht="13.25" hidden="1" customHeight="1" x14ac:dyDescent="0.3">
      <c r="A6127" s="89" t="s">
        <v>3794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956"/>
        <v>-1353931.1969000001</v>
      </c>
      <c r="X6127" s="6">
        <f t="shared" si="949"/>
        <v>44.124087591240873</v>
      </c>
      <c r="Y6127" s="13">
        <f t="shared" si="952"/>
        <v>0</v>
      </c>
      <c r="Z6127" s="66">
        <v>0</v>
      </c>
      <c r="AA6127" s="6">
        <v>0</v>
      </c>
      <c r="AB6127" s="4">
        <f t="shared" si="953"/>
        <v>44.124087591240873</v>
      </c>
      <c r="AC6127" s="6">
        <f t="shared" si="951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955"/>
        <v>3.4125000000000005</v>
      </c>
      <c r="AG6127" s="14">
        <v>0.33</v>
      </c>
      <c r="AH6127" s="6">
        <f t="shared" si="950"/>
        <v>45.451127819548866</v>
      </c>
      <c r="AI6127" s="47"/>
      <c r="AJ6127" s="126" t="e">
        <v>#N/A</v>
      </c>
      <c r="AK6127" s="80">
        <f t="shared" si="954"/>
        <v>0</v>
      </c>
      <c r="AL6127" s="85"/>
      <c r="AM6127" s="85"/>
    </row>
    <row r="6128" spans="1:39" s="86" customFormat="1" ht="13.25" hidden="1" customHeight="1" x14ac:dyDescent="0.3">
      <c r="A6128" s="89" t="s">
        <v>3792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956"/>
        <v>167659.9099999998</v>
      </c>
      <c r="X6128" s="6">
        <f t="shared" si="949"/>
        <v>22340.0900000002</v>
      </c>
      <c r="Y6128" s="13">
        <f t="shared" si="952"/>
        <v>0</v>
      </c>
      <c r="Z6128" s="66">
        <v>0</v>
      </c>
      <c r="AA6128" s="6">
        <v>0</v>
      </c>
      <c r="AB6128" s="4">
        <f t="shared" si="953"/>
        <v>22340.0900000002</v>
      </c>
      <c r="AC6128" s="6">
        <f t="shared" si="951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955"/>
        <v>18276.741700000002</v>
      </c>
      <c r="AG6128" s="14">
        <v>0</v>
      </c>
      <c r="AH6128" s="6">
        <f t="shared" si="950"/>
        <v>22340.0900000002</v>
      </c>
      <c r="AI6128" s="47"/>
      <c r="AJ6128" s="126" t="e">
        <v>#N/A</v>
      </c>
      <c r="AK6128" s="80">
        <f t="shared" si="954"/>
        <v>0</v>
      </c>
      <c r="AL6128" s="85"/>
      <c r="AM6128" s="85"/>
    </row>
    <row r="6129" spans="1:39" s="86" customFormat="1" ht="13.25" hidden="1" customHeight="1" x14ac:dyDescent="0.3">
      <c r="A6129" s="89" t="s">
        <v>3794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956"/>
        <v>90460.320000000065</v>
      </c>
      <c r="X6129" s="6">
        <f t="shared" si="949"/>
        <v>59539.679999999942</v>
      </c>
      <c r="Y6129" s="13">
        <f t="shared" si="952"/>
        <v>0</v>
      </c>
      <c r="Z6129" s="66">
        <v>0</v>
      </c>
      <c r="AA6129" s="6">
        <v>0</v>
      </c>
      <c r="AB6129" s="4">
        <f t="shared" si="953"/>
        <v>59539.679999999942</v>
      </c>
      <c r="AC6129" s="6">
        <f t="shared" si="951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955"/>
        <v>10225.224899999997</v>
      </c>
      <c r="AG6129" s="14">
        <v>0</v>
      </c>
      <c r="AH6129" s="6">
        <f t="shared" si="950"/>
        <v>59539.679999999942</v>
      </c>
      <c r="AI6129" s="47"/>
      <c r="AJ6129" s="126" t="e">
        <v>#N/A</v>
      </c>
      <c r="AK6129" s="80">
        <f t="shared" si="954"/>
        <v>0</v>
      </c>
      <c r="AL6129" s="85"/>
      <c r="AM6129" s="85"/>
    </row>
    <row r="6130" spans="1:39" s="86" customFormat="1" ht="13.25" hidden="1" customHeight="1" x14ac:dyDescent="0.3">
      <c r="A6130" s="89" t="s">
        <v>3794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956"/>
        <v>-3.6699999999873398</v>
      </c>
      <c r="X6130" s="6">
        <f t="shared" si="949"/>
        <v>0</v>
      </c>
      <c r="Y6130" s="13">
        <f t="shared" si="952"/>
        <v>0</v>
      </c>
      <c r="Z6130" s="66">
        <v>0</v>
      </c>
      <c r="AA6130" s="6">
        <v>0</v>
      </c>
      <c r="AB6130" s="4">
        <f t="shared" si="953"/>
        <v>0</v>
      </c>
      <c r="AC6130" s="6">
        <f t="shared" si="951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955"/>
        <v>0</v>
      </c>
      <c r="AG6130" s="14">
        <v>0</v>
      </c>
      <c r="AH6130" s="6">
        <f t="shared" si="950"/>
        <v>0</v>
      </c>
      <c r="AI6130" s="47"/>
      <c r="AJ6130" s="126" t="e">
        <v>#N/A</v>
      </c>
      <c r="AK6130" s="80">
        <f t="shared" si="954"/>
        <v>0</v>
      </c>
      <c r="AL6130" s="85"/>
      <c r="AM6130" s="85"/>
    </row>
    <row r="6131" spans="1:39" s="86" customFormat="1" ht="13.25" hidden="1" customHeight="1" x14ac:dyDescent="0.3">
      <c r="A6131" s="89" t="s">
        <v>3794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956"/>
        <v>-1.3642420526593924E-12</v>
      </c>
      <c r="X6131" s="6">
        <f t="shared" si="949"/>
        <v>0</v>
      </c>
      <c r="Y6131" s="13">
        <f t="shared" si="952"/>
        <v>0</v>
      </c>
      <c r="Z6131" s="66">
        <v>0</v>
      </c>
      <c r="AA6131" s="6">
        <v>0</v>
      </c>
      <c r="AB6131" s="4">
        <f t="shared" si="953"/>
        <v>0</v>
      </c>
      <c r="AC6131" s="6">
        <f t="shared" si="951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955"/>
        <v>0</v>
      </c>
      <c r="AG6131" s="14">
        <v>0</v>
      </c>
      <c r="AH6131" s="6">
        <f t="shared" si="950"/>
        <v>0</v>
      </c>
      <c r="AI6131" s="47"/>
      <c r="AJ6131" s="126" t="e">
        <v>#N/A</v>
      </c>
      <c r="AK6131" s="80">
        <f t="shared" si="954"/>
        <v>0</v>
      </c>
      <c r="AL6131" s="85"/>
      <c r="AM6131" s="85"/>
    </row>
    <row r="6132" spans="1:39" s="86" customFormat="1" ht="13.25" hidden="1" customHeight="1" x14ac:dyDescent="0.3">
      <c r="A6132" s="89" t="s">
        <v>3794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956"/>
        <v>0</v>
      </c>
      <c r="X6132" s="6">
        <f t="shared" si="949"/>
        <v>113676.30476190476</v>
      </c>
      <c r="Y6132" s="13">
        <f t="shared" si="952"/>
        <v>0</v>
      </c>
      <c r="Z6132" s="66">
        <v>0</v>
      </c>
      <c r="AA6132" s="6">
        <v>0</v>
      </c>
      <c r="AB6132" s="4">
        <f t="shared" si="953"/>
        <v>113676.30476190476</v>
      </c>
      <c r="AC6132" s="6">
        <f t="shared" si="951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955"/>
        <v>15170.232000000004</v>
      </c>
      <c r="AG6132" s="14">
        <v>0</v>
      </c>
      <c r="AH6132" s="6">
        <f t="shared" si="950"/>
        <v>119360.12</v>
      </c>
      <c r="AI6132" s="47"/>
      <c r="AJ6132" s="126" t="e">
        <v>#N/A</v>
      </c>
      <c r="AK6132" s="80">
        <f t="shared" si="954"/>
        <v>0</v>
      </c>
      <c r="AL6132" s="85"/>
      <c r="AM6132" s="85"/>
    </row>
    <row r="6133" spans="1:39" s="86" customFormat="1" ht="13.25" hidden="1" customHeight="1" x14ac:dyDescent="0.3">
      <c r="A6133" s="89" t="s">
        <v>3794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956"/>
        <v>522642.52</v>
      </c>
      <c r="X6133" s="6">
        <f t="shared" si="949"/>
        <v>97357.48000000001</v>
      </c>
      <c r="Y6133" s="13">
        <f t="shared" si="952"/>
        <v>97357.48000000001</v>
      </c>
      <c r="Z6133" s="66">
        <v>0</v>
      </c>
      <c r="AA6133" s="6">
        <v>0</v>
      </c>
      <c r="AB6133" s="4">
        <f t="shared" si="953"/>
        <v>97357.48000000001</v>
      </c>
      <c r="AC6133" s="6">
        <f t="shared" si="951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955"/>
        <v>0</v>
      </c>
      <c r="AG6133" s="14">
        <v>0</v>
      </c>
      <c r="AH6133" s="6">
        <f t="shared" si="950"/>
        <v>97357.48000000001</v>
      </c>
      <c r="AI6133" s="47"/>
      <c r="AJ6133" s="126" t="e">
        <v>#N/A</v>
      </c>
      <c r="AK6133" s="80">
        <f t="shared" si="954"/>
        <v>0</v>
      </c>
      <c r="AL6133" s="85"/>
      <c r="AM6133" s="85"/>
    </row>
    <row r="6134" spans="1:39" s="86" customFormat="1" ht="13.25" hidden="1" customHeight="1" x14ac:dyDescent="0.3">
      <c r="A6134" s="89" t="s">
        <v>3794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956"/>
        <v>100871.81</v>
      </c>
      <c r="X6134" s="6">
        <f t="shared" si="949"/>
        <v>86532.223300970873</v>
      </c>
      <c r="Y6134" s="13">
        <f t="shared" si="952"/>
        <v>0</v>
      </c>
      <c r="Z6134" s="66">
        <v>0</v>
      </c>
      <c r="AA6134" s="6">
        <v>0</v>
      </c>
      <c r="AB6134" s="4">
        <f t="shared" si="953"/>
        <v>86532.223300970873</v>
      </c>
      <c r="AC6134" s="6">
        <f t="shared" si="951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955"/>
        <v>23579.791200000007</v>
      </c>
      <c r="AG6134" s="14">
        <v>0</v>
      </c>
      <c r="AH6134" s="6">
        <f t="shared" si="950"/>
        <v>89128.19</v>
      </c>
      <c r="AI6134" s="47"/>
      <c r="AJ6134" s="126" t="e">
        <v>#N/A</v>
      </c>
      <c r="AK6134" s="80">
        <f t="shared" si="954"/>
        <v>0</v>
      </c>
      <c r="AL6134" s="85"/>
      <c r="AM6134" s="85"/>
    </row>
    <row r="6135" spans="1:39" s="86" customFormat="1" ht="13.25" hidden="1" customHeight="1" x14ac:dyDescent="0.3">
      <c r="A6135" s="89" t="s">
        <v>3794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956"/>
        <v>-1.0913936421275139E-11</v>
      </c>
      <c r="X6135" s="6">
        <f t="shared" si="949"/>
        <v>2643.9300000000003</v>
      </c>
      <c r="Y6135" s="13">
        <f t="shared" si="952"/>
        <v>0</v>
      </c>
      <c r="Z6135" s="66">
        <v>0</v>
      </c>
      <c r="AA6135" s="6">
        <v>0</v>
      </c>
      <c r="AB6135" s="4">
        <f t="shared" si="953"/>
        <v>2643.9300000000003</v>
      </c>
      <c r="AC6135" s="6">
        <f t="shared" si="951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955"/>
        <v>185.07510000000005</v>
      </c>
      <c r="AG6135" s="14">
        <v>0</v>
      </c>
      <c r="AH6135" s="6">
        <f t="shared" si="950"/>
        <v>2643.9300000000003</v>
      </c>
      <c r="AI6135" s="47"/>
      <c r="AJ6135" s="126" t="e">
        <v>#N/A</v>
      </c>
      <c r="AK6135" s="80">
        <f t="shared" si="954"/>
        <v>0</v>
      </c>
      <c r="AL6135" s="85"/>
      <c r="AM6135" s="85"/>
    </row>
    <row r="6136" spans="1:39" s="86" customFormat="1" ht="13.25" hidden="1" customHeight="1" x14ac:dyDescent="0.3">
      <c r="A6136" s="89" t="s">
        <v>3792</v>
      </c>
      <c r="B6136" s="86" t="s">
        <v>35</v>
      </c>
      <c r="C6136" s="86" t="s">
        <v>184</v>
      </c>
      <c r="D6136" s="86" t="s">
        <v>3849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956"/>
        <v>1339527.3999999994</v>
      </c>
      <c r="X6136" s="6">
        <f t="shared" si="949"/>
        <v>990118.01999999955</v>
      </c>
      <c r="Y6136" s="13">
        <f t="shared" si="952"/>
        <v>0</v>
      </c>
      <c r="Z6136" s="66">
        <v>0</v>
      </c>
      <c r="AA6136" s="6">
        <v>0</v>
      </c>
      <c r="AB6136" s="4">
        <f t="shared" si="953"/>
        <v>990118.01999999955</v>
      </c>
      <c r="AC6136" s="6">
        <f t="shared" si="951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955"/>
        <v>69308.261399999974</v>
      </c>
      <c r="AG6136" s="14">
        <v>0</v>
      </c>
      <c r="AH6136" s="6">
        <f t="shared" si="950"/>
        <v>990118.01999999955</v>
      </c>
      <c r="AI6136" s="47"/>
      <c r="AJ6136" s="126" t="e">
        <v>#N/A</v>
      </c>
      <c r="AK6136" s="80">
        <f t="shared" si="954"/>
        <v>0</v>
      </c>
      <c r="AL6136" s="85"/>
      <c r="AM6136" s="85"/>
    </row>
    <row r="6137" spans="1:39" s="86" customFormat="1" ht="13.25" hidden="1" customHeight="1" x14ac:dyDescent="0.3">
      <c r="A6137" s="89" t="s">
        <v>3792</v>
      </c>
      <c r="B6137" s="86" t="s">
        <v>35</v>
      </c>
      <c r="C6137" s="86" t="s">
        <v>184</v>
      </c>
      <c r="D6137" s="86" t="s">
        <v>3849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956"/>
        <v>244903.00999999995</v>
      </c>
      <c r="X6137" s="6">
        <f t="shared" si="949"/>
        <v>55096.990000000049</v>
      </c>
      <c r="Y6137" s="13">
        <f t="shared" si="952"/>
        <v>0</v>
      </c>
      <c r="Z6137" s="66">
        <v>0</v>
      </c>
      <c r="AA6137" s="6">
        <v>0</v>
      </c>
      <c r="AB6137" s="4">
        <f t="shared" si="953"/>
        <v>55096.990000000049</v>
      </c>
      <c r="AC6137" s="6">
        <f t="shared" si="951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955"/>
        <v>11795.503300000002</v>
      </c>
      <c r="AG6137" s="14">
        <v>0</v>
      </c>
      <c r="AH6137" s="6">
        <f t="shared" si="950"/>
        <v>55096.990000000049</v>
      </c>
      <c r="AI6137" s="47"/>
      <c r="AJ6137" s="126" t="e">
        <v>#N/A</v>
      </c>
      <c r="AK6137" s="80">
        <f t="shared" si="954"/>
        <v>0</v>
      </c>
      <c r="AL6137" s="85"/>
      <c r="AM6137" s="85"/>
    </row>
    <row r="6138" spans="1:39" s="86" customFormat="1" ht="13.25" hidden="1" customHeight="1" x14ac:dyDescent="0.3">
      <c r="A6138" s="89" t="s">
        <v>3794</v>
      </c>
      <c r="B6138" s="86" t="s">
        <v>35</v>
      </c>
      <c r="C6138" s="86" t="s">
        <v>184</v>
      </c>
      <c r="D6138" s="86" t="s">
        <v>3849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956"/>
        <v>43915.900000000045</v>
      </c>
      <c r="X6138" s="6">
        <f t="shared" si="949"/>
        <v>5994.1871921181828</v>
      </c>
      <c r="Y6138" s="13">
        <f t="shared" si="952"/>
        <v>0</v>
      </c>
      <c r="Z6138" s="66">
        <v>0</v>
      </c>
      <c r="AA6138" s="6">
        <v>0</v>
      </c>
      <c r="AB6138" s="4">
        <f t="shared" si="953"/>
        <v>5994.1871921181828</v>
      </c>
      <c r="AC6138" s="6">
        <f t="shared" si="951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955"/>
        <v>1535.3541000000002</v>
      </c>
      <c r="AG6138" s="14">
        <v>0</v>
      </c>
      <c r="AH6138" s="6">
        <f t="shared" si="950"/>
        <v>6084.0999999999549</v>
      </c>
      <c r="AI6138" s="47"/>
      <c r="AJ6138" s="126" t="e">
        <v>#N/A</v>
      </c>
      <c r="AK6138" s="80">
        <f t="shared" si="954"/>
        <v>0</v>
      </c>
      <c r="AL6138" s="85"/>
      <c r="AM6138" s="85"/>
    </row>
    <row r="6139" spans="1:39" s="86" customFormat="1" ht="13.25" hidden="1" customHeight="1" x14ac:dyDescent="0.3">
      <c r="A6139" s="89" t="s">
        <v>3794</v>
      </c>
      <c r="B6139" s="86" t="s">
        <v>35</v>
      </c>
      <c r="C6139" s="86" t="s">
        <v>184</v>
      </c>
      <c r="D6139" s="86" t="s">
        <v>3849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956"/>
        <v>1168988.04</v>
      </c>
      <c r="X6139" s="6">
        <f t="shared" si="949"/>
        <v>1909447.3399999999</v>
      </c>
      <c r="Y6139" s="13">
        <f t="shared" si="952"/>
        <v>0</v>
      </c>
      <c r="Z6139" s="66">
        <v>0</v>
      </c>
      <c r="AA6139" s="6">
        <v>0</v>
      </c>
      <c r="AB6139" s="4">
        <f t="shared" si="953"/>
        <v>1909447.3399999999</v>
      </c>
      <c r="AC6139" s="6">
        <f t="shared" si="951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955"/>
        <v>133661.3138</v>
      </c>
      <c r="AG6139" s="14">
        <v>0</v>
      </c>
      <c r="AH6139" s="6">
        <f t="shared" si="950"/>
        <v>1909447.3399999999</v>
      </c>
      <c r="AI6139" s="47"/>
      <c r="AJ6139" s="126" t="e">
        <v>#N/A</v>
      </c>
      <c r="AK6139" s="80">
        <f t="shared" si="954"/>
        <v>0</v>
      </c>
      <c r="AL6139" s="85"/>
      <c r="AM6139" s="85"/>
    </row>
    <row r="6140" spans="1:39" s="86" customFormat="1" ht="13.25" hidden="1" customHeight="1" x14ac:dyDescent="0.3">
      <c r="A6140" s="89" t="s">
        <v>3792</v>
      </c>
      <c r="B6140" s="86" t="s">
        <v>35</v>
      </c>
      <c r="C6140" s="86" t="s">
        <v>184</v>
      </c>
      <c r="D6140" s="86" t="s">
        <v>3849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956"/>
        <v>933662.87999999989</v>
      </c>
      <c r="X6140" s="6">
        <f t="shared" ref="X6140:X6203" si="957">IF(P6140="折扣",V6140*Q6140,IF(P6140="返现",V6140,V6140/(1+Q6140+AG6140)))</f>
        <v>1391628.44</v>
      </c>
      <c r="Y6140" s="13">
        <f t="shared" si="952"/>
        <v>0</v>
      </c>
      <c r="Z6140" s="66">
        <v>0</v>
      </c>
      <c r="AA6140" s="6">
        <v>0</v>
      </c>
      <c r="AB6140" s="4">
        <f t="shared" si="953"/>
        <v>1391628.44</v>
      </c>
      <c r="AC6140" s="6">
        <f t="shared" si="951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955"/>
        <v>125246.55959999999</v>
      </c>
      <c r="AG6140" s="14">
        <v>0</v>
      </c>
      <c r="AH6140" s="6">
        <f t="shared" ref="AH6140:AH6203" si="958">V6140/(1+AG6140)</f>
        <v>1391628.44</v>
      </c>
      <c r="AI6140" s="47"/>
      <c r="AJ6140" s="126" t="e">
        <v>#N/A</v>
      </c>
      <c r="AK6140" s="80">
        <f t="shared" si="954"/>
        <v>0</v>
      </c>
      <c r="AL6140" s="85"/>
      <c r="AM6140" s="85"/>
    </row>
    <row r="6141" spans="1:39" s="86" customFormat="1" ht="13.25" hidden="1" customHeight="1" x14ac:dyDescent="0.3">
      <c r="A6141" s="89" t="s">
        <v>3792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3897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956"/>
        <v>157520.55599999998</v>
      </c>
      <c r="X6141" s="6">
        <f t="shared" si="957"/>
        <v>89070.028169014084</v>
      </c>
      <c r="Y6141" s="13">
        <f t="shared" si="952"/>
        <v>0</v>
      </c>
      <c r="Z6141" s="66">
        <v>0</v>
      </c>
      <c r="AA6141" s="6">
        <v>0</v>
      </c>
      <c r="AB6141" s="4">
        <f t="shared" si="953"/>
        <v>89070.028169014084</v>
      </c>
      <c r="AC6141" s="6">
        <f t="shared" si="951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955"/>
        <v>8129.9466000000002</v>
      </c>
      <c r="AG6141" s="14">
        <v>0.4</v>
      </c>
      <c r="AH6141" s="6">
        <f t="shared" si="958"/>
        <v>90342.457142857151</v>
      </c>
      <c r="AI6141" s="47"/>
      <c r="AJ6141" s="126" t="e">
        <v>#N/A</v>
      </c>
      <c r="AK6141" s="80">
        <f t="shared" si="954"/>
        <v>0</v>
      </c>
      <c r="AL6141" s="85"/>
      <c r="AM6141" s="85"/>
    </row>
    <row r="6142" spans="1:39" s="86" customFormat="1" ht="13.25" hidden="1" customHeight="1" x14ac:dyDescent="0.3">
      <c r="A6142" s="89" t="s">
        <v>3792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956"/>
        <v>65361.673293432192</v>
      </c>
      <c r="X6142" s="6">
        <f t="shared" si="957"/>
        <v>0</v>
      </c>
      <c r="Y6142" s="13">
        <f t="shared" si="952"/>
        <v>0</v>
      </c>
      <c r="Z6142" s="66">
        <v>0</v>
      </c>
      <c r="AA6142" s="6">
        <v>0</v>
      </c>
      <c r="AB6142" s="4">
        <f t="shared" si="953"/>
        <v>0</v>
      </c>
      <c r="AC6142" s="6">
        <f t="shared" ref="AC6142:AC6205" si="959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955"/>
        <v>0</v>
      </c>
      <c r="AG6142" s="14">
        <v>0.37</v>
      </c>
      <c r="AH6142" s="6">
        <f t="shared" si="958"/>
        <v>0</v>
      </c>
      <c r="AI6142" s="47"/>
      <c r="AJ6142" s="126" t="e">
        <v>#N/A</v>
      </c>
      <c r="AK6142" s="80">
        <f t="shared" si="954"/>
        <v>0</v>
      </c>
      <c r="AL6142" s="85"/>
      <c r="AM6142" s="85"/>
    </row>
    <row r="6143" spans="1:39" s="86" customFormat="1" ht="13.25" hidden="1" customHeight="1" x14ac:dyDescent="0.3">
      <c r="A6143" s="89" t="s">
        <v>3794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956"/>
        <v>2013123.1201999905</v>
      </c>
      <c r="X6143" s="6">
        <f t="shared" si="957"/>
        <v>2903018.4121621642</v>
      </c>
      <c r="Y6143" s="13">
        <f t="shared" si="952"/>
        <v>0</v>
      </c>
      <c r="Z6143" s="66">
        <v>0</v>
      </c>
      <c r="AA6143" s="6">
        <v>0</v>
      </c>
      <c r="AB6143" s="4">
        <f t="shared" si="953"/>
        <v>2903018.4121621642</v>
      </c>
      <c r="AC6143" s="6">
        <f t="shared" si="959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955"/>
        <v>276387.9192</v>
      </c>
      <c r="AG6143" s="14">
        <v>0.4</v>
      </c>
      <c r="AH6143" s="6">
        <f t="shared" si="958"/>
        <v>3068905.178571431</v>
      </c>
      <c r="AI6143" s="47"/>
      <c r="AJ6143" s="126" t="e">
        <v>#N/A</v>
      </c>
      <c r="AK6143" s="80">
        <f t="shared" si="954"/>
        <v>0</v>
      </c>
      <c r="AL6143" s="85"/>
      <c r="AM6143" s="85"/>
    </row>
    <row r="6144" spans="1:39" s="86" customFormat="1" ht="13.25" hidden="1" customHeight="1" x14ac:dyDescent="0.3">
      <c r="A6144" s="89" t="s">
        <v>3794</v>
      </c>
      <c r="B6144" s="86" t="s">
        <v>35</v>
      </c>
      <c r="C6144" s="86" t="s">
        <v>187</v>
      </c>
      <c r="D6144" s="86" t="s">
        <v>188</v>
      </c>
      <c r="E6144" s="86" t="s">
        <v>3898</v>
      </c>
      <c r="F6144" s="86" t="s">
        <v>3899</v>
      </c>
      <c r="G6144" s="86" t="s">
        <v>3898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3900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956"/>
        <v>24999.996000000003</v>
      </c>
      <c r="X6144" s="6">
        <f t="shared" si="957"/>
        <v>0</v>
      </c>
      <c r="Y6144" s="13">
        <f t="shared" si="952"/>
        <v>0</v>
      </c>
      <c r="Z6144" s="66">
        <v>0</v>
      </c>
      <c r="AA6144" s="6">
        <v>0</v>
      </c>
      <c r="AB6144" s="4">
        <f t="shared" si="953"/>
        <v>0</v>
      </c>
      <c r="AC6144" s="6">
        <f t="shared" si="959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955"/>
        <v>0</v>
      </c>
      <c r="AG6144" s="14">
        <v>0.2</v>
      </c>
      <c r="AH6144" s="6">
        <f t="shared" si="958"/>
        <v>0</v>
      </c>
      <c r="AI6144" s="47"/>
      <c r="AJ6144" s="126" t="e">
        <v>#N/A</v>
      </c>
      <c r="AK6144" s="80">
        <f t="shared" si="954"/>
        <v>0</v>
      </c>
      <c r="AL6144" s="85"/>
      <c r="AM6144" s="85"/>
    </row>
    <row r="6145" spans="1:39" s="86" customFormat="1" ht="13.25" hidden="1" customHeight="1" x14ac:dyDescent="0.3">
      <c r="A6145" s="89" t="s">
        <v>3794</v>
      </c>
      <c r="B6145" s="86" t="s">
        <v>35</v>
      </c>
      <c r="C6145" s="86" t="s">
        <v>187</v>
      </c>
      <c r="D6145" s="86" t="s">
        <v>188</v>
      </c>
      <c r="E6145" s="86" t="s">
        <v>3898</v>
      </c>
      <c r="F6145" s="86" t="s">
        <v>3899</v>
      </c>
      <c r="G6145" s="86" t="s">
        <v>3898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3900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956"/>
        <v>235835.99</v>
      </c>
      <c r="X6145" s="6">
        <f t="shared" si="957"/>
        <v>14164.01</v>
      </c>
      <c r="Y6145" s="13">
        <f t="shared" si="952"/>
        <v>0</v>
      </c>
      <c r="Z6145" s="66">
        <v>0</v>
      </c>
      <c r="AA6145" s="6">
        <v>0</v>
      </c>
      <c r="AB6145" s="4">
        <f t="shared" si="953"/>
        <v>14164.01</v>
      </c>
      <c r="AC6145" s="6">
        <f t="shared" si="959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955"/>
        <v>1274.7609</v>
      </c>
      <c r="AG6145" s="14">
        <v>0</v>
      </c>
      <c r="AH6145" s="6">
        <f t="shared" si="958"/>
        <v>14164.01</v>
      </c>
      <c r="AI6145" s="47"/>
      <c r="AJ6145" s="126" t="e">
        <v>#N/A</v>
      </c>
      <c r="AK6145" s="80">
        <f t="shared" si="954"/>
        <v>0</v>
      </c>
      <c r="AL6145" s="85"/>
      <c r="AM6145" s="85"/>
    </row>
    <row r="6146" spans="1:39" s="86" customFormat="1" ht="13.25" hidden="1" customHeight="1" x14ac:dyDescent="0.3">
      <c r="A6146" s="89" t="s">
        <v>3794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956"/>
        <v>2442.2737999998353</v>
      </c>
      <c r="X6146" s="6">
        <f t="shared" si="957"/>
        <v>73826.743055555547</v>
      </c>
      <c r="Y6146" s="13">
        <f t="shared" si="952"/>
        <v>0</v>
      </c>
      <c r="Z6146" s="66">
        <v>0</v>
      </c>
      <c r="AA6146" s="6">
        <v>0</v>
      </c>
      <c r="AB6146" s="4">
        <f t="shared" si="953"/>
        <v>73826.743055555547</v>
      </c>
      <c r="AC6146" s="6">
        <f t="shared" si="959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955"/>
        <v>5431.9244000000017</v>
      </c>
      <c r="AG6146" s="14">
        <v>0.37</v>
      </c>
      <c r="AH6146" s="6">
        <f t="shared" si="958"/>
        <v>77598.912408759119</v>
      </c>
      <c r="AI6146" s="47"/>
      <c r="AJ6146" s="126" t="e">
        <v>#N/A</v>
      </c>
      <c r="AK6146" s="80">
        <f t="shared" si="954"/>
        <v>0</v>
      </c>
      <c r="AL6146" s="85"/>
      <c r="AM6146" s="85"/>
    </row>
    <row r="6147" spans="1:39" s="86" customFormat="1" ht="13.25" hidden="1" customHeight="1" x14ac:dyDescent="0.3">
      <c r="A6147" s="89" t="s">
        <v>3792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956"/>
        <v>-280505.60065086605</v>
      </c>
      <c r="X6147" s="6">
        <f t="shared" si="957"/>
        <v>948781.14864864852</v>
      </c>
      <c r="Y6147" s="13">
        <f t="shared" ref="Y6147:Y6210" si="960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961">X6147+AA6147</f>
        <v>948781.14864864852</v>
      </c>
      <c r="AC6147" s="6">
        <f t="shared" si="959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955"/>
        <v>89169.495299999951</v>
      </c>
      <c r="AG6147" s="14">
        <v>0.4</v>
      </c>
      <c r="AH6147" s="6">
        <f t="shared" si="958"/>
        <v>1002997.2142857142</v>
      </c>
      <c r="AI6147" s="47"/>
      <c r="AJ6147" s="126" t="e">
        <v>#N/A</v>
      </c>
      <c r="AK6147" s="80">
        <f t="shared" ref="AK6147:AK6210" si="962">X6147+AA6147-AB6147</f>
        <v>0</v>
      </c>
      <c r="AL6147" s="85"/>
      <c r="AM6147" s="85"/>
    </row>
    <row r="6148" spans="1:39" s="86" customFormat="1" ht="13.25" hidden="1" customHeight="1" x14ac:dyDescent="0.3">
      <c r="A6148" s="89" t="s">
        <v>3792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3897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956"/>
        <v>93113.233600000007</v>
      </c>
      <c r="X6148" s="6">
        <f t="shared" si="957"/>
        <v>75338.027777777781</v>
      </c>
      <c r="Y6148" s="13">
        <f t="shared" si="960"/>
        <v>0</v>
      </c>
      <c r="Z6148" s="66">
        <v>0</v>
      </c>
      <c r="AA6148" s="6">
        <v>0</v>
      </c>
      <c r="AB6148" s="4">
        <f t="shared" si="961"/>
        <v>75338.027777777781</v>
      </c>
      <c r="AC6148" s="6">
        <f t="shared" si="959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955"/>
        <v>5543.0941999999977</v>
      </c>
      <c r="AG6148" s="14">
        <v>0.37</v>
      </c>
      <c r="AH6148" s="6">
        <f t="shared" si="958"/>
        <v>79187.416058394156</v>
      </c>
      <c r="AI6148" s="47"/>
      <c r="AJ6148" s="126" t="e">
        <v>#N/A</v>
      </c>
      <c r="AK6148" s="80">
        <f t="shared" si="962"/>
        <v>0</v>
      </c>
      <c r="AL6148" s="85"/>
      <c r="AM6148" s="85"/>
    </row>
    <row r="6149" spans="1:39" s="86" customFormat="1" ht="13.25" hidden="1" customHeight="1" x14ac:dyDescent="0.3">
      <c r="A6149" s="89" t="s">
        <v>3792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3897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956"/>
        <v>328088.69199999992</v>
      </c>
      <c r="X6149" s="6">
        <f t="shared" si="957"/>
        <v>438318.44594594592</v>
      </c>
      <c r="Y6149" s="13">
        <f t="shared" si="960"/>
        <v>0</v>
      </c>
      <c r="Z6149" s="66">
        <v>0</v>
      </c>
      <c r="AA6149" s="6">
        <v>0</v>
      </c>
      <c r="AB6149" s="4">
        <f t="shared" si="961"/>
        <v>438318.44594594592</v>
      </c>
      <c r="AC6149" s="6">
        <f t="shared" si="959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955"/>
        <v>41700.56670000001</v>
      </c>
      <c r="AG6149" s="14">
        <v>0.4</v>
      </c>
      <c r="AH6149" s="6">
        <f t="shared" si="958"/>
        <v>463365.21428571426</v>
      </c>
      <c r="AI6149" s="47"/>
      <c r="AJ6149" s="126" t="e">
        <v>#N/A</v>
      </c>
      <c r="AK6149" s="80">
        <f t="shared" si="962"/>
        <v>0</v>
      </c>
      <c r="AL6149" s="85"/>
      <c r="AM6149" s="85"/>
    </row>
    <row r="6150" spans="1:39" s="86" customFormat="1" ht="13.25" hidden="1" customHeight="1" x14ac:dyDescent="0.3">
      <c r="A6150" s="89" t="s">
        <v>3792</v>
      </c>
      <c r="B6150" s="86" t="s">
        <v>35</v>
      </c>
      <c r="C6150" s="86" t="s">
        <v>187</v>
      </c>
      <c r="D6150" s="86" t="s">
        <v>188</v>
      </c>
      <c r="E6150" s="86" t="s">
        <v>3901</v>
      </c>
      <c r="F6150" s="86" t="s">
        <v>3901</v>
      </c>
      <c r="G6150" s="86" t="s">
        <v>3901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3897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956"/>
        <v>27868.027999999998</v>
      </c>
      <c r="X6150" s="6">
        <f t="shared" si="957"/>
        <v>10374.62676056338</v>
      </c>
      <c r="Y6150" s="13">
        <f t="shared" si="960"/>
        <v>0</v>
      </c>
      <c r="Z6150" s="66">
        <v>0</v>
      </c>
      <c r="AA6150" s="6">
        <v>0</v>
      </c>
      <c r="AB6150" s="4">
        <f t="shared" si="961"/>
        <v>10374.62676056338</v>
      </c>
      <c r="AC6150" s="6">
        <f t="shared" si="959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955"/>
        <v>946.80719999999974</v>
      </c>
      <c r="AG6150" s="14">
        <v>0.4</v>
      </c>
      <c r="AH6150" s="6">
        <f t="shared" si="958"/>
        <v>10522.835714285715</v>
      </c>
      <c r="AI6150" s="47"/>
      <c r="AJ6150" s="126" t="e">
        <v>#N/A</v>
      </c>
      <c r="AK6150" s="80">
        <f t="shared" si="962"/>
        <v>0</v>
      </c>
      <c r="AL6150" s="85"/>
      <c r="AM6150" s="85"/>
    </row>
    <row r="6151" spans="1:39" s="86" customFormat="1" ht="13.25" hidden="1" customHeight="1" x14ac:dyDescent="0.3">
      <c r="A6151" s="89" t="s">
        <v>3792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956"/>
        <v>-16999.353400000022</v>
      </c>
      <c r="X6151" s="6">
        <f t="shared" si="957"/>
        <v>126980.07746478876</v>
      </c>
      <c r="Y6151" s="13">
        <f t="shared" si="960"/>
        <v>0</v>
      </c>
      <c r="Z6151" s="66">
        <v>0</v>
      </c>
      <c r="AA6151" s="6">
        <v>0</v>
      </c>
      <c r="AB6151" s="4">
        <f t="shared" si="961"/>
        <v>126980.07746478876</v>
      </c>
      <c r="AC6151" s="6">
        <f t="shared" si="959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955"/>
        <v>9213.0507000000034</v>
      </c>
      <c r="AG6151" s="14">
        <v>0.37</v>
      </c>
      <c r="AH6151" s="6">
        <f t="shared" si="958"/>
        <v>131614.38686131386</v>
      </c>
      <c r="AI6151" s="47"/>
      <c r="AJ6151" s="126" t="e">
        <v>#N/A</v>
      </c>
      <c r="AK6151" s="80">
        <f t="shared" si="962"/>
        <v>0</v>
      </c>
      <c r="AL6151" s="85"/>
      <c r="AM6151" s="85"/>
    </row>
    <row r="6152" spans="1:39" s="86" customFormat="1" ht="13.25" hidden="1" customHeight="1" x14ac:dyDescent="0.3">
      <c r="A6152" s="89" t="s">
        <v>3794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3897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956"/>
        <v>82266.016799999998</v>
      </c>
      <c r="X6152" s="6">
        <f t="shared" si="957"/>
        <v>42066.190140845079</v>
      </c>
      <c r="Y6152" s="13">
        <f t="shared" si="960"/>
        <v>706.50014084508439</v>
      </c>
      <c r="Z6152" s="66">
        <v>0</v>
      </c>
      <c r="AA6152" s="6">
        <v>0</v>
      </c>
      <c r="AB6152" s="4">
        <f t="shared" si="961"/>
        <v>42066.190140845079</v>
      </c>
      <c r="AC6152" s="6">
        <f t="shared" si="959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955"/>
        <v>2895.1783</v>
      </c>
      <c r="AG6152" s="14">
        <v>0.37</v>
      </c>
      <c r="AH6152" s="6">
        <f t="shared" si="958"/>
        <v>43601.452554744523</v>
      </c>
      <c r="AI6152" s="47"/>
      <c r="AJ6152" s="126" t="e">
        <v>#N/A</v>
      </c>
      <c r="AK6152" s="80">
        <f t="shared" si="962"/>
        <v>0</v>
      </c>
      <c r="AL6152" s="85"/>
      <c r="AM6152" s="85"/>
    </row>
    <row r="6153" spans="1:39" s="86" customFormat="1" ht="13.25" hidden="1" customHeight="1" x14ac:dyDescent="0.3">
      <c r="A6153" s="89" t="s">
        <v>3794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956"/>
        <v>-1.170000000638538E-2</v>
      </c>
      <c r="X6153" s="6">
        <f t="shared" si="957"/>
        <v>13826.442857142858</v>
      </c>
      <c r="Y6153" s="13">
        <f t="shared" si="960"/>
        <v>0</v>
      </c>
      <c r="Z6153" s="66">
        <v>0</v>
      </c>
      <c r="AA6153" s="6">
        <v>0</v>
      </c>
      <c r="AB6153" s="4">
        <f t="shared" si="961"/>
        <v>13826.442857142858</v>
      </c>
      <c r="AC6153" s="6">
        <f t="shared" si="959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955"/>
        <v>989.04049999999972</v>
      </c>
      <c r="AG6153" s="14">
        <v>0.37</v>
      </c>
      <c r="AH6153" s="6">
        <f t="shared" si="958"/>
        <v>14129.211678832116</v>
      </c>
      <c r="AI6153" s="47"/>
      <c r="AJ6153" s="126" t="e">
        <v>#N/A</v>
      </c>
      <c r="AK6153" s="80">
        <f t="shared" si="962"/>
        <v>0</v>
      </c>
      <c r="AL6153" s="85"/>
      <c r="AM6153" s="85"/>
    </row>
    <row r="6154" spans="1:39" s="86" customFormat="1" ht="13.25" hidden="1" customHeight="1" x14ac:dyDescent="0.3">
      <c r="A6154" s="89" t="s">
        <v>3792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3897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956"/>
        <v>30937.304100000005</v>
      </c>
      <c r="X6154" s="6">
        <f t="shared" si="957"/>
        <v>7901.9214285714279</v>
      </c>
      <c r="Y6154" s="13">
        <f t="shared" si="960"/>
        <v>0</v>
      </c>
      <c r="Z6154" s="66">
        <v>0</v>
      </c>
      <c r="AA6154" s="6">
        <v>0</v>
      </c>
      <c r="AB6154" s="4">
        <f t="shared" si="961"/>
        <v>7901.9214285714279</v>
      </c>
      <c r="AC6154" s="6">
        <f t="shared" si="959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955"/>
        <v>565.25000000000011</v>
      </c>
      <c r="AG6154" s="14">
        <v>0.37</v>
      </c>
      <c r="AH6154" s="6">
        <f t="shared" si="958"/>
        <v>8074.9562043795604</v>
      </c>
      <c r="AI6154" s="47"/>
      <c r="AJ6154" s="126" t="e">
        <v>#N/A</v>
      </c>
      <c r="AK6154" s="80">
        <f t="shared" si="962"/>
        <v>0</v>
      </c>
      <c r="AL6154" s="85"/>
      <c r="AM6154" s="85"/>
    </row>
    <row r="6155" spans="1:39" s="86" customFormat="1" ht="13.25" hidden="1" customHeight="1" x14ac:dyDescent="0.3">
      <c r="A6155" s="89" t="s">
        <v>3794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3897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956"/>
        <v>103528.70599999998</v>
      </c>
      <c r="X6155" s="6">
        <f t="shared" si="957"/>
        <v>7602.3076923076906</v>
      </c>
      <c r="Y6155" s="13">
        <f t="shared" si="960"/>
        <v>0</v>
      </c>
      <c r="Z6155" s="66">
        <v>0</v>
      </c>
      <c r="AA6155" s="6">
        <v>0</v>
      </c>
      <c r="AB6155" s="4">
        <f t="shared" si="961"/>
        <v>7602.3076923076906</v>
      </c>
      <c r="AC6155" s="6">
        <f t="shared" si="959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955"/>
        <v>698.8445999999999</v>
      </c>
      <c r="AG6155" s="14">
        <v>0.4</v>
      </c>
      <c r="AH6155" s="6">
        <f t="shared" si="958"/>
        <v>7765.2142857142853</v>
      </c>
      <c r="AI6155" s="47"/>
      <c r="AJ6155" s="126" t="e">
        <v>#N/A</v>
      </c>
      <c r="AK6155" s="80">
        <f t="shared" si="962"/>
        <v>0</v>
      </c>
      <c r="AL6155" s="85"/>
      <c r="AM6155" s="85"/>
    </row>
    <row r="6156" spans="1:39" s="86" customFormat="1" ht="13.25" hidden="1" customHeight="1" x14ac:dyDescent="0.3">
      <c r="A6156" s="89" t="s">
        <v>3794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956"/>
        <v>-16671.021999998251</v>
      </c>
      <c r="X6156" s="6">
        <f t="shared" si="957"/>
        <v>207633.24324324323</v>
      </c>
      <c r="Y6156" s="13">
        <f t="shared" si="960"/>
        <v>0</v>
      </c>
      <c r="Z6156" s="66">
        <v>0</v>
      </c>
      <c r="AA6156" s="6">
        <v>0</v>
      </c>
      <c r="AB6156" s="4">
        <f t="shared" si="961"/>
        <v>207633.24324324323</v>
      </c>
      <c r="AC6156" s="6">
        <f t="shared" si="959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955"/>
        <v>19754.734500000002</v>
      </c>
      <c r="AG6156" s="14">
        <v>0.4</v>
      </c>
      <c r="AH6156" s="6">
        <f t="shared" si="958"/>
        <v>219497.99999999997</v>
      </c>
      <c r="AI6156" s="47"/>
      <c r="AJ6156" s="126" t="e">
        <v>#N/A</v>
      </c>
      <c r="AK6156" s="80">
        <f t="shared" si="962"/>
        <v>0</v>
      </c>
      <c r="AL6156" s="85"/>
      <c r="AM6156" s="85"/>
    </row>
    <row r="6157" spans="1:39" s="86" customFormat="1" ht="13.25" hidden="1" customHeight="1" x14ac:dyDescent="0.3">
      <c r="A6157" s="89" t="s">
        <v>3792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3897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956"/>
        <v>924422.66999999946</v>
      </c>
      <c r="X6157" s="6">
        <f t="shared" si="957"/>
        <v>1035390.0945945948</v>
      </c>
      <c r="Y6157" s="13">
        <f t="shared" si="960"/>
        <v>0</v>
      </c>
      <c r="Z6157" s="66">
        <v>0</v>
      </c>
      <c r="AA6157" s="6">
        <v>0</v>
      </c>
      <c r="AB6157" s="4">
        <f t="shared" si="961"/>
        <v>1035390.0945945948</v>
      </c>
      <c r="AC6157" s="6">
        <f t="shared" si="959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955"/>
        <v>98304.683400000038</v>
      </c>
      <c r="AG6157" s="14">
        <v>0.4</v>
      </c>
      <c r="AH6157" s="6">
        <f t="shared" si="958"/>
        <v>1094555.2428571431</v>
      </c>
      <c r="AI6157" s="47"/>
      <c r="AJ6157" s="126" t="e">
        <v>#N/A</v>
      </c>
      <c r="AK6157" s="80">
        <f t="shared" si="962"/>
        <v>0</v>
      </c>
      <c r="AL6157" s="85"/>
      <c r="AM6157" s="85"/>
    </row>
    <row r="6158" spans="1:39" s="86" customFormat="1" ht="13.25" hidden="1" customHeight="1" x14ac:dyDescent="0.3">
      <c r="A6158" s="89" t="s">
        <v>3794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956"/>
        <v>4213.5020000003278</v>
      </c>
      <c r="X6158" s="6">
        <f t="shared" si="957"/>
        <v>0</v>
      </c>
      <c r="Y6158" s="13">
        <f t="shared" si="960"/>
        <v>0</v>
      </c>
      <c r="Z6158" s="66">
        <v>0</v>
      </c>
      <c r="AA6158" s="6">
        <v>0</v>
      </c>
      <c r="AB6158" s="4">
        <f t="shared" si="961"/>
        <v>0</v>
      </c>
      <c r="AC6158" s="6">
        <f t="shared" si="959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955"/>
        <v>0</v>
      </c>
      <c r="AG6158" s="14">
        <v>0.4</v>
      </c>
      <c r="AH6158" s="6">
        <f t="shared" si="958"/>
        <v>0</v>
      </c>
      <c r="AI6158" s="47"/>
      <c r="AJ6158" s="126" t="e">
        <v>#N/A</v>
      </c>
      <c r="AK6158" s="80">
        <f t="shared" si="962"/>
        <v>0</v>
      </c>
      <c r="AL6158" s="85"/>
      <c r="AM6158" s="85"/>
    </row>
    <row r="6159" spans="1:39" s="86" customFormat="1" ht="13.25" hidden="1" customHeight="1" x14ac:dyDescent="0.3">
      <c r="A6159" s="89" t="s">
        <v>3794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956"/>
        <v>-7.9999999143183231E-3</v>
      </c>
      <c r="X6159" s="6">
        <f t="shared" si="957"/>
        <v>115344.65517241378</v>
      </c>
      <c r="Y6159" s="13">
        <f t="shared" si="960"/>
        <v>0</v>
      </c>
      <c r="Z6159" s="66">
        <v>0</v>
      </c>
      <c r="AA6159" s="6">
        <v>0</v>
      </c>
      <c r="AB6159" s="4">
        <f t="shared" si="961"/>
        <v>115344.65517241378</v>
      </c>
      <c r="AC6159" s="6">
        <f t="shared" si="959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955"/>
        <v>10750.7709</v>
      </c>
      <c r="AG6159" s="14">
        <v>0.4</v>
      </c>
      <c r="AH6159" s="6">
        <f t="shared" si="958"/>
        <v>119464.10714285714</v>
      </c>
      <c r="AI6159" s="47"/>
      <c r="AJ6159" s="126" t="e">
        <v>#N/A</v>
      </c>
      <c r="AK6159" s="80">
        <f t="shared" si="962"/>
        <v>0</v>
      </c>
      <c r="AL6159" s="85"/>
      <c r="AM6159" s="85"/>
    </row>
    <row r="6160" spans="1:39" s="86" customFormat="1" ht="13.25" hidden="1" customHeight="1" x14ac:dyDescent="0.3">
      <c r="A6160" s="89" t="s">
        <v>3794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956"/>
        <v>216000.00019999998</v>
      </c>
      <c r="X6160" s="6">
        <f t="shared" si="957"/>
        <v>0</v>
      </c>
      <c r="Y6160" s="13">
        <f t="shared" si="960"/>
        <v>0</v>
      </c>
      <c r="Z6160" s="66">
        <v>0</v>
      </c>
      <c r="AA6160" s="6">
        <v>0</v>
      </c>
      <c r="AB6160" s="4">
        <f t="shared" si="961"/>
        <v>0</v>
      </c>
      <c r="AC6160" s="6">
        <f t="shared" si="959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955"/>
        <v>54755.295299999991</v>
      </c>
      <c r="AG6160" s="14">
        <v>0.34</v>
      </c>
      <c r="AH6160" s="6">
        <f t="shared" si="958"/>
        <v>0</v>
      </c>
      <c r="AI6160" s="47"/>
      <c r="AJ6160" s="126" t="e">
        <v>#N/A</v>
      </c>
      <c r="AK6160" s="80">
        <f t="shared" si="962"/>
        <v>0</v>
      </c>
      <c r="AL6160" s="85"/>
      <c r="AM6160" s="85"/>
    </row>
    <row r="6161" spans="1:39" s="86" customFormat="1" ht="13.25" hidden="1" customHeight="1" x14ac:dyDescent="0.3">
      <c r="A6161" s="89" t="s">
        <v>3794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956"/>
        <v>98643.820000000531</v>
      </c>
      <c r="X6161" s="6">
        <f t="shared" si="957"/>
        <v>623910.80999999994</v>
      </c>
      <c r="Y6161" s="13">
        <f t="shared" si="960"/>
        <v>623910.80999999994</v>
      </c>
      <c r="Z6161" s="66">
        <v>0</v>
      </c>
      <c r="AA6161" s="6">
        <v>0</v>
      </c>
      <c r="AB6161" s="4">
        <f t="shared" si="961"/>
        <v>623910.80999999994</v>
      </c>
      <c r="AC6161" s="6">
        <f t="shared" si="959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955"/>
        <v>0</v>
      </c>
      <c r="AG6161" s="14">
        <v>0</v>
      </c>
      <c r="AH6161" s="6">
        <f t="shared" si="958"/>
        <v>623910.80999999994</v>
      </c>
      <c r="AI6161" s="47"/>
      <c r="AJ6161" s="126" t="e">
        <v>#N/A</v>
      </c>
      <c r="AK6161" s="80">
        <f t="shared" si="962"/>
        <v>0</v>
      </c>
      <c r="AL6161" s="85"/>
      <c r="AM6161" s="85"/>
    </row>
    <row r="6162" spans="1:39" s="86" customFormat="1" ht="13.25" hidden="1" customHeight="1" x14ac:dyDescent="0.3">
      <c r="A6162" s="89" t="s">
        <v>3792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956"/>
        <v>-86069.374000000011</v>
      </c>
      <c r="X6162" s="6">
        <f t="shared" si="957"/>
        <v>56006.331034482762</v>
      </c>
      <c r="Y6162" s="13">
        <f t="shared" si="960"/>
        <v>50908.961034482767</v>
      </c>
      <c r="Z6162" s="66">
        <v>0</v>
      </c>
      <c r="AA6162" s="6">
        <v>0</v>
      </c>
      <c r="AB6162" s="4">
        <f t="shared" si="961"/>
        <v>56006.331034482762</v>
      </c>
      <c r="AC6162" s="6">
        <f t="shared" si="959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955"/>
        <v>458.7632999999999</v>
      </c>
      <c r="AG6162" s="14">
        <v>0.46</v>
      </c>
      <c r="AH6162" s="6">
        <f t="shared" si="958"/>
        <v>55622.726027397264</v>
      </c>
      <c r="AI6162" s="47"/>
      <c r="AJ6162" s="126" t="e">
        <v>#N/A</v>
      </c>
      <c r="AK6162" s="80">
        <f t="shared" si="962"/>
        <v>0</v>
      </c>
      <c r="AL6162" s="85"/>
      <c r="AM6162" s="85"/>
    </row>
    <row r="6163" spans="1:39" s="86" customFormat="1" ht="13.25" hidden="1" customHeight="1" x14ac:dyDescent="0.3">
      <c r="A6163" s="89" t="s">
        <v>3792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956"/>
        <v>-65808.419999999038</v>
      </c>
      <c r="X6163" s="6">
        <f t="shared" si="957"/>
        <v>0</v>
      </c>
      <c r="Y6163" s="13">
        <f t="shared" si="960"/>
        <v>0</v>
      </c>
      <c r="Z6163" s="66">
        <v>0</v>
      </c>
      <c r="AA6163" s="6">
        <v>0</v>
      </c>
      <c r="AB6163" s="4">
        <f t="shared" si="961"/>
        <v>0</v>
      </c>
      <c r="AC6163" s="6">
        <f t="shared" si="959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955"/>
        <v>0</v>
      </c>
      <c r="AG6163" s="14">
        <v>0.4</v>
      </c>
      <c r="AH6163" s="6">
        <f t="shared" si="958"/>
        <v>0</v>
      </c>
      <c r="AI6163" s="47"/>
      <c r="AJ6163" s="126" t="e">
        <v>#N/A</v>
      </c>
      <c r="AK6163" s="80">
        <f t="shared" si="962"/>
        <v>0</v>
      </c>
      <c r="AL6163" s="85"/>
      <c r="AM6163" s="85"/>
    </row>
    <row r="6164" spans="1:39" s="86" customFormat="1" ht="13.25" hidden="1" customHeight="1" x14ac:dyDescent="0.3">
      <c r="A6164" s="89" t="s">
        <v>3794</v>
      </c>
      <c r="B6164" s="86" t="s">
        <v>35</v>
      </c>
      <c r="C6164" s="86" t="s">
        <v>187</v>
      </c>
      <c r="D6164" s="86" t="s">
        <v>188</v>
      </c>
      <c r="E6164" s="86" t="s">
        <v>3902</v>
      </c>
      <c r="F6164" s="86" t="s">
        <v>3902</v>
      </c>
      <c r="G6164" s="86" t="s">
        <v>3902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3897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956"/>
        <v>139872.69</v>
      </c>
      <c r="X6164" s="6">
        <f t="shared" si="957"/>
        <v>43536.075862068967</v>
      </c>
      <c r="Y6164" s="13">
        <f t="shared" si="960"/>
        <v>0</v>
      </c>
      <c r="Z6164" s="66">
        <v>0</v>
      </c>
      <c r="AA6164" s="6">
        <v>0</v>
      </c>
      <c r="AB6164" s="4">
        <f t="shared" si="961"/>
        <v>43536.075862068967</v>
      </c>
      <c r="AC6164" s="6">
        <f t="shared" si="959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955"/>
        <v>4055.399100000001</v>
      </c>
      <c r="AG6164" s="14">
        <v>0.4</v>
      </c>
      <c r="AH6164" s="6">
        <f t="shared" si="958"/>
        <v>45090.935714285726</v>
      </c>
      <c r="AI6164" s="47"/>
      <c r="AJ6164" s="126" t="e">
        <v>#N/A</v>
      </c>
      <c r="AK6164" s="80">
        <f t="shared" si="962"/>
        <v>0</v>
      </c>
      <c r="AL6164" s="85"/>
      <c r="AM6164" s="85"/>
    </row>
    <row r="6165" spans="1:39" s="86" customFormat="1" ht="13.25" hidden="1" customHeight="1" x14ac:dyDescent="0.3">
      <c r="A6165" s="89" t="s">
        <v>3792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956"/>
        <v>-15503.842199999999</v>
      </c>
      <c r="X6165" s="6">
        <f t="shared" si="957"/>
        <v>0</v>
      </c>
      <c r="Y6165" s="13">
        <f t="shared" si="960"/>
        <v>0</v>
      </c>
      <c r="Z6165" s="66">
        <v>0</v>
      </c>
      <c r="AA6165" s="6">
        <v>0</v>
      </c>
      <c r="AB6165" s="4">
        <f t="shared" si="961"/>
        <v>0</v>
      </c>
      <c r="AC6165" s="6">
        <f t="shared" si="959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955"/>
        <v>0</v>
      </c>
      <c r="AG6165" s="14">
        <v>0.46</v>
      </c>
      <c r="AH6165" s="6">
        <f t="shared" si="958"/>
        <v>0</v>
      </c>
      <c r="AI6165" s="47"/>
      <c r="AJ6165" s="126" t="e">
        <v>#N/A</v>
      </c>
      <c r="AK6165" s="80">
        <f t="shared" si="962"/>
        <v>0</v>
      </c>
      <c r="AL6165" s="85"/>
      <c r="AM6165" s="85"/>
    </row>
    <row r="6166" spans="1:39" s="86" customFormat="1" ht="13.25" hidden="1" customHeight="1" x14ac:dyDescent="0.3">
      <c r="A6166" s="89" t="s">
        <v>3794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956"/>
        <v>13587.132000000005</v>
      </c>
      <c r="X6166" s="6">
        <f t="shared" si="957"/>
        <v>0</v>
      </c>
      <c r="Y6166" s="13">
        <f t="shared" si="960"/>
        <v>0</v>
      </c>
      <c r="Z6166" s="66">
        <v>0</v>
      </c>
      <c r="AA6166" s="6">
        <v>0</v>
      </c>
      <c r="AB6166" s="4">
        <f t="shared" si="961"/>
        <v>0</v>
      </c>
      <c r="AC6166" s="6">
        <f t="shared" si="959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955"/>
        <v>0</v>
      </c>
      <c r="AG6166" s="14">
        <v>0.4</v>
      </c>
      <c r="AH6166" s="6">
        <f t="shared" si="958"/>
        <v>0</v>
      </c>
      <c r="AI6166" s="47"/>
      <c r="AJ6166" s="126" t="e">
        <v>#N/A</v>
      </c>
      <c r="AK6166" s="80">
        <f t="shared" si="962"/>
        <v>0</v>
      </c>
      <c r="AL6166" s="85"/>
      <c r="AM6166" s="85"/>
    </row>
    <row r="6167" spans="1:39" s="86" customFormat="1" ht="13.25" hidden="1" customHeight="1" x14ac:dyDescent="0.3">
      <c r="A6167" s="89" t="s">
        <v>3794</v>
      </c>
      <c r="B6167" s="86" t="s">
        <v>35</v>
      </c>
      <c r="C6167" s="86" t="s">
        <v>187</v>
      </c>
      <c r="D6167" s="86" t="s">
        <v>188</v>
      </c>
      <c r="E6167" s="86" t="s">
        <v>3903</v>
      </c>
      <c r="F6167" s="86" t="s">
        <v>3903</v>
      </c>
      <c r="G6167" s="86" t="s">
        <v>3903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3897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956"/>
        <v>59199.993999999992</v>
      </c>
      <c r="X6167" s="6">
        <f t="shared" si="957"/>
        <v>0</v>
      </c>
      <c r="Y6167" s="13">
        <f t="shared" si="960"/>
        <v>0</v>
      </c>
      <c r="Z6167" s="66">
        <v>0</v>
      </c>
      <c r="AA6167" s="6">
        <v>0</v>
      </c>
      <c r="AB6167" s="4">
        <f t="shared" si="961"/>
        <v>0</v>
      </c>
      <c r="AC6167" s="6">
        <f t="shared" si="959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955"/>
        <v>0</v>
      </c>
      <c r="AG6167" s="14">
        <v>0.4</v>
      </c>
      <c r="AH6167" s="6">
        <f t="shared" si="958"/>
        <v>0</v>
      </c>
      <c r="AI6167" s="47"/>
      <c r="AJ6167" s="126" t="e">
        <v>#N/A</v>
      </c>
      <c r="AK6167" s="80">
        <f t="shared" si="962"/>
        <v>0</v>
      </c>
      <c r="AL6167" s="85"/>
      <c r="AM6167" s="85"/>
    </row>
    <row r="6168" spans="1:39" s="86" customFormat="1" ht="13.25" hidden="1" customHeight="1" x14ac:dyDescent="0.3">
      <c r="A6168" s="89" t="s">
        <v>3792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3904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956"/>
        <v>373.35599999924307</v>
      </c>
      <c r="X6168" s="6">
        <f t="shared" si="957"/>
        <v>0</v>
      </c>
      <c r="Y6168" s="13">
        <f t="shared" si="960"/>
        <v>0</v>
      </c>
      <c r="Z6168" s="66">
        <v>0</v>
      </c>
      <c r="AA6168" s="6">
        <v>0</v>
      </c>
      <c r="AB6168" s="4">
        <f t="shared" si="961"/>
        <v>0</v>
      </c>
      <c r="AC6168" s="6">
        <f t="shared" si="959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955"/>
        <v>0</v>
      </c>
      <c r="AG6168" s="14">
        <v>0.4</v>
      </c>
      <c r="AH6168" s="6">
        <f t="shared" si="958"/>
        <v>0</v>
      </c>
      <c r="AI6168" s="47"/>
      <c r="AJ6168" s="126" t="e">
        <v>#N/A</v>
      </c>
      <c r="AK6168" s="80">
        <f t="shared" si="962"/>
        <v>0</v>
      </c>
      <c r="AL6168" s="85"/>
      <c r="AM6168" s="85"/>
    </row>
    <row r="6169" spans="1:39" s="86" customFormat="1" ht="13.25" hidden="1" customHeight="1" x14ac:dyDescent="0.3">
      <c r="A6169" s="89" t="s">
        <v>3794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956"/>
        <v>483163.71160000283</v>
      </c>
      <c r="X6169" s="6">
        <f t="shared" si="957"/>
        <v>1676497.5654290917</v>
      </c>
      <c r="Y6169" s="13">
        <f t="shared" si="960"/>
        <v>0</v>
      </c>
      <c r="Z6169" s="66">
        <v>0</v>
      </c>
      <c r="AA6169" s="6">
        <v>0</v>
      </c>
      <c r="AB6169" s="4">
        <f t="shared" si="961"/>
        <v>1676497.5654290917</v>
      </c>
      <c r="AC6169" s="6">
        <f t="shared" si="959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955"/>
        <v>124395.44529999999</v>
      </c>
      <c r="AG6169" s="14">
        <v>0.24</v>
      </c>
      <c r="AH6169" s="6">
        <f t="shared" si="958"/>
        <v>1777087.4193548372</v>
      </c>
      <c r="AI6169" s="47"/>
      <c r="AJ6169" s="126" t="e">
        <v>#N/A</v>
      </c>
      <c r="AK6169" s="80">
        <f t="shared" si="962"/>
        <v>0</v>
      </c>
      <c r="AL6169" s="85"/>
      <c r="AM6169" s="85"/>
    </row>
    <row r="6170" spans="1:39" s="86" customFormat="1" hidden="1" x14ac:dyDescent="0.3">
      <c r="A6170" s="89" t="s">
        <v>3794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3905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956"/>
        <v>10175.324000000241</v>
      </c>
      <c r="X6170" s="6">
        <f t="shared" si="957"/>
        <v>53940.741496598632</v>
      </c>
      <c r="Y6170" s="13">
        <f t="shared" si="960"/>
        <v>0</v>
      </c>
      <c r="Z6170" s="66">
        <v>0</v>
      </c>
      <c r="AA6170" s="6">
        <v>0</v>
      </c>
      <c r="AB6170" s="4">
        <f t="shared" si="961"/>
        <v>53940.741496598632</v>
      </c>
      <c r="AC6170" s="6">
        <f t="shared" si="959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955"/>
        <v>5097.3552</v>
      </c>
      <c r="AG6170" s="14">
        <v>0.4</v>
      </c>
      <c r="AH6170" s="6">
        <f t="shared" si="958"/>
        <v>56637.778571428571</v>
      </c>
      <c r="AI6170" s="47"/>
      <c r="AJ6170" s="126" t="e">
        <v>#N/A</v>
      </c>
      <c r="AK6170" s="80">
        <f t="shared" si="962"/>
        <v>0</v>
      </c>
      <c r="AL6170" s="85"/>
      <c r="AM6170" s="85"/>
    </row>
    <row r="6171" spans="1:39" s="86" customFormat="1" ht="13.25" hidden="1" customHeight="1" x14ac:dyDescent="0.3">
      <c r="A6171" s="89" t="s">
        <v>3792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3906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956"/>
        <v>29798.301300000006</v>
      </c>
      <c r="X6171" s="6">
        <f>IF(P6171="折扣",V6171*Q6171,IF(P6171="返现",V6171,(V6171-3396.47)/(1+Q6171+AG6171)))</f>
        <v>30511.567164179101</v>
      </c>
      <c r="Y6171" s="13">
        <f t="shared" si="960"/>
        <v>0</v>
      </c>
      <c r="Z6171" s="66">
        <v>0</v>
      </c>
      <c r="AA6171" s="6">
        <v>0</v>
      </c>
      <c r="AB6171" s="4">
        <f t="shared" si="961"/>
        <v>30511.567164179101</v>
      </c>
      <c r="AC6171" s="6">
        <f t="shared" si="959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955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962"/>
        <v>0</v>
      </c>
      <c r="AL6171" s="85"/>
      <c r="AM6171" s="85"/>
    </row>
    <row r="6172" spans="1:39" s="86" customFormat="1" ht="13.25" hidden="1" customHeight="1" x14ac:dyDescent="0.3">
      <c r="A6172" s="89" t="s">
        <v>3792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3907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956"/>
        <v>36779.823999998742</v>
      </c>
      <c r="X6172" s="6">
        <f>IF(P6172="折扣",V6172*Q6172,IF(P6172="返现",V6172,(V6172-839.6)/(1+Q6172+AG6172)))</f>
        <v>410918.2481751825</v>
      </c>
      <c r="Y6172" s="13">
        <f t="shared" si="960"/>
        <v>0</v>
      </c>
      <c r="Z6172" s="66">
        <v>0</v>
      </c>
      <c r="AA6172" s="6">
        <v>0</v>
      </c>
      <c r="AB6172" s="4">
        <f t="shared" si="961"/>
        <v>410918.2481751825</v>
      </c>
      <c r="AC6172" s="6">
        <f t="shared" si="959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955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962"/>
        <v>0</v>
      </c>
      <c r="AL6172" s="85"/>
      <c r="AM6172" s="85"/>
    </row>
    <row r="6173" spans="1:39" s="86" customFormat="1" ht="13.25" hidden="1" customHeight="1" x14ac:dyDescent="0.3">
      <c r="A6173" s="89" t="s">
        <v>3792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3897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956"/>
        <v>242309.97199999995</v>
      </c>
      <c r="X6173" s="6">
        <f t="shared" si="957"/>
        <v>13142.838452003858</v>
      </c>
      <c r="Y6173" s="13">
        <f t="shared" si="960"/>
        <v>0</v>
      </c>
      <c r="Z6173" s="66">
        <v>0</v>
      </c>
      <c r="AA6173" s="6">
        <v>0</v>
      </c>
      <c r="AB6173" s="4">
        <f t="shared" si="961"/>
        <v>13142.838452003858</v>
      </c>
      <c r="AC6173" s="6">
        <f t="shared" si="959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955"/>
        <v>1226.7098999999996</v>
      </c>
      <c r="AG6173" s="14">
        <v>0.4</v>
      </c>
      <c r="AH6173" s="6">
        <f t="shared" si="958"/>
        <v>13632.878571428573</v>
      </c>
      <c r="AI6173" s="47"/>
      <c r="AJ6173" s="126" t="e">
        <v>#N/A</v>
      </c>
      <c r="AK6173" s="80">
        <f t="shared" si="962"/>
        <v>0</v>
      </c>
      <c r="AL6173" s="85"/>
      <c r="AM6173" s="85"/>
    </row>
    <row r="6174" spans="1:39" s="86" customFormat="1" ht="13.25" hidden="1" customHeight="1" x14ac:dyDescent="0.3">
      <c r="A6174" s="89" t="s">
        <v>3794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956"/>
        <v>796908.17910000053</v>
      </c>
      <c r="X6174" s="6">
        <f t="shared" si="957"/>
        <v>1234312.3958333337</v>
      </c>
      <c r="Y6174" s="13">
        <f t="shared" si="960"/>
        <v>0</v>
      </c>
      <c r="Z6174" s="66">
        <v>0</v>
      </c>
      <c r="AA6174" s="6">
        <v>0</v>
      </c>
      <c r="AB6174" s="4">
        <f t="shared" si="961"/>
        <v>1234312.3958333337</v>
      </c>
      <c r="AC6174" s="6">
        <f t="shared" si="959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955"/>
        <v>90804.415099999984</v>
      </c>
      <c r="AG6174" s="14">
        <v>0.37</v>
      </c>
      <c r="AH6174" s="6">
        <f t="shared" si="958"/>
        <v>1297379.4525547447</v>
      </c>
      <c r="AI6174" s="47"/>
      <c r="AJ6174" s="126" t="e">
        <v>#N/A</v>
      </c>
      <c r="AK6174" s="80">
        <f t="shared" si="962"/>
        <v>0</v>
      </c>
      <c r="AL6174" s="85"/>
      <c r="AM6174" s="85"/>
    </row>
    <row r="6175" spans="1:39" s="86" customFormat="1" ht="13.25" hidden="1" customHeight="1" x14ac:dyDescent="0.3">
      <c r="A6175" s="89" t="s">
        <v>3792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956"/>
        <v>-3.2000001287087798E-2</v>
      </c>
      <c r="X6175" s="6">
        <f t="shared" si="957"/>
        <v>926145.10958904098</v>
      </c>
      <c r="Y6175" s="13">
        <f t="shared" si="960"/>
        <v>0</v>
      </c>
      <c r="Z6175" s="66">
        <v>0</v>
      </c>
      <c r="AA6175" s="6">
        <v>0</v>
      </c>
      <c r="AB6175" s="4">
        <f t="shared" si="961"/>
        <v>926145.10958904098</v>
      </c>
      <c r="AC6175" s="6">
        <f t="shared" si="959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955"/>
        <v>86923.420199999964</v>
      </c>
      <c r="AG6175" s="14">
        <v>0.4</v>
      </c>
      <c r="AH6175" s="6">
        <f t="shared" si="958"/>
        <v>965837.04285714286</v>
      </c>
      <c r="AI6175" s="47"/>
      <c r="AJ6175" s="126" t="e">
        <v>#N/A</v>
      </c>
      <c r="AK6175" s="80">
        <f t="shared" si="962"/>
        <v>0</v>
      </c>
      <c r="AL6175" s="85"/>
      <c r="AM6175" s="85"/>
    </row>
    <row r="6176" spans="1:39" s="86" customFormat="1" ht="13.25" hidden="1" customHeight="1" x14ac:dyDescent="0.3">
      <c r="A6176" s="89" t="s">
        <v>3794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956"/>
        <v>-262.33369999975548</v>
      </c>
      <c r="X6176" s="6">
        <f t="shared" si="957"/>
        <v>139806.84285714285</v>
      </c>
      <c r="Y6176" s="13">
        <f t="shared" si="960"/>
        <v>0</v>
      </c>
      <c r="Z6176" s="66">
        <v>0</v>
      </c>
      <c r="AA6176" s="6">
        <v>0</v>
      </c>
      <c r="AB6176" s="4">
        <f t="shared" si="961"/>
        <v>139806.84285714285</v>
      </c>
      <c r="AC6176" s="6">
        <f t="shared" si="959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955"/>
        <v>10000.781000000003</v>
      </c>
      <c r="AG6176" s="14">
        <v>0.37</v>
      </c>
      <c r="AH6176" s="6">
        <f t="shared" si="958"/>
        <v>142868.30656934305</v>
      </c>
      <c r="AI6176" s="47"/>
      <c r="AJ6176" s="126" t="e">
        <v>#N/A</v>
      </c>
      <c r="AK6176" s="80">
        <f t="shared" si="962"/>
        <v>0</v>
      </c>
      <c r="AL6176" s="85"/>
      <c r="AM6176" s="85"/>
    </row>
    <row r="6177" spans="1:39" s="86" customFormat="1" ht="13.25" hidden="1" customHeight="1" x14ac:dyDescent="0.3">
      <c r="A6177" s="89" t="s">
        <v>3794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956"/>
        <v>-1629.1597401508479</v>
      </c>
      <c r="X6177" s="6">
        <f t="shared" si="957"/>
        <v>134055.26086956513</v>
      </c>
      <c r="Y6177" s="13">
        <f t="shared" si="960"/>
        <v>0</v>
      </c>
      <c r="Z6177" s="66">
        <v>0</v>
      </c>
      <c r="AA6177" s="6">
        <v>0</v>
      </c>
      <c r="AB6177" s="4">
        <f t="shared" si="961"/>
        <v>134055.26086956513</v>
      </c>
      <c r="AC6177" s="6">
        <f t="shared" si="959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955"/>
        <v>9400.4505000000045</v>
      </c>
      <c r="AG6177" s="14">
        <v>0.37</v>
      </c>
      <c r="AH6177" s="6">
        <f t="shared" si="958"/>
        <v>135033.76642335756</v>
      </c>
      <c r="AI6177" s="47"/>
      <c r="AJ6177" s="126" t="e">
        <v>#N/A</v>
      </c>
      <c r="AK6177" s="80">
        <f t="shared" si="962"/>
        <v>0</v>
      </c>
      <c r="AL6177" s="85"/>
      <c r="AM6177" s="85"/>
    </row>
    <row r="6178" spans="1:39" s="86" customFormat="1" ht="13.25" hidden="1" customHeight="1" x14ac:dyDescent="0.3">
      <c r="A6178" s="89" t="s">
        <v>3792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3897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956"/>
        <v>24664.426300000006</v>
      </c>
      <c r="X6178" s="6">
        <f t="shared" si="957"/>
        <v>2127.231884057971</v>
      </c>
      <c r="Y6178" s="13">
        <f t="shared" si="960"/>
        <v>0</v>
      </c>
      <c r="Z6178" s="66">
        <v>0</v>
      </c>
      <c r="AA6178" s="6">
        <v>0</v>
      </c>
      <c r="AB6178" s="4">
        <f t="shared" si="961"/>
        <v>2127.231884057971</v>
      </c>
      <c r="AC6178" s="6">
        <f t="shared" si="959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955"/>
        <v>149.99460000000005</v>
      </c>
      <c r="AG6178" s="14">
        <v>0.37</v>
      </c>
      <c r="AH6178" s="6">
        <f t="shared" si="958"/>
        <v>2142.7591240875909</v>
      </c>
      <c r="AI6178" s="47"/>
      <c r="AJ6178" s="126" t="e">
        <v>#N/A</v>
      </c>
      <c r="AK6178" s="80">
        <f t="shared" si="962"/>
        <v>0</v>
      </c>
      <c r="AL6178" s="85"/>
      <c r="AM6178" s="85"/>
    </row>
    <row r="6179" spans="1:39" s="86" customFormat="1" ht="13.25" hidden="1" customHeight="1" x14ac:dyDescent="0.3">
      <c r="A6179" s="89" t="s">
        <v>3794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956"/>
        <v>377526.08119999996</v>
      </c>
      <c r="X6179" s="6">
        <f t="shared" si="957"/>
        <v>189374.96923076923</v>
      </c>
      <c r="Y6179" s="13">
        <f t="shared" si="960"/>
        <v>0</v>
      </c>
      <c r="Z6179" s="66">
        <v>0</v>
      </c>
      <c r="AA6179" s="6">
        <v>0</v>
      </c>
      <c r="AB6179" s="4">
        <f t="shared" si="961"/>
        <v>189374.96923076923</v>
      </c>
      <c r="AC6179" s="6">
        <f t="shared" si="959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955"/>
        <v>17867.129400000009</v>
      </c>
      <c r="AG6179" s="14">
        <v>0.24</v>
      </c>
      <c r="AH6179" s="6">
        <f t="shared" si="958"/>
        <v>198538.27419354839</v>
      </c>
      <c r="AI6179" s="47"/>
      <c r="AJ6179" s="126" t="e">
        <v>#N/A</v>
      </c>
      <c r="AK6179" s="80">
        <f t="shared" si="962"/>
        <v>0</v>
      </c>
      <c r="AL6179" s="85"/>
      <c r="AM6179" s="85"/>
    </row>
    <row r="6180" spans="1:39" s="86" customFormat="1" ht="13.25" hidden="1" customHeight="1" x14ac:dyDescent="0.3">
      <c r="A6180" s="89" t="s">
        <v>3792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956"/>
        <v>111.4744999999748</v>
      </c>
      <c r="X6180" s="6">
        <f t="shared" si="957"/>
        <v>0</v>
      </c>
      <c r="Y6180" s="13">
        <f t="shared" si="960"/>
        <v>0</v>
      </c>
      <c r="Z6180" s="66">
        <v>0</v>
      </c>
      <c r="AA6180" s="6">
        <v>0</v>
      </c>
      <c r="AB6180" s="4">
        <f t="shared" si="961"/>
        <v>0</v>
      </c>
      <c r="AC6180" s="6">
        <f t="shared" si="959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963">AD6180*AE6180</f>
        <v>0</v>
      </c>
      <c r="AG6180" s="14">
        <v>0.37</v>
      </c>
      <c r="AH6180" s="6">
        <f t="shared" si="958"/>
        <v>0</v>
      </c>
      <c r="AI6180" s="47"/>
      <c r="AJ6180" s="126" t="e">
        <v>#N/A</v>
      </c>
      <c r="AK6180" s="80">
        <f t="shared" si="962"/>
        <v>0</v>
      </c>
      <c r="AL6180" s="85"/>
      <c r="AM6180" s="85"/>
    </row>
    <row r="6181" spans="1:39" s="86" customFormat="1" ht="13.25" hidden="1" customHeight="1" x14ac:dyDescent="0.3">
      <c r="A6181" s="89" t="s">
        <v>3794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956"/>
        <v>5.2527345037524356</v>
      </c>
      <c r="X6181" s="6">
        <f t="shared" si="957"/>
        <v>0</v>
      </c>
      <c r="Y6181" s="13">
        <f t="shared" si="960"/>
        <v>0</v>
      </c>
      <c r="Z6181" s="66">
        <v>0</v>
      </c>
      <c r="AA6181" s="6">
        <v>0</v>
      </c>
      <c r="AB6181" s="4">
        <f t="shared" si="961"/>
        <v>0</v>
      </c>
      <c r="AC6181" s="6">
        <f t="shared" si="959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963"/>
        <v>0</v>
      </c>
      <c r="AG6181" s="14">
        <v>0.4</v>
      </c>
      <c r="AH6181" s="6">
        <f t="shared" si="958"/>
        <v>0</v>
      </c>
      <c r="AI6181" s="47"/>
      <c r="AJ6181" s="126" t="e">
        <v>#N/A</v>
      </c>
      <c r="AK6181" s="80">
        <f t="shared" si="962"/>
        <v>0</v>
      </c>
      <c r="AL6181" s="85"/>
      <c r="AM6181" s="85"/>
    </row>
    <row r="6182" spans="1:39" s="86" customFormat="1" ht="13.25" hidden="1" customHeight="1" x14ac:dyDescent="0.3">
      <c r="A6182" s="89" t="s">
        <v>3794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3897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956"/>
        <v>12006.51800000004</v>
      </c>
      <c r="X6182" s="6">
        <f t="shared" si="957"/>
        <v>101719.64137931028</v>
      </c>
      <c r="Y6182" s="13">
        <f t="shared" si="960"/>
        <v>0</v>
      </c>
      <c r="Z6182" s="66">
        <v>0</v>
      </c>
      <c r="AA6182" s="6">
        <v>0</v>
      </c>
      <c r="AB6182" s="4">
        <f t="shared" si="961"/>
        <v>101719.64137931028</v>
      </c>
      <c r="AC6182" s="6">
        <f t="shared" si="959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963"/>
        <v>9481.4117999999999</v>
      </c>
      <c r="AG6182" s="14">
        <v>0.4</v>
      </c>
      <c r="AH6182" s="6">
        <f t="shared" si="958"/>
        <v>105352.48571428566</v>
      </c>
      <c r="AI6182" s="47"/>
      <c r="AJ6182" s="126" t="e">
        <v>#N/A</v>
      </c>
      <c r="AK6182" s="80">
        <f t="shared" si="962"/>
        <v>0</v>
      </c>
      <c r="AL6182" s="85"/>
      <c r="AM6182" s="85"/>
    </row>
    <row r="6183" spans="1:39" s="86" customFormat="1" ht="13.25" hidden="1" customHeight="1" x14ac:dyDescent="0.3">
      <c r="A6183" s="89" t="s">
        <v>3794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956"/>
        <v>-4.8772000000099069</v>
      </c>
      <c r="X6183" s="6">
        <f t="shared" si="957"/>
        <v>0</v>
      </c>
      <c r="Y6183" s="13">
        <f t="shared" si="960"/>
        <v>0</v>
      </c>
      <c r="Z6183" s="66">
        <v>0</v>
      </c>
      <c r="AA6183" s="6">
        <v>0</v>
      </c>
      <c r="AB6183" s="4">
        <f t="shared" si="961"/>
        <v>0</v>
      </c>
      <c r="AC6183" s="6">
        <f t="shared" si="959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963"/>
        <v>0</v>
      </c>
      <c r="AG6183" s="14">
        <v>0.37</v>
      </c>
      <c r="AH6183" s="6">
        <f t="shared" si="958"/>
        <v>0</v>
      </c>
      <c r="AI6183" s="47"/>
      <c r="AJ6183" s="126" t="e">
        <v>#N/A</v>
      </c>
      <c r="AK6183" s="80">
        <f t="shared" si="962"/>
        <v>0</v>
      </c>
      <c r="AL6183" s="85"/>
      <c r="AM6183" s="85"/>
    </row>
    <row r="6184" spans="1:39" s="86" customFormat="1" ht="13.25" hidden="1" customHeight="1" x14ac:dyDescent="0.3">
      <c r="A6184" s="89" t="s">
        <v>3794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956"/>
        <v>-29822.1345</v>
      </c>
      <c r="X6184" s="6">
        <f t="shared" si="957"/>
        <v>0</v>
      </c>
      <c r="Y6184" s="13">
        <f t="shared" si="960"/>
        <v>0</v>
      </c>
      <c r="Z6184" s="66">
        <v>0</v>
      </c>
      <c r="AA6184" s="6">
        <v>0</v>
      </c>
      <c r="AB6184" s="4">
        <f t="shared" si="961"/>
        <v>0</v>
      </c>
      <c r="AC6184" s="6">
        <f t="shared" si="959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963"/>
        <v>6865.6113000000005</v>
      </c>
      <c r="AG6184" s="14">
        <v>0.41</v>
      </c>
      <c r="AH6184" s="6">
        <f t="shared" si="958"/>
        <v>0</v>
      </c>
      <c r="AI6184" s="47"/>
      <c r="AJ6184" s="126" t="e">
        <v>#N/A</v>
      </c>
      <c r="AK6184" s="80">
        <f t="shared" si="962"/>
        <v>0</v>
      </c>
      <c r="AL6184" s="85"/>
      <c r="AM6184" s="85"/>
    </row>
    <row r="6185" spans="1:39" s="86" customFormat="1" ht="13.25" hidden="1" customHeight="1" x14ac:dyDescent="0.3">
      <c r="A6185" s="89" t="s">
        <v>3794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964">T6185+U6185-V6185</f>
        <v>705723.93748478673</v>
      </c>
      <c r="X6185" s="6">
        <f t="shared" si="957"/>
        <v>73656.124137931023</v>
      </c>
      <c r="Y6185" s="13">
        <f t="shared" si="960"/>
        <v>73656.124137931023</v>
      </c>
      <c r="Z6185" s="66">
        <v>0</v>
      </c>
      <c r="AA6185" s="6">
        <v>0</v>
      </c>
      <c r="AB6185" s="4">
        <f t="shared" si="961"/>
        <v>73656.124137931023</v>
      </c>
      <c r="AC6185" s="6">
        <f t="shared" si="959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963"/>
        <v>0</v>
      </c>
      <c r="AG6185" s="14">
        <v>0.4</v>
      </c>
      <c r="AH6185" s="6">
        <f t="shared" si="958"/>
        <v>76286.7</v>
      </c>
      <c r="AI6185" s="47"/>
      <c r="AJ6185" s="126" t="e">
        <v>#N/A</v>
      </c>
      <c r="AK6185" s="80">
        <f t="shared" si="962"/>
        <v>0</v>
      </c>
      <c r="AL6185" s="85"/>
      <c r="AM6185" s="85"/>
    </row>
    <row r="6186" spans="1:39" s="86" customFormat="1" ht="13.25" hidden="1" customHeight="1" x14ac:dyDescent="0.3">
      <c r="A6186" s="89" t="s">
        <v>3794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3897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964"/>
        <v>256046.10399999996</v>
      </c>
      <c r="X6186" s="6">
        <f t="shared" si="957"/>
        <v>23416.482758620688</v>
      </c>
      <c r="Y6186" s="13">
        <f t="shared" si="960"/>
        <v>0</v>
      </c>
      <c r="Z6186" s="66">
        <v>0</v>
      </c>
      <c r="AA6186" s="6">
        <v>0</v>
      </c>
      <c r="AB6186" s="4">
        <f t="shared" si="961"/>
        <v>23416.482758620688</v>
      </c>
      <c r="AC6186" s="6">
        <f t="shared" si="959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963"/>
        <v>2182.6566000000003</v>
      </c>
      <c r="AG6186" s="14">
        <v>0.4</v>
      </c>
      <c r="AH6186" s="6">
        <f t="shared" si="958"/>
        <v>24252.785714285717</v>
      </c>
      <c r="AI6186" s="47"/>
      <c r="AJ6186" s="126" t="e">
        <v>#N/A</v>
      </c>
      <c r="AK6186" s="80">
        <f t="shared" si="962"/>
        <v>0</v>
      </c>
      <c r="AL6186" s="85"/>
      <c r="AM6186" s="85"/>
    </row>
    <row r="6187" spans="1:39" s="86" customFormat="1" ht="13.25" hidden="1" customHeight="1" x14ac:dyDescent="0.3">
      <c r="A6187" s="89" t="s">
        <v>3794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964"/>
        <v>-6.0000000048603397E-3</v>
      </c>
      <c r="X6187" s="6">
        <f t="shared" si="957"/>
        <v>0</v>
      </c>
      <c r="Y6187" s="13">
        <f t="shared" si="960"/>
        <v>0</v>
      </c>
      <c r="Z6187" s="66">
        <v>0</v>
      </c>
      <c r="AA6187" s="6">
        <v>0</v>
      </c>
      <c r="AB6187" s="4">
        <f t="shared" si="961"/>
        <v>0</v>
      </c>
      <c r="AC6187" s="6">
        <f t="shared" si="959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963"/>
        <v>0</v>
      </c>
      <c r="AG6187" s="14">
        <v>0.4</v>
      </c>
      <c r="AH6187" s="6">
        <f t="shared" si="958"/>
        <v>0</v>
      </c>
      <c r="AI6187" s="47"/>
      <c r="AJ6187" s="126" t="e">
        <v>#N/A</v>
      </c>
      <c r="AK6187" s="80">
        <f t="shared" si="962"/>
        <v>0</v>
      </c>
      <c r="AL6187" s="85"/>
      <c r="AM6187" s="85"/>
    </row>
    <row r="6188" spans="1:39" s="86" customFormat="1" ht="13.25" hidden="1" customHeight="1" x14ac:dyDescent="0.3">
      <c r="A6188" s="89" t="s">
        <v>3792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964"/>
        <v>73515.522800000734</v>
      </c>
      <c r="X6188" s="6">
        <f t="shared" si="957"/>
        <v>467263.39098532486</v>
      </c>
      <c r="Y6188" s="13">
        <f t="shared" si="960"/>
        <v>0</v>
      </c>
      <c r="Z6188" s="66">
        <v>0</v>
      </c>
      <c r="AA6188" s="6">
        <v>0</v>
      </c>
      <c r="AB6188" s="4">
        <f t="shared" si="961"/>
        <v>467263.39098532486</v>
      </c>
      <c r="AC6188" s="6">
        <f t="shared" si="959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963"/>
        <v>34664.323399999987</v>
      </c>
      <c r="AG6188" s="14">
        <v>0.08</v>
      </c>
      <c r="AH6188" s="6">
        <f t="shared" si="958"/>
        <v>495299.19444444432</v>
      </c>
      <c r="AI6188" s="47"/>
      <c r="AJ6188" s="126" t="e">
        <v>#N/A</v>
      </c>
      <c r="AK6188" s="80">
        <f t="shared" si="962"/>
        <v>0</v>
      </c>
      <c r="AL6188" s="85"/>
      <c r="AM6188" s="85"/>
    </row>
    <row r="6189" spans="1:39" s="86" customFormat="1" ht="13.25" hidden="1" customHeight="1" x14ac:dyDescent="0.3">
      <c r="A6189" s="89" t="s">
        <v>3792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964"/>
        <v>68317.001600000018</v>
      </c>
      <c r="X6189" s="6">
        <f t="shared" si="957"/>
        <v>9935.274647887325</v>
      </c>
      <c r="Y6189" s="13">
        <f t="shared" si="960"/>
        <v>0</v>
      </c>
      <c r="Z6189" s="66">
        <v>0</v>
      </c>
      <c r="AA6189" s="6">
        <v>0</v>
      </c>
      <c r="AB6189" s="4">
        <f t="shared" si="961"/>
        <v>9935.274647887325</v>
      </c>
      <c r="AC6189" s="6">
        <f t="shared" si="959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963"/>
        <v>720.84460000000013</v>
      </c>
      <c r="AG6189" s="14">
        <v>0.37</v>
      </c>
      <c r="AH6189" s="6">
        <f t="shared" si="958"/>
        <v>10297.875912408759</v>
      </c>
      <c r="AI6189" s="47"/>
      <c r="AJ6189" s="126" t="e">
        <v>#N/A</v>
      </c>
      <c r="AK6189" s="80">
        <f t="shared" si="962"/>
        <v>0</v>
      </c>
      <c r="AL6189" s="85"/>
      <c r="AM6189" s="85"/>
    </row>
    <row r="6190" spans="1:39" s="86" customFormat="1" ht="13.25" hidden="1" customHeight="1" x14ac:dyDescent="0.3">
      <c r="A6190" s="89" t="s">
        <v>3792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964"/>
        <v>64629.348199999993</v>
      </c>
      <c r="X6190" s="6">
        <f t="shared" si="957"/>
        <v>31649.62857142858</v>
      </c>
      <c r="Y6190" s="13">
        <f t="shared" si="960"/>
        <v>0</v>
      </c>
      <c r="Z6190" s="66">
        <v>0</v>
      </c>
      <c r="AA6190" s="6">
        <v>0</v>
      </c>
      <c r="AB6190" s="4">
        <f t="shared" si="961"/>
        <v>31649.62857142858</v>
      </c>
      <c r="AC6190" s="6">
        <f t="shared" si="959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963"/>
        <v>2263.9771000000001</v>
      </c>
      <c r="AG6190" s="14">
        <v>0.37</v>
      </c>
      <c r="AH6190" s="6">
        <f t="shared" si="958"/>
        <v>32342.686131386865</v>
      </c>
      <c r="AI6190" s="47"/>
      <c r="AJ6190" s="126" t="e">
        <v>#N/A</v>
      </c>
      <c r="AK6190" s="80">
        <f t="shared" si="962"/>
        <v>0</v>
      </c>
      <c r="AL6190" s="85"/>
      <c r="AM6190" s="85"/>
    </row>
    <row r="6191" spans="1:39" s="86" customFormat="1" ht="13.25" hidden="1" customHeight="1" x14ac:dyDescent="0.3">
      <c r="A6191" s="89" t="s">
        <v>3794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964"/>
        <v>123199.05</v>
      </c>
      <c r="X6191" s="6">
        <f t="shared" si="957"/>
        <v>30777.08</v>
      </c>
      <c r="Y6191" s="13">
        <f t="shared" si="960"/>
        <v>0</v>
      </c>
      <c r="Z6191" s="14">
        <v>0</v>
      </c>
      <c r="AA6191" s="6">
        <v>0</v>
      </c>
      <c r="AB6191" s="4">
        <f t="shared" si="961"/>
        <v>30777.08</v>
      </c>
      <c r="AC6191" s="6">
        <f t="shared" si="959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963"/>
        <v>2769.9371999999998</v>
      </c>
      <c r="AG6191" s="14">
        <v>0</v>
      </c>
      <c r="AH6191" s="6">
        <f t="shared" si="958"/>
        <v>30777.08</v>
      </c>
      <c r="AI6191" s="47"/>
      <c r="AJ6191" s="126" t="e">
        <v>#N/A</v>
      </c>
      <c r="AK6191" s="80">
        <f t="shared" si="962"/>
        <v>0</v>
      </c>
      <c r="AL6191" s="85"/>
      <c r="AM6191" s="85"/>
    </row>
    <row r="6192" spans="1:39" s="86" customFormat="1" ht="13.25" hidden="1" customHeight="1" x14ac:dyDescent="0.3">
      <c r="A6192" s="89" t="s">
        <v>3794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964"/>
        <v>-122.264</v>
      </c>
      <c r="X6192" s="6">
        <f t="shared" si="957"/>
        <v>0</v>
      </c>
      <c r="Y6192" s="13">
        <f t="shared" si="960"/>
        <v>0</v>
      </c>
      <c r="Z6192" s="14">
        <v>0</v>
      </c>
      <c r="AA6192" s="6">
        <v>0</v>
      </c>
      <c r="AB6192" s="4">
        <f t="shared" si="961"/>
        <v>0</v>
      </c>
      <c r="AC6192" s="6">
        <f t="shared" si="959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963"/>
        <v>0</v>
      </c>
      <c r="AG6192" s="14">
        <v>0.24</v>
      </c>
      <c r="AH6192" s="6">
        <f t="shared" si="958"/>
        <v>0</v>
      </c>
      <c r="AI6192" s="47"/>
      <c r="AJ6192" s="126" t="e">
        <v>#N/A</v>
      </c>
      <c r="AK6192" s="80">
        <f t="shared" si="962"/>
        <v>0</v>
      </c>
      <c r="AL6192" s="85"/>
      <c r="AM6192" s="85"/>
    </row>
    <row r="6193" spans="1:39" s="86" customFormat="1" ht="13.25" hidden="1" customHeight="1" x14ac:dyDescent="0.3">
      <c r="A6193" s="89" t="s">
        <v>3792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964"/>
        <v>1221117.98789997</v>
      </c>
      <c r="X6193" s="6">
        <f t="shared" si="957"/>
        <v>0</v>
      </c>
      <c r="Y6193" s="13">
        <f t="shared" si="960"/>
        <v>0</v>
      </c>
      <c r="Z6193" s="14">
        <v>0</v>
      </c>
      <c r="AA6193" s="6">
        <v>0</v>
      </c>
      <c r="AB6193" s="4">
        <f t="shared" si="961"/>
        <v>0</v>
      </c>
      <c r="AC6193" s="6">
        <f t="shared" si="959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963"/>
        <v>0</v>
      </c>
      <c r="AG6193" s="14">
        <v>0.35</v>
      </c>
      <c r="AH6193" s="6">
        <f t="shared" si="958"/>
        <v>0</v>
      </c>
      <c r="AI6193" s="47"/>
      <c r="AJ6193" s="126" t="e">
        <v>#N/A</v>
      </c>
      <c r="AK6193" s="80">
        <f t="shared" si="962"/>
        <v>0</v>
      </c>
      <c r="AL6193" s="85"/>
      <c r="AM6193" s="85"/>
    </row>
    <row r="6194" spans="1:39" s="86" customFormat="1" ht="13.25" hidden="1" customHeight="1" x14ac:dyDescent="0.3">
      <c r="A6194" s="89" t="s">
        <v>3792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964"/>
        <v>-241630.0183999998</v>
      </c>
      <c r="X6194" s="6">
        <f t="shared" si="957"/>
        <v>0</v>
      </c>
      <c r="Y6194" s="13">
        <f t="shared" si="960"/>
        <v>0</v>
      </c>
      <c r="Z6194" s="14">
        <v>0</v>
      </c>
      <c r="AA6194" s="6">
        <v>0</v>
      </c>
      <c r="AB6194" s="4">
        <f t="shared" si="961"/>
        <v>0</v>
      </c>
      <c r="AC6194" s="6">
        <f t="shared" si="959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963"/>
        <v>0</v>
      </c>
      <c r="AG6194" s="14">
        <v>0.24</v>
      </c>
      <c r="AH6194" s="6">
        <f t="shared" si="958"/>
        <v>0</v>
      </c>
      <c r="AI6194" s="47"/>
      <c r="AJ6194" s="126" t="e">
        <v>#N/A</v>
      </c>
      <c r="AK6194" s="80">
        <f t="shared" si="962"/>
        <v>0</v>
      </c>
      <c r="AL6194" s="85"/>
      <c r="AM6194" s="85"/>
    </row>
    <row r="6195" spans="1:39" s="86" customFormat="1" ht="13.25" hidden="1" customHeight="1" x14ac:dyDescent="0.3">
      <c r="A6195" s="89" t="s">
        <v>3794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964"/>
        <v>0</v>
      </c>
      <c r="X6195" s="6">
        <f t="shared" si="957"/>
        <v>247725.96999999997</v>
      </c>
      <c r="Y6195" s="13">
        <f t="shared" si="960"/>
        <v>247725.96999999997</v>
      </c>
      <c r="Z6195" s="14">
        <v>0</v>
      </c>
      <c r="AA6195" s="6">
        <v>0</v>
      </c>
      <c r="AB6195" s="4">
        <f t="shared" si="961"/>
        <v>247725.96999999997</v>
      </c>
      <c r="AC6195" s="6">
        <f t="shared" si="959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963"/>
        <v>0</v>
      </c>
      <c r="AG6195" s="14">
        <v>0</v>
      </c>
      <c r="AH6195" s="6">
        <f t="shared" si="958"/>
        <v>247725.96999999997</v>
      </c>
      <c r="AI6195" s="47"/>
      <c r="AJ6195" s="126" t="e">
        <v>#N/A</v>
      </c>
      <c r="AK6195" s="80">
        <f t="shared" si="962"/>
        <v>0</v>
      </c>
      <c r="AL6195" s="85"/>
      <c r="AM6195" s="85"/>
    </row>
    <row r="6196" spans="1:39" s="86" customFormat="1" ht="13.25" hidden="1" customHeight="1" x14ac:dyDescent="0.3">
      <c r="A6196" s="89" t="s">
        <v>3794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1361.84</v>
      </c>
      <c r="W6196" s="6">
        <f t="shared" si="964"/>
        <v>79231.015400000004</v>
      </c>
      <c r="X6196" s="6">
        <f t="shared" si="957"/>
        <v>1361.84</v>
      </c>
      <c r="Y6196" s="13">
        <f t="shared" si="960"/>
        <v>0</v>
      </c>
      <c r="Z6196" s="14">
        <v>0</v>
      </c>
      <c r="AA6196" s="6">
        <v>0</v>
      </c>
      <c r="AB6196" s="4">
        <f t="shared" si="961"/>
        <v>1361.84</v>
      </c>
      <c r="AC6196" s="6">
        <f t="shared" si="959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963"/>
        <v>127.29239999999999</v>
      </c>
      <c r="AG6196" s="14">
        <v>0</v>
      </c>
      <c r="AH6196" s="6">
        <f t="shared" si="958"/>
        <v>1361.84</v>
      </c>
      <c r="AI6196" s="47"/>
      <c r="AJ6196" s="126" t="e">
        <v>#N/A</v>
      </c>
      <c r="AK6196" s="80">
        <f t="shared" si="962"/>
        <v>0</v>
      </c>
      <c r="AL6196" s="85"/>
      <c r="AM6196" s="85"/>
    </row>
    <row r="6197" spans="1:39" s="86" customFormat="1" ht="13.25" hidden="1" customHeight="1" x14ac:dyDescent="0.3">
      <c r="A6197" s="89" t="s">
        <v>3792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964"/>
        <v>25596.759999999977</v>
      </c>
      <c r="X6197" s="6">
        <f t="shared" si="957"/>
        <v>21012.98</v>
      </c>
      <c r="Y6197" s="13">
        <f t="shared" si="960"/>
        <v>0</v>
      </c>
      <c r="Z6197" s="14">
        <v>0</v>
      </c>
      <c r="AA6197" s="6">
        <v>0</v>
      </c>
      <c r="AB6197" s="4">
        <f t="shared" si="961"/>
        <v>21012.98</v>
      </c>
      <c r="AC6197" s="6">
        <f t="shared" si="959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963"/>
        <v>1470.9086000000002</v>
      </c>
      <c r="AG6197" s="14">
        <v>0</v>
      </c>
      <c r="AH6197" s="6">
        <f t="shared" si="958"/>
        <v>21012.98</v>
      </c>
      <c r="AI6197" s="47"/>
      <c r="AJ6197" s="126" t="e">
        <v>#N/A</v>
      </c>
      <c r="AK6197" s="80">
        <f t="shared" si="962"/>
        <v>0</v>
      </c>
      <c r="AL6197" s="85"/>
      <c r="AM6197" s="85"/>
    </row>
    <row r="6198" spans="1:39" s="86" customFormat="1" ht="13.25" hidden="1" customHeight="1" x14ac:dyDescent="0.3">
      <c r="A6198" s="89" t="s">
        <v>3792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964"/>
        <v>9534327.0476999991</v>
      </c>
      <c r="X6198" s="6">
        <f t="shared" si="957"/>
        <v>0</v>
      </c>
      <c r="Y6198" s="13">
        <f t="shared" si="960"/>
        <v>0</v>
      </c>
      <c r="Z6198" s="14">
        <v>0</v>
      </c>
      <c r="AA6198" s="6">
        <v>0</v>
      </c>
      <c r="AB6198" s="4">
        <f t="shared" si="961"/>
        <v>0</v>
      </c>
      <c r="AC6198" s="6">
        <f t="shared" si="959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963"/>
        <v>0</v>
      </c>
      <c r="AG6198" s="14">
        <v>0.21</v>
      </c>
      <c r="AH6198" s="6">
        <f t="shared" si="958"/>
        <v>0</v>
      </c>
      <c r="AI6198" s="47"/>
      <c r="AJ6198" s="126" t="e">
        <v>#N/A</v>
      </c>
      <c r="AK6198" s="80">
        <f t="shared" si="962"/>
        <v>0</v>
      </c>
      <c r="AL6198" s="85"/>
      <c r="AM6198" s="85"/>
    </row>
    <row r="6199" spans="1:39" s="86" customFormat="1" ht="13.25" hidden="1" customHeight="1" x14ac:dyDescent="0.3">
      <c r="A6199" s="89" t="s">
        <v>3794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964"/>
        <v>3626358.2863999996</v>
      </c>
      <c r="X6199" s="6">
        <f t="shared" si="957"/>
        <v>0</v>
      </c>
      <c r="Y6199" s="13">
        <f t="shared" si="960"/>
        <v>0</v>
      </c>
      <c r="Z6199" s="14">
        <v>0</v>
      </c>
      <c r="AA6199" s="6">
        <v>0</v>
      </c>
      <c r="AB6199" s="4">
        <f t="shared" si="961"/>
        <v>0</v>
      </c>
      <c r="AC6199" s="6">
        <f t="shared" si="959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963"/>
        <v>0</v>
      </c>
      <c r="AG6199" s="14">
        <v>0.24</v>
      </c>
      <c r="AH6199" s="6">
        <f t="shared" si="958"/>
        <v>0</v>
      </c>
      <c r="AI6199" s="47"/>
      <c r="AJ6199" s="126" t="e">
        <v>#N/A</v>
      </c>
      <c r="AK6199" s="80">
        <f t="shared" si="962"/>
        <v>0</v>
      </c>
      <c r="AL6199" s="85"/>
      <c r="AM6199" s="85"/>
    </row>
    <row r="6200" spans="1:39" s="86" customFormat="1" ht="13.25" hidden="1" customHeight="1" x14ac:dyDescent="0.3">
      <c r="A6200" s="89" t="s">
        <v>3792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964"/>
        <v>73133.549999999974</v>
      </c>
      <c r="X6200" s="6">
        <f t="shared" si="957"/>
        <v>0</v>
      </c>
      <c r="Y6200" s="13">
        <f t="shared" si="960"/>
        <v>0</v>
      </c>
      <c r="Z6200" s="14">
        <v>0</v>
      </c>
      <c r="AA6200" s="6">
        <v>0</v>
      </c>
      <c r="AB6200" s="4">
        <f t="shared" si="961"/>
        <v>0</v>
      </c>
      <c r="AC6200" s="6">
        <f t="shared" si="959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963"/>
        <v>0</v>
      </c>
      <c r="AG6200" s="14">
        <v>0</v>
      </c>
      <c r="AH6200" s="6">
        <f t="shared" si="958"/>
        <v>0</v>
      </c>
      <c r="AI6200" s="47"/>
      <c r="AJ6200" s="126" t="e">
        <v>#N/A</v>
      </c>
      <c r="AK6200" s="80">
        <f t="shared" si="962"/>
        <v>0</v>
      </c>
      <c r="AL6200" s="85"/>
      <c r="AM6200" s="85"/>
    </row>
    <row r="6201" spans="1:39" s="86" customFormat="1" ht="13.25" hidden="1" customHeight="1" x14ac:dyDescent="0.3">
      <c r="A6201" s="89" t="s">
        <v>3792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964"/>
        <v>1068579.5059999994</v>
      </c>
      <c r="X6201" s="6">
        <f t="shared" si="957"/>
        <v>0</v>
      </c>
      <c r="Y6201" s="13">
        <f t="shared" si="960"/>
        <v>0</v>
      </c>
      <c r="Z6201" s="14">
        <v>0</v>
      </c>
      <c r="AA6201" s="6">
        <v>0</v>
      </c>
      <c r="AB6201" s="4">
        <f t="shared" si="961"/>
        <v>0</v>
      </c>
      <c r="AC6201" s="6">
        <f t="shared" si="959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963"/>
        <v>0</v>
      </c>
      <c r="AG6201" s="14">
        <v>0.1</v>
      </c>
      <c r="AH6201" s="6">
        <f t="shared" si="958"/>
        <v>0</v>
      </c>
      <c r="AI6201" s="47"/>
      <c r="AJ6201" s="126" t="e">
        <v>#N/A</v>
      </c>
      <c r="AK6201" s="80">
        <f t="shared" si="962"/>
        <v>0</v>
      </c>
      <c r="AL6201" s="85"/>
      <c r="AM6201" s="85"/>
    </row>
    <row r="6202" spans="1:39" s="86" customFormat="1" ht="13.25" hidden="1" customHeight="1" x14ac:dyDescent="0.3">
      <c r="A6202" s="89" t="s">
        <v>3792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964"/>
        <v>1346892.4267000002</v>
      </c>
      <c r="X6202" s="6">
        <f t="shared" si="957"/>
        <v>0</v>
      </c>
      <c r="Y6202" s="13">
        <f t="shared" si="960"/>
        <v>0</v>
      </c>
      <c r="Z6202" s="14">
        <v>0</v>
      </c>
      <c r="AA6202" s="6">
        <v>0</v>
      </c>
      <c r="AB6202" s="4">
        <f t="shared" si="961"/>
        <v>0</v>
      </c>
      <c r="AC6202" s="6">
        <f t="shared" si="959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963"/>
        <v>0</v>
      </c>
      <c r="AG6202" s="14">
        <v>0.19</v>
      </c>
      <c r="AH6202" s="6">
        <f t="shared" si="958"/>
        <v>0</v>
      </c>
      <c r="AI6202" s="47"/>
      <c r="AJ6202" s="126" t="e">
        <v>#N/A</v>
      </c>
      <c r="AK6202" s="80">
        <f t="shared" si="962"/>
        <v>0</v>
      </c>
      <c r="AL6202" s="85"/>
      <c r="AM6202" s="85"/>
    </row>
    <row r="6203" spans="1:39" s="86" customFormat="1" ht="13.25" hidden="1" customHeight="1" x14ac:dyDescent="0.3">
      <c r="A6203" s="89" t="s">
        <v>3792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964"/>
        <v>223134.78800000018</v>
      </c>
      <c r="X6203" s="6">
        <f t="shared" si="957"/>
        <v>0</v>
      </c>
      <c r="Y6203" s="13">
        <f t="shared" si="960"/>
        <v>0</v>
      </c>
      <c r="Z6203" s="14">
        <v>0</v>
      </c>
      <c r="AA6203" s="6">
        <v>0</v>
      </c>
      <c r="AB6203" s="4">
        <f t="shared" si="961"/>
        <v>0</v>
      </c>
      <c r="AC6203" s="6">
        <f t="shared" si="959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963"/>
        <v>0</v>
      </c>
      <c r="AG6203" s="14">
        <v>0.24</v>
      </c>
      <c r="AH6203" s="6">
        <f t="shared" si="958"/>
        <v>0</v>
      </c>
      <c r="AI6203" s="47"/>
      <c r="AJ6203" s="126" t="e">
        <v>#N/A</v>
      </c>
      <c r="AK6203" s="80">
        <f t="shared" si="962"/>
        <v>0</v>
      </c>
      <c r="AL6203" s="85"/>
      <c r="AM6203" s="85"/>
    </row>
    <row r="6204" spans="1:39" s="86" customFormat="1" ht="13.25" hidden="1" customHeight="1" x14ac:dyDescent="0.3">
      <c r="A6204" s="89" t="s">
        <v>3794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964"/>
        <v>4009966.8060000003</v>
      </c>
      <c r="X6204" s="6">
        <f t="shared" ref="X6204:X6267" si="965">IF(P6204="折扣",V6204*Q6204,IF(P6204="返现",V6204,V6204/(1+Q6204+AG6204)))</f>
        <v>0</v>
      </c>
      <c r="Y6204" s="13">
        <f t="shared" si="960"/>
        <v>0</v>
      </c>
      <c r="Z6204" s="14">
        <v>0</v>
      </c>
      <c r="AA6204" s="6">
        <v>0</v>
      </c>
      <c r="AB6204" s="4">
        <f t="shared" si="961"/>
        <v>0</v>
      </c>
      <c r="AC6204" s="6">
        <f t="shared" si="959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963"/>
        <v>0</v>
      </c>
      <c r="AG6204" s="14">
        <v>0.28000000000000003</v>
      </c>
      <c r="AH6204" s="6">
        <f t="shared" ref="AH6204:AH6267" si="966">V6204/(1+AG6204)</f>
        <v>0</v>
      </c>
      <c r="AI6204" s="47"/>
      <c r="AJ6204" s="126" t="e">
        <v>#N/A</v>
      </c>
      <c r="AK6204" s="80">
        <f t="shared" si="962"/>
        <v>0</v>
      </c>
      <c r="AL6204" s="85"/>
      <c r="AM6204" s="85"/>
    </row>
    <row r="6205" spans="1:39" s="86" customFormat="1" ht="13.25" hidden="1" customHeight="1" x14ac:dyDescent="0.3">
      <c r="A6205" s="89" t="s">
        <v>3792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964"/>
        <v>4486733.1013000002</v>
      </c>
      <c r="X6205" s="6">
        <f t="shared" si="965"/>
        <v>0</v>
      </c>
      <c r="Y6205" s="13">
        <f t="shared" si="960"/>
        <v>0</v>
      </c>
      <c r="Z6205" s="14">
        <v>0</v>
      </c>
      <c r="AA6205" s="6">
        <v>0</v>
      </c>
      <c r="AB6205" s="4">
        <f t="shared" si="961"/>
        <v>0</v>
      </c>
      <c r="AC6205" s="6">
        <f t="shared" si="959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963"/>
        <v>0</v>
      </c>
      <c r="AG6205" s="14">
        <v>0.19</v>
      </c>
      <c r="AH6205" s="6">
        <f t="shared" si="966"/>
        <v>0</v>
      </c>
      <c r="AI6205" s="47"/>
      <c r="AJ6205" s="126" t="e">
        <v>#N/A</v>
      </c>
      <c r="AK6205" s="80">
        <f t="shared" si="962"/>
        <v>0</v>
      </c>
      <c r="AL6205" s="85"/>
      <c r="AM6205" s="85"/>
    </row>
    <row r="6206" spans="1:39" s="86" customFormat="1" ht="13.25" hidden="1" customHeight="1" x14ac:dyDescent="0.3">
      <c r="A6206" s="89" t="s">
        <v>3792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964"/>
        <v>459263.8334</v>
      </c>
      <c r="X6206" s="6">
        <f t="shared" si="965"/>
        <v>0</v>
      </c>
      <c r="Y6206" s="13">
        <f t="shared" si="960"/>
        <v>0</v>
      </c>
      <c r="Z6206" s="14">
        <v>0</v>
      </c>
      <c r="AA6206" s="6">
        <v>0</v>
      </c>
      <c r="AB6206" s="4">
        <f t="shared" si="961"/>
        <v>0</v>
      </c>
      <c r="AC6206" s="6">
        <f t="shared" ref="AC6206:AC6269" si="967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963"/>
        <v>0</v>
      </c>
      <c r="AG6206" s="14">
        <v>0.26</v>
      </c>
      <c r="AH6206" s="6">
        <f t="shared" si="966"/>
        <v>0</v>
      </c>
      <c r="AI6206" s="47"/>
      <c r="AJ6206" s="126" t="e">
        <v>#N/A</v>
      </c>
      <c r="AK6206" s="80">
        <f t="shared" si="962"/>
        <v>0</v>
      </c>
      <c r="AL6206" s="85"/>
      <c r="AM6206" s="85"/>
    </row>
    <row r="6207" spans="1:39" s="86" customFormat="1" ht="13.25" hidden="1" customHeight="1" x14ac:dyDescent="0.3">
      <c r="A6207" s="89" t="s">
        <v>3792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964"/>
        <v>28999.739100000821</v>
      </c>
      <c r="X6207" s="6">
        <f t="shared" si="965"/>
        <v>0</v>
      </c>
      <c r="Y6207" s="13">
        <f t="shared" si="960"/>
        <v>0</v>
      </c>
      <c r="Z6207" s="14">
        <v>0</v>
      </c>
      <c r="AA6207" s="6">
        <v>0</v>
      </c>
      <c r="AB6207" s="4">
        <f t="shared" si="961"/>
        <v>0</v>
      </c>
      <c r="AC6207" s="6">
        <f t="shared" si="967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963"/>
        <v>0</v>
      </c>
      <c r="AG6207" s="14">
        <v>0.21</v>
      </c>
      <c r="AH6207" s="6">
        <f t="shared" si="966"/>
        <v>0</v>
      </c>
      <c r="AI6207" s="47"/>
      <c r="AJ6207" s="126" t="e">
        <v>#N/A</v>
      </c>
      <c r="AK6207" s="80">
        <f t="shared" si="962"/>
        <v>0</v>
      </c>
      <c r="AL6207" s="85"/>
      <c r="AM6207" s="85"/>
    </row>
    <row r="6208" spans="1:39" s="86" customFormat="1" ht="13.25" hidden="1" customHeight="1" x14ac:dyDescent="0.3">
      <c r="A6208" s="89" t="s">
        <v>3792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964"/>
        <v>7396590.9396000002</v>
      </c>
      <c r="X6208" s="6">
        <f t="shared" si="965"/>
        <v>0</v>
      </c>
      <c r="Y6208" s="13">
        <f t="shared" si="960"/>
        <v>0</v>
      </c>
      <c r="Z6208" s="14">
        <v>0</v>
      </c>
      <c r="AA6208" s="6">
        <v>0</v>
      </c>
      <c r="AB6208" s="4">
        <f t="shared" si="961"/>
        <v>0</v>
      </c>
      <c r="AC6208" s="6">
        <f t="shared" si="967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963"/>
        <v>0</v>
      </c>
      <c r="AG6208" s="14">
        <v>0.28000000000000003</v>
      </c>
      <c r="AH6208" s="6">
        <f t="shared" si="966"/>
        <v>0</v>
      </c>
      <c r="AI6208" s="47"/>
      <c r="AJ6208" s="126" t="e">
        <v>#N/A</v>
      </c>
      <c r="AK6208" s="80">
        <f t="shared" si="962"/>
        <v>0</v>
      </c>
      <c r="AL6208" s="85"/>
      <c r="AM6208" s="85"/>
    </row>
    <row r="6209" spans="1:39" s="86" customFormat="1" ht="13.25" hidden="1" customHeight="1" x14ac:dyDescent="0.3">
      <c r="A6209" s="89" t="s">
        <v>3794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964"/>
        <v>266304.87000000314</v>
      </c>
      <c r="X6209" s="6">
        <f t="shared" si="965"/>
        <v>0</v>
      </c>
      <c r="Y6209" s="13">
        <f t="shared" si="960"/>
        <v>0</v>
      </c>
      <c r="Z6209" s="14">
        <v>0</v>
      </c>
      <c r="AA6209" s="6">
        <v>0</v>
      </c>
      <c r="AB6209" s="4">
        <f t="shared" si="961"/>
        <v>0</v>
      </c>
      <c r="AC6209" s="6">
        <f t="shared" si="967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963"/>
        <v>0</v>
      </c>
      <c r="AG6209" s="14">
        <v>0.06</v>
      </c>
      <c r="AH6209" s="6">
        <f t="shared" si="966"/>
        <v>0</v>
      </c>
      <c r="AI6209" s="47"/>
      <c r="AJ6209" s="126" t="e">
        <v>#N/A</v>
      </c>
      <c r="AK6209" s="80">
        <f t="shared" si="962"/>
        <v>0</v>
      </c>
      <c r="AL6209" s="85"/>
      <c r="AM6209" s="85"/>
    </row>
    <row r="6210" spans="1:39" s="86" customFormat="1" ht="13.25" hidden="1" customHeight="1" x14ac:dyDescent="0.3">
      <c r="A6210" s="89" t="s">
        <v>3794</v>
      </c>
      <c r="B6210" s="86" t="s">
        <v>35</v>
      </c>
      <c r="C6210" s="86" t="s">
        <v>184</v>
      </c>
      <c r="D6210" s="86" t="s">
        <v>3849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964"/>
        <v>-1.2999999999733518</v>
      </c>
      <c r="X6210" s="6">
        <f t="shared" si="965"/>
        <v>0</v>
      </c>
      <c r="Y6210" s="13">
        <f t="shared" si="960"/>
        <v>0</v>
      </c>
      <c r="Z6210" s="14">
        <v>0</v>
      </c>
      <c r="AA6210" s="6">
        <v>0</v>
      </c>
      <c r="AB6210" s="4">
        <f t="shared" si="961"/>
        <v>0</v>
      </c>
      <c r="AC6210" s="6">
        <f t="shared" si="967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963"/>
        <v>0</v>
      </c>
      <c r="AG6210" s="14">
        <v>0</v>
      </c>
      <c r="AH6210" s="6">
        <f t="shared" si="966"/>
        <v>0</v>
      </c>
      <c r="AI6210" s="47"/>
      <c r="AJ6210" s="126" t="e">
        <v>#N/A</v>
      </c>
      <c r="AK6210" s="80">
        <f t="shared" si="962"/>
        <v>0</v>
      </c>
      <c r="AL6210" s="85"/>
      <c r="AM6210" s="85"/>
    </row>
    <row r="6211" spans="1:39" s="86" customFormat="1" ht="13.25" hidden="1" customHeight="1" x14ac:dyDescent="0.3">
      <c r="A6211" s="89" t="s">
        <v>3794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964"/>
        <v>24171.620000000003</v>
      </c>
      <c r="X6211" s="6">
        <f t="shared" si="965"/>
        <v>15536.569999999992</v>
      </c>
      <c r="Y6211" s="13">
        <f t="shared" ref="Y6211:Y6274" si="968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969">X6211+AA6211</f>
        <v>15536.569999999992</v>
      </c>
      <c r="AC6211" s="6">
        <f t="shared" si="967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963"/>
        <v>1087.5598999999995</v>
      </c>
      <c r="AG6211" s="14">
        <v>0</v>
      </c>
      <c r="AH6211" s="6">
        <f t="shared" si="966"/>
        <v>15536.569999999992</v>
      </c>
      <c r="AI6211" s="47"/>
      <c r="AJ6211" s="126" t="e">
        <v>#N/A</v>
      </c>
      <c r="AK6211" s="80">
        <f t="shared" ref="AK6211:AK6274" si="970">X6211+AA6211-AB6211</f>
        <v>0</v>
      </c>
      <c r="AL6211" s="85"/>
      <c r="AM6211" s="85"/>
    </row>
    <row r="6212" spans="1:39" s="86" customFormat="1" ht="13.25" hidden="1" customHeight="1" x14ac:dyDescent="0.3">
      <c r="A6212" s="89" t="s">
        <v>3794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964"/>
        <v>297795.50800000026</v>
      </c>
      <c r="X6212" s="6">
        <f t="shared" si="965"/>
        <v>113416.74647887335</v>
      </c>
      <c r="Y6212" s="13">
        <f t="shared" si="968"/>
        <v>0</v>
      </c>
      <c r="Z6212" s="14">
        <v>0</v>
      </c>
      <c r="AA6212" s="6">
        <v>0</v>
      </c>
      <c r="AB6212" s="4">
        <f t="shared" si="969"/>
        <v>113416.74647887335</v>
      </c>
      <c r="AC6212" s="6">
        <f t="shared" si="967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963"/>
        <v>10352.830499999995</v>
      </c>
      <c r="AG6212" s="14">
        <v>0.4</v>
      </c>
      <c r="AH6212" s="6">
        <f t="shared" si="966"/>
        <v>115036.98571428582</v>
      </c>
      <c r="AI6212" s="47"/>
      <c r="AJ6212" s="126" t="e">
        <v>#N/A</v>
      </c>
      <c r="AK6212" s="80">
        <f t="shared" si="970"/>
        <v>0</v>
      </c>
      <c r="AL6212" s="85"/>
      <c r="AM6212" s="85"/>
    </row>
    <row r="6213" spans="1:39" s="86" customFormat="1" ht="13.25" hidden="1" customHeight="1" x14ac:dyDescent="0.3">
      <c r="A6213" s="89" t="s">
        <v>3792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964"/>
        <v>3638.3513000000003</v>
      </c>
      <c r="X6213" s="6">
        <f t="shared" si="965"/>
        <v>1435.3857142857144</v>
      </c>
      <c r="Y6213" s="13">
        <f t="shared" si="968"/>
        <v>0</v>
      </c>
      <c r="Z6213" s="14">
        <v>0</v>
      </c>
      <c r="AA6213" s="6">
        <v>0</v>
      </c>
      <c r="AB6213" s="4">
        <f t="shared" si="969"/>
        <v>1435.3857142857144</v>
      </c>
      <c r="AC6213" s="6">
        <f t="shared" si="967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963"/>
        <v>102.67740000000002</v>
      </c>
      <c r="AG6213" s="14">
        <v>0.37</v>
      </c>
      <c r="AH6213" s="6">
        <f t="shared" si="966"/>
        <v>1466.817518248175</v>
      </c>
      <c r="AI6213" s="47"/>
      <c r="AJ6213" s="126" t="e">
        <v>#N/A</v>
      </c>
      <c r="AK6213" s="80">
        <f t="shared" si="970"/>
        <v>0</v>
      </c>
      <c r="AL6213" s="85"/>
      <c r="AM6213" s="85"/>
    </row>
    <row r="6214" spans="1:39" s="86" customFormat="1" ht="13.25" hidden="1" customHeight="1" x14ac:dyDescent="0.3">
      <c r="A6214" s="89" t="s">
        <v>3792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964"/>
        <v>22203.277846351091</v>
      </c>
      <c r="X6214" s="6">
        <f t="shared" si="965"/>
        <v>98895.893617021255</v>
      </c>
      <c r="Y6214" s="13">
        <f t="shared" si="968"/>
        <v>0</v>
      </c>
      <c r="Z6214" s="14">
        <v>0</v>
      </c>
      <c r="AA6214" s="6">
        <v>0</v>
      </c>
      <c r="AB6214" s="4">
        <f t="shared" si="969"/>
        <v>98895.893617021255</v>
      </c>
      <c r="AC6214" s="6">
        <f t="shared" si="967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963"/>
        <v>8964.0332999999955</v>
      </c>
      <c r="AG6214" s="14">
        <v>0.4</v>
      </c>
      <c r="AH6214" s="6">
        <f t="shared" si="966"/>
        <v>99602.292857142864</v>
      </c>
      <c r="AI6214" s="47"/>
      <c r="AJ6214" s="126" t="e">
        <v>#N/A</v>
      </c>
      <c r="AK6214" s="80">
        <f t="shared" si="970"/>
        <v>0</v>
      </c>
      <c r="AL6214" s="85"/>
      <c r="AM6214" s="85"/>
    </row>
    <row r="6215" spans="1:39" s="86" customFormat="1" ht="13.25" hidden="1" customHeight="1" x14ac:dyDescent="0.3">
      <c r="A6215" s="89" t="s">
        <v>3792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964"/>
        <v>-810.73070729988831</v>
      </c>
      <c r="X6215" s="6">
        <f t="shared" si="965"/>
        <v>31900.92142857143</v>
      </c>
      <c r="Y6215" s="13">
        <f t="shared" si="968"/>
        <v>0</v>
      </c>
      <c r="Z6215" s="14">
        <v>0</v>
      </c>
      <c r="AA6215" s="6">
        <v>0</v>
      </c>
      <c r="AB6215" s="4">
        <f t="shared" si="969"/>
        <v>31900.92142857143</v>
      </c>
      <c r="AC6215" s="6">
        <f t="shared" si="967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963"/>
        <v>2281.964300000001</v>
      </c>
      <c r="AG6215" s="14">
        <v>0.37</v>
      </c>
      <c r="AH6215" s="6">
        <f t="shared" si="966"/>
        <v>32599.481751824816</v>
      </c>
      <c r="AI6215" s="47"/>
      <c r="AJ6215" s="126" t="e">
        <v>#N/A</v>
      </c>
      <c r="AK6215" s="80">
        <f t="shared" si="970"/>
        <v>0</v>
      </c>
      <c r="AL6215" s="85"/>
      <c r="AM6215" s="85"/>
    </row>
    <row r="6216" spans="1:39" s="86" customFormat="1" ht="13.25" hidden="1" customHeight="1" x14ac:dyDescent="0.3">
      <c r="A6216" s="89" t="s">
        <v>3794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3908</v>
      </c>
      <c r="T6216" s="6">
        <v>213139.3984999996</v>
      </c>
      <c r="U6216" s="6">
        <v>2036.73</v>
      </c>
      <c r="V6216" s="6">
        <v>0</v>
      </c>
      <c r="W6216" s="6">
        <f t="shared" si="964"/>
        <v>215176.12849999961</v>
      </c>
      <c r="X6216" s="6">
        <f>IF(P6216="折扣",V6216*Q6216,IF(P6216="返现",V6216,(V6216-2036.73)/(1+Q6216+AG6216)))</f>
        <v>-1404.6413793103447</v>
      </c>
      <c r="Y6216" s="13">
        <f t="shared" si="968"/>
        <v>0</v>
      </c>
      <c r="Z6216" s="14">
        <v>0</v>
      </c>
      <c r="AA6216" s="6">
        <v>0</v>
      </c>
      <c r="AB6216" s="4">
        <f t="shared" si="969"/>
        <v>-1404.6413793103447</v>
      </c>
      <c r="AC6216" s="6">
        <f t="shared" si="967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963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970"/>
        <v>0</v>
      </c>
      <c r="AL6216" s="85"/>
      <c r="AM6216" s="85"/>
    </row>
    <row r="6217" spans="1:39" s="86" customFormat="1" ht="13.25" hidden="1" customHeight="1" x14ac:dyDescent="0.3">
      <c r="A6217" s="89" t="s">
        <v>3794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964"/>
        <v>441000</v>
      </c>
      <c r="X6217" s="6">
        <f t="shared" si="965"/>
        <v>0</v>
      </c>
      <c r="Y6217" s="13">
        <f t="shared" si="968"/>
        <v>0</v>
      </c>
      <c r="Z6217" s="14">
        <v>0</v>
      </c>
      <c r="AA6217" s="6">
        <v>0</v>
      </c>
      <c r="AB6217" s="4">
        <f t="shared" si="969"/>
        <v>0</v>
      </c>
      <c r="AC6217" s="6">
        <f t="shared" si="967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963"/>
        <v>0</v>
      </c>
      <c r="AG6217" s="14">
        <v>0.4</v>
      </c>
      <c r="AH6217" s="6">
        <f t="shared" si="966"/>
        <v>0</v>
      </c>
      <c r="AI6217" s="47"/>
      <c r="AJ6217" s="126" t="e">
        <v>#N/A</v>
      </c>
      <c r="AK6217" s="80">
        <f t="shared" si="970"/>
        <v>0</v>
      </c>
      <c r="AL6217" s="85"/>
      <c r="AM6217" s="85"/>
    </row>
    <row r="6218" spans="1:39" s="86" customFormat="1" ht="13.25" hidden="1" customHeight="1" x14ac:dyDescent="0.3">
      <c r="A6218" s="89" t="s">
        <v>3794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3909</v>
      </c>
      <c r="T6218" s="6">
        <v>-2.5999999837949872E-2</v>
      </c>
      <c r="U6218" s="6">
        <v>3146.17</v>
      </c>
      <c r="V6218" s="6">
        <v>0</v>
      </c>
      <c r="W6218" s="6">
        <f t="shared" si="964"/>
        <v>3146.1440000001621</v>
      </c>
      <c r="X6218" s="6">
        <f t="shared" si="965"/>
        <v>0</v>
      </c>
      <c r="Y6218" s="13">
        <f t="shared" si="968"/>
        <v>0</v>
      </c>
      <c r="Z6218" s="14">
        <v>0</v>
      </c>
      <c r="AA6218" s="6">
        <v>0</v>
      </c>
      <c r="AB6218" s="4">
        <f t="shared" si="969"/>
        <v>0</v>
      </c>
      <c r="AC6218" s="6">
        <f t="shared" si="967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963"/>
        <v>0</v>
      </c>
      <c r="AG6218" s="14">
        <v>0.4</v>
      </c>
      <c r="AH6218" s="6">
        <f t="shared" si="966"/>
        <v>0</v>
      </c>
      <c r="AI6218" s="47"/>
      <c r="AJ6218" s="126" t="e">
        <v>#N/A</v>
      </c>
      <c r="AK6218" s="80">
        <f t="shared" si="970"/>
        <v>0</v>
      </c>
      <c r="AL6218" s="85"/>
      <c r="AM6218" s="85"/>
    </row>
    <row r="6219" spans="1:39" s="86" customFormat="1" ht="13.25" hidden="1" customHeight="1" x14ac:dyDescent="0.3">
      <c r="A6219" s="89" t="s">
        <v>3794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965"/>
        <v>2103.9310344827582</v>
      </c>
      <c r="Y6219" s="13">
        <f t="shared" si="968"/>
        <v>0</v>
      </c>
      <c r="Z6219" s="14">
        <v>0</v>
      </c>
      <c r="AA6219" s="6">
        <v>0</v>
      </c>
      <c r="AB6219" s="4">
        <f t="shared" si="969"/>
        <v>2103.9310344827582</v>
      </c>
      <c r="AC6219" s="6">
        <f t="shared" si="967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963"/>
        <v>155.87530000000001</v>
      </c>
      <c r="AG6219" s="14">
        <v>0.37</v>
      </c>
      <c r="AH6219" s="6">
        <f t="shared" si="966"/>
        <v>2226.7883211678827</v>
      </c>
      <c r="AI6219" s="47"/>
      <c r="AJ6219" s="126" t="e">
        <v>#N/A</v>
      </c>
      <c r="AK6219" s="80">
        <f t="shared" si="970"/>
        <v>0</v>
      </c>
      <c r="AL6219" s="85"/>
      <c r="AM6219" s="85"/>
    </row>
    <row r="6220" spans="1:39" s="86" customFormat="1" ht="13.25" hidden="1" customHeight="1" x14ac:dyDescent="0.3">
      <c r="A6220" s="89" t="s">
        <v>3792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3910</v>
      </c>
      <c r="T6220" s="6">
        <v>758988.66556999355</v>
      </c>
      <c r="U6220" s="6">
        <v>-607911.78</v>
      </c>
      <c r="V6220" s="6">
        <v>103788.62999999998</v>
      </c>
      <c r="W6220" s="6">
        <f t="shared" si="964"/>
        <v>47288.255569993547</v>
      </c>
      <c r="X6220" s="6">
        <f>(V6220-56453.8)/(1+Q6220+AG6220)</f>
        <v>31982.993243243225</v>
      </c>
      <c r="Y6220" s="13">
        <f t="shared" si="968"/>
        <v>0</v>
      </c>
      <c r="Z6220" s="14">
        <v>0</v>
      </c>
      <c r="AA6220" s="6">
        <v>0</v>
      </c>
      <c r="AB6220" s="4">
        <f t="shared" si="969"/>
        <v>31982.993243243225</v>
      </c>
      <c r="AC6220" s="6">
        <f t="shared" si="967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963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970"/>
        <v>0</v>
      </c>
      <c r="AL6220" s="85"/>
      <c r="AM6220" s="85"/>
    </row>
    <row r="6221" spans="1:39" s="86" customFormat="1" ht="13.25" hidden="1" customHeight="1" x14ac:dyDescent="0.3">
      <c r="A6221" s="89" t="s">
        <v>3794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964"/>
        <v>22799.786499999995</v>
      </c>
      <c r="X6221" s="6">
        <f t="shared" si="965"/>
        <v>0</v>
      </c>
      <c r="Y6221" s="13">
        <f t="shared" si="968"/>
        <v>0</v>
      </c>
      <c r="Z6221" s="14">
        <v>0</v>
      </c>
      <c r="AA6221" s="6">
        <v>0</v>
      </c>
      <c r="AB6221" s="4">
        <f t="shared" si="969"/>
        <v>0</v>
      </c>
      <c r="AC6221" s="6">
        <f t="shared" si="967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963"/>
        <v>0</v>
      </c>
      <c r="AG6221" s="14">
        <v>0.37</v>
      </c>
      <c r="AH6221" s="6">
        <f t="shared" si="966"/>
        <v>0</v>
      </c>
      <c r="AI6221" s="47"/>
      <c r="AJ6221" s="126" t="e">
        <v>#N/A</v>
      </c>
      <c r="AK6221" s="80">
        <f t="shared" si="970"/>
        <v>0</v>
      </c>
      <c r="AL6221" s="85"/>
      <c r="AM6221" s="85"/>
    </row>
    <row r="6222" spans="1:39" s="86" customFormat="1" ht="13.25" hidden="1" customHeight="1" x14ac:dyDescent="0.3">
      <c r="A6222" s="89" t="s">
        <v>3794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964"/>
        <v>633381.90960000048</v>
      </c>
      <c r="X6222" s="6">
        <f t="shared" si="965"/>
        <v>163738.21379310344</v>
      </c>
      <c r="Y6222" s="13">
        <f t="shared" si="968"/>
        <v>0</v>
      </c>
      <c r="Z6222" s="14">
        <v>0</v>
      </c>
      <c r="AA6222" s="6">
        <v>0</v>
      </c>
      <c r="AB6222" s="4">
        <f t="shared" si="969"/>
        <v>163738.21379310344</v>
      </c>
      <c r="AC6222" s="6">
        <f t="shared" si="967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963"/>
        <v>12130.801200000009</v>
      </c>
      <c r="AG6222" s="14">
        <v>0.37</v>
      </c>
      <c r="AH6222" s="6">
        <f t="shared" si="966"/>
        <v>173299.5693430657</v>
      </c>
      <c r="AI6222" s="47"/>
      <c r="AJ6222" s="126" t="e">
        <v>#N/A</v>
      </c>
      <c r="AK6222" s="80">
        <f t="shared" si="970"/>
        <v>0</v>
      </c>
      <c r="AL6222" s="85"/>
      <c r="AM6222" s="85"/>
    </row>
    <row r="6223" spans="1:39" s="86" customFormat="1" ht="13.25" hidden="1" customHeight="1" x14ac:dyDescent="0.3">
      <c r="A6223" s="89" t="s">
        <v>3794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3911</v>
      </c>
      <c r="T6223" s="6">
        <v>47075.687999999762</v>
      </c>
      <c r="U6223" s="6">
        <v>2042.18</v>
      </c>
      <c r="V6223" s="6">
        <v>0</v>
      </c>
      <c r="W6223" s="6">
        <f t="shared" si="964"/>
        <v>49117.867999999762</v>
      </c>
      <c r="X6223" s="6">
        <f>IF(P6223="折扣",V6223*Q6223,IF(P6223="返现",V6223,(V6223-2042.18)/(1+Q6223+AG6223)))</f>
        <v>-1448.3546099290779</v>
      </c>
      <c r="Y6223" s="13">
        <f t="shared" si="968"/>
        <v>0</v>
      </c>
      <c r="Z6223" s="14">
        <v>0</v>
      </c>
      <c r="AA6223" s="6">
        <v>0</v>
      </c>
      <c r="AB6223" s="4">
        <f t="shared" si="969"/>
        <v>-1448.3546099290779</v>
      </c>
      <c r="AC6223" s="6">
        <f t="shared" si="967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963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970"/>
        <v>0</v>
      </c>
      <c r="AL6223" s="85"/>
      <c r="AM6223" s="85"/>
    </row>
    <row r="6224" spans="1:39" s="86" customFormat="1" ht="13.25" hidden="1" customHeight="1" x14ac:dyDescent="0.3">
      <c r="A6224" s="89" t="s">
        <v>3794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3912</v>
      </c>
      <c r="T6224" s="6">
        <v>51727.3842</v>
      </c>
      <c r="U6224" s="6">
        <v>487.53</v>
      </c>
      <c r="V6224" s="6">
        <v>52232.849999999984</v>
      </c>
      <c r="W6224" s="6">
        <f t="shared" si="964"/>
        <v>-17.935799999984738</v>
      </c>
      <c r="X6224" s="6">
        <f>IF(P6224="折扣",V6224*Q6224,IF(P6224="返现",V6224,(V6224-487.53)/(1+Q6224+AG6224)))</f>
        <v>36185.538461538446</v>
      </c>
      <c r="Y6224" s="13">
        <f t="shared" si="968"/>
        <v>0</v>
      </c>
      <c r="Z6224" s="14">
        <v>0</v>
      </c>
      <c r="AA6224" s="6">
        <v>0</v>
      </c>
      <c r="AB6224" s="4">
        <f t="shared" si="969"/>
        <v>36185.538461538446</v>
      </c>
      <c r="AC6224" s="6">
        <f t="shared" si="967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963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970"/>
        <v>0</v>
      </c>
      <c r="AL6224" s="85"/>
      <c r="AM6224" s="85"/>
    </row>
    <row r="6225" spans="1:39" s="86" customFormat="1" ht="13.25" hidden="1" customHeight="1" x14ac:dyDescent="0.3">
      <c r="A6225" s="89" t="s">
        <v>3794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964"/>
        <v>1.6000000005305992E-2</v>
      </c>
      <c r="X6225" s="6">
        <f t="shared" si="965"/>
        <v>0</v>
      </c>
      <c r="Y6225" s="13">
        <f t="shared" si="968"/>
        <v>0</v>
      </c>
      <c r="Z6225" s="14">
        <v>0</v>
      </c>
      <c r="AA6225" s="6">
        <v>0</v>
      </c>
      <c r="AB6225" s="4">
        <f t="shared" si="969"/>
        <v>0</v>
      </c>
      <c r="AC6225" s="6">
        <f t="shared" si="967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963"/>
        <v>0</v>
      </c>
      <c r="AG6225" s="14">
        <v>0.4</v>
      </c>
      <c r="AH6225" s="6">
        <f t="shared" si="966"/>
        <v>0</v>
      </c>
      <c r="AI6225" s="47"/>
      <c r="AJ6225" s="126" t="e">
        <v>#N/A</v>
      </c>
      <c r="AK6225" s="80">
        <f t="shared" si="970"/>
        <v>0</v>
      </c>
      <c r="AL6225" s="85"/>
      <c r="AM6225" s="85"/>
    </row>
    <row r="6226" spans="1:39" s="86" customFormat="1" ht="13.25" hidden="1" customHeight="1" x14ac:dyDescent="0.3">
      <c r="A6226" s="89" t="s">
        <v>3792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964"/>
        <v>75309.735199999835</v>
      </c>
      <c r="X6226" s="6">
        <f t="shared" si="965"/>
        <v>64733.317829457381</v>
      </c>
      <c r="Y6226" s="13">
        <f t="shared" si="968"/>
        <v>0</v>
      </c>
      <c r="Z6226" s="14">
        <v>0</v>
      </c>
      <c r="AA6226" s="6">
        <v>0</v>
      </c>
      <c r="AB6226" s="4">
        <f t="shared" si="969"/>
        <v>64733.317829457381</v>
      </c>
      <c r="AC6226" s="6">
        <f t="shared" si="967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963"/>
        <v>6060.8898000000008</v>
      </c>
      <c r="AG6226" s="14">
        <v>0.24</v>
      </c>
      <c r="AH6226" s="6">
        <f t="shared" si="966"/>
        <v>67343.53225806453</v>
      </c>
      <c r="AI6226" s="47"/>
      <c r="AJ6226" s="126" t="e">
        <v>#N/A</v>
      </c>
      <c r="AK6226" s="80">
        <f t="shared" si="970"/>
        <v>0</v>
      </c>
      <c r="AL6226" s="85"/>
      <c r="AM6226" s="85"/>
    </row>
    <row r="6227" spans="1:39" s="86" customFormat="1" ht="13.25" hidden="1" customHeight="1" x14ac:dyDescent="0.3">
      <c r="A6227" s="89" t="s">
        <v>3794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964"/>
        <v>373895.31</v>
      </c>
      <c r="X6227" s="6">
        <f t="shared" si="965"/>
        <v>41302.363636363618</v>
      </c>
      <c r="Y6227" s="13">
        <f t="shared" si="968"/>
        <v>0</v>
      </c>
      <c r="Z6227" s="14">
        <v>0</v>
      </c>
      <c r="AA6227" s="6">
        <v>0</v>
      </c>
      <c r="AB6227" s="4">
        <f t="shared" si="969"/>
        <v>41302.363636363618</v>
      </c>
      <c r="AC6227" s="6">
        <f t="shared" si="967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963"/>
        <v>3833.5248000000001</v>
      </c>
      <c r="AG6227" s="14">
        <v>0.28000000000000003</v>
      </c>
      <c r="AH6227" s="6">
        <f t="shared" si="966"/>
        <v>42593.062499999985</v>
      </c>
      <c r="AI6227" s="47"/>
      <c r="AJ6227" s="126" t="e">
        <v>#N/A</v>
      </c>
      <c r="AK6227" s="80">
        <f t="shared" si="970"/>
        <v>0</v>
      </c>
      <c r="AL6227" s="85"/>
      <c r="AM6227" s="85"/>
    </row>
    <row r="6228" spans="1:39" s="86" customFormat="1" ht="13.25" hidden="1" customHeight="1" x14ac:dyDescent="0.3">
      <c r="A6228" s="89" t="s">
        <v>3794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964"/>
        <v>205582.32199999999</v>
      </c>
      <c r="X6228" s="6">
        <f t="shared" si="965"/>
        <v>68592.307692307688</v>
      </c>
      <c r="Y6228" s="13">
        <f t="shared" si="968"/>
        <v>0</v>
      </c>
      <c r="Z6228" s="14">
        <v>0</v>
      </c>
      <c r="AA6228" s="6">
        <v>0</v>
      </c>
      <c r="AB6228" s="4">
        <f t="shared" si="969"/>
        <v>68592.307692307688</v>
      </c>
      <c r="AC6228" s="6">
        <f t="shared" si="967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963"/>
        <v>6305.2739999999994</v>
      </c>
      <c r="AG6228" s="14">
        <v>0.4</v>
      </c>
      <c r="AH6228" s="6">
        <f t="shared" si="966"/>
        <v>70062.142857142855</v>
      </c>
      <c r="AI6228" s="47"/>
      <c r="AJ6228" s="126" t="e">
        <v>#N/A</v>
      </c>
      <c r="AK6228" s="80">
        <f t="shared" si="970"/>
        <v>0</v>
      </c>
      <c r="AL6228" s="85"/>
      <c r="AM6228" s="85"/>
    </row>
    <row r="6229" spans="1:39" s="86" customFormat="1" ht="13.25" hidden="1" customHeight="1" x14ac:dyDescent="0.3">
      <c r="A6229" s="89" t="s">
        <v>3792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14">
        <v>2.5000000000000001E-2</v>
      </c>
      <c r="R6229" s="143"/>
      <c r="S6229" s="47"/>
      <c r="T6229" s="6">
        <v>51250</v>
      </c>
      <c r="U6229" s="6"/>
      <c r="V6229" s="6">
        <v>51250</v>
      </c>
      <c r="W6229" s="6">
        <f t="shared" si="964"/>
        <v>0</v>
      </c>
      <c r="X6229" s="6">
        <f t="shared" si="965"/>
        <v>50000.000000000007</v>
      </c>
      <c r="Y6229" s="13">
        <f t="shared" si="968"/>
        <v>50000.000000000007</v>
      </c>
      <c r="Z6229" s="14">
        <v>0</v>
      </c>
      <c r="AA6229" s="6">
        <v>0</v>
      </c>
      <c r="AB6229" s="4">
        <f t="shared" si="969"/>
        <v>50000.000000000007</v>
      </c>
      <c r="AC6229" s="6">
        <f t="shared" si="967"/>
        <v>1249.9999999999927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963"/>
        <v>0</v>
      </c>
      <c r="AG6229" s="14">
        <v>0</v>
      </c>
      <c r="AH6229" s="6">
        <f t="shared" si="966"/>
        <v>51250</v>
      </c>
      <c r="AI6229" s="47"/>
      <c r="AJ6229" s="126" t="e">
        <v>#N/A</v>
      </c>
      <c r="AK6229" s="80">
        <f t="shared" si="970"/>
        <v>0</v>
      </c>
      <c r="AL6229" s="85"/>
      <c r="AM6229" s="85"/>
    </row>
    <row r="6230" spans="1:39" s="86" customFormat="1" ht="13.25" hidden="1" customHeight="1" x14ac:dyDescent="0.3">
      <c r="A6230" s="89" t="s">
        <v>3792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964"/>
        <v>1933.260000000002</v>
      </c>
      <c r="X6230" s="6">
        <f t="shared" si="965"/>
        <v>6141.39</v>
      </c>
      <c r="Y6230" s="13">
        <f t="shared" si="968"/>
        <v>0</v>
      </c>
      <c r="Z6230" s="14">
        <v>0</v>
      </c>
      <c r="AA6230" s="6">
        <v>0</v>
      </c>
      <c r="AB6230" s="4">
        <f t="shared" si="969"/>
        <v>6141.39</v>
      </c>
      <c r="AC6230" s="6">
        <f t="shared" si="967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963"/>
        <v>429.89730000000009</v>
      </c>
      <c r="AG6230" s="14">
        <v>0</v>
      </c>
      <c r="AH6230" s="6">
        <f t="shared" si="966"/>
        <v>6141.39</v>
      </c>
      <c r="AI6230" s="47"/>
      <c r="AJ6230" s="126" t="e">
        <v>#N/A</v>
      </c>
      <c r="AK6230" s="80">
        <f t="shared" si="970"/>
        <v>0</v>
      </c>
      <c r="AL6230" s="85"/>
      <c r="AM6230" s="85"/>
    </row>
    <row r="6231" spans="1:39" s="86" customFormat="1" ht="13.25" hidden="1" customHeight="1" x14ac:dyDescent="0.3">
      <c r="A6231" s="89" t="s">
        <v>3794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964"/>
        <v>8592.809999999552</v>
      </c>
      <c r="X6231" s="6">
        <f t="shared" si="965"/>
        <v>0</v>
      </c>
      <c r="Y6231" s="13">
        <f t="shared" si="968"/>
        <v>0</v>
      </c>
      <c r="Z6231" s="14">
        <v>0</v>
      </c>
      <c r="AA6231" s="6">
        <v>0</v>
      </c>
      <c r="AB6231" s="4">
        <f t="shared" si="969"/>
        <v>0</v>
      </c>
      <c r="AC6231" s="6">
        <f t="shared" si="967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963"/>
        <v>0</v>
      </c>
      <c r="AG6231" s="14">
        <v>0</v>
      </c>
      <c r="AH6231" s="6">
        <f t="shared" si="966"/>
        <v>0</v>
      </c>
      <c r="AI6231" s="47"/>
      <c r="AJ6231" s="126" t="e">
        <v>#N/A</v>
      </c>
      <c r="AK6231" s="80">
        <f t="shared" si="970"/>
        <v>0</v>
      </c>
      <c r="AL6231" s="85"/>
      <c r="AM6231" s="85"/>
    </row>
    <row r="6232" spans="1:39" s="86" customFormat="1" ht="13.25" hidden="1" customHeight="1" x14ac:dyDescent="0.3">
      <c r="A6232" s="89" t="s">
        <v>3792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964"/>
        <v>76634.570000000007</v>
      </c>
      <c r="X6232" s="6">
        <f t="shared" si="965"/>
        <v>0</v>
      </c>
      <c r="Y6232" s="13">
        <f t="shared" si="968"/>
        <v>0</v>
      </c>
      <c r="Z6232" s="14">
        <v>0</v>
      </c>
      <c r="AA6232" s="6">
        <v>0</v>
      </c>
      <c r="AB6232" s="4">
        <f t="shared" si="969"/>
        <v>0</v>
      </c>
      <c r="AC6232" s="6">
        <f t="shared" si="967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963"/>
        <v>0</v>
      </c>
      <c r="AG6232" s="14">
        <v>0</v>
      </c>
      <c r="AH6232" s="6">
        <f t="shared" si="966"/>
        <v>0</v>
      </c>
      <c r="AI6232" s="47"/>
      <c r="AJ6232" s="126" t="e">
        <v>#N/A</v>
      </c>
      <c r="AK6232" s="80">
        <f t="shared" si="970"/>
        <v>0</v>
      </c>
      <c r="AL6232" s="85"/>
      <c r="AM6232" s="85"/>
    </row>
    <row r="6233" spans="1:39" s="86" customFormat="1" ht="13.25" hidden="1" customHeight="1" x14ac:dyDescent="0.3">
      <c r="A6233" s="89" t="s">
        <v>3792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964"/>
        <v>-75465.168399998918</v>
      </c>
      <c r="X6233" s="6">
        <f t="shared" si="965"/>
        <v>0</v>
      </c>
      <c r="Y6233" s="13">
        <f t="shared" si="968"/>
        <v>0</v>
      </c>
      <c r="Z6233" s="14">
        <v>0</v>
      </c>
      <c r="AA6233" s="6">
        <v>0</v>
      </c>
      <c r="AB6233" s="4">
        <f t="shared" si="969"/>
        <v>0</v>
      </c>
      <c r="AC6233" s="6">
        <f t="shared" si="967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963"/>
        <v>0</v>
      </c>
      <c r="AG6233" s="14">
        <v>0.24</v>
      </c>
      <c r="AH6233" s="6">
        <f t="shared" si="966"/>
        <v>0</v>
      </c>
      <c r="AI6233" s="47"/>
      <c r="AJ6233" s="126" t="e">
        <v>#N/A</v>
      </c>
      <c r="AK6233" s="80">
        <f t="shared" si="970"/>
        <v>0</v>
      </c>
      <c r="AL6233" s="85"/>
      <c r="AM6233" s="85"/>
    </row>
    <row r="6234" spans="1:39" s="86" customFormat="1" ht="13.25" hidden="1" customHeight="1" x14ac:dyDescent="0.3">
      <c r="A6234" s="89" t="s">
        <v>3792</v>
      </c>
      <c r="B6234" s="86" t="s">
        <v>35</v>
      </c>
      <c r="C6234" s="86" t="s">
        <v>184</v>
      </c>
      <c r="D6234" s="86" t="s">
        <v>3849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964"/>
        <v>0</v>
      </c>
      <c r="X6234" s="6">
        <f t="shared" si="965"/>
        <v>113419.46226415089</v>
      </c>
      <c r="Y6234" s="13">
        <f t="shared" si="968"/>
        <v>113419.46226415089</v>
      </c>
      <c r="Z6234" s="14">
        <v>0</v>
      </c>
      <c r="AA6234" s="6">
        <v>0</v>
      </c>
      <c r="AB6234" s="4">
        <f t="shared" si="969"/>
        <v>113419.46226415089</v>
      </c>
      <c r="AC6234" s="6">
        <f t="shared" si="967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963"/>
        <v>0</v>
      </c>
      <c r="AG6234" s="14">
        <v>0.06</v>
      </c>
      <c r="AH6234" s="6">
        <f t="shared" si="966"/>
        <v>113419.46226415089</v>
      </c>
      <c r="AI6234" s="47"/>
      <c r="AJ6234" s="126" t="e">
        <v>#N/A</v>
      </c>
      <c r="AK6234" s="80">
        <f t="shared" si="970"/>
        <v>0</v>
      </c>
      <c r="AL6234" s="85"/>
      <c r="AM6234" s="85"/>
    </row>
    <row r="6235" spans="1:39" s="86" customFormat="1" ht="13.25" hidden="1" customHeight="1" x14ac:dyDescent="0.3">
      <c r="A6235" s="89" t="s">
        <v>3794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964"/>
        <v>180941.16329999967</v>
      </c>
      <c r="X6235" s="6">
        <f t="shared" si="965"/>
        <v>625885.23039611988</v>
      </c>
      <c r="Y6235" s="13">
        <f t="shared" si="968"/>
        <v>625885.23039611988</v>
      </c>
      <c r="Z6235" s="14">
        <v>0</v>
      </c>
      <c r="AA6235" s="6">
        <v>0</v>
      </c>
      <c r="AB6235" s="4">
        <f t="shared" si="969"/>
        <v>625885.23039611988</v>
      </c>
      <c r="AC6235" s="6">
        <f t="shared" si="967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963"/>
        <v>0</v>
      </c>
      <c r="AG6235" s="14">
        <v>0.19</v>
      </c>
      <c r="AH6235" s="6">
        <f t="shared" si="966"/>
        <v>650605.06722689094</v>
      </c>
      <c r="AI6235" s="47"/>
      <c r="AJ6235" s="126" t="e">
        <v>#N/A</v>
      </c>
      <c r="AK6235" s="80">
        <f t="shared" si="970"/>
        <v>0</v>
      </c>
      <c r="AL6235" s="85"/>
      <c r="AM6235" s="85"/>
    </row>
    <row r="6236" spans="1:39" s="86" customFormat="1" ht="13.25" hidden="1" customHeight="1" x14ac:dyDescent="0.3">
      <c r="A6236" s="89" t="s">
        <v>3794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964"/>
        <v>1723.4100000000099</v>
      </c>
      <c r="X6236" s="6">
        <f t="shared" si="965"/>
        <v>8014.8199999999988</v>
      </c>
      <c r="Y6236" s="13">
        <f t="shared" si="968"/>
        <v>0</v>
      </c>
      <c r="Z6236" s="14">
        <v>0</v>
      </c>
      <c r="AA6236" s="6">
        <v>0</v>
      </c>
      <c r="AB6236" s="4">
        <f t="shared" si="969"/>
        <v>8014.8199999999988</v>
      </c>
      <c r="AC6236" s="6">
        <f t="shared" si="967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963"/>
        <v>561.03739999999993</v>
      </c>
      <c r="AG6236" s="14">
        <v>0</v>
      </c>
      <c r="AH6236" s="6">
        <f t="shared" si="966"/>
        <v>8014.8199999999988</v>
      </c>
      <c r="AI6236" s="47"/>
      <c r="AJ6236" s="126" t="e">
        <v>#N/A</v>
      </c>
      <c r="AK6236" s="80">
        <f t="shared" si="970"/>
        <v>0</v>
      </c>
      <c r="AL6236" s="85"/>
      <c r="AM6236" s="85"/>
    </row>
    <row r="6237" spans="1:39" s="86" customFormat="1" ht="13.25" hidden="1" customHeight="1" x14ac:dyDescent="0.3">
      <c r="A6237" s="89" t="s">
        <v>3792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964"/>
        <v>17803.209500000055</v>
      </c>
      <c r="X6237" s="6">
        <f t="shared" si="965"/>
        <v>0</v>
      </c>
      <c r="Y6237" s="13">
        <f t="shared" si="968"/>
        <v>0</v>
      </c>
      <c r="Z6237" s="14">
        <v>0</v>
      </c>
      <c r="AA6237" s="6">
        <v>0</v>
      </c>
      <c r="AB6237" s="4">
        <f t="shared" si="969"/>
        <v>0</v>
      </c>
      <c r="AC6237" s="6">
        <f t="shared" si="967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963"/>
        <v>0</v>
      </c>
      <c r="AG6237" s="14">
        <v>0.37</v>
      </c>
      <c r="AH6237" s="6">
        <f t="shared" si="966"/>
        <v>0</v>
      </c>
      <c r="AI6237" s="47"/>
      <c r="AJ6237" s="126" t="e">
        <v>#N/A</v>
      </c>
      <c r="AK6237" s="80">
        <f t="shared" si="970"/>
        <v>0</v>
      </c>
      <c r="AL6237" s="85"/>
      <c r="AM6237" s="85"/>
    </row>
    <row r="6238" spans="1:39" s="86" customFormat="1" ht="13.25" hidden="1" customHeight="1" x14ac:dyDescent="0.3">
      <c r="A6238" s="89" t="s">
        <v>3794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964"/>
        <v>138954.28797153162</v>
      </c>
      <c r="X6238" s="6">
        <f t="shared" si="965"/>
        <v>13.673913043478263</v>
      </c>
      <c r="Y6238" s="13">
        <f t="shared" si="968"/>
        <v>0</v>
      </c>
      <c r="Z6238" s="14">
        <v>0</v>
      </c>
      <c r="AA6238" s="6">
        <v>0</v>
      </c>
      <c r="AB6238" s="4">
        <f t="shared" si="969"/>
        <v>13.673913043478263</v>
      </c>
      <c r="AC6238" s="6">
        <f t="shared" si="967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963"/>
        <v>0.96390000000000009</v>
      </c>
      <c r="AG6238" s="14">
        <v>0.37</v>
      </c>
      <c r="AH6238" s="6">
        <f t="shared" si="966"/>
        <v>13.773722627737225</v>
      </c>
      <c r="AI6238" s="47"/>
      <c r="AJ6238" s="126" t="e">
        <v>#N/A</v>
      </c>
      <c r="AK6238" s="80">
        <f t="shared" si="970"/>
        <v>0</v>
      </c>
      <c r="AL6238" s="85"/>
      <c r="AM6238" s="85"/>
    </row>
    <row r="6239" spans="1:39" s="86" customFormat="1" ht="13.25" hidden="1" customHeight="1" x14ac:dyDescent="0.3">
      <c r="A6239" s="89" t="s">
        <v>3794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964"/>
        <v>20846.573399999957</v>
      </c>
      <c r="X6239" s="6">
        <f t="shared" si="965"/>
        <v>24765.014598540143</v>
      </c>
      <c r="Y6239" s="13">
        <f t="shared" si="968"/>
        <v>9.4598540137667442E-2</v>
      </c>
      <c r="Z6239" s="14">
        <v>0</v>
      </c>
      <c r="AA6239" s="6">
        <v>0</v>
      </c>
      <c r="AB6239" s="4">
        <f t="shared" si="969"/>
        <v>24765.014598540143</v>
      </c>
      <c r="AC6239" s="6">
        <f t="shared" si="967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963"/>
        <v>1733.5444000000005</v>
      </c>
      <c r="AG6239" s="14">
        <v>0.37</v>
      </c>
      <c r="AH6239" s="6">
        <f t="shared" si="966"/>
        <v>24765.014598540143</v>
      </c>
      <c r="AI6239" s="47"/>
      <c r="AJ6239" s="126" t="e">
        <v>#N/A</v>
      </c>
      <c r="AK6239" s="80">
        <f t="shared" si="970"/>
        <v>0</v>
      </c>
      <c r="AL6239" s="85"/>
      <c r="AM6239" s="85"/>
    </row>
    <row r="6240" spans="1:39" s="86" customFormat="1" ht="13.25" hidden="1" customHeight="1" x14ac:dyDescent="0.3">
      <c r="A6240" s="89" t="s">
        <v>3794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964"/>
        <v>19895.781699998079</v>
      </c>
      <c r="X6240" s="6">
        <f t="shared" si="965"/>
        <v>0</v>
      </c>
      <c r="Y6240" s="13">
        <f t="shared" si="968"/>
        <v>0</v>
      </c>
      <c r="Z6240" s="14">
        <v>0</v>
      </c>
      <c r="AA6240" s="6">
        <v>0</v>
      </c>
      <c r="AB6240" s="4">
        <f t="shared" si="969"/>
        <v>0</v>
      </c>
      <c r="AC6240" s="6">
        <f t="shared" si="967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963"/>
        <v>0</v>
      </c>
      <c r="AG6240" s="14">
        <v>0.4</v>
      </c>
      <c r="AH6240" s="6">
        <f t="shared" si="966"/>
        <v>0</v>
      </c>
      <c r="AI6240" s="47"/>
      <c r="AJ6240" s="126" t="e">
        <v>#N/A</v>
      </c>
      <c r="AK6240" s="80">
        <f t="shared" si="970"/>
        <v>0</v>
      </c>
      <c r="AL6240" s="85"/>
      <c r="AM6240" s="85"/>
    </row>
    <row r="6241" spans="1:39" s="86" customFormat="1" ht="13.25" hidden="1" customHeight="1" x14ac:dyDescent="0.3">
      <c r="A6241" s="89" t="s">
        <v>3794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3913</v>
      </c>
      <c r="T6241" s="6">
        <v>386.5899999999383</v>
      </c>
      <c r="U6241" s="6">
        <v>5533.56</v>
      </c>
      <c r="V6241" s="6">
        <v>0</v>
      </c>
      <c r="W6241" s="6">
        <f t="shared" si="964"/>
        <v>5920.1499999999387</v>
      </c>
      <c r="X6241" s="6">
        <f>IF(P6241="折扣",V6241*Q6241,IF(P6241="返现",V6241,(V6241-5533.56)/(1+Q6241+AG6241)))</f>
        <v>-3896.8732394366202</v>
      </c>
      <c r="Y6241" s="13">
        <f t="shared" si="968"/>
        <v>0</v>
      </c>
      <c r="Z6241" s="14">
        <v>0</v>
      </c>
      <c r="AA6241" s="6">
        <v>0</v>
      </c>
      <c r="AB6241" s="4">
        <f t="shared" si="969"/>
        <v>-3896.8732394366202</v>
      </c>
      <c r="AC6241" s="6">
        <f t="shared" si="967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963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970"/>
        <v>0</v>
      </c>
      <c r="AL6241" s="85"/>
      <c r="AM6241" s="85"/>
    </row>
    <row r="6242" spans="1:39" s="86" customFormat="1" ht="13.25" hidden="1" customHeight="1" x14ac:dyDescent="0.3">
      <c r="A6242" s="89" t="s">
        <v>3794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964"/>
        <v>212.45739999983925</v>
      </c>
      <c r="X6242" s="6">
        <f t="shared" si="965"/>
        <v>368280.46428571432</v>
      </c>
      <c r="Y6242" s="13">
        <f t="shared" si="968"/>
        <v>368280.46428571432</v>
      </c>
      <c r="Z6242" s="14">
        <v>0</v>
      </c>
      <c r="AA6242" s="6">
        <v>0</v>
      </c>
      <c r="AB6242" s="4">
        <f t="shared" si="969"/>
        <v>368280.46428571432</v>
      </c>
      <c r="AC6242" s="6">
        <f t="shared" si="967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963"/>
        <v>0</v>
      </c>
      <c r="AG6242" s="14">
        <v>0.37</v>
      </c>
      <c r="AH6242" s="6">
        <f t="shared" si="966"/>
        <v>376345</v>
      </c>
      <c r="AI6242" s="47"/>
      <c r="AJ6242" s="126" t="e">
        <v>#N/A</v>
      </c>
      <c r="AK6242" s="80">
        <f t="shared" si="970"/>
        <v>0</v>
      </c>
      <c r="AL6242" s="85"/>
      <c r="AM6242" s="85"/>
    </row>
    <row r="6243" spans="1:39" s="86" customFormat="1" ht="13.25" hidden="1" customHeight="1" x14ac:dyDescent="0.3">
      <c r="A6243" s="89" t="s">
        <v>3794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3914</v>
      </c>
      <c r="T6243" s="6">
        <v>86131.845999999932</v>
      </c>
      <c r="U6243" s="6">
        <v>2119.27</v>
      </c>
      <c r="V6243" s="6">
        <v>0</v>
      </c>
      <c r="W6243" s="6">
        <f t="shared" si="964"/>
        <v>88251.115999999936</v>
      </c>
      <c r="X6243" s="6">
        <f>IF(P6243="折扣",V6243*Q6243,IF(P6243="返现",V6243,(V6243-2119.27)/(1+Q6243+AG6243)))</f>
        <v>-1503.0283687943261</v>
      </c>
      <c r="Y6243" s="13">
        <f t="shared" si="968"/>
        <v>0</v>
      </c>
      <c r="Z6243" s="14">
        <v>0</v>
      </c>
      <c r="AA6243" s="6">
        <v>0</v>
      </c>
      <c r="AB6243" s="4">
        <f t="shared" si="969"/>
        <v>-1503.0283687943261</v>
      </c>
      <c r="AC6243" s="6">
        <f t="shared" si="967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963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970"/>
        <v>0</v>
      </c>
      <c r="AL6243" s="85"/>
      <c r="AM6243" s="85"/>
    </row>
    <row r="6244" spans="1:39" s="86" customFormat="1" ht="13.25" hidden="1" customHeight="1" x14ac:dyDescent="0.3">
      <c r="A6244" s="89" t="s">
        <v>3792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964"/>
        <v>457229.14999999991</v>
      </c>
      <c r="X6244" s="6">
        <f t="shared" si="965"/>
        <v>3172.047297297298</v>
      </c>
      <c r="Y6244" s="13">
        <f t="shared" si="968"/>
        <v>0</v>
      </c>
      <c r="Z6244" s="14">
        <v>0</v>
      </c>
      <c r="AA6244" s="6">
        <v>0</v>
      </c>
      <c r="AB6244" s="4">
        <f t="shared" si="969"/>
        <v>3172.047297297298</v>
      </c>
      <c r="AC6244" s="6">
        <f t="shared" si="967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971">AD6244*AE6244</f>
        <v>301.62060000000002</v>
      </c>
      <c r="AG6244" s="14">
        <v>0.4</v>
      </c>
      <c r="AH6244" s="6">
        <f t="shared" si="966"/>
        <v>3353.3071428571438</v>
      </c>
      <c r="AI6244" s="47"/>
      <c r="AJ6244" s="126" t="e">
        <v>#N/A</v>
      </c>
      <c r="AK6244" s="80">
        <f t="shared" si="970"/>
        <v>0</v>
      </c>
      <c r="AL6244" s="85"/>
      <c r="AM6244" s="85"/>
    </row>
    <row r="6245" spans="1:39" s="86" customFormat="1" ht="13.25" hidden="1" customHeight="1" x14ac:dyDescent="0.3">
      <c r="A6245" s="89" t="s">
        <v>3794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964"/>
        <v>5.4750000000003638</v>
      </c>
      <c r="X6245" s="6">
        <f t="shared" si="965"/>
        <v>0</v>
      </c>
      <c r="Y6245" s="13">
        <f t="shared" si="968"/>
        <v>0</v>
      </c>
      <c r="Z6245" s="14">
        <v>0</v>
      </c>
      <c r="AA6245" s="6">
        <v>0</v>
      </c>
      <c r="AB6245" s="4">
        <f t="shared" si="969"/>
        <v>0</v>
      </c>
      <c r="AC6245" s="6">
        <f t="shared" si="967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971"/>
        <v>0</v>
      </c>
      <c r="AG6245" s="14">
        <v>0.1</v>
      </c>
      <c r="AH6245" s="6">
        <f t="shared" si="966"/>
        <v>0</v>
      </c>
      <c r="AI6245" s="47"/>
      <c r="AJ6245" s="126" t="e">
        <v>#N/A</v>
      </c>
      <c r="AK6245" s="80">
        <f t="shared" si="970"/>
        <v>0</v>
      </c>
      <c r="AL6245" s="85"/>
      <c r="AM6245" s="85"/>
    </row>
    <row r="6246" spans="1:39" s="86" customFormat="1" ht="13.25" hidden="1" customHeight="1" x14ac:dyDescent="0.3">
      <c r="A6246" s="89" t="s">
        <v>3794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964"/>
        <v>-3.2200000000011642</v>
      </c>
      <c r="X6246" s="6">
        <f t="shared" si="965"/>
        <v>0</v>
      </c>
      <c r="Y6246" s="13">
        <f t="shared" si="968"/>
        <v>0</v>
      </c>
      <c r="Z6246" s="14">
        <v>0</v>
      </c>
      <c r="AA6246" s="6">
        <v>0</v>
      </c>
      <c r="AB6246" s="4">
        <f t="shared" si="969"/>
        <v>0</v>
      </c>
      <c r="AC6246" s="6">
        <f t="shared" si="967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971"/>
        <v>0</v>
      </c>
      <c r="AG6246" s="14">
        <v>0</v>
      </c>
      <c r="AH6246" s="6">
        <f t="shared" si="966"/>
        <v>0</v>
      </c>
      <c r="AI6246" s="47"/>
      <c r="AJ6246" s="126" t="e">
        <v>#N/A</v>
      </c>
      <c r="AK6246" s="80">
        <f t="shared" si="970"/>
        <v>0</v>
      </c>
      <c r="AL6246" s="85"/>
      <c r="AM6246" s="85"/>
    </row>
    <row r="6247" spans="1:39" s="86" customFormat="1" ht="13.25" hidden="1" customHeight="1" x14ac:dyDescent="0.3">
      <c r="A6247" s="89" t="s">
        <v>3792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964"/>
        <v>-277.01999999991676</v>
      </c>
      <c r="X6247" s="6">
        <f t="shared" si="965"/>
        <v>0</v>
      </c>
      <c r="Y6247" s="13">
        <f t="shared" si="968"/>
        <v>0</v>
      </c>
      <c r="Z6247" s="14">
        <v>0</v>
      </c>
      <c r="AA6247" s="6">
        <v>0</v>
      </c>
      <c r="AB6247" s="4">
        <f t="shared" si="969"/>
        <v>0</v>
      </c>
      <c r="AC6247" s="6">
        <f t="shared" si="967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971"/>
        <v>0</v>
      </c>
      <c r="AG6247" s="14">
        <v>0</v>
      </c>
      <c r="AH6247" s="6">
        <f t="shared" si="966"/>
        <v>0</v>
      </c>
      <c r="AI6247" s="47"/>
      <c r="AJ6247" s="126" t="s">
        <v>4223</v>
      </c>
      <c r="AK6247" s="80">
        <f t="shared" si="970"/>
        <v>0</v>
      </c>
      <c r="AL6247" s="150"/>
      <c r="AM6247" s="85"/>
    </row>
    <row r="6248" spans="1:39" s="86" customFormat="1" ht="13.25" hidden="1" customHeight="1" x14ac:dyDescent="0.3">
      <c r="A6248" s="89" t="s">
        <v>3792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964"/>
        <v>0</v>
      </c>
      <c r="X6248" s="6">
        <f t="shared" si="965"/>
        <v>52498.961165048597</v>
      </c>
      <c r="Y6248" s="13">
        <f t="shared" si="968"/>
        <v>52498.961165048597</v>
      </c>
      <c r="Z6248" s="14">
        <v>0</v>
      </c>
      <c r="AA6248" s="6">
        <v>0</v>
      </c>
      <c r="AB6248" s="4">
        <f t="shared" si="969"/>
        <v>52498.961165048597</v>
      </c>
      <c r="AC6248" s="6">
        <f t="shared" si="967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971"/>
        <v>0</v>
      </c>
      <c r="AG6248" s="14">
        <v>0</v>
      </c>
      <c r="AH6248" s="6">
        <f t="shared" si="966"/>
        <v>54073.930000000058</v>
      </c>
      <c r="AI6248" s="47"/>
      <c r="AJ6248" s="126" t="e">
        <v>#N/A</v>
      </c>
      <c r="AK6248" s="80">
        <f t="shared" si="970"/>
        <v>0</v>
      </c>
      <c r="AL6248" s="85"/>
      <c r="AM6248" s="85"/>
    </row>
    <row r="6249" spans="1:39" s="86" customFormat="1" ht="13.25" hidden="1" customHeight="1" x14ac:dyDescent="0.3">
      <c r="A6249" s="89" t="s">
        <v>3794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972">T6249+U6249-V6249</f>
        <v>-6.4399999999977808</v>
      </c>
      <c r="X6249" s="6">
        <f t="shared" si="965"/>
        <v>0</v>
      </c>
      <c r="Y6249" s="13">
        <f t="shared" si="968"/>
        <v>0</v>
      </c>
      <c r="Z6249" s="14">
        <v>0</v>
      </c>
      <c r="AA6249" s="6">
        <v>0</v>
      </c>
      <c r="AB6249" s="4">
        <f t="shared" si="969"/>
        <v>0</v>
      </c>
      <c r="AC6249" s="6">
        <f t="shared" si="967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971"/>
        <v>0</v>
      </c>
      <c r="AG6249" s="14">
        <v>0</v>
      </c>
      <c r="AH6249" s="6">
        <f t="shared" si="966"/>
        <v>0</v>
      </c>
      <c r="AI6249" s="47"/>
      <c r="AJ6249" s="126" t="e">
        <v>#N/A</v>
      </c>
      <c r="AK6249" s="80">
        <f t="shared" si="970"/>
        <v>0</v>
      </c>
      <c r="AL6249" s="85"/>
      <c r="AM6249" s="85"/>
    </row>
    <row r="6250" spans="1:39" s="86" customFormat="1" ht="13.25" hidden="1" customHeight="1" x14ac:dyDescent="0.3">
      <c r="A6250" s="89" t="s">
        <v>3792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972"/>
        <v>29179.23</v>
      </c>
      <c r="X6250" s="6">
        <f t="shared" si="965"/>
        <v>306.82</v>
      </c>
      <c r="Y6250" s="13">
        <f t="shared" si="968"/>
        <v>0</v>
      </c>
      <c r="Z6250" s="14">
        <v>0</v>
      </c>
      <c r="AA6250" s="6">
        <v>0</v>
      </c>
      <c r="AB6250" s="4">
        <f t="shared" si="969"/>
        <v>306.82</v>
      </c>
      <c r="AC6250" s="6">
        <f t="shared" si="967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971"/>
        <v>27.613799999999998</v>
      </c>
      <c r="AG6250" s="14">
        <v>0</v>
      </c>
      <c r="AH6250" s="6">
        <f t="shared" si="966"/>
        <v>306.82</v>
      </c>
      <c r="AI6250" s="47"/>
      <c r="AJ6250" s="126" t="e">
        <v>#N/A</v>
      </c>
      <c r="AK6250" s="80">
        <f t="shared" si="970"/>
        <v>0</v>
      </c>
      <c r="AL6250" s="85"/>
      <c r="AM6250" s="85"/>
    </row>
    <row r="6251" spans="1:39" s="86" customFormat="1" ht="13.25" hidden="1" customHeight="1" x14ac:dyDescent="0.3">
      <c r="A6251" s="89" t="s">
        <v>3792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972"/>
        <v>155057.1680000005</v>
      </c>
      <c r="X6251" s="6">
        <f t="shared" si="965"/>
        <v>141070.69662921343</v>
      </c>
      <c r="Y6251" s="13">
        <f t="shared" si="968"/>
        <v>0</v>
      </c>
      <c r="Z6251" s="14">
        <v>0</v>
      </c>
      <c r="AA6251" s="6">
        <v>0</v>
      </c>
      <c r="AB6251" s="4">
        <f t="shared" si="969"/>
        <v>141070.69662921343</v>
      </c>
      <c r="AC6251" s="6">
        <f t="shared" si="967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971"/>
        <v>13243.202099999997</v>
      </c>
      <c r="AG6251" s="14">
        <v>0.28000000000000003</v>
      </c>
      <c r="AH6251" s="6">
        <f t="shared" si="966"/>
        <v>147132.32812499994</v>
      </c>
      <c r="AI6251" s="47"/>
      <c r="AJ6251" s="126" t="e">
        <v>#N/A</v>
      </c>
      <c r="AK6251" s="80">
        <f t="shared" si="970"/>
        <v>0</v>
      </c>
      <c r="AL6251" s="85"/>
      <c r="AM6251" s="85"/>
    </row>
    <row r="6252" spans="1:39" s="86" customFormat="1" ht="13.25" hidden="1" customHeight="1" x14ac:dyDescent="0.3">
      <c r="A6252" s="89" t="s">
        <v>3794</v>
      </c>
      <c r="B6252" s="86" t="s">
        <v>35</v>
      </c>
      <c r="C6252" s="86" t="s">
        <v>184</v>
      </c>
      <c r="D6252" s="86" t="s">
        <v>3849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972"/>
        <v>3318.5</v>
      </c>
      <c r="X6252" s="6">
        <f t="shared" si="965"/>
        <v>1816.1000000000004</v>
      </c>
      <c r="Y6252" s="13">
        <f t="shared" si="968"/>
        <v>0</v>
      </c>
      <c r="Z6252" s="14">
        <v>0</v>
      </c>
      <c r="AA6252" s="6">
        <v>0</v>
      </c>
      <c r="AB6252" s="4">
        <f t="shared" si="969"/>
        <v>1816.1000000000004</v>
      </c>
      <c r="AC6252" s="6">
        <f t="shared" si="967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971"/>
        <v>127.12700000000004</v>
      </c>
      <c r="AG6252" s="14">
        <v>0</v>
      </c>
      <c r="AH6252" s="6">
        <f t="shared" si="966"/>
        <v>1816.1000000000004</v>
      </c>
      <c r="AI6252" s="47"/>
      <c r="AJ6252" s="126" t="e">
        <v>#N/A</v>
      </c>
      <c r="AK6252" s="80">
        <f t="shared" si="970"/>
        <v>0</v>
      </c>
      <c r="AL6252" s="85"/>
      <c r="AM6252" s="85"/>
    </row>
    <row r="6253" spans="1:39" s="86" customFormat="1" ht="13.25" hidden="1" customHeight="1" x14ac:dyDescent="0.3">
      <c r="A6253" s="89" t="s">
        <v>3792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972"/>
        <v>1482.75</v>
      </c>
      <c r="X6253" s="6">
        <f t="shared" si="965"/>
        <v>0</v>
      </c>
      <c r="Y6253" s="13">
        <f t="shared" si="968"/>
        <v>0</v>
      </c>
      <c r="Z6253" s="14">
        <v>0</v>
      </c>
      <c r="AA6253" s="6">
        <v>0</v>
      </c>
      <c r="AB6253" s="4">
        <f t="shared" si="969"/>
        <v>0</v>
      </c>
      <c r="AC6253" s="6">
        <f t="shared" si="967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971"/>
        <v>0</v>
      </c>
      <c r="AG6253" s="14">
        <v>0.3</v>
      </c>
      <c r="AH6253" s="6">
        <f t="shared" si="966"/>
        <v>0</v>
      </c>
      <c r="AI6253" s="47"/>
      <c r="AJ6253" s="126" t="e">
        <v>#N/A</v>
      </c>
      <c r="AK6253" s="80">
        <f t="shared" si="970"/>
        <v>0</v>
      </c>
      <c r="AL6253" s="85"/>
      <c r="AM6253" s="85"/>
    </row>
    <row r="6254" spans="1:39" s="86" customFormat="1" ht="13.25" hidden="1" customHeight="1" x14ac:dyDescent="0.3">
      <c r="A6254" s="89" t="s">
        <v>3792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972"/>
        <v>36243.840000000018</v>
      </c>
      <c r="X6254" s="6">
        <f t="shared" si="965"/>
        <v>12332.120000000004</v>
      </c>
      <c r="Y6254" s="13">
        <f t="shared" si="968"/>
        <v>0</v>
      </c>
      <c r="Z6254" s="14">
        <v>0</v>
      </c>
      <c r="AA6254" s="6">
        <v>0</v>
      </c>
      <c r="AB6254" s="4">
        <f t="shared" si="969"/>
        <v>12332.120000000004</v>
      </c>
      <c r="AC6254" s="6">
        <f t="shared" si="967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971"/>
        <v>863.2484000000004</v>
      </c>
      <c r="AG6254" s="14">
        <v>0</v>
      </c>
      <c r="AH6254" s="6">
        <f t="shared" si="966"/>
        <v>12332.120000000004</v>
      </c>
      <c r="AI6254" s="47"/>
      <c r="AJ6254" s="126" t="e">
        <v>#N/A</v>
      </c>
      <c r="AK6254" s="80">
        <f t="shared" si="970"/>
        <v>0</v>
      </c>
      <c r="AL6254" s="85"/>
      <c r="AM6254" s="85"/>
    </row>
    <row r="6255" spans="1:39" s="86" customFormat="1" ht="13.25" hidden="1" customHeight="1" x14ac:dyDescent="0.3">
      <c r="A6255" s="89" t="s">
        <v>3792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972"/>
        <v>-27682.880000000081</v>
      </c>
      <c r="X6255" s="6">
        <f t="shared" si="965"/>
        <v>0</v>
      </c>
      <c r="Y6255" s="13">
        <f t="shared" si="968"/>
        <v>0</v>
      </c>
      <c r="Z6255" s="14">
        <v>0</v>
      </c>
      <c r="AA6255" s="6">
        <v>0</v>
      </c>
      <c r="AB6255" s="4">
        <f t="shared" si="969"/>
        <v>0</v>
      </c>
      <c r="AC6255" s="6">
        <f t="shared" si="967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971"/>
        <v>0</v>
      </c>
      <c r="AG6255" s="14">
        <v>0</v>
      </c>
      <c r="AH6255" s="6">
        <f t="shared" si="966"/>
        <v>0</v>
      </c>
      <c r="AI6255" s="47"/>
      <c r="AJ6255" s="126" t="e">
        <v>#N/A</v>
      </c>
      <c r="AK6255" s="80">
        <f t="shared" si="970"/>
        <v>0</v>
      </c>
      <c r="AL6255" s="85"/>
      <c r="AM6255" s="85"/>
    </row>
    <row r="6256" spans="1:39" s="86" customFormat="1" ht="13.25" hidden="1" customHeight="1" x14ac:dyDescent="0.3">
      <c r="A6256" s="89" t="s">
        <v>3792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972"/>
        <v>2.4881808212867327</v>
      </c>
      <c r="X6256" s="6">
        <f t="shared" si="965"/>
        <v>0</v>
      </c>
      <c r="Y6256" s="13">
        <f t="shared" si="968"/>
        <v>0</v>
      </c>
      <c r="Z6256" s="14">
        <v>0</v>
      </c>
      <c r="AA6256" s="6">
        <v>0</v>
      </c>
      <c r="AB6256" s="4">
        <f t="shared" si="969"/>
        <v>0</v>
      </c>
      <c r="AC6256" s="6">
        <f t="shared" si="967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971"/>
        <v>0</v>
      </c>
      <c r="AG6256" s="14">
        <v>0.4</v>
      </c>
      <c r="AH6256" s="6">
        <f t="shared" si="966"/>
        <v>0</v>
      </c>
      <c r="AI6256" s="47"/>
      <c r="AJ6256" s="126" t="e">
        <v>#N/A</v>
      </c>
      <c r="AK6256" s="80">
        <f t="shared" si="970"/>
        <v>0</v>
      </c>
      <c r="AL6256" s="85"/>
      <c r="AM6256" s="85"/>
    </row>
    <row r="6257" spans="1:39" s="86" customFormat="1" ht="13.25" hidden="1" customHeight="1" x14ac:dyDescent="0.3">
      <c r="A6257" s="89" t="s">
        <v>3794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972"/>
        <v>-5.8385726027881901</v>
      </c>
      <c r="X6257" s="6">
        <f t="shared" si="965"/>
        <v>0</v>
      </c>
      <c r="Y6257" s="13">
        <f t="shared" si="968"/>
        <v>0</v>
      </c>
      <c r="Z6257" s="14">
        <v>0</v>
      </c>
      <c r="AA6257" s="6">
        <v>0</v>
      </c>
      <c r="AB6257" s="4">
        <f t="shared" si="969"/>
        <v>0</v>
      </c>
      <c r="AC6257" s="6">
        <f t="shared" si="967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971"/>
        <v>0</v>
      </c>
      <c r="AG6257" s="14">
        <v>0.46</v>
      </c>
      <c r="AH6257" s="6">
        <f t="shared" si="966"/>
        <v>0</v>
      </c>
      <c r="AI6257" s="47"/>
      <c r="AJ6257" s="126" t="e">
        <v>#N/A</v>
      </c>
      <c r="AK6257" s="80">
        <f t="shared" si="970"/>
        <v>0</v>
      </c>
      <c r="AL6257" s="85"/>
      <c r="AM6257" s="85"/>
    </row>
    <row r="6258" spans="1:39" s="86" customFormat="1" ht="13.25" hidden="1" customHeight="1" x14ac:dyDescent="0.3">
      <c r="A6258" s="89" t="s">
        <v>3794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972"/>
        <v>146.38599999978214</v>
      </c>
      <c r="X6258" s="6">
        <f t="shared" si="965"/>
        <v>0</v>
      </c>
      <c r="Y6258" s="13">
        <f t="shared" si="968"/>
        <v>0</v>
      </c>
      <c r="Z6258" s="14">
        <v>0</v>
      </c>
      <c r="AA6258" s="6">
        <v>0</v>
      </c>
      <c r="AB6258" s="4">
        <f t="shared" si="969"/>
        <v>0</v>
      </c>
      <c r="AC6258" s="6">
        <f t="shared" si="967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971"/>
        <v>0</v>
      </c>
      <c r="AG6258" s="14">
        <v>0.4</v>
      </c>
      <c r="AH6258" s="6">
        <f t="shared" si="966"/>
        <v>0</v>
      </c>
      <c r="AI6258" s="47"/>
      <c r="AJ6258" s="126" t="e">
        <v>#N/A</v>
      </c>
      <c r="AK6258" s="80">
        <f t="shared" si="970"/>
        <v>0</v>
      </c>
      <c r="AL6258" s="85"/>
      <c r="AM6258" s="85"/>
    </row>
    <row r="6259" spans="1:39" s="86" customFormat="1" ht="13.25" hidden="1" customHeight="1" x14ac:dyDescent="0.3">
      <c r="A6259" s="89" t="s">
        <v>3794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972"/>
        <v>-5.2999999998064595E-3</v>
      </c>
      <c r="X6259" s="6">
        <f t="shared" si="965"/>
        <v>0</v>
      </c>
      <c r="Y6259" s="13">
        <f t="shared" si="968"/>
        <v>0</v>
      </c>
      <c r="Z6259" s="14">
        <v>0</v>
      </c>
      <c r="AA6259" s="6">
        <v>0</v>
      </c>
      <c r="AB6259" s="4">
        <f t="shared" si="969"/>
        <v>0</v>
      </c>
      <c r="AC6259" s="6">
        <f t="shared" si="967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971"/>
        <v>0</v>
      </c>
      <c r="AG6259" s="14">
        <v>0.37</v>
      </c>
      <c r="AH6259" s="6">
        <f t="shared" si="966"/>
        <v>0</v>
      </c>
      <c r="AI6259" s="47"/>
      <c r="AJ6259" s="126" t="e">
        <v>#N/A</v>
      </c>
      <c r="AK6259" s="80">
        <f t="shared" si="970"/>
        <v>0</v>
      </c>
      <c r="AL6259" s="85"/>
      <c r="AM6259" s="85"/>
    </row>
    <row r="6260" spans="1:39" s="86" customFormat="1" ht="13.25" hidden="1" customHeight="1" x14ac:dyDescent="0.3">
      <c r="A6260" s="89" t="s">
        <v>3792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3915</v>
      </c>
      <c r="T6260" s="6">
        <v>1868.9399999999641</v>
      </c>
      <c r="U6260" s="6">
        <v>22240.68</v>
      </c>
      <c r="V6260" s="6">
        <v>0</v>
      </c>
      <c r="W6260" s="6">
        <f t="shared" si="972"/>
        <v>24109.619999999966</v>
      </c>
      <c r="X6260" s="6">
        <f>IF(P6260="折扣",V6260*Q6260,IF(P6260="返现",V6260,(V6260-22240.68)/(1+Q6260+AG6260)))</f>
        <v>-15027.486486486487</v>
      </c>
      <c r="Y6260" s="13">
        <f t="shared" si="968"/>
        <v>0</v>
      </c>
      <c r="Z6260" s="14">
        <v>0</v>
      </c>
      <c r="AA6260" s="6">
        <v>0</v>
      </c>
      <c r="AB6260" s="4">
        <f t="shared" si="969"/>
        <v>-15027.486486486487</v>
      </c>
      <c r="AC6260" s="6">
        <f t="shared" si="967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971"/>
        <v>0</v>
      </c>
      <c r="AG6260" s="14">
        <v>0.4</v>
      </c>
      <c r="AH6260" s="6">
        <f>(V6260-22240.68)/(1+AG6260)</f>
        <v>-15886.2</v>
      </c>
      <c r="AI6260" s="47"/>
      <c r="AJ6260" s="126" t="s">
        <v>4218</v>
      </c>
      <c r="AK6260" s="80">
        <f t="shared" si="970"/>
        <v>0</v>
      </c>
      <c r="AL6260" s="150"/>
      <c r="AM6260" s="85"/>
    </row>
    <row r="6261" spans="1:39" s="86" customFormat="1" hidden="1" x14ac:dyDescent="0.3">
      <c r="A6261" s="89" t="s">
        <v>3794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972"/>
        <v>6.2000000011721568E-3</v>
      </c>
      <c r="X6261" s="6">
        <f t="shared" si="965"/>
        <v>0</v>
      </c>
      <c r="Y6261" s="13">
        <f t="shared" si="968"/>
        <v>0</v>
      </c>
      <c r="Z6261" s="14">
        <v>0</v>
      </c>
      <c r="AA6261" s="6">
        <v>0</v>
      </c>
      <c r="AB6261" s="4">
        <f t="shared" si="969"/>
        <v>0</v>
      </c>
      <c r="AC6261" s="6">
        <f t="shared" si="967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971"/>
        <v>0</v>
      </c>
      <c r="AG6261" s="14">
        <v>0.37</v>
      </c>
      <c r="AH6261" s="6">
        <f t="shared" si="966"/>
        <v>0</v>
      </c>
      <c r="AI6261" s="47"/>
      <c r="AJ6261" s="126" t="e">
        <v>#N/A</v>
      </c>
      <c r="AK6261" s="80">
        <f t="shared" si="970"/>
        <v>0</v>
      </c>
      <c r="AL6261" s="85"/>
      <c r="AM6261" s="85"/>
    </row>
    <row r="6262" spans="1:39" s="86" customFormat="1" ht="13.25" hidden="1" customHeight="1" x14ac:dyDescent="0.3">
      <c r="A6262" s="89" t="s">
        <v>3792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3916</v>
      </c>
      <c r="T6262" s="6">
        <v>-830131.6571000003</v>
      </c>
      <c r="U6262" s="6"/>
      <c r="V6262" s="6">
        <v>0</v>
      </c>
      <c r="W6262" s="6">
        <f t="shared" si="972"/>
        <v>-830131.6571000003</v>
      </c>
      <c r="X6262" s="6">
        <f>IF(P6262="折扣",V6262*Q6262,IF(P6262="返现",V6262,(V6262-33668.63)/(1+Q6262+AG6262)))</f>
        <v>-23710.302816901407</v>
      </c>
      <c r="Y6262" s="13">
        <f t="shared" si="968"/>
        <v>0</v>
      </c>
      <c r="Z6262" s="14">
        <v>0</v>
      </c>
      <c r="AA6262" s="6">
        <v>0</v>
      </c>
      <c r="AB6262" s="4">
        <f t="shared" si="969"/>
        <v>-23710.302816901407</v>
      </c>
      <c r="AC6262" s="6">
        <f t="shared" si="967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971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970"/>
        <v>0</v>
      </c>
      <c r="AL6262" s="85"/>
      <c r="AM6262" s="85"/>
    </row>
    <row r="6263" spans="1:39" s="86" customFormat="1" ht="13.25" hidden="1" customHeight="1" x14ac:dyDescent="0.3">
      <c r="A6263" s="89" t="s">
        <v>3794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972"/>
        <v>1529.307799999995</v>
      </c>
      <c r="X6263" s="6">
        <f t="shared" si="965"/>
        <v>3354.9928571428577</v>
      </c>
      <c r="Y6263" s="13">
        <f t="shared" si="968"/>
        <v>0</v>
      </c>
      <c r="Z6263" s="14">
        <v>0</v>
      </c>
      <c r="AA6263" s="6">
        <v>0</v>
      </c>
      <c r="AB6263" s="4">
        <f t="shared" si="969"/>
        <v>3354.9928571428577</v>
      </c>
      <c r="AC6263" s="6">
        <f t="shared" si="967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971"/>
        <v>239.98939999999996</v>
      </c>
      <c r="AG6263" s="14">
        <v>0.37</v>
      </c>
      <c r="AH6263" s="6">
        <f t="shared" si="966"/>
        <v>3428.4598540145989</v>
      </c>
      <c r="AI6263" s="47"/>
      <c r="AJ6263" s="126" t="e">
        <v>#N/A</v>
      </c>
      <c r="AK6263" s="80">
        <f t="shared" si="970"/>
        <v>0</v>
      </c>
      <c r="AL6263" s="85"/>
      <c r="AM6263" s="85"/>
    </row>
    <row r="6264" spans="1:39" s="86" customFormat="1" ht="13.25" hidden="1" customHeight="1" x14ac:dyDescent="0.3">
      <c r="A6264" s="89" t="s">
        <v>3794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972"/>
        <v>3055.029500000001</v>
      </c>
      <c r="X6264" s="6">
        <f t="shared" si="965"/>
        <v>0</v>
      </c>
      <c r="Y6264" s="13">
        <f t="shared" si="968"/>
        <v>0</v>
      </c>
      <c r="Z6264" s="14">
        <v>0</v>
      </c>
      <c r="AA6264" s="6">
        <v>0</v>
      </c>
      <c r="AB6264" s="4">
        <f t="shared" si="969"/>
        <v>0</v>
      </c>
      <c r="AC6264" s="6">
        <f t="shared" si="967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971"/>
        <v>0</v>
      </c>
      <c r="AG6264" s="14">
        <v>0.37</v>
      </c>
      <c r="AH6264" s="6">
        <f t="shared" si="966"/>
        <v>0</v>
      </c>
      <c r="AI6264" s="47"/>
      <c r="AJ6264" s="126" t="e">
        <v>#N/A</v>
      </c>
      <c r="AK6264" s="80">
        <f t="shared" si="970"/>
        <v>0</v>
      </c>
      <c r="AL6264" s="85"/>
      <c r="AM6264" s="85"/>
    </row>
    <row r="6265" spans="1:39" s="86" customFormat="1" ht="13.25" hidden="1" customHeight="1" x14ac:dyDescent="0.3">
      <c r="A6265" s="89" t="s">
        <v>3792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972"/>
        <v>-1.0999999999985448</v>
      </c>
      <c r="X6265" s="6">
        <f t="shared" si="965"/>
        <v>0</v>
      </c>
      <c r="Y6265" s="13">
        <f t="shared" si="968"/>
        <v>0</v>
      </c>
      <c r="Z6265" s="14">
        <v>0</v>
      </c>
      <c r="AA6265" s="6">
        <v>0</v>
      </c>
      <c r="AB6265" s="4">
        <f t="shared" si="969"/>
        <v>0</v>
      </c>
      <c r="AC6265" s="6">
        <f t="shared" si="967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971"/>
        <v>0</v>
      </c>
      <c r="AG6265" s="14">
        <v>0</v>
      </c>
      <c r="AH6265" s="6">
        <f t="shared" si="966"/>
        <v>0</v>
      </c>
      <c r="AI6265" s="47"/>
      <c r="AJ6265" s="126" t="e">
        <v>#N/A</v>
      </c>
      <c r="AK6265" s="80">
        <f t="shared" si="970"/>
        <v>0</v>
      </c>
      <c r="AL6265" s="85"/>
      <c r="AM6265" s="85"/>
    </row>
    <row r="6266" spans="1:39" s="86" customFormat="1" ht="13.25" hidden="1" customHeight="1" x14ac:dyDescent="0.3">
      <c r="A6266" s="89" t="s">
        <v>3792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972"/>
        <v>1.4300000000033322</v>
      </c>
      <c r="X6266" s="6">
        <f t="shared" si="965"/>
        <v>0</v>
      </c>
      <c r="Y6266" s="13">
        <f t="shared" si="968"/>
        <v>0</v>
      </c>
      <c r="Z6266" s="14">
        <v>0</v>
      </c>
      <c r="AA6266" s="6">
        <v>0</v>
      </c>
      <c r="AB6266" s="4">
        <f t="shared" si="969"/>
        <v>0</v>
      </c>
      <c r="AC6266" s="6">
        <f t="shared" si="967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971"/>
        <v>0</v>
      </c>
      <c r="AG6266" s="14">
        <v>0</v>
      </c>
      <c r="AH6266" s="6">
        <f t="shared" si="966"/>
        <v>0</v>
      </c>
      <c r="AI6266" s="47"/>
      <c r="AJ6266" s="126" t="e">
        <v>#N/A</v>
      </c>
      <c r="AK6266" s="80">
        <f t="shared" si="970"/>
        <v>0</v>
      </c>
      <c r="AL6266" s="85"/>
      <c r="AM6266" s="85"/>
    </row>
    <row r="6267" spans="1:39" s="86" customFormat="1" ht="13.25" hidden="1" customHeight="1" x14ac:dyDescent="0.3">
      <c r="A6267" s="89" t="s">
        <v>3792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972"/>
        <v>-1.2399999999615829E-2</v>
      </c>
      <c r="X6267" s="6">
        <f t="shared" si="965"/>
        <v>0</v>
      </c>
      <c r="Y6267" s="13">
        <f t="shared" si="968"/>
        <v>0</v>
      </c>
      <c r="Z6267" s="14">
        <v>0</v>
      </c>
      <c r="AA6267" s="6">
        <v>0</v>
      </c>
      <c r="AB6267" s="4">
        <f t="shared" si="969"/>
        <v>0</v>
      </c>
      <c r="AC6267" s="6">
        <f t="shared" si="967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971"/>
        <v>0</v>
      </c>
      <c r="AG6267" s="14">
        <v>0.28000000000000003</v>
      </c>
      <c r="AH6267" s="6">
        <f t="shared" si="966"/>
        <v>0</v>
      </c>
      <c r="AI6267" s="47"/>
      <c r="AJ6267" s="126" t="e">
        <v>#N/A</v>
      </c>
      <c r="AK6267" s="80">
        <f t="shared" si="970"/>
        <v>0</v>
      </c>
      <c r="AL6267" s="85"/>
      <c r="AM6267" s="85"/>
    </row>
    <row r="6268" spans="1:39" s="86" customFormat="1" ht="13.25" hidden="1" customHeight="1" x14ac:dyDescent="0.3">
      <c r="A6268" s="89" t="s">
        <v>3794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972"/>
        <v>100.03</v>
      </c>
      <c r="X6268" s="6">
        <f t="shared" ref="X6268:X6331" si="973">IF(P6268="折扣",V6268*Q6268,IF(P6268="返现",V6268,V6268/(1+Q6268+AG6268)))</f>
        <v>0</v>
      </c>
      <c r="Y6268" s="13">
        <f t="shared" si="968"/>
        <v>0</v>
      </c>
      <c r="Z6268" s="14">
        <v>0</v>
      </c>
      <c r="AA6268" s="6">
        <v>0</v>
      </c>
      <c r="AB6268" s="4">
        <f t="shared" si="969"/>
        <v>0</v>
      </c>
      <c r="AC6268" s="6">
        <f t="shared" si="967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971"/>
        <v>0</v>
      </c>
      <c r="AG6268" s="14">
        <v>0</v>
      </c>
      <c r="AH6268" s="6">
        <f t="shared" ref="AH6268:AH6331" si="974">V6268/(1+AG6268)</f>
        <v>0</v>
      </c>
      <c r="AI6268" s="47"/>
      <c r="AJ6268" s="126" t="e">
        <v>#N/A</v>
      </c>
      <c r="AK6268" s="80">
        <f t="shared" si="970"/>
        <v>0</v>
      </c>
      <c r="AL6268" s="85"/>
      <c r="AM6268" s="85"/>
    </row>
    <row r="6269" spans="1:39" s="86" customFormat="1" ht="13.25" hidden="1" customHeight="1" x14ac:dyDescent="0.3">
      <c r="A6269" s="89" t="s">
        <v>3794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972"/>
        <v>-66434.08500000037</v>
      </c>
      <c r="X6269" s="6">
        <f t="shared" si="973"/>
        <v>0</v>
      </c>
      <c r="Y6269" s="13">
        <f t="shared" si="968"/>
        <v>0</v>
      </c>
      <c r="Z6269" s="14">
        <v>0</v>
      </c>
      <c r="AA6269" s="6">
        <v>0</v>
      </c>
      <c r="AB6269" s="4">
        <f t="shared" si="969"/>
        <v>0</v>
      </c>
      <c r="AC6269" s="6">
        <f t="shared" si="967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971"/>
        <v>0</v>
      </c>
      <c r="AG6269" s="14">
        <v>0.1</v>
      </c>
      <c r="AH6269" s="6">
        <f t="shared" si="974"/>
        <v>0</v>
      </c>
      <c r="AI6269" s="47"/>
      <c r="AJ6269" s="126" t="e">
        <v>#N/A</v>
      </c>
      <c r="AK6269" s="80">
        <f t="shared" si="970"/>
        <v>0</v>
      </c>
      <c r="AL6269" s="85"/>
      <c r="AM6269" s="85"/>
    </row>
    <row r="6270" spans="1:39" s="86" customFormat="1" ht="13.25" hidden="1" customHeight="1" x14ac:dyDescent="0.3">
      <c r="A6270" s="89" t="s">
        <v>3794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972"/>
        <v>-5.0000000337604433E-3</v>
      </c>
      <c r="X6270" s="6">
        <f t="shared" si="973"/>
        <v>0</v>
      </c>
      <c r="Y6270" s="13">
        <f t="shared" si="968"/>
        <v>0</v>
      </c>
      <c r="Z6270" s="14">
        <v>0</v>
      </c>
      <c r="AA6270" s="6">
        <v>0</v>
      </c>
      <c r="AB6270" s="4">
        <f t="shared" si="969"/>
        <v>0</v>
      </c>
      <c r="AC6270" s="6">
        <f t="shared" ref="AC6270:AC6333" si="975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971"/>
        <v>0</v>
      </c>
      <c r="AG6270" s="14">
        <v>0.1</v>
      </c>
      <c r="AH6270" s="6">
        <f t="shared" si="974"/>
        <v>0</v>
      </c>
      <c r="AI6270" s="47"/>
      <c r="AJ6270" s="126" t="e">
        <v>#N/A</v>
      </c>
      <c r="AK6270" s="80">
        <f t="shared" si="970"/>
        <v>0</v>
      </c>
      <c r="AL6270" s="85"/>
      <c r="AM6270" s="85"/>
    </row>
    <row r="6271" spans="1:39" s="86" customFormat="1" ht="13.25" hidden="1" customHeight="1" x14ac:dyDescent="0.3">
      <c r="A6271" s="89" t="s">
        <v>3792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972"/>
        <v>-74839.461799999946</v>
      </c>
      <c r="X6271" s="6">
        <f t="shared" si="973"/>
        <v>0</v>
      </c>
      <c r="Y6271" s="13">
        <f t="shared" si="968"/>
        <v>0</v>
      </c>
      <c r="Z6271" s="14">
        <v>0</v>
      </c>
      <c r="AA6271" s="6">
        <v>0</v>
      </c>
      <c r="AB6271" s="4">
        <f t="shared" si="969"/>
        <v>0</v>
      </c>
      <c r="AC6271" s="6">
        <f t="shared" si="975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971"/>
        <v>0</v>
      </c>
      <c r="AG6271" s="14">
        <v>0.38</v>
      </c>
      <c r="AH6271" s="6">
        <f t="shared" si="974"/>
        <v>0</v>
      </c>
      <c r="AI6271" s="47"/>
      <c r="AJ6271" s="126" t="e">
        <v>#N/A</v>
      </c>
      <c r="AK6271" s="80">
        <f t="shared" si="970"/>
        <v>0</v>
      </c>
      <c r="AL6271" s="85"/>
      <c r="AM6271" s="85"/>
    </row>
    <row r="6272" spans="1:39" s="86" customFormat="1" ht="13.25" hidden="1" customHeight="1" x14ac:dyDescent="0.3">
      <c r="A6272" s="89" t="s">
        <v>3792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972"/>
        <v>14839.55639999999</v>
      </c>
      <c r="X6272" s="6">
        <f t="shared" si="973"/>
        <v>0</v>
      </c>
      <c r="Y6272" s="13">
        <f t="shared" si="968"/>
        <v>0</v>
      </c>
      <c r="Z6272" s="14">
        <v>0</v>
      </c>
      <c r="AA6272" s="6">
        <v>0</v>
      </c>
      <c r="AB6272" s="4">
        <f t="shared" si="969"/>
        <v>0</v>
      </c>
      <c r="AC6272" s="6">
        <f t="shared" si="975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971"/>
        <v>0</v>
      </c>
      <c r="AG6272" s="14">
        <v>0.38</v>
      </c>
      <c r="AH6272" s="6">
        <f t="shared" si="974"/>
        <v>0</v>
      </c>
      <c r="AI6272" s="47"/>
      <c r="AJ6272" s="126" t="e">
        <v>#N/A</v>
      </c>
      <c r="AK6272" s="80">
        <f t="shared" si="970"/>
        <v>0</v>
      </c>
      <c r="AL6272" s="85"/>
      <c r="AM6272" s="85"/>
    </row>
    <row r="6273" spans="1:39" s="86" customFormat="1" ht="13.25" hidden="1" customHeight="1" x14ac:dyDescent="0.3">
      <c r="A6273" s="89" t="s">
        <v>3794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972"/>
        <v>0</v>
      </c>
      <c r="X6273" s="6">
        <f t="shared" si="973"/>
        <v>113300.77669902919</v>
      </c>
      <c r="Y6273" s="13">
        <f t="shared" si="968"/>
        <v>113300.77669902919</v>
      </c>
      <c r="Z6273" s="14">
        <v>0</v>
      </c>
      <c r="AA6273" s="6">
        <v>0</v>
      </c>
      <c r="AB6273" s="4">
        <f t="shared" si="969"/>
        <v>113300.77669902919</v>
      </c>
      <c r="AC6273" s="6">
        <f t="shared" si="975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971"/>
        <v>0</v>
      </c>
      <c r="AG6273" s="14">
        <v>0</v>
      </c>
      <c r="AH6273" s="6">
        <f t="shared" si="974"/>
        <v>116699.80000000006</v>
      </c>
      <c r="AI6273" s="47"/>
      <c r="AJ6273" s="126" t="e">
        <v>#N/A</v>
      </c>
      <c r="AK6273" s="80">
        <f t="shared" si="970"/>
        <v>0</v>
      </c>
      <c r="AL6273" s="85"/>
      <c r="AM6273" s="85"/>
    </row>
    <row r="6274" spans="1:39" s="86" customFormat="1" ht="13.25" hidden="1" customHeight="1" x14ac:dyDescent="0.3">
      <c r="A6274" s="89" t="s">
        <v>3794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972"/>
        <v>0</v>
      </c>
      <c r="X6274" s="6">
        <f t="shared" si="973"/>
        <v>-381920.48148148146</v>
      </c>
      <c r="Y6274" s="13">
        <f t="shared" si="968"/>
        <v>0</v>
      </c>
      <c r="Z6274" s="14">
        <v>0</v>
      </c>
      <c r="AA6274" s="6">
        <v>0</v>
      </c>
      <c r="AB6274" s="4">
        <f t="shared" si="969"/>
        <v>-381920.48148148146</v>
      </c>
      <c r="AC6274" s="6">
        <f t="shared" si="975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971"/>
        <v>0</v>
      </c>
      <c r="AG6274" s="14">
        <v>0.37</v>
      </c>
      <c r="AH6274" s="6">
        <f t="shared" si="974"/>
        <v>-376345</v>
      </c>
      <c r="AI6274" s="47"/>
      <c r="AJ6274" s="126" t="e">
        <v>#N/A</v>
      </c>
      <c r="AK6274" s="80">
        <f t="shared" si="970"/>
        <v>0</v>
      </c>
      <c r="AL6274" s="85"/>
      <c r="AM6274" s="85"/>
    </row>
    <row r="6275" spans="1:39" s="86" customFormat="1" ht="13.25" hidden="1" customHeight="1" x14ac:dyDescent="0.3">
      <c r="A6275" s="89" t="s">
        <v>3792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972"/>
        <v>0.13395915713044815</v>
      </c>
      <c r="X6275" s="6">
        <f t="shared" si="973"/>
        <v>0</v>
      </c>
      <c r="Y6275" s="13">
        <f t="shared" ref="Y6275:Y6338" si="976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977">X6275+AA6275</f>
        <v>0</v>
      </c>
      <c r="AC6275" s="6">
        <f t="shared" si="975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971"/>
        <v>0</v>
      </c>
      <c r="AG6275" s="14">
        <v>0.4</v>
      </c>
      <c r="AH6275" s="6">
        <f t="shared" si="974"/>
        <v>0</v>
      </c>
      <c r="AI6275" s="47"/>
      <c r="AJ6275" s="126" t="e">
        <v>#N/A</v>
      </c>
      <c r="AK6275" s="80">
        <f t="shared" ref="AK6275:AK6338" si="978">X6275+AA6275-AB6275</f>
        <v>0</v>
      </c>
      <c r="AL6275" s="85"/>
      <c r="AM6275" s="85"/>
    </row>
    <row r="6276" spans="1:39" s="86" customFormat="1" ht="13.25" hidden="1" customHeight="1" x14ac:dyDescent="0.3">
      <c r="A6276" s="89" t="s">
        <v>3794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972"/>
        <v>-7.5000000019826984E-3</v>
      </c>
      <c r="X6276" s="6">
        <f t="shared" si="973"/>
        <v>0</v>
      </c>
      <c r="Y6276" s="13">
        <f t="shared" si="976"/>
        <v>0</v>
      </c>
      <c r="Z6276" s="14">
        <v>0</v>
      </c>
      <c r="AA6276" s="6">
        <v>0</v>
      </c>
      <c r="AB6276" s="4">
        <f t="shared" si="977"/>
        <v>0</v>
      </c>
      <c r="AC6276" s="6">
        <f t="shared" si="975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971"/>
        <v>0</v>
      </c>
      <c r="AG6276" s="14">
        <v>0.37</v>
      </c>
      <c r="AH6276" s="6">
        <f t="shared" si="974"/>
        <v>0</v>
      </c>
      <c r="AI6276" s="47"/>
      <c r="AJ6276" s="126" t="e">
        <v>#N/A</v>
      </c>
      <c r="AK6276" s="80">
        <f t="shared" si="978"/>
        <v>0</v>
      </c>
      <c r="AL6276" s="85"/>
      <c r="AM6276" s="85"/>
    </row>
    <row r="6277" spans="1:39" s="86" customFormat="1" ht="13.25" hidden="1" customHeight="1" x14ac:dyDescent="0.3">
      <c r="A6277" s="89" t="s">
        <v>3794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972"/>
        <v>1106.1799999999998</v>
      </c>
      <c r="X6277" s="6">
        <f t="shared" si="973"/>
        <v>0</v>
      </c>
      <c r="Y6277" s="13">
        <f t="shared" si="976"/>
        <v>0</v>
      </c>
      <c r="Z6277" s="14">
        <v>0</v>
      </c>
      <c r="AA6277" s="6">
        <v>0</v>
      </c>
      <c r="AB6277" s="4">
        <f t="shared" si="977"/>
        <v>0</v>
      </c>
      <c r="AC6277" s="6">
        <f t="shared" si="975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971"/>
        <v>0</v>
      </c>
      <c r="AG6277" s="14">
        <v>0</v>
      </c>
      <c r="AH6277" s="6">
        <f t="shared" si="974"/>
        <v>0</v>
      </c>
      <c r="AI6277" s="47"/>
      <c r="AJ6277" s="126" t="e">
        <v>#N/A</v>
      </c>
      <c r="AK6277" s="80">
        <f t="shared" si="978"/>
        <v>0</v>
      </c>
      <c r="AL6277" s="85"/>
      <c r="AM6277" s="85"/>
    </row>
    <row r="6278" spans="1:39" s="86" customFormat="1" ht="13.25" hidden="1" customHeight="1" x14ac:dyDescent="0.3">
      <c r="A6278" s="89" t="s">
        <v>3794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972"/>
        <v>-6.0000000157742761E-3</v>
      </c>
      <c r="X6278" s="6">
        <f t="shared" si="973"/>
        <v>0</v>
      </c>
      <c r="Y6278" s="13">
        <f t="shared" si="976"/>
        <v>0</v>
      </c>
      <c r="Z6278" s="14">
        <v>0</v>
      </c>
      <c r="AA6278" s="6">
        <v>0</v>
      </c>
      <c r="AB6278" s="4">
        <f t="shared" si="977"/>
        <v>0</v>
      </c>
      <c r="AC6278" s="6">
        <f t="shared" si="975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971"/>
        <v>0</v>
      </c>
      <c r="AG6278" s="14">
        <v>0.4</v>
      </c>
      <c r="AH6278" s="6">
        <f t="shared" si="974"/>
        <v>0</v>
      </c>
      <c r="AI6278" s="47"/>
      <c r="AJ6278" s="126" t="e">
        <v>#N/A</v>
      </c>
      <c r="AK6278" s="80">
        <f t="shared" si="978"/>
        <v>0</v>
      </c>
      <c r="AL6278" s="85"/>
      <c r="AM6278" s="85"/>
    </row>
    <row r="6279" spans="1:39" s="86" customFormat="1" ht="13.25" hidden="1" customHeight="1" x14ac:dyDescent="0.3">
      <c r="A6279" s="89" t="s">
        <v>3794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972"/>
        <v>-633233.87399999995</v>
      </c>
      <c r="X6279" s="6">
        <f t="shared" si="973"/>
        <v>0</v>
      </c>
      <c r="Y6279" s="13">
        <f t="shared" si="976"/>
        <v>0</v>
      </c>
      <c r="Z6279" s="14">
        <v>0</v>
      </c>
      <c r="AA6279" s="6">
        <v>0</v>
      </c>
      <c r="AB6279" s="4">
        <f t="shared" si="977"/>
        <v>0</v>
      </c>
      <c r="AC6279" s="6">
        <f t="shared" si="975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971"/>
        <v>0</v>
      </c>
      <c r="AG6279" s="14">
        <v>0.4</v>
      </c>
      <c r="AH6279" s="6">
        <f t="shared" si="974"/>
        <v>0</v>
      </c>
      <c r="AI6279" s="47"/>
      <c r="AJ6279" s="126" t="e">
        <v>#N/A</v>
      </c>
      <c r="AK6279" s="80">
        <f t="shared" si="978"/>
        <v>0</v>
      </c>
      <c r="AL6279" s="85"/>
      <c r="AM6279" s="85"/>
    </row>
    <row r="6280" spans="1:39" s="86" customFormat="1" ht="13.25" hidden="1" customHeight="1" x14ac:dyDescent="0.3">
      <c r="A6280" s="89" t="s">
        <v>3792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972"/>
        <v>1242.0009</v>
      </c>
      <c r="X6280" s="6">
        <f t="shared" si="973"/>
        <v>0</v>
      </c>
      <c r="Y6280" s="13">
        <f t="shared" si="976"/>
        <v>0</v>
      </c>
      <c r="Z6280" s="14">
        <v>0</v>
      </c>
      <c r="AA6280" s="6">
        <v>0</v>
      </c>
      <c r="AB6280" s="4">
        <f t="shared" si="977"/>
        <v>0</v>
      </c>
      <c r="AC6280" s="6">
        <f t="shared" si="975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971"/>
        <v>0</v>
      </c>
      <c r="AG6280" s="14">
        <v>0.37</v>
      </c>
      <c r="AH6280" s="6">
        <f t="shared" si="974"/>
        <v>0</v>
      </c>
      <c r="AI6280" s="47"/>
      <c r="AJ6280" s="126" t="e">
        <v>#N/A</v>
      </c>
      <c r="AK6280" s="80">
        <f t="shared" si="978"/>
        <v>0</v>
      </c>
      <c r="AL6280" s="85"/>
      <c r="AM6280" s="85"/>
    </row>
    <row r="6281" spans="1:39" s="86" customFormat="1" ht="13.25" hidden="1" customHeight="1" x14ac:dyDescent="0.3">
      <c r="A6281" s="89" t="s">
        <v>3792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972"/>
        <v>179793.86138219805</v>
      </c>
      <c r="X6281" s="6">
        <f t="shared" si="973"/>
        <v>0</v>
      </c>
      <c r="Y6281" s="13">
        <f t="shared" si="976"/>
        <v>0</v>
      </c>
      <c r="Z6281" s="14">
        <v>0</v>
      </c>
      <c r="AA6281" s="6">
        <v>0</v>
      </c>
      <c r="AB6281" s="4">
        <f t="shared" si="977"/>
        <v>0</v>
      </c>
      <c r="AC6281" s="6">
        <f t="shared" si="975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971"/>
        <v>0</v>
      </c>
      <c r="AG6281" s="14">
        <v>0.41</v>
      </c>
      <c r="AH6281" s="6">
        <f t="shared" si="974"/>
        <v>0</v>
      </c>
      <c r="AI6281" s="47"/>
      <c r="AJ6281" s="126" t="e">
        <v>#N/A</v>
      </c>
      <c r="AK6281" s="80">
        <f t="shared" si="978"/>
        <v>0</v>
      </c>
      <c r="AL6281" s="85"/>
      <c r="AM6281" s="85"/>
    </row>
    <row r="6282" spans="1:39" s="86" customFormat="1" ht="13.25" hidden="1" customHeight="1" x14ac:dyDescent="0.3">
      <c r="A6282" s="89" t="s">
        <v>3794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972"/>
        <v>-244103.99919999999</v>
      </c>
      <c r="X6282" s="6">
        <f t="shared" si="973"/>
        <v>0</v>
      </c>
      <c r="Y6282" s="13">
        <f t="shared" si="976"/>
        <v>0</v>
      </c>
      <c r="Z6282" s="14">
        <v>0</v>
      </c>
      <c r="AA6282" s="6">
        <v>0</v>
      </c>
      <c r="AB6282" s="4">
        <f t="shared" si="977"/>
        <v>0</v>
      </c>
      <c r="AC6282" s="6">
        <f t="shared" si="975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971"/>
        <v>0</v>
      </c>
      <c r="AG6282" s="14">
        <v>0.46</v>
      </c>
      <c r="AH6282" s="6">
        <f t="shared" si="974"/>
        <v>0</v>
      </c>
      <c r="AI6282" s="47"/>
      <c r="AJ6282" s="126" t="e">
        <v>#N/A</v>
      </c>
      <c r="AK6282" s="80">
        <f t="shared" si="978"/>
        <v>0</v>
      </c>
      <c r="AL6282" s="85"/>
      <c r="AM6282" s="85"/>
    </row>
    <row r="6283" spans="1:39" s="86" customFormat="1" ht="13.25" hidden="1" customHeight="1" x14ac:dyDescent="0.3">
      <c r="A6283" s="89" t="s">
        <v>3794</v>
      </c>
      <c r="B6283" s="86" t="s">
        <v>35</v>
      </c>
      <c r="C6283" s="86" t="s">
        <v>184</v>
      </c>
      <c r="D6283" s="86" t="s">
        <v>3849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972"/>
        <v>0</v>
      </c>
      <c r="X6283" s="6">
        <f t="shared" si="973"/>
        <v>15387.893203883539</v>
      </c>
      <c r="Y6283" s="13">
        <f t="shared" si="976"/>
        <v>15387.893203883539</v>
      </c>
      <c r="Z6283" s="14">
        <v>0</v>
      </c>
      <c r="AA6283" s="6">
        <v>0</v>
      </c>
      <c r="AB6283" s="4">
        <f t="shared" si="977"/>
        <v>15387.893203883539</v>
      </c>
      <c r="AC6283" s="6">
        <f t="shared" si="975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971"/>
        <v>0</v>
      </c>
      <c r="AG6283" s="14">
        <v>0</v>
      </c>
      <c r="AH6283" s="6">
        <f t="shared" si="974"/>
        <v>15849.530000000046</v>
      </c>
      <c r="AI6283" s="47"/>
      <c r="AJ6283" s="126" t="e">
        <v>#N/A</v>
      </c>
      <c r="AK6283" s="80">
        <f t="shared" si="978"/>
        <v>0</v>
      </c>
      <c r="AL6283" s="85"/>
      <c r="AM6283" s="85"/>
    </row>
    <row r="6284" spans="1:39" s="86" customFormat="1" ht="13.25" hidden="1" customHeight="1" x14ac:dyDescent="0.3">
      <c r="A6284" s="89" t="s">
        <v>3792</v>
      </c>
      <c r="B6284" s="86" t="s">
        <v>35</v>
      </c>
      <c r="C6284" s="86" t="s">
        <v>184</v>
      </c>
      <c r="D6284" s="86" t="s">
        <v>3849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972"/>
        <v>1067.8328000000383</v>
      </c>
      <c r="X6284" s="6">
        <f t="shared" si="973"/>
        <v>0</v>
      </c>
      <c r="Y6284" s="13">
        <f t="shared" si="976"/>
        <v>0</v>
      </c>
      <c r="Z6284" s="14">
        <v>0</v>
      </c>
      <c r="AA6284" s="6">
        <v>0</v>
      </c>
      <c r="AB6284" s="4">
        <f t="shared" si="977"/>
        <v>0</v>
      </c>
      <c r="AC6284" s="6">
        <f t="shared" si="975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971"/>
        <v>0</v>
      </c>
      <c r="AG6284" s="14">
        <v>0</v>
      </c>
      <c r="AH6284" s="6">
        <f t="shared" si="974"/>
        <v>0</v>
      </c>
      <c r="AI6284" s="47"/>
      <c r="AJ6284" s="126" t="e">
        <v>#N/A</v>
      </c>
      <c r="AK6284" s="80">
        <f t="shared" si="978"/>
        <v>0</v>
      </c>
      <c r="AL6284" s="85"/>
      <c r="AM6284" s="85"/>
    </row>
    <row r="6285" spans="1:39" s="86" customFormat="1" ht="13.25" hidden="1" customHeight="1" x14ac:dyDescent="0.3">
      <c r="A6285" s="89" t="s">
        <v>3794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972"/>
        <v>-10967.75</v>
      </c>
      <c r="X6285" s="6">
        <f t="shared" si="973"/>
        <v>0</v>
      </c>
      <c r="Y6285" s="13">
        <f t="shared" si="976"/>
        <v>0</v>
      </c>
      <c r="Z6285" s="14">
        <v>0</v>
      </c>
      <c r="AA6285" s="6">
        <v>0</v>
      </c>
      <c r="AB6285" s="4">
        <f t="shared" si="977"/>
        <v>0</v>
      </c>
      <c r="AC6285" s="6">
        <f t="shared" si="975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971"/>
        <v>0</v>
      </c>
      <c r="AG6285" s="14">
        <v>0.25</v>
      </c>
      <c r="AH6285" s="6">
        <f t="shared" si="974"/>
        <v>0</v>
      </c>
      <c r="AI6285" s="47"/>
      <c r="AJ6285" s="126" t="e">
        <v>#N/A</v>
      </c>
      <c r="AK6285" s="80">
        <f t="shared" si="978"/>
        <v>0</v>
      </c>
      <c r="AL6285" s="85"/>
      <c r="AM6285" s="85"/>
    </row>
    <row r="6286" spans="1:39" s="86" customFormat="1" ht="13.25" hidden="1" customHeight="1" x14ac:dyDescent="0.3">
      <c r="A6286" s="89" t="s">
        <v>3794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972"/>
        <v>-31672.181400000001</v>
      </c>
      <c r="X6286" s="6">
        <f t="shared" si="973"/>
        <v>0</v>
      </c>
      <c r="Y6286" s="13">
        <f t="shared" si="976"/>
        <v>0</v>
      </c>
      <c r="Z6286" s="14">
        <v>0</v>
      </c>
      <c r="AA6286" s="6">
        <v>0</v>
      </c>
      <c r="AB6286" s="4">
        <f t="shared" si="977"/>
        <v>0</v>
      </c>
      <c r="AC6286" s="6">
        <f t="shared" si="975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971"/>
        <v>0</v>
      </c>
      <c r="AG6286" s="14">
        <v>0.41</v>
      </c>
      <c r="AH6286" s="6">
        <f t="shared" si="974"/>
        <v>0</v>
      </c>
      <c r="AI6286" s="47"/>
      <c r="AJ6286" s="126" t="e">
        <v>#N/A</v>
      </c>
      <c r="AK6286" s="80">
        <f t="shared" si="978"/>
        <v>0</v>
      </c>
      <c r="AL6286" s="85"/>
      <c r="AM6286" s="85"/>
    </row>
    <row r="6287" spans="1:39" s="86" customFormat="1" ht="13.25" hidden="1" customHeight="1" x14ac:dyDescent="0.3">
      <c r="A6287" s="89" t="s">
        <v>3794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972"/>
        <v>6.0000000021318556E-3</v>
      </c>
      <c r="X6287" s="6">
        <f t="shared" si="973"/>
        <v>0</v>
      </c>
      <c r="Y6287" s="13">
        <f t="shared" si="976"/>
        <v>0</v>
      </c>
      <c r="Z6287" s="14">
        <v>0</v>
      </c>
      <c r="AA6287" s="6">
        <v>0</v>
      </c>
      <c r="AB6287" s="4">
        <f t="shared" si="977"/>
        <v>0</v>
      </c>
      <c r="AC6287" s="6">
        <f t="shared" si="975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971"/>
        <v>0</v>
      </c>
      <c r="AG6287" s="14">
        <v>0.4</v>
      </c>
      <c r="AH6287" s="6">
        <f t="shared" si="974"/>
        <v>0</v>
      </c>
      <c r="AI6287" s="47"/>
      <c r="AJ6287" s="126" t="e">
        <v>#N/A</v>
      </c>
      <c r="AK6287" s="80">
        <f t="shared" si="978"/>
        <v>0</v>
      </c>
      <c r="AL6287" s="85"/>
      <c r="AM6287" s="85"/>
    </row>
    <row r="6288" spans="1:39" s="86" customFormat="1" ht="13.25" hidden="1" customHeight="1" x14ac:dyDescent="0.3">
      <c r="A6288" s="89" t="s">
        <v>3794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972"/>
        <v>12422.418899999999</v>
      </c>
      <c r="X6288" s="6">
        <f t="shared" si="973"/>
        <v>0</v>
      </c>
      <c r="Y6288" s="13">
        <f t="shared" si="976"/>
        <v>0</v>
      </c>
      <c r="Z6288" s="14">
        <v>0</v>
      </c>
      <c r="AA6288" s="6">
        <v>0</v>
      </c>
      <c r="AB6288" s="4">
        <f t="shared" si="977"/>
        <v>0</v>
      </c>
      <c r="AC6288" s="6">
        <f t="shared" si="975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971"/>
        <v>0</v>
      </c>
      <c r="AG6288" s="14">
        <v>0.37</v>
      </c>
      <c r="AH6288" s="6">
        <f t="shared" si="974"/>
        <v>0</v>
      </c>
      <c r="AI6288" s="47"/>
      <c r="AJ6288" s="126" t="e">
        <v>#N/A</v>
      </c>
      <c r="AK6288" s="80">
        <f t="shared" si="978"/>
        <v>0</v>
      </c>
      <c r="AL6288" s="85"/>
      <c r="AM6288" s="85"/>
    </row>
    <row r="6289" spans="1:39" s="86" customFormat="1" ht="13.25" hidden="1" customHeight="1" x14ac:dyDescent="0.3">
      <c r="A6289" s="89" t="s">
        <v>3794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972"/>
        <v>4315.6180000000031</v>
      </c>
      <c r="X6289" s="6">
        <f t="shared" si="973"/>
        <v>0</v>
      </c>
      <c r="Y6289" s="13">
        <f t="shared" si="976"/>
        <v>0</v>
      </c>
      <c r="Z6289" s="14">
        <v>0</v>
      </c>
      <c r="AA6289" s="6">
        <v>0</v>
      </c>
      <c r="AB6289" s="4">
        <f t="shared" si="977"/>
        <v>0</v>
      </c>
      <c r="AC6289" s="6">
        <f t="shared" si="975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971"/>
        <v>0</v>
      </c>
      <c r="AG6289" s="14">
        <v>0.4</v>
      </c>
      <c r="AH6289" s="6">
        <f t="shared" si="974"/>
        <v>0</v>
      </c>
      <c r="AI6289" s="47"/>
      <c r="AJ6289" s="126" t="e">
        <v>#N/A</v>
      </c>
      <c r="AK6289" s="80">
        <f t="shared" si="978"/>
        <v>0</v>
      </c>
      <c r="AL6289" s="85"/>
      <c r="AM6289" s="85"/>
    </row>
    <row r="6290" spans="1:39" s="86" customFormat="1" ht="13.25" hidden="1" customHeight="1" x14ac:dyDescent="0.3">
      <c r="A6290" s="89" t="s">
        <v>3794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972"/>
        <v>5.3099999912092244E-2</v>
      </c>
      <c r="X6290" s="6">
        <f t="shared" si="973"/>
        <v>0</v>
      </c>
      <c r="Y6290" s="13">
        <f t="shared" si="976"/>
        <v>0</v>
      </c>
      <c r="Z6290" s="14">
        <v>0</v>
      </c>
      <c r="AA6290" s="6">
        <v>0</v>
      </c>
      <c r="AB6290" s="4">
        <f t="shared" si="977"/>
        <v>0</v>
      </c>
      <c r="AC6290" s="6">
        <f t="shared" si="975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971"/>
        <v>0</v>
      </c>
      <c r="AG6290" s="14">
        <v>0.4</v>
      </c>
      <c r="AH6290" s="6">
        <f t="shared" si="974"/>
        <v>0</v>
      </c>
      <c r="AI6290" s="47"/>
      <c r="AJ6290" s="126" t="e">
        <v>#N/A</v>
      </c>
      <c r="AK6290" s="80">
        <f t="shared" si="978"/>
        <v>0</v>
      </c>
      <c r="AL6290" s="85"/>
      <c r="AM6290" s="85"/>
    </row>
    <row r="6291" spans="1:39" s="86" customFormat="1" ht="13.25" hidden="1" customHeight="1" x14ac:dyDescent="0.3">
      <c r="A6291" s="89" t="s">
        <v>3794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972"/>
        <v>52779.029999999329</v>
      </c>
      <c r="X6291" s="6">
        <f t="shared" si="973"/>
        <v>0</v>
      </c>
      <c r="Y6291" s="13">
        <f t="shared" si="976"/>
        <v>0</v>
      </c>
      <c r="Z6291" s="14">
        <v>0</v>
      </c>
      <c r="AA6291" s="6">
        <v>0</v>
      </c>
      <c r="AB6291" s="4">
        <f t="shared" si="977"/>
        <v>0</v>
      </c>
      <c r="AC6291" s="6">
        <f t="shared" si="975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971"/>
        <v>0</v>
      </c>
      <c r="AG6291" s="14">
        <v>0.16</v>
      </c>
      <c r="AH6291" s="6">
        <f t="shared" si="974"/>
        <v>0</v>
      </c>
      <c r="AI6291" s="47"/>
      <c r="AJ6291" s="126" t="e">
        <v>#N/A</v>
      </c>
      <c r="AK6291" s="80">
        <f t="shared" si="978"/>
        <v>0</v>
      </c>
      <c r="AL6291" s="85"/>
      <c r="AM6291" s="85"/>
    </row>
    <row r="6292" spans="1:39" s="86" customFormat="1" ht="13.25" hidden="1" customHeight="1" x14ac:dyDescent="0.3">
      <c r="A6292" s="89" t="s">
        <v>3792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972"/>
        <v>-20003231.118000001</v>
      </c>
      <c r="X6292" s="6">
        <f t="shared" si="973"/>
        <v>0</v>
      </c>
      <c r="Y6292" s="13">
        <f t="shared" si="976"/>
        <v>0</v>
      </c>
      <c r="Z6292" s="14">
        <v>0</v>
      </c>
      <c r="AA6292" s="6">
        <v>0</v>
      </c>
      <c r="AB6292" s="4">
        <f t="shared" si="977"/>
        <v>0</v>
      </c>
      <c r="AC6292" s="6">
        <f t="shared" si="975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971"/>
        <v>0</v>
      </c>
      <c r="AG6292" s="14">
        <v>0.3</v>
      </c>
      <c r="AH6292" s="6">
        <f t="shared" si="974"/>
        <v>0</v>
      </c>
      <c r="AI6292" s="47"/>
      <c r="AJ6292" s="126" t="e">
        <v>#N/A</v>
      </c>
      <c r="AK6292" s="80">
        <f t="shared" si="978"/>
        <v>0</v>
      </c>
      <c r="AL6292" s="85"/>
      <c r="AM6292" s="85"/>
    </row>
    <row r="6293" spans="1:39" s="86" customFormat="1" ht="13.25" hidden="1" customHeight="1" x14ac:dyDescent="0.3">
      <c r="A6293" s="89" t="s">
        <v>3794</v>
      </c>
      <c r="B6293" s="86" t="s">
        <v>35</v>
      </c>
      <c r="C6293" s="86" t="s">
        <v>184</v>
      </c>
      <c r="D6293" s="86" t="s">
        <v>3849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972"/>
        <v>877.33400000000245</v>
      </c>
      <c r="X6293" s="6">
        <f t="shared" si="973"/>
        <v>0</v>
      </c>
      <c r="Y6293" s="13">
        <f t="shared" si="976"/>
        <v>0</v>
      </c>
      <c r="Z6293" s="14">
        <v>0</v>
      </c>
      <c r="AA6293" s="6">
        <v>0</v>
      </c>
      <c r="AB6293" s="4">
        <f t="shared" si="977"/>
        <v>0</v>
      </c>
      <c r="AC6293" s="6">
        <f t="shared" si="975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971"/>
        <v>0</v>
      </c>
      <c r="AG6293" s="14">
        <v>0.3</v>
      </c>
      <c r="AH6293" s="6">
        <f t="shared" si="974"/>
        <v>0</v>
      </c>
      <c r="AI6293" s="47"/>
      <c r="AJ6293" s="126" t="e">
        <v>#N/A</v>
      </c>
      <c r="AK6293" s="80">
        <f t="shared" si="978"/>
        <v>0</v>
      </c>
      <c r="AL6293" s="85"/>
      <c r="AM6293" s="85"/>
    </row>
    <row r="6294" spans="1:39" s="86" customFormat="1" ht="13.25" hidden="1" customHeight="1" x14ac:dyDescent="0.3">
      <c r="A6294" s="89" t="s">
        <v>3794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972"/>
        <v>308214.37000000005</v>
      </c>
      <c r="X6294" s="6">
        <f t="shared" si="973"/>
        <v>39.883495145631059</v>
      </c>
      <c r="Y6294" s="13">
        <f t="shared" si="976"/>
        <v>39.883495145631059</v>
      </c>
      <c r="Z6294" s="14">
        <v>0</v>
      </c>
      <c r="AA6294" s="6">
        <v>0</v>
      </c>
      <c r="AB6294" s="4">
        <f t="shared" si="977"/>
        <v>39.883495145631059</v>
      </c>
      <c r="AC6294" s="6">
        <f t="shared" si="975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971"/>
        <v>0</v>
      </c>
      <c r="AG6294" s="14">
        <v>0</v>
      </c>
      <c r="AH6294" s="6">
        <f t="shared" si="974"/>
        <v>41.079999999999991</v>
      </c>
      <c r="AI6294" s="47"/>
      <c r="AJ6294" s="126" t="e">
        <v>#N/A</v>
      </c>
      <c r="AK6294" s="80">
        <f t="shared" si="978"/>
        <v>0</v>
      </c>
      <c r="AL6294" s="85"/>
      <c r="AM6294" s="85"/>
    </row>
    <row r="6295" spans="1:39" s="86" customFormat="1" ht="13.25" hidden="1" customHeight="1" x14ac:dyDescent="0.3">
      <c r="A6295" s="89" t="s">
        <v>3794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972"/>
        <v>39593.855999999985</v>
      </c>
      <c r="X6295" s="6">
        <f t="shared" si="973"/>
        <v>0</v>
      </c>
      <c r="Y6295" s="13">
        <f t="shared" si="976"/>
        <v>0</v>
      </c>
      <c r="Z6295" s="14">
        <v>0</v>
      </c>
      <c r="AA6295" s="6">
        <v>0</v>
      </c>
      <c r="AB6295" s="4">
        <f t="shared" si="977"/>
        <v>0</v>
      </c>
      <c r="AC6295" s="6">
        <f t="shared" si="975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971"/>
        <v>0</v>
      </c>
      <c r="AG6295" s="14">
        <v>0.4</v>
      </c>
      <c r="AH6295" s="6">
        <f t="shared" si="974"/>
        <v>0</v>
      </c>
      <c r="AI6295" s="47"/>
      <c r="AJ6295" s="126" t="e">
        <v>#N/A</v>
      </c>
      <c r="AK6295" s="80">
        <f t="shared" si="978"/>
        <v>0</v>
      </c>
      <c r="AL6295" s="85"/>
      <c r="AM6295" s="85"/>
    </row>
    <row r="6296" spans="1:39" s="86" customFormat="1" ht="13.25" hidden="1" customHeight="1" x14ac:dyDescent="0.3">
      <c r="A6296" s="89" t="s">
        <v>3792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972"/>
        <v>58070.141999999985</v>
      </c>
      <c r="X6296" s="6">
        <f t="shared" si="973"/>
        <v>0</v>
      </c>
      <c r="Y6296" s="13">
        <f t="shared" si="976"/>
        <v>0</v>
      </c>
      <c r="Z6296" s="14">
        <v>0</v>
      </c>
      <c r="AA6296" s="6">
        <v>0</v>
      </c>
      <c r="AB6296" s="4">
        <f t="shared" si="977"/>
        <v>0</v>
      </c>
      <c r="AC6296" s="6">
        <f t="shared" si="975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971"/>
        <v>0</v>
      </c>
      <c r="AG6296" s="14">
        <v>0.4</v>
      </c>
      <c r="AH6296" s="6">
        <f t="shared" si="974"/>
        <v>0</v>
      </c>
      <c r="AI6296" s="47"/>
      <c r="AJ6296" s="126" t="e">
        <v>#N/A</v>
      </c>
      <c r="AK6296" s="80">
        <f t="shared" si="978"/>
        <v>0</v>
      </c>
      <c r="AL6296" s="85"/>
      <c r="AM6296" s="85"/>
    </row>
    <row r="6297" spans="1:39" s="86" customFormat="1" ht="13.25" hidden="1" customHeight="1" x14ac:dyDescent="0.3">
      <c r="A6297" s="89" t="s">
        <v>3794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972"/>
        <v>64050.65330780053</v>
      </c>
      <c r="X6297" s="6">
        <f t="shared" si="973"/>
        <v>0</v>
      </c>
      <c r="Y6297" s="13">
        <f t="shared" si="976"/>
        <v>0</v>
      </c>
      <c r="Z6297" s="14">
        <v>0</v>
      </c>
      <c r="AA6297" s="6">
        <v>0</v>
      </c>
      <c r="AB6297" s="4">
        <f t="shared" si="977"/>
        <v>0</v>
      </c>
      <c r="AC6297" s="6">
        <f t="shared" si="975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971"/>
        <v>0</v>
      </c>
      <c r="AG6297" s="14">
        <v>0.4</v>
      </c>
      <c r="AH6297" s="6">
        <f t="shared" si="974"/>
        <v>0</v>
      </c>
      <c r="AI6297" s="47"/>
      <c r="AJ6297" s="126" t="e">
        <v>#N/A</v>
      </c>
      <c r="AK6297" s="80">
        <f t="shared" si="978"/>
        <v>0</v>
      </c>
      <c r="AL6297" s="85"/>
      <c r="AM6297" s="85"/>
    </row>
    <row r="6298" spans="1:39" s="86" customFormat="1" ht="13.25" hidden="1" customHeight="1" x14ac:dyDescent="0.3">
      <c r="A6298" s="89" t="s">
        <v>3792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972"/>
        <v>-75791.59</v>
      </c>
      <c r="X6298" s="6">
        <f t="shared" si="973"/>
        <v>0</v>
      </c>
      <c r="Y6298" s="13">
        <f t="shared" si="976"/>
        <v>0</v>
      </c>
      <c r="Z6298" s="14">
        <v>0</v>
      </c>
      <c r="AA6298" s="6">
        <v>0</v>
      </c>
      <c r="AB6298" s="4">
        <f t="shared" si="977"/>
        <v>0</v>
      </c>
      <c r="AC6298" s="6">
        <f t="shared" si="975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971"/>
        <v>0</v>
      </c>
      <c r="AG6298" s="14">
        <v>0.4</v>
      </c>
      <c r="AH6298" s="6">
        <f t="shared" si="974"/>
        <v>0</v>
      </c>
      <c r="AI6298" s="47"/>
      <c r="AJ6298" s="126" t="e">
        <v>#N/A</v>
      </c>
      <c r="AK6298" s="80">
        <f t="shared" si="978"/>
        <v>0</v>
      </c>
      <c r="AL6298" s="85"/>
      <c r="AM6298" s="85"/>
    </row>
    <row r="6299" spans="1:39" s="86" customFormat="1" ht="13.25" hidden="1" customHeight="1" x14ac:dyDescent="0.3">
      <c r="A6299" s="89" t="s">
        <v>3792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972"/>
        <v>44543.499000000003</v>
      </c>
      <c r="X6299" s="6">
        <f t="shared" si="973"/>
        <v>0</v>
      </c>
      <c r="Y6299" s="13">
        <f t="shared" si="976"/>
        <v>0</v>
      </c>
      <c r="Z6299" s="14">
        <v>0</v>
      </c>
      <c r="AA6299" s="6">
        <v>0</v>
      </c>
      <c r="AB6299" s="4">
        <f t="shared" si="977"/>
        <v>0</v>
      </c>
      <c r="AC6299" s="6">
        <f t="shared" si="975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971"/>
        <v>0</v>
      </c>
      <c r="AG6299" s="14">
        <v>0.37</v>
      </c>
      <c r="AH6299" s="6">
        <f t="shared" si="974"/>
        <v>0</v>
      </c>
      <c r="AI6299" s="47"/>
      <c r="AJ6299" s="126" t="e">
        <v>#N/A</v>
      </c>
      <c r="AK6299" s="80">
        <f t="shared" si="978"/>
        <v>0</v>
      </c>
      <c r="AL6299" s="85"/>
      <c r="AM6299" s="85"/>
    </row>
    <row r="6300" spans="1:39" s="86" customFormat="1" ht="13.25" hidden="1" customHeight="1" x14ac:dyDescent="0.3">
      <c r="A6300" s="89" t="s">
        <v>3792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972"/>
        <v>18708.39</v>
      </c>
      <c r="X6300" s="6">
        <f t="shared" si="973"/>
        <v>7996.9902912621374</v>
      </c>
      <c r="Y6300" s="13">
        <f t="shared" si="976"/>
        <v>7996.9902912621374</v>
      </c>
      <c r="Z6300" s="14">
        <v>0</v>
      </c>
      <c r="AA6300" s="6">
        <v>0</v>
      </c>
      <c r="AB6300" s="4">
        <f t="shared" si="977"/>
        <v>7996.9902912621374</v>
      </c>
      <c r="AC6300" s="6">
        <f t="shared" si="975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971"/>
        <v>0</v>
      </c>
      <c r="AG6300" s="14">
        <v>0</v>
      </c>
      <c r="AH6300" s="6">
        <f t="shared" si="974"/>
        <v>8236.9000000000015</v>
      </c>
      <c r="AI6300" s="47"/>
      <c r="AJ6300" s="126" t="e">
        <v>#N/A</v>
      </c>
      <c r="AK6300" s="80">
        <f t="shared" si="978"/>
        <v>0</v>
      </c>
      <c r="AL6300" s="85"/>
      <c r="AM6300" s="85"/>
    </row>
    <row r="6301" spans="1:39" s="86" customFormat="1" ht="13.25" hidden="1" customHeight="1" x14ac:dyDescent="0.3">
      <c r="A6301" s="89" t="s">
        <v>3792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972"/>
        <v>0.63999999994848622</v>
      </c>
      <c r="X6301" s="6">
        <f t="shared" si="973"/>
        <v>0</v>
      </c>
      <c r="Y6301" s="13">
        <f t="shared" si="976"/>
        <v>0</v>
      </c>
      <c r="Z6301" s="14">
        <v>0</v>
      </c>
      <c r="AA6301" s="6">
        <v>0</v>
      </c>
      <c r="AB6301" s="4">
        <f t="shared" si="977"/>
        <v>0</v>
      </c>
      <c r="AC6301" s="6">
        <f t="shared" si="975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971"/>
        <v>0</v>
      </c>
      <c r="AG6301" s="14">
        <v>0</v>
      </c>
      <c r="AH6301" s="6">
        <f t="shared" si="974"/>
        <v>0</v>
      </c>
      <c r="AI6301" s="47"/>
      <c r="AJ6301" s="126" t="e">
        <v>#N/A</v>
      </c>
      <c r="AK6301" s="80">
        <f t="shared" si="978"/>
        <v>0</v>
      </c>
      <c r="AL6301" s="85"/>
      <c r="AM6301" s="85"/>
    </row>
    <row r="6302" spans="1:39" s="86" customFormat="1" ht="13.25" hidden="1" customHeight="1" x14ac:dyDescent="0.3">
      <c r="A6302" s="89" t="s">
        <v>3794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972"/>
        <v>-73.039199996477691</v>
      </c>
      <c r="X6302" s="6">
        <f t="shared" si="973"/>
        <v>0</v>
      </c>
      <c r="Y6302" s="13">
        <f t="shared" si="976"/>
        <v>0</v>
      </c>
      <c r="Z6302" s="14">
        <v>0</v>
      </c>
      <c r="AA6302" s="6">
        <v>0</v>
      </c>
      <c r="AB6302" s="4">
        <f t="shared" si="977"/>
        <v>0</v>
      </c>
      <c r="AC6302" s="6">
        <f t="shared" si="975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971"/>
        <v>0</v>
      </c>
      <c r="AG6302" s="14">
        <v>0.24</v>
      </c>
      <c r="AH6302" s="6">
        <f t="shared" si="974"/>
        <v>0</v>
      </c>
      <c r="AI6302" s="47"/>
      <c r="AJ6302" s="126" t="e">
        <v>#N/A</v>
      </c>
      <c r="AK6302" s="80">
        <f t="shared" si="978"/>
        <v>0</v>
      </c>
      <c r="AL6302" s="85"/>
      <c r="AM6302" s="85"/>
    </row>
    <row r="6303" spans="1:39" s="86" customFormat="1" ht="13.25" hidden="1" customHeight="1" x14ac:dyDescent="0.3">
      <c r="A6303" s="89" t="s">
        <v>3794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972"/>
        <v>3.19999999992433E-2</v>
      </c>
      <c r="X6303" s="6">
        <f t="shared" si="973"/>
        <v>0</v>
      </c>
      <c r="Y6303" s="13">
        <f t="shared" si="976"/>
        <v>0</v>
      </c>
      <c r="Z6303" s="14">
        <v>0</v>
      </c>
      <c r="AA6303" s="6">
        <v>0</v>
      </c>
      <c r="AB6303" s="4">
        <f t="shared" si="977"/>
        <v>0</v>
      </c>
      <c r="AC6303" s="6">
        <f t="shared" si="975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971"/>
        <v>0</v>
      </c>
      <c r="AG6303" s="14">
        <v>0.4</v>
      </c>
      <c r="AH6303" s="6">
        <f t="shared" si="974"/>
        <v>0</v>
      </c>
      <c r="AI6303" s="47"/>
      <c r="AJ6303" s="126" t="e">
        <v>#N/A</v>
      </c>
      <c r="AK6303" s="80">
        <f t="shared" si="978"/>
        <v>0</v>
      </c>
      <c r="AL6303" s="85"/>
      <c r="AM6303" s="85"/>
    </row>
    <row r="6304" spans="1:39" s="86" customFormat="1" ht="13.25" hidden="1" customHeight="1" x14ac:dyDescent="0.3">
      <c r="A6304" s="89" t="s">
        <v>3792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972"/>
        <v>112948.92999999998</v>
      </c>
      <c r="X6304" s="6">
        <f t="shared" si="973"/>
        <v>0</v>
      </c>
      <c r="Y6304" s="13">
        <f t="shared" si="976"/>
        <v>0</v>
      </c>
      <c r="Z6304" s="14">
        <v>0</v>
      </c>
      <c r="AA6304" s="6">
        <v>0</v>
      </c>
      <c r="AB6304" s="4">
        <f t="shared" si="977"/>
        <v>0</v>
      </c>
      <c r="AC6304" s="6">
        <f t="shared" si="975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971"/>
        <v>0</v>
      </c>
      <c r="AG6304" s="14">
        <v>0.4</v>
      </c>
      <c r="AH6304" s="6">
        <f t="shared" si="974"/>
        <v>0</v>
      </c>
      <c r="AI6304" s="47"/>
      <c r="AJ6304" s="126" t="e">
        <v>#N/A</v>
      </c>
      <c r="AK6304" s="80">
        <f t="shared" si="978"/>
        <v>0</v>
      </c>
      <c r="AL6304" s="85"/>
      <c r="AM6304" s="85"/>
    </row>
    <row r="6305" spans="1:39" s="86" customFormat="1" ht="13.25" hidden="1" customHeight="1" x14ac:dyDescent="0.3">
      <c r="A6305" s="89" t="s">
        <v>3794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972"/>
        <v>48080.9</v>
      </c>
      <c r="X6305" s="6">
        <f t="shared" si="973"/>
        <v>0</v>
      </c>
      <c r="Y6305" s="13">
        <f t="shared" si="976"/>
        <v>0</v>
      </c>
      <c r="Z6305" s="14">
        <v>0</v>
      </c>
      <c r="AA6305" s="6">
        <v>0</v>
      </c>
      <c r="AB6305" s="4">
        <f t="shared" si="977"/>
        <v>0</v>
      </c>
      <c r="AC6305" s="6">
        <f t="shared" si="975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971"/>
        <v>0</v>
      </c>
      <c r="AG6305" s="14">
        <v>0.1</v>
      </c>
      <c r="AH6305" s="6">
        <f t="shared" si="974"/>
        <v>0</v>
      </c>
      <c r="AI6305" s="47"/>
      <c r="AJ6305" s="126" t="e">
        <v>#N/A</v>
      </c>
      <c r="AK6305" s="80">
        <f t="shared" si="978"/>
        <v>0</v>
      </c>
      <c r="AL6305" s="85"/>
      <c r="AM6305" s="85"/>
    </row>
    <row r="6306" spans="1:39" s="86" customFormat="1" ht="13.25" hidden="1" customHeight="1" x14ac:dyDescent="0.3">
      <c r="A6306" s="89" t="s">
        <v>3794</v>
      </c>
      <c r="B6306" s="86" t="s">
        <v>35</v>
      </c>
      <c r="C6306" s="86" t="s">
        <v>184</v>
      </c>
      <c r="D6306" s="86" t="s">
        <v>3849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972"/>
        <v>0.56000000005587935</v>
      </c>
      <c r="X6306" s="6">
        <f t="shared" si="973"/>
        <v>0</v>
      </c>
      <c r="Y6306" s="13">
        <f t="shared" si="976"/>
        <v>0</v>
      </c>
      <c r="Z6306" s="14">
        <v>0</v>
      </c>
      <c r="AA6306" s="6">
        <v>0</v>
      </c>
      <c r="AB6306" s="4">
        <f t="shared" si="977"/>
        <v>0</v>
      </c>
      <c r="AC6306" s="6">
        <f t="shared" si="975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971"/>
        <v>0</v>
      </c>
      <c r="AG6306" s="14">
        <v>0.06</v>
      </c>
      <c r="AH6306" s="6">
        <f t="shared" si="974"/>
        <v>0</v>
      </c>
      <c r="AI6306" s="47"/>
      <c r="AJ6306" s="126" t="e">
        <v>#N/A</v>
      </c>
      <c r="AK6306" s="80">
        <f t="shared" si="978"/>
        <v>0</v>
      </c>
      <c r="AL6306" s="85"/>
      <c r="AM6306" s="85"/>
    </row>
    <row r="6307" spans="1:39" s="86" customFormat="1" ht="13.25" hidden="1" customHeight="1" x14ac:dyDescent="0.3">
      <c r="A6307" s="89" t="s">
        <v>3792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972"/>
        <v>37387.219999999994</v>
      </c>
      <c r="X6307" s="6">
        <f t="shared" si="973"/>
        <v>5712.42</v>
      </c>
      <c r="Y6307" s="13">
        <f t="shared" si="976"/>
        <v>0</v>
      </c>
      <c r="Z6307" s="14">
        <v>0</v>
      </c>
      <c r="AA6307" s="6">
        <v>0</v>
      </c>
      <c r="AB6307" s="4">
        <f t="shared" si="977"/>
        <v>5712.42</v>
      </c>
      <c r="AC6307" s="6">
        <f t="shared" si="975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971"/>
        <v>399.86940000000004</v>
      </c>
      <c r="AG6307" s="14">
        <v>0</v>
      </c>
      <c r="AH6307" s="6">
        <f t="shared" si="974"/>
        <v>5712.42</v>
      </c>
      <c r="AI6307" s="47"/>
      <c r="AJ6307" s="126" t="e">
        <v>#N/A</v>
      </c>
      <c r="AK6307" s="80">
        <f t="shared" si="978"/>
        <v>0</v>
      </c>
      <c r="AL6307" s="85"/>
      <c r="AM6307" s="85"/>
    </row>
    <row r="6308" spans="1:39" s="86" customFormat="1" ht="13.25" hidden="1" customHeight="1" x14ac:dyDescent="0.3">
      <c r="A6308" s="89" t="s">
        <v>3792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972"/>
        <v>52750</v>
      </c>
      <c r="X6308" s="6">
        <f t="shared" si="973"/>
        <v>0</v>
      </c>
      <c r="Y6308" s="13">
        <f t="shared" si="976"/>
        <v>0</v>
      </c>
      <c r="Z6308" s="14">
        <v>0</v>
      </c>
      <c r="AA6308" s="6">
        <v>0</v>
      </c>
      <c r="AB6308" s="4">
        <f t="shared" si="977"/>
        <v>0</v>
      </c>
      <c r="AC6308" s="6">
        <f t="shared" si="975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979">AD6308*AE6308</f>
        <v>0</v>
      </c>
      <c r="AG6308" s="14">
        <v>0</v>
      </c>
      <c r="AH6308" s="6">
        <f t="shared" si="974"/>
        <v>0</v>
      </c>
      <c r="AI6308" s="47"/>
      <c r="AJ6308" s="126" t="e">
        <v>#N/A</v>
      </c>
      <c r="AK6308" s="80">
        <f t="shared" si="978"/>
        <v>0</v>
      </c>
      <c r="AL6308" s="85"/>
      <c r="AM6308" s="85"/>
    </row>
    <row r="6309" spans="1:39" s="86" customFormat="1" ht="13.25" hidden="1" customHeight="1" x14ac:dyDescent="0.3">
      <c r="A6309" s="89" t="s">
        <v>3794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972"/>
        <v>-1129904.6889999984</v>
      </c>
      <c r="X6309" s="6">
        <f t="shared" si="973"/>
        <v>0</v>
      </c>
      <c r="Y6309" s="13">
        <f t="shared" si="976"/>
        <v>0</v>
      </c>
      <c r="Z6309" s="14">
        <v>0</v>
      </c>
      <c r="AA6309" s="6">
        <v>0</v>
      </c>
      <c r="AB6309" s="4">
        <f t="shared" si="977"/>
        <v>0</v>
      </c>
      <c r="AC6309" s="6">
        <f t="shared" si="975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979"/>
        <v>0</v>
      </c>
      <c r="AG6309" s="14">
        <v>0.3</v>
      </c>
      <c r="AH6309" s="6">
        <f t="shared" si="974"/>
        <v>0</v>
      </c>
      <c r="AI6309" s="47"/>
      <c r="AJ6309" s="126" t="e">
        <v>#N/A</v>
      </c>
      <c r="AK6309" s="80">
        <f t="shared" si="978"/>
        <v>0</v>
      </c>
      <c r="AL6309" s="85"/>
      <c r="AM6309" s="85"/>
    </row>
    <row r="6310" spans="1:39" s="86" customFormat="1" ht="13.25" hidden="1" customHeight="1" x14ac:dyDescent="0.3">
      <c r="A6310" s="89" t="s">
        <v>3794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972"/>
        <v>39643.97159999999</v>
      </c>
      <c r="X6310" s="6">
        <f t="shared" si="973"/>
        <v>0</v>
      </c>
      <c r="Y6310" s="13">
        <f t="shared" si="976"/>
        <v>0</v>
      </c>
      <c r="Z6310" s="14">
        <v>0</v>
      </c>
      <c r="AA6310" s="6">
        <v>0</v>
      </c>
      <c r="AB6310" s="4">
        <f t="shared" si="977"/>
        <v>0</v>
      </c>
      <c r="AC6310" s="6">
        <f t="shared" si="975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979"/>
        <v>0</v>
      </c>
      <c r="AG6310" s="14">
        <v>0.24</v>
      </c>
      <c r="AH6310" s="6">
        <f t="shared" si="974"/>
        <v>0</v>
      </c>
      <c r="AI6310" s="47"/>
      <c r="AJ6310" s="126" t="e">
        <v>#N/A</v>
      </c>
      <c r="AK6310" s="80">
        <f t="shared" si="978"/>
        <v>0</v>
      </c>
      <c r="AL6310" s="85"/>
      <c r="AM6310" s="85"/>
    </row>
    <row r="6311" spans="1:39" s="86" customFormat="1" ht="13.25" hidden="1" customHeight="1" x14ac:dyDescent="0.3">
      <c r="A6311" s="89" t="s">
        <v>3792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972"/>
        <v>1985.0600000000118</v>
      </c>
      <c r="X6311" s="6">
        <f t="shared" si="973"/>
        <v>0</v>
      </c>
      <c r="Y6311" s="13">
        <f t="shared" si="976"/>
        <v>0</v>
      </c>
      <c r="Z6311" s="14">
        <v>0</v>
      </c>
      <c r="AA6311" s="6">
        <v>0</v>
      </c>
      <c r="AB6311" s="4">
        <f t="shared" si="977"/>
        <v>0</v>
      </c>
      <c r="AC6311" s="6">
        <f t="shared" si="975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979"/>
        <v>0</v>
      </c>
      <c r="AG6311" s="14">
        <v>0</v>
      </c>
      <c r="AH6311" s="6">
        <f t="shared" si="974"/>
        <v>0</v>
      </c>
      <c r="AI6311" s="47"/>
      <c r="AJ6311" s="126" t="e">
        <v>#N/A</v>
      </c>
      <c r="AK6311" s="80">
        <f t="shared" si="978"/>
        <v>0</v>
      </c>
      <c r="AL6311" s="85"/>
      <c r="AM6311" s="85"/>
    </row>
    <row r="6312" spans="1:39" s="86" customFormat="1" ht="13.25" hidden="1" customHeight="1" x14ac:dyDescent="0.3">
      <c r="A6312" s="89" t="s">
        <v>3794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972"/>
        <v>2999.9957999999997</v>
      </c>
      <c r="X6312" s="6">
        <f t="shared" si="973"/>
        <v>0</v>
      </c>
      <c r="Y6312" s="13">
        <f t="shared" si="976"/>
        <v>0</v>
      </c>
      <c r="Z6312" s="14">
        <v>0</v>
      </c>
      <c r="AA6312" s="6">
        <v>0</v>
      </c>
      <c r="AB6312" s="4">
        <f t="shared" si="977"/>
        <v>0</v>
      </c>
      <c r="AC6312" s="6">
        <f t="shared" si="975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979"/>
        <v>0</v>
      </c>
      <c r="AG6312" s="14">
        <v>0.38</v>
      </c>
      <c r="AH6312" s="6">
        <f t="shared" si="974"/>
        <v>0</v>
      </c>
      <c r="AI6312" s="47"/>
      <c r="AJ6312" s="126" t="e">
        <v>#N/A</v>
      </c>
      <c r="AK6312" s="80">
        <f t="shared" si="978"/>
        <v>0</v>
      </c>
      <c r="AL6312" s="85"/>
      <c r="AM6312" s="85"/>
    </row>
    <row r="6313" spans="1:39" s="86" customFormat="1" ht="13.25" hidden="1" customHeight="1" x14ac:dyDescent="0.3">
      <c r="A6313" s="89" t="s">
        <v>3794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980">T6313+U6313-V6313</f>
        <v>9265.39</v>
      </c>
      <c r="X6313" s="6">
        <f t="shared" si="973"/>
        <v>0</v>
      </c>
      <c r="Y6313" s="13">
        <f t="shared" si="976"/>
        <v>0</v>
      </c>
      <c r="Z6313" s="14">
        <v>0</v>
      </c>
      <c r="AA6313" s="6">
        <v>0</v>
      </c>
      <c r="AB6313" s="4">
        <f t="shared" si="977"/>
        <v>0</v>
      </c>
      <c r="AC6313" s="6">
        <f t="shared" si="975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979"/>
        <v>0</v>
      </c>
      <c r="AG6313" s="14">
        <v>0</v>
      </c>
      <c r="AH6313" s="6">
        <f t="shared" si="974"/>
        <v>0</v>
      </c>
      <c r="AI6313" s="47"/>
      <c r="AJ6313" s="126" t="e">
        <v>#N/A</v>
      </c>
      <c r="AK6313" s="80">
        <f t="shared" si="978"/>
        <v>0</v>
      </c>
      <c r="AL6313" s="85"/>
      <c r="AM6313" s="85"/>
    </row>
    <row r="6314" spans="1:39" s="86" customFormat="1" ht="13.25" hidden="1" customHeight="1" x14ac:dyDescent="0.3">
      <c r="A6314" s="89" t="s">
        <v>3794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980"/>
        <v>-6085.3600000000006</v>
      </c>
      <c r="X6314" s="6">
        <f t="shared" si="973"/>
        <v>0</v>
      </c>
      <c r="Y6314" s="13">
        <f t="shared" si="976"/>
        <v>0</v>
      </c>
      <c r="Z6314" s="14">
        <v>0</v>
      </c>
      <c r="AA6314" s="6">
        <v>0</v>
      </c>
      <c r="AB6314" s="4">
        <f t="shared" si="977"/>
        <v>0</v>
      </c>
      <c r="AC6314" s="6">
        <f t="shared" si="975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979"/>
        <v>0</v>
      </c>
      <c r="AG6314" s="14">
        <v>0</v>
      </c>
      <c r="AH6314" s="6">
        <f t="shared" si="974"/>
        <v>0</v>
      </c>
      <c r="AI6314" s="47"/>
      <c r="AJ6314" s="126" t="e">
        <v>#N/A</v>
      </c>
      <c r="AK6314" s="80">
        <f t="shared" si="978"/>
        <v>0</v>
      </c>
      <c r="AL6314" s="85"/>
      <c r="AM6314" s="85"/>
    </row>
    <row r="6315" spans="1:39" s="86" customFormat="1" ht="13.25" hidden="1" customHeight="1" x14ac:dyDescent="0.3">
      <c r="A6315" s="89" t="s">
        <v>3792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980"/>
        <v>583.78000000000009</v>
      </c>
      <c r="X6315" s="6">
        <f t="shared" si="973"/>
        <v>0</v>
      </c>
      <c r="Y6315" s="13">
        <f t="shared" si="976"/>
        <v>0</v>
      </c>
      <c r="Z6315" s="14">
        <v>0</v>
      </c>
      <c r="AA6315" s="6">
        <v>0</v>
      </c>
      <c r="AB6315" s="4">
        <f t="shared" si="977"/>
        <v>0</v>
      </c>
      <c r="AC6315" s="6">
        <f t="shared" si="975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979"/>
        <v>0</v>
      </c>
      <c r="AG6315" s="14">
        <v>0</v>
      </c>
      <c r="AH6315" s="6">
        <f t="shared" si="974"/>
        <v>0</v>
      </c>
      <c r="AI6315" s="47"/>
      <c r="AJ6315" s="126" t="e">
        <v>#N/A</v>
      </c>
      <c r="AK6315" s="80">
        <f t="shared" si="978"/>
        <v>0</v>
      </c>
      <c r="AL6315" s="85"/>
      <c r="AM6315" s="85"/>
    </row>
    <row r="6316" spans="1:39" s="86" customFormat="1" ht="13.25" hidden="1" customHeight="1" x14ac:dyDescent="0.3">
      <c r="A6316" s="89" t="s">
        <v>3794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980"/>
        <v>535.6</v>
      </c>
      <c r="X6316" s="6">
        <f t="shared" si="973"/>
        <v>0</v>
      </c>
      <c r="Y6316" s="13">
        <f t="shared" si="976"/>
        <v>0</v>
      </c>
      <c r="Z6316" s="14">
        <v>0</v>
      </c>
      <c r="AA6316" s="6">
        <v>0</v>
      </c>
      <c r="AB6316" s="4">
        <f t="shared" si="977"/>
        <v>0</v>
      </c>
      <c r="AC6316" s="6">
        <f t="shared" si="975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979"/>
        <v>0</v>
      </c>
      <c r="AG6316" s="14">
        <v>0</v>
      </c>
      <c r="AH6316" s="6">
        <f t="shared" si="974"/>
        <v>0</v>
      </c>
      <c r="AI6316" s="47"/>
      <c r="AJ6316" s="126" t="e">
        <v>#N/A</v>
      </c>
      <c r="AK6316" s="80">
        <f t="shared" si="978"/>
        <v>0</v>
      </c>
      <c r="AL6316" s="85"/>
      <c r="AM6316" s="85"/>
    </row>
    <row r="6317" spans="1:39" s="86" customFormat="1" ht="13.25" hidden="1" customHeight="1" x14ac:dyDescent="0.3">
      <c r="A6317" s="89" t="s">
        <v>3792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980"/>
        <v>1000</v>
      </c>
      <c r="X6317" s="6">
        <f t="shared" si="973"/>
        <v>0</v>
      </c>
      <c r="Y6317" s="13">
        <f t="shared" si="976"/>
        <v>0</v>
      </c>
      <c r="Z6317" s="14">
        <v>0</v>
      </c>
      <c r="AA6317" s="6">
        <v>0</v>
      </c>
      <c r="AB6317" s="4">
        <f t="shared" si="977"/>
        <v>0</v>
      </c>
      <c r="AC6317" s="6">
        <f t="shared" si="975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979"/>
        <v>0</v>
      </c>
      <c r="AG6317" s="14">
        <v>0</v>
      </c>
      <c r="AH6317" s="6">
        <f t="shared" si="974"/>
        <v>0</v>
      </c>
      <c r="AI6317" s="47"/>
      <c r="AJ6317" s="126" t="e">
        <v>#N/A</v>
      </c>
      <c r="AK6317" s="80">
        <f t="shared" si="978"/>
        <v>0</v>
      </c>
      <c r="AL6317" s="85"/>
      <c r="AM6317" s="85"/>
    </row>
    <row r="6318" spans="1:39" s="86" customFormat="1" ht="13.25" hidden="1" customHeight="1" x14ac:dyDescent="0.3">
      <c r="A6318" s="89" t="s">
        <v>3794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980"/>
        <v>160473.87</v>
      </c>
      <c r="X6318" s="6">
        <f t="shared" si="973"/>
        <v>0</v>
      </c>
      <c r="Y6318" s="13">
        <f t="shared" si="976"/>
        <v>0</v>
      </c>
      <c r="Z6318" s="14">
        <v>0</v>
      </c>
      <c r="AA6318" s="6">
        <v>0</v>
      </c>
      <c r="AB6318" s="4">
        <f t="shared" si="977"/>
        <v>0</v>
      </c>
      <c r="AC6318" s="6">
        <f t="shared" si="975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979"/>
        <v>0</v>
      </c>
      <c r="AG6318" s="14">
        <v>0</v>
      </c>
      <c r="AH6318" s="6">
        <f t="shared" si="974"/>
        <v>0</v>
      </c>
      <c r="AI6318" s="47"/>
      <c r="AJ6318" s="126" t="e">
        <v>#N/A</v>
      </c>
      <c r="AK6318" s="80">
        <f t="shared" si="978"/>
        <v>0</v>
      </c>
      <c r="AL6318" s="85"/>
      <c r="AM6318" s="85"/>
    </row>
    <row r="6319" spans="1:39" s="86" customFormat="1" ht="13.25" hidden="1" customHeight="1" x14ac:dyDescent="0.3">
      <c r="A6319" s="89" t="s">
        <v>3792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980"/>
        <v>65.160000000002583</v>
      </c>
      <c r="X6319" s="6">
        <f t="shared" si="973"/>
        <v>0</v>
      </c>
      <c r="Y6319" s="13">
        <f t="shared" si="976"/>
        <v>0</v>
      </c>
      <c r="Z6319" s="14">
        <v>0</v>
      </c>
      <c r="AA6319" s="6">
        <v>0</v>
      </c>
      <c r="AB6319" s="4">
        <f t="shared" si="977"/>
        <v>0</v>
      </c>
      <c r="AC6319" s="6">
        <f t="shared" si="975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979"/>
        <v>0</v>
      </c>
      <c r="AG6319" s="14">
        <v>0</v>
      </c>
      <c r="AH6319" s="6">
        <f t="shared" si="974"/>
        <v>0</v>
      </c>
      <c r="AI6319" s="47"/>
      <c r="AJ6319" s="126" t="e">
        <v>#N/A</v>
      </c>
      <c r="AK6319" s="80">
        <f t="shared" si="978"/>
        <v>0</v>
      </c>
      <c r="AL6319" s="85"/>
      <c r="AM6319" s="85"/>
    </row>
    <row r="6320" spans="1:39" s="86" customFormat="1" ht="13.25" hidden="1" customHeight="1" x14ac:dyDescent="0.3">
      <c r="A6320" s="89" t="s">
        <v>3794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980"/>
        <v>8035.9300000000021</v>
      </c>
      <c r="X6320" s="6">
        <f t="shared" si="973"/>
        <v>0</v>
      </c>
      <c r="Y6320" s="13">
        <f t="shared" si="976"/>
        <v>0</v>
      </c>
      <c r="Z6320" s="14">
        <v>0</v>
      </c>
      <c r="AA6320" s="6">
        <v>0</v>
      </c>
      <c r="AB6320" s="4">
        <f t="shared" si="977"/>
        <v>0</v>
      </c>
      <c r="AC6320" s="6">
        <f t="shared" si="975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979"/>
        <v>0</v>
      </c>
      <c r="AG6320" s="14">
        <v>0</v>
      </c>
      <c r="AH6320" s="6">
        <f t="shared" si="974"/>
        <v>0</v>
      </c>
      <c r="AI6320" s="47"/>
      <c r="AJ6320" s="126" t="e">
        <v>#N/A</v>
      </c>
      <c r="AK6320" s="80">
        <f t="shared" si="978"/>
        <v>0</v>
      </c>
      <c r="AL6320" s="85"/>
      <c r="AM6320" s="85"/>
    </row>
    <row r="6321" spans="1:39" s="86" customFormat="1" ht="13.25" hidden="1" customHeight="1" x14ac:dyDescent="0.3">
      <c r="A6321" s="89" t="s">
        <v>3792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980"/>
        <v>6268.48</v>
      </c>
      <c r="X6321" s="6">
        <f t="shared" si="973"/>
        <v>0</v>
      </c>
      <c r="Y6321" s="13">
        <f t="shared" si="976"/>
        <v>0</v>
      </c>
      <c r="Z6321" s="14">
        <v>0</v>
      </c>
      <c r="AA6321" s="6">
        <v>0</v>
      </c>
      <c r="AB6321" s="4">
        <f t="shared" si="977"/>
        <v>0</v>
      </c>
      <c r="AC6321" s="6">
        <f t="shared" si="975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979"/>
        <v>0</v>
      </c>
      <c r="AG6321" s="14">
        <v>0</v>
      </c>
      <c r="AH6321" s="6">
        <f t="shared" si="974"/>
        <v>0</v>
      </c>
      <c r="AI6321" s="47"/>
      <c r="AJ6321" s="126" t="e">
        <v>#N/A</v>
      </c>
      <c r="AK6321" s="80">
        <f t="shared" si="978"/>
        <v>0</v>
      </c>
      <c r="AL6321" s="85"/>
      <c r="AM6321" s="85"/>
    </row>
    <row r="6322" spans="1:39" s="86" customFormat="1" ht="13.25" hidden="1" customHeight="1" x14ac:dyDescent="0.3">
      <c r="A6322" s="89" t="s">
        <v>3792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980"/>
        <v>2474.6900000000005</v>
      </c>
      <c r="X6322" s="6">
        <f t="shared" si="973"/>
        <v>0</v>
      </c>
      <c r="Y6322" s="13">
        <f t="shared" si="976"/>
        <v>0</v>
      </c>
      <c r="Z6322" s="14">
        <v>0</v>
      </c>
      <c r="AA6322" s="6">
        <v>0</v>
      </c>
      <c r="AB6322" s="4">
        <f t="shared" si="977"/>
        <v>0</v>
      </c>
      <c r="AC6322" s="6">
        <f t="shared" si="975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979"/>
        <v>0</v>
      </c>
      <c r="AG6322" s="14">
        <v>0</v>
      </c>
      <c r="AH6322" s="6">
        <f t="shared" si="974"/>
        <v>0</v>
      </c>
      <c r="AI6322" s="47"/>
      <c r="AJ6322" s="126" t="e">
        <v>#N/A</v>
      </c>
      <c r="AK6322" s="80">
        <f t="shared" si="978"/>
        <v>0</v>
      </c>
      <c r="AL6322" s="85"/>
      <c r="AM6322" s="85"/>
    </row>
    <row r="6323" spans="1:39" s="86" customFormat="1" ht="13.25" hidden="1" customHeight="1" x14ac:dyDescent="0.3">
      <c r="A6323" s="89" t="s">
        <v>3794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980"/>
        <v>63.465241378988139</v>
      </c>
      <c r="X6323" s="6">
        <f t="shared" si="973"/>
        <v>0</v>
      </c>
      <c r="Y6323" s="13">
        <f t="shared" si="976"/>
        <v>0</v>
      </c>
      <c r="Z6323" s="14">
        <v>0</v>
      </c>
      <c r="AA6323" s="6">
        <v>0</v>
      </c>
      <c r="AB6323" s="4">
        <f t="shared" si="977"/>
        <v>0</v>
      </c>
      <c r="AC6323" s="6">
        <f t="shared" si="975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979"/>
        <v>0</v>
      </c>
      <c r="AG6323" s="14">
        <v>0.3</v>
      </c>
      <c r="AH6323" s="6">
        <f t="shared" si="974"/>
        <v>0</v>
      </c>
      <c r="AI6323" s="47"/>
      <c r="AJ6323" s="126" t="e">
        <v>#N/A</v>
      </c>
      <c r="AK6323" s="80">
        <f t="shared" si="978"/>
        <v>0</v>
      </c>
      <c r="AL6323" s="85"/>
      <c r="AM6323" s="85"/>
    </row>
    <row r="6324" spans="1:39" s="86" customFormat="1" ht="13.25" hidden="1" customHeight="1" x14ac:dyDescent="0.3">
      <c r="A6324" s="89" t="s">
        <v>3794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980"/>
        <v>20006157.745999996</v>
      </c>
      <c r="X6324" s="6">
        <f t="shared" si="973"/>
        <v>0</v>
      </c>
      <c r="Y6324" s="13">
        <f t="shared" si="976"/>
        <v>0</v>
      </c>
      <c r="Z6324" s="14">
        <v>0</v>
      </c>
      <c r="AA6324" s="6">
        <v>0</v>
      </c>
      <c r="AB6324" s="4">
        <f t="shared" si="977"/>
        <v>0</v>
      </c>
      <c r="AC6324" s="6">
        <f t="shared" si="975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979"/>
        <v>0</v>
      </c>
      <c r="AG6324" s="14">
        <v>0.3</v>
      </c>
      <c r="AH6324" s="6">
        <f t="shared" si="974"/>
        <v>0</v>
      </c>
      <c r="AI6324" s="47"/>
      <c r="AJ6324" s="126" t="e">
        <v>#N/A</v>
      </c>
      <c r="AK6324" s="80">
        <f t="shared" si="978"/>
        <v>0</v>
      </c>
      <c r="AL6324" s="85"/>
      <c r="AM6324" s="85"/>
    </row>
    <row r="6325" spans="1:39" s="86" customFormat="1" ht="13.25" hidden="1" customHeight="1" x14ac:dyDescent="0.3">
      <c r="A6325" s="89" t="s">
        <v>3794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980"/>
        <v>-1044.9708000000101</v>
      </c>
      <c r="X6325" s="6">
        <f t="shared" si="973"/>
        <v>0</v>
      </c>
      <c r="Y6325" s="13">
        <f t="shared" si="976"/>
        <v>0</v>
      </c>
      <c r="Z6325" s="14">
        <v>0</v>
      </c>
      <c r="AA6325" s="6">
        <v>0</v>
      </c>
      <c r="AB6325" s="4">
        <f t="shared" si="977"/>
        <v>0</v>
      </c>
      <c r="AC6325" s="6">
        <f t="shared" si="975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979"/>
        <v>0</v>
      </c>
      <c r="AG6325" s="14">
        <v>0.36</v>
      </c>
      <c r="AH6325" s="6">
        <f t="shared" si="974"/>
        <v>0</v>
      </c>
      <c r="AI6325" s="47"/>
      <c r="AJ6325" s="126" t="e">
        <v>#N/A</v>
      </c>
      <c r="AK6325" s="80">
        <f t="shared" si="978"/>
        <v>0</v>
      </c>
      <c r="AL6325" s="85"/>
      <c r="AM6325" s="85"/>
    </row>
    <row r="6326" spans="1:39" s="86" customFormat="1" ht="13.25" hidden="1" customHeight="1" x14ac:dyDescent="0.3">
      <c r="A6326" s="89" t="s">
        <v>3794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980"/>
        <v>115138.81</v>
      </c>
      <c r="X6326" s="6">
        <f t="shared" si="973"/>
        <v>0</v>
      </c>
      <c r="Y6326" s="13">
        <f t="shared" si="976"/>
        <v>0</v>
      </c>
      <c r="Z6326" s="14">
        <v>0</v>
      </c>
      <c r="AA6326" s="6">
        <v>0</v>
      </c>
      <c r="AB6326" s="4">
        <f t="shared" si="977"/>
        <v>0</v>
      </c>
      <c r="AC6326" s="6">
        <f t="shared" si="975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979"/>
        <v>0</v>
      </c>
      <c r="AG6326" s="14">
        <v>0</v>
      </c>
      <c r="AH6326" s="6">
        <f t="shared" si="974"/>
        <v>0</v>
      </c>
      <c r="AI6326" s="47"/>
      <c r="AJ6326" s="126" t="e">
        <v>#N/A</v>
      </c>
      <c r="AK6326" s="80">
        <f t="shared" si="978"/>
        <v>0</v>
      </c>
      <c r="AL6326" s="85"/>
      <c r="AM6326" s="85"/>
    </row>
    <row r="6327" spans="1:39" s="86" customFormat="1" ht="13.25" hidden="1" customHeight="1" x14ac:dyDescent="0.3">
      <c r="A6327" s="89" t="s">
        <v>3794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980"/>
        <v>-329218.61920002924</v>
      </c>
      <c r="X6327" s="6">
        <f t="shared" si="973"/>
        <v>0</v>
      </c>
      <c r="Y6327" s="13">
        <f t="shared" si="976"/>
        <v>0</v>
      </c>
      <c r="Z6327" s="14">
        <v>0</v>
      </c>
      <c r="AA6327" s="6">
        <v>0</v>
      </c>
      <c r="AB6327" s="4">
        <f t="shared" si="977"/>
        <v>0</v>
      </c>
      <c r="AC6327" s="6">
        <f t="shared" si="975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979"/>
        <v>0</v>
      </c>
      <c r="AG6327" s="14">
        <v>0.12</v>
      </c>
      <c r="AH6327" s="6">
        <f t="shared" si="974"/>
        <v>0</v>
      </c>
      <c r="AI6327" s="47"/>
      <c r="AJ6327" s="126" t="e">
        <v>#N/A</v>
      </c>
      <c r="AK6327" s="80">
        <f t="shared" si="978"/>
        <v>0</v>
      </c>
      <c r="AL6327" s="85"/>
      <c r="AM6327" s="85"/>
    </row>
    <row r="6328" spans="1:39" s="86" customFormat="1" ht="13.25" hidden="1" customHeight="1" x14ac:dyDescent="0.3">
      <c r="A6328" s="89" t="s">
        <v>3792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980"/>
        <v>-12128.130000000107</v>
      </c>
      <c r="X6328" s="6">
        <f t="shared" si="973"/>
        <v>0</v>
      </c>
      <c r="Y6328" s="13">
        <f t="shared" si="976"/>
        <v>0</v>
      </c>
      <c r="Z6328" s="14">
        <v>0</v>
      </c>
      <c r="AA6328" s="6">
        <v>0</v>
      </c>
      <c r="AB6328" s="4">
        <f t="shared" si="977"/>
        <v>0</v>
      </c>
      <c r="AC6328" s="6">
        <f t="shared" si="975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979"/>
        <v>0</v>
      </c>
      <c r="AG6328" s="14">
        <v>0</v>
      </c>
      <c r="AH6328" s="6">
        <f t="shared" si="974"/>
        <v>0</v>
      </c>
      <c r="AI6328" s="47"/>
      <c r="AJ6328" s="126" t="e">
        <v>#N/A</v>
      </c>
      <c r="AK6328" s="80">
        <f t="shared" si="978"/>
        <v>0</v>
      </c>
      <c r="AL6328" s="85"/>
      <c r="AM6328" s="85"/>
    </row>
    <row r="6329" spans="1:39" s="86" customFormat="1" ht="13.25" hidden="1" customHeight="1" x14ac:dyDescent="0.3">
      <c r="A6329" s="89" t="s">
        <v>3792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980"/>
        <v>5.6086000001450884</v>
      </c>
      <c r="X6329" s="6">
        <f t="shared" si="973"/>
        <v>0</v>
      </c>
      <c r="Y6329" s="13">
        <f t="shared" si="976"/>
        <v>0</v>
      </c>
      <c r="Z6329" s="14">
        <v>0</v>
      </c>
      <c r="AA6329" s="6">
        <v>0</v>
      </c>
      <c r="AB6329" s="4">
        <f t="shared" si="977"/>
        <v>0</v>
      </c>
      <c r="AC6329" s="6">
        <f t="shared" si="975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979"/>
        <v>0</v>
      </c>
      <c r="AG6329" s="14">
        <v>0.02</v>
      </c>
      <c r="AH6329" s="6">
        <f t="shared" si="974"/>
        <v>0</v>
      </c>
      <c r="AI6329" s="47"/>
      <c r="AJ6329" s="126" t="e">
        <v>#N/A</v>
      </c>
      <c r="AK6329" s="80">
        <f t="shared" si="978"/>
        <v>0</v>
      </c>
      <c r="AL6329" s="85"/>
      <c r="AM6329" s="85"/>
    </row>
    <row r="6330" spans="1:39" s="86" customFormat="1" ht="13.25" hidden="1" customHeight="1" x14ac:dyDescent="0.3">
      <c r="A6330" s="89" t="s">
        <v>3794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980"/>
        <v>22312.19</v>
      </c>
      <c r="X6330" s="6">
        <f t="shared" si="973"/>
        <v>0</v>
      </c>
      <c r="Y6330" s="13">
        <f t="shared" si="976"/>
        <v>0</v>
      </c>
      <c r="Z6330" s="14">
        <v>0</v>
      </c>
      <c r="AA6330" s="6">
        <v>0</v>
      </c>
      <c r="AB6330" s="4">
        <f t="shared" si="977"/>
        <v>0</v>
      </c>
      <c r="AC6330" s="6">
        <f t="shared" si="975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979"/>
        <v>0</v>
      </c>
      <c r="AG6330" s="14">
        <v>0</v>
      </c>
      <c r="AH6330" s="6">
        <f t="shared" si="974"/>
        <v>0</v>
      </c>
      <c r="AI6330" s="47"/>
      <c r="AJ6330" s="126" t="e">
        <v>#N/A</v>
      </c>
      <c r="AK6330" s="80">
        <f t="shared" si="978"/>
        <v>0</v>
      </c>
      <c r="AL6330" s="85"/>
      <c r="AM6330" s="85"/>
    </row>
    <row r="6331" spans="1:39" s="86" customFormat="1" ht="13.25" hidden="1" customHeight="1" x14ac:dyDescent="0.3">
      <c r="A6331" s="89" t="s">
        <v>3794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980"/>
        <v>6197.05</v>
      </c>
      <c r="X6331" s="6">
        <f t="shared" si="973"/>
        <v>0</v>
      </c>
      <c r="Y6331" s="13">
        <f t="shared" si="976"/>
        <v>0</v>
      </c>
      <c r="Z6331" s="14">
        <v>0</v>
      </c>
      <c r="AA6331" s="6">
        <v>0</v>
      </c>
      <c r="AB6331" s="4">
        <f t="shared" si="977"/>
        <v>0</v>
      </c>
      <c r="AC6331" s="6">
        <f t="shared" si="975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979"/>
        <v>0</v>
      </c>
      <c r="AG6331" s="14">
        <v>0</v>
      </c>
      <c r="AH6331" s="6">
        <f t="shared" si="974"/>
        <v>0</v>
      </c>
      <c r="AI6331" s="47"/>
      <c r="AJ6331" s="126" t="e">
        <v>#N/A</v>
      </c>
      <c r="AK6331" s="80">
        <f t="shared" si="978"/>
        <v>0</v>
      </c>
      <c r="AL6331" s="85"/>
      <c r="AM6331" s="85"/>
    </row>
    <row r="6332" spans="1:39" s="86" customFormat="1" ht="13.25" hidden="1" customHeight="1" x14ac:dyDescent="0.3">
      <c r="A6332" s="89" t="s">
        <v>3794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980"/>
        <v>13256.449999999999</v>
      </c>
      <c r="X6332" s="6">
        <f t="shared" ref="X6332:X6381" si="981">IF(P6332="折扣",V6332*Q6332,IF(P6332="返现",V6332,V6332/(1+Q6332+AG6332)))</f>
        <v>0</v>
      </c>
      <c r="Y6332" s="13">
        <f t="shared" si="976"/>
        <v>0</v>
      </c>
      <c r="Z6332" s="14">
        <v>0</v>
      </c>
      <c r="AA6332" s="6">
        <v>0</v>
      </c>
      <c r="AB6332" s="4">
        <f t="shared" si="977"/>
        <v>0</v>
      </c>
      <c r="AC6332" s="6">
        <f t="shared" si="975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979"/>
        <v>0</v>
      </c>
      <c r="AG6332" s="14">
        <v>0</v>
      </c>
      <c r="AH6332" s="6">
        <f t="shared" ref="AH6332:AH6382" si="982">V6332/(1+AG6332)</f>
        <v>0</v>
      </c>
      <c r="AI6332" s="47"/>
      <c r="AJ6332" s="126" t="e">
        <v>#N/A</v>
      </c>
      <c r="AK6332" s="80">
        <f t="shared" si="978"/>
        <v>0</v>
      </c>
      <c r="AL6332" s="85"/>
      <c r="AM6332" s="85"/>
    </row>
    <row r="6333" spans="1:39" s="86" customFormat="1" ht="13.25" hidden="1" customHeight="1" x14ac:dyDescent="0.3">
      <c r="A6333" s="89" t="s">
        <v>3794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980"/>
        <v>58598.229999999996</v>
      </c>
      <c r="X6333" s="6">
        <f t="shared" si="981"/>
        <v>0</v>
      </c>
      <c r="Y6333" s="13">
        <f t="shared" si="976"/>
        <v>0</v>
      </c>
      <c r="Z6333" s="14">
        <v>0</v>
      </c>
      <c r="AA6333" s="6">
        <v>0</v>
      </c>
      <c r="AB6333" s="4">
        <f t="shared" si="977"/>
        <v>0</v>
      </c>
      <c r="AC6333" s="6">
        <f t="shared" si="975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979"/>
        <v>0</v>
      </c>
      <c r="AG6333" s="14">
        <v>0.02</v>
      </c>
      <c r="AH6333" s="6">
        <f t="shared" si="982"/>
        <v>0</v>
      </c>
      <c r="AI6333" s="47"/>
      <c r="AJ6333" s="126" t="e">
        <v>#N/A</v>
      </c>
      <c r="AK6333" s="80">
        <f t="shared" si="978"/>
        <v>0</v>
      </c>
      <c r="AL6333" s="85"/>
      <c r="AM6333" s="85"/>
    </row>
    <row r="6334" spans="1:39" s="86" customFormat="1" ht="13.25" hidden="1" customHeight="1" x14ac:dyDescent="0.3">
      <c r="A6334" s="89" t="s">
        <v>3794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980"/>
        <v>26818.16</v>
      </c>
      <c r="X6334" s="6">
        <f t="shared" si="981"/>
        <v>0</v>
      </c>
      <c r="Y6334" s="13">
        <f t="shared" si="976"/>
        <v>0</v>
      </c>
      <c r="Z6334" s="14">
        <v>0</v>
      </c>
      <c r="AA6334" s="6">
        <v>0</v>
      </c>
      <c r="AB6334" s="4">
        <f t="shared" si="977"/>
        <v>0</v>
      </c>
      <c r="AC6334" s="6">
        <f t="shared" ref="AC6334:AC6397" si="983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979"/>
        <v>0</v>
      </c>
      <c r="AG6334" s="14">
        <v>0</v>
      </c>
      <c r="AH6334" s="6">
        <f t="shared" si="982"/>
        <v>0</v>
      </c>
      <c r="AI6334" s="47"/>
      <c r="AJ6334" s="126" t="e">
        <v>#N/A</v>
      </c>
      <c r="AK6334" s="80">
        <f t="shared" si="978"/>
        <v>0</v>
      </c>
      <c r="AL6334" s="85"/>
      <c r="AM6334" s="85"/>
    </row>
    <row r="6335" spans="1:39" s="86" customFormat="1" ht="13.25" hidden="1" customHeight="1" x14ac:dyDescent="0.3">
      <c r="A6335" s="89" t="s">
        <v>3792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980"/>
        <v>7020</v>
      </c>
      <c r="X6335" s="6">
        <f t="shared" si="981"/>
        <v>0</v>
      </c>
      <c r="Y6335" s="13">
        <f t="shared" si="976"/>
        <v>0</v>
      </c>
      <c r="Z6335" s="14">
        <v>0</v>
      </c>
      <c r="AA6335" s="6">
        <v>0</v>
      </c>
      <c r="AB6335" s="4">
        <f t="shared" si="977"/>
        <v>0</v>
      </c>
      <c r="AC6335" s="6">
        <f t="shared" si="983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979"/>
        <v>0</v>
      </c>
      <c r="AG6335" s="14">
        <v>0</v>
      </c>
      <c r="AH6335" s="6">
        <f t="shared" si="982"/>
        <v>0</v>
      </c>
      <c r="AI6335" s="47"/>
      <c r="AJ6335" s="126" t="e">
        <v>#N/A</v>
      </c>
      <c r="AK6335" s="80">
        <f t="shared" si="978"/>
        <v>0</v>
      </c>
      <c r="AL6335" s="85"/>
      <c r="AM6335" s="85"/>
    </row>
    <row r="6336" spans="1:39" s="86" customFormat="1" ht="13.25" hidden="1" customHeight="1" x14ac:dyDescent="0.3">
      <c r="A6336" s="89" t="s">
        <v>3794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980"/>
        <v>62133.369999999995</v>
      </c>
      <c r="X6336" s="6">
        <f t="shared" si="981"/>
        <v>0</v>
      </c>
      <c r="Y6336" s="13">
        <f t="shared" si="976"/>
        <v>0</v>
      </c>
      <c r="Z6336" s="14">
        <v>0</v>
      </c>
      <c r="AA6336" s="6">
        <v>0</v>
      </c>
      <c r="AB6336" s="4">
        <f t="shared" si="977"/>
        <v>0</v>
      </c>
      <c r="AC6336" s="6">
        <f t="shared" si="983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979"/>
        <v>0</v>
      </c>
      <c r="AG6336" s="14">
        <v>0</v>
      </c>
      <c r="AH6336" s="6">
        <f t="shared" si="982"/>
        <v>0</v>
      </c>
      <c r="AI6336" s="47"/>
      <c r="AJ6336" s="126" t="e">
        <v>#N/A</v>
      </c>
      <c r="AK6336" s="80">
        <f t="shared" si="978"/>
        <v>0</v>
      </c>
      <c r="AL6336" s="85"/>
      <c r="AM6336" s="85"/>
    </row>
    <row r="6337" spans="1:39" s="86" customFormat="1" ht="13.25" hidden="1" customHeight="1" x14ac:dyDescent="0.3">
      <c r="A6337" s="89" t="s">
        <v>3794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980"/>
        <v>60000</v>
      </c>
      <c r="X6337" s="6">
        <f t="shared" si="981"/>
        <v>0</v>
      </c>
      <c r="Y6337" s="13">
        <f t="shared" si="976"/>
        <v>0</v>
      </c>
      <c r="Z6337" s="14">
        <v>0</v>
      </c>
      <c r="AA6337" s="6">
        <v>0</v>
      </c>
      <c r="AB6337" s="4">
        <f t="shared" si="977"/>
        <v>0</v>
      </c>
      <c r="AC6337" s="6">
        <f t="shared" si="983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979"/>
        <v>0</v>
      </c>
      <c r="AG6337" s="14">
        <v>0</v>
      </c>
      <c r="AH6337" s="6">
        <f t="shared" si="982"/>
        <v>0</v>
      </c>
      <c r="AI6337" s="47"/>
      <c r="AJ6337" s="126" t="e">
        <v>#N/A</v>
      </c>
      <c r="AK6337" s="80">
        <f t="shared" si="978"/>
        <v>0</v>
      </c>
      <c r="AL6337" s="85"/>
      <c r="AM6337" s="85"/>
    </row>
    <row r="6338" spans="1:39" s="86" customFormat="1" ht="13.25" hidden="1" customHeight="1" x14ac:dyDescent="0.3">
      <c r="A6338" s="89" t="s">
        <v>3792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980"/>
        <v>0</v>
      </c>
      <c r="X6338" s="6">
        <f t="shared" si="981"/>
        <v>110852.19642857117</v>
      </c>
      <c r="Y6338" s="13">
        <f t="shared" si="976"/>
        <v>110852.19642857117</v>
      </c>
      <c r="Z6338" s="14">
        <v>0</v>
      </c>
      <c r="AA6338" s="6">
        <v>0</v>
      </c>
      <c r="AB6338" s="4">
        <f t="shared" si="977"/>
        <v>110852.19642857117</v>
      </c>
      <c r="AC6338" s="6">
        <f t="shared" si="983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979"/>
        <v>0</v>
      </c>
      <c r="AG6338" s="14">
        <v>7.0000000000000007E-2</v>
      </c>
      <c r="AH6338" s="6">
        <f t="shared" si="982"/>
        <v>116032.20560747638</v>
      </c>
      <c r="AI6338" s="47"/>
      <c r="AJ6338" s="126" t="e">
        <v>#N/A</v>
      </c>
      <c r="AK6338" s="80">
        <f t="shared" si="978"/>
        <v>0</v>
      </c>
      <c r="AL6338" s="85"/>
      <c r="AM6338" s="85"/>
    </row>
    <row r="6339" spans="1:39" s="86" customFormat="1" ht="13.25" hidden="1" customHeight="1" x14ac:dyDescent="0.3">
      <c r="A6339" s="89" t="s">
        <v>3794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980"/>
        <v>-7433.9479452040014</v>
      </c>
      <c r="X6339" s="6">
        <f t="shared" si="981"/>
        <v>0</v>
      </c>
      <c r="Y6339" s="13">
        <f t="shared" ref="Y6339:Y6402" si="984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985">X6339+AA6339</f>
        <v>0</v>
      </c>
      <c r="AC6339" s="6">
        <f t="shared" si="983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979"/>
        <v>0</v>
      </c>
      <c r="AG6339" s="14">
        <v>0.46</v>
      </c>
      <c r="AH6339" s="6">
        <f t="shared" si="982"/>
        <v>0</v>
      </c>
      <c r="AI6339" s="47"/>
      <c r="AJ6339" s="126" t="e">
        <v>#N/A</v>
      </c>
      <c r="AK6339" s="80">
        <f t="shared" ref="AK6339:AK6402" si="986">X6339+AA6339-AB6339</f>
        <v>0</v>
      </c>
      <c r="AL6339" s="85"/>
      <c r="AM6339" s="85"/>
    </row>
    <row r="6340" spans="1:39" s="86" customFormat="1" ht="13.25" hidden="1" customHeight="1" x14ac:dyDescent="0.3">
      <c r="A6340" s="89" t="s">
        <v>3792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980"/>
        <v>468097.95999999996</v>
      </c>
      <c r="X6340" s="6">
        <f t="shared" si="981"/>
        <v>0</v>
      </c>
      <c r="Y6340" s="13">
        <f t="shared" si="984"/>
        <v>0</v>
      </c>
      <c r="Z6340" s="14">
        <v>0</v>
      </c>
      <c r="AA6340" s="6">
        <v>0</v>
      </c>
      <c r="AB6340" s="4">
        <f t="shared" si="985"/>
        <v>0</v>
      </c>
      <c r="AC6340" s="6">
        <f t="shared" si="983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979"/>
        <v>0</v>
      </c>
      <c r="AG6340" s="14">
        <v>0.36</v>
      </c>
      <c r="AH6340" s="6">
        <f t="shared" si="982"/>
        <v>0</v>
      </c>
      <c r="AI6340" s="47"/>
      <c r="AJ6340" s="126" t="e">
        <v>#N/A</v>
      </c>
      <c r="AK6340" s="80">
        <f t="shared" si="986"/>
        <v>0</v>
      </c>
      <c r="AL6340" s="85"/>
      <c r="AM6340" s="85"/>
    </row>
    <row r="6341" spans="1:39" s="86" customFormat="1" ht="13.25" hidden="1" customHeight="1" x14ac:dyDescent="0.3">
      <c r="A6341" s="89" t="s">
        <v>3792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980"/>
        <v>-21373.010720540897</v>
      </c>
      <c r="X6341" s="6">
        <f t="shared" si="981"/>
        <v>0</v>
      </c>
      <c r="Y6341" s="13">
        <f t="shared" si="984"/>
        <v>0</v>
      </c>
      <c r="Z6341" s="14">
        <v>0</v>
      </c>
      <c r="AA6341" s="6">
        <v>0</v>
      </c>
      <c r="AB6341" s="4">
        <f t="shared" si="985"/>
        <v>0</v>
      </c>
      <c r="AC6341" s="6">
        <f t="shared" si="983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979"/>
        <v>0</v>
      </c>
      <c r="AG6341" s="14">
        <v>0.41</v>
      </c>
      <c r="AH6341" s="6">
        <f t="shared" si="982"/>
        <v>0</v>
      </c>
      <c r="AI6341" s="47"/>
      <c r="AJ6341" s="126" t="e">
        <v>#N/A</v>
      </c>
      <c r="AK6341" s="80">
        <f t="shared" si="986"/>
        <v>0</v>
      </c>
      <c r="AL6341" s="85"/>
      <c r="AM6341" s="85"/>
    </row>
    <row r="6342" spans="1:39" s="86" customFormat="1" ht="13.25" hidden="1" customHeight="1" x14ac:dyDescent="0.3">
      <c r="A6342" s="89" t="s">
        <v>3794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980"/>
        <v>5350.3468000004286</v>
      </c>
      <c r="X6342" s="6">
        <f t="shared" si="981"/>
        <v>0</v>
      </c>
      <c r="Y6342" s="13">
        <f t="shared" si="984"/>
        <v>0</v>
      </c>
      <c r="Z6342" s="14">
        <v>0</v>
      </c>
      <c r="AA6342" s="6">
        <v>0</v>
      </c>
      <c r="AB6342" s="4">
        <f t="shared" si="985"/>
        <v>0</v>
      </c>
      <c r="AC6342" s="6">
        <f t="shared" si="983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979"/>
        <v>0</v>
      </c>
      <c r="AG6342" s="14">
        <v>0.36</v>
      </c>
      <c r="AH6342" s="6">
        <f t="shared" si="982"/>
        <v>0</v>
      </c>
      <c r="AI6342" s="47"/>
      <c r="AJ6342" s="126" t="e">
        <v>#N/A</v>
      </c>
      <c r="AK6342" s="80">
        <f t="shared" si="986"/>
        <v>0</v>
      </c>
      <c r="AL6342" s="85"/>
      <c r="AM6342" s="85"/>
    </row>
    <row r="6343" spans="1:39" s="86" customFormat="1" ht="13.25" hidden="1" customHeight="1" x14ac:dyDescent="0.3">
      <c r="A6343" s="89" t="s">
        <v>3792</v>
      </c>
      <c r="B6343" s="86" t="s">
        <v>35</v>
      </c>
      <c r="C6343" s="86" t="s">
        <v>184</v>
      </c>
      <c r="D6343" s="86" t="s">
        <v>3849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980"/>
        <v>63.648999999915986</v>
      </c>
      <c r="X6343" s="6">
        <f t="shared" si="981"/>
        <v>0</v>
      </c>
      <c r="Y6343" s="13">
        <f t="shared" si="984"/>
        <v>0</v>
      </c>
      <c r="Z6343" s="14">
        <v>0</v>
      </c>
      <c r="AA6343" s="6">
        <v>0</v>
      </c>
      <c r="AB6343" s="4">
        <f t="shared" si="985"/>
        <v>0</v>
      </c>
      <c r="AC6343" s="6">
        <f t="shared" si="983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979"/>
        <v>0</v>
      </c>
      <c r="AG6343" s="14">
        <v>0</v>
      </c>
      <c r="AH6343" s="6">
        <f t="shared" si="982"/>
        <v>0</v>
      </c>
      <c r="AI6343" s="47"/>
      <c r="AJ6343" s="126" t="e">
        <v>#N/A</v>
      </c>
      <c r="AK6343" s="80">
        <f t="shared" si="986"/>
        <v>0</v>
      </c>
      <c r="AL6343" s="85"/>
      <c r="AM6343" s="85"/>
    </row>
    <row r="6344" spans="1:39" s="86" customFormat="1" ht="13.25" hidden="1" customHeight="1" x14ac:dyDescent="0.3">
      <c r="A6344" s="89" t="s">
        <v>3794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980"/>
        <v>27534.366300000002</v>
      </c>
      <c r="X6344" s="6">
        <f t="shared" si="981"/>
        <v>0</v>
      </c>
      <c r="Y6344" s="13">
        <f t="shared" si="984"/>
        <v>0</v>
      </c>
      <c r="Z6344" s="14">
        <v>0</v>
      </c>
      <c r="AA6344" s="6">
        <v>0</v>
      </c>
      <c r="AB6344" s="4">
        <f t="shared" si="985"/>
        <v>0</v>
      </c>
      <c r="AC6344" s="6">
        <f t="shared" si="983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979"/>
        <v>0</v>
      </c>
      <c r="AG6344" s="14">
        <v>0.37</v>
      </c>
      <c r="AH6344" s="6">
        <f t="shared" si="982"/>
        <v>0</v>
      </c>
      <c r="AI6344" s="47"/>
      <c r="AJ6344" s="126" t="e">
        <v>#N/A</v>
      </c>
      <c r="AK6344" s="80">
        <f t="shared" si="986"/>
        <v>0</v>
      </c>
      <c r="AL6344" s="85"/>
      <c r="AM6344" s="85"/>
    </row>
    <row r="6345" spans="1:39" s="86" customFormat="1" ht="13.25" hidden="1" customHeight="1" x14ac:dyDescent="0.3">
      <c r="A6345" s="89" t="s">
        <v>3792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980"/>
        <v>12653.093999999999</v>
      </c>
      <c r="X6345" s="6">
        <f t="shared" si="981"/>
        <v>0</v>
      </c>
      <c r="Y6345" s="13">
        <f t="shared" si="984"/>
        <v>0</v>
      </c>
      <c r="Z6345" s="14">
        <v>0</v>
      </c>
      <c r="AA6345" s="6">
        <v>0</v>
      </c>
      <c r="AB6345" s="4">
        <f t="shared" si="985"/>
        <v>0</v>
      </c>
      <c r="AC6345" s="6">
        <f t="shared" si="983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979"/>
        <v>0</v>
      </c>
      <c r="AG6345" s="14">
        <v>0.4</v>
      </c>
      <c r="AH6345" s="6">
        <f t="shared" si="982"/>
        <v>0</v>
      </c>
      <c r="AI6345" s="47"/>
      <c r="AJ6345" s="126" t="e">
        <v>#N/A</v>
      </c>
      <c r="AK6345" s="80">
        <f t="shared" si="986"/>
        <v>0</v>
      </c>
      <c r="AL6345" s="85"/>
      <c r="AM6345" s="85"/>
    </row>
    <row r="6346" spans="1:39" s="86" customFormat="1" ht="13.25" hidden="1" customHeight="1" x14ac:dyDescent="0.3">
      <c r="A6346" s="89" t="s">
        <v>3794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980"/>
        <v>18486.165999999997</v>
      </c>
      <c r="X6346" s="6">
        <f t="shared" si="981"/>
        <v>0</v>
      </c>
      <c r="Y6346" s="13">
        <f t="shared" si="984"/>
        <v>0</v>
      </c>
      <c r="Z6346" s="14">
        <v>0</v>
      </c>
      <c r="AA6346" s="6">
        <v>0</v>
      </c>
      <c r="AB6346" s="4">
        <f t="shared" si="985"/>
        <v>0</v>
      </c>
      <c r="AC6346" s="6">
        <f t="shared" si="983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979"/>
        <v>0</v>
      </c>
      <c r="AG6346" s="14">
        <v>0.4</v>
      </c>
      <c r="AH6346" s="6">
        <f t="shared" si="982"/>
        <v>0</v>
      </c>
      <c r="AI6346" s="47"/>
      <c r="AJ6346" s="126" t="e">
        <v>#N/A</v>
      </c>
      <c r="AK6346" s="80">
        <f t="shared" si="986"/>
        <v>0</v>
      </c>
      <c r="AL6346" s="85"/>
      <c r="AM6346" s="85"/>
    </row>
    <row r="6347" spans="1:39" s="86" customFormat="1" ht="13.25" hidden="1" customHeight="1" x14ac:dyDescent="0.3">
      <c r="A6347" s="89" t="s">
        <v>3794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980"/>
        <v>71845.729027397349</v>
      </c>
      <c r="X6347" s="6">
        <f t="shared" si="981"/>
        <v>0</v>
      </c>
      <c r="Y6347" s="13">
        <f t="shared" si="984"/>
        <v>0</v>
      </c>
      <c r="Z6347" s="14">
        <v>0</v>
      </c>
      <c r="AA6347" s="6">
        <v>0</v>
      </c>
      <c r="AB6347" s="4">
        <f t="shared" si="985"/>
        <v>0</v>
      </c>
      <c r="AC6347" s="6">
        <f t="shared" si="983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979"/>
        <v>0</v>
      </c>
      <c r="AG6347" s="14">
        <v>0.46</v>
      </c>
      <c r="AH6347" s="6">
        <f t="shared" si="982"/>
        <v>0</v>
      </c>
      <c r="AI6347" s="47"/>
      <c r="AJ6347" s="126" t="e">
        <v>#N/A</v>
      </c>
      <c r="AK6347" s="80">
        <f t="shared" si="986"/>
        <v>0</v>
      </c>
      <c r="AL6347" s="85"/>
      <c r="AM6347" s="85"/>
    </row>
    <row r="6348" spans="1:39" s="86" customFormat="1" ht="13.25" hidden="1" customHeight="1" x14ac:dyDescent="0.3">
      <c r="A6348" s="89" t="s">
        <v>3794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980"/>
        <v>-44999.996399999996</v>
      </c>
      <c r="X6348" s="6">
        <f t="shared" si="981"/>
        <v>0</v>
      </c>
      <c r="Y6348" s="13">
        <f t="shared" si="984"/>
        <v>0</v>
      </c>
      <c r="Z6348" s="14">
        <v>0</v>
      </c>
      <c r="AA6348" s="6">
        <v>0</v>
      </c>
      <c r="AB6348" s="4">
        <f t="shared" si="985"/>
        <v>0</v>
      </c>
      <c r="AC6348" s="6">
        <f t="shared" si="983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979"/>
        <v>0</v>
      </c>
      <c r="AG6348" s="14">
        <v>0.41</v>
      </c>
      <c r="AH6348" s="6">
        <f t="shared" si="982"/>
        <v>0</v>
      </c>
      <c r="AI6348" s="47"/>
      <c r="AJ6348" s="126" t="e">
        <v>#N/A</v>
      </c>
      <c r="AK6348" s="80">
        <f t="shared" si="986"/>
        <v>0</v>
      </c>
      <c r="AL6348" s="85"/>
      <c r="AM6348" s="85"/>
    </row>
    <row r="6349" spans="1:39" s="86" customFormat="1" ht="13.25" hidden="1" customHeight="1" x14ac:dyDescent="0.3">
      <c r="A6349" s="89" t="s">
        <v>3794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980"/>
        <v>-26845.720799999999</v>
      </c>
      <c r="X6349" s="6">
        <f t="shared" si="981"/>
        <v>0</v>
      </c>
      <c r="Y6349" s="13">
        <f t="shared" si="984"/>
        <v>0</v>
      </c>
      <c r="Z6349" s="14">
        <v>0</v>
      </c>
      <c r="AA6349" s="6">
        <v>0</v>
      </c>
      <c r="AB6349" s="4">
        <f t="shared" si="985"/>
        <v>0</v>
      </c>
      <c r="AC6349" s="6">
        <f t="shared" si="983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979"/>
        <v>0</v>
      </c>
      <c r="AG6349" s="14">
        <v>0.46</v>
      </c>
      <c r="AH6349" s="6">
        <f t="shared" si="982"/>
        <v>0</v>
      </c>
      <c r="AI6349" s="47"/>
      <c r="AJ6349" s="126" t="e">
        <v>#N/A</v>
      </c>
      <c r="AK6349" s="80">
        <f t="shared" si="986"/>
        <v>0</v>
      </c>
      <c r="AL6349" s="85"/>
      <c r="AM6349" s="85"/>
    </row>
    <row r="6350" spans="1:39" s="86" customFormat="1" ht="13.25" hidden="1" customHeight="1" x14ac:dyDescent="0.3">
      <c r="A6350" s="89" t="s">
        <v>3794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980"/>
        <v>52448.685070439948</v>
      </c>
      <c r="X6350" s="6">
        <f t="shared" si="981"/>
        <v>0</v>
      </c>
      <c r="Y6350" s="13">
        <f t="shared" si="984"/>
        <v>0</v>
      </c>
      <c r="Z6350" s="14">
        <v>0</v>
      </c>
      <c r="AA6350" s="6">
        <v>0</v>
      </c>
      <c r="AB6350" s="4">
        <f t="shared" si="985"/>
        <v>0</v>
      </c>
      <c r="AC6350" s="6">
        <f t="shared" si="983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979"/>
        <v>0</v>
      </c>
      <c r="AG6350" s="14">
        <v>0.4</v>
      </c>
      <c r="AH6350" s="6">
        <f t="shared" si="982"/>
        <v>0</v>
      </c>
      <c r="AI6350" s="47"/>
      <c r="AJ6350" s="126" t="e">
        <v>#N/A</v>
      </c>
      <c r="AK6350" s="80">
        <f t="shared" si="986"/>
        <v>0</v>
      </c>
      <c r="AL6350" s="85"/>
      <c r="AM6350" s="85"/>
    </row>
    <row r="6351" spans="1:39" s="86" customFormat="1" ht="13.25" hidden="1" customHeight="1" x14ac:dyDescent="0.3">
      <c r="A6351" s="89" t="s">
        <v>3792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980"/>
        <v>-1911.6150956944794</v>
      </c>
      <c r="X6351" s="6">
        <f t="shared" si="981"/>
        <v>0</v>
      </c>
      <c r="Y6351" s="13">
        <f t="shared" si="984"/>
        <v>0</v>
      </c>
      <c r="Z6351" s="14">
        <v>0</v>
      </c>
      <c r="AA6351" s="6">
        <v>0</v>
      </c>
      <c r="AB6351" s="4">
        <f t="shared" si="985"/>
        <v>0</v>
      </c>
      <c r="AC6351" s="6">
        <f t="shared" si="983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979"/>
        <v>0</v>
      </c>
      <c r="AG6351" s="14">
        <v>0.4</v>
      </c>
      <c r="AH6351" s="6">
        <f t="shared" si="982"/>
        <v>0</v>
      </c>
      <c r="AI6351" s="47"/>
      <c r="AJ6351" s="126" t="e">
        <v>#N/A</v>
      </c>
      <c r="AK6351" s="80">
        <f t="shared" si="986"/>
        <v>0</v>
      </c>
      <c r="AL6351" s="85"/>
      <c r="AM6351" s="85"/>
    </row>
    <row r="6352" spans="1:39" s="86" customFormat="1" ht="13.25" hidden="1" customHeight="1" x14ac:dyDescent="0.3">
      <c r="A6352" s="89" t="s">
        <v>3792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980"/>
        <v>-1.2000000016996637E-2</v>
      </c>
      <c r="X6352" s="6">
        <f t="shared" si="981"/>
        <v>0</v>
      </c>
      <c r="Y6352" s="13">
        <f t="shared" si="984"/>
        <v>0</v>
      </c>
      <c r="Z6352" s="14">
        <v>0</v>
      </c>
      <c r="AA6352" s="6">
        <v>0</v>
      </c>
      <c r="AB6352" s="4">
        <f t="shared" si="985"/>
        <v>0</v>
      </c>
      <c r="AC6352" s="6">
        <f t="shared" si="983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979"/>
        <v>0</v>
      </c>
      <c r="AG6352" s="14">
        <v>0.4</v>
      </c>
      <c r="AH6352" s="6">
        <f t="shared" si="982"/>
        <v>0</v>
      </c>
      <c r="AI6352" s="47"/>
      <c r="AJ6352" s="126" t="e">
        <v>#N/A</v>
      </c>
      <c r="AK6352" s="80">
        <f t="shared" si="986"/>
        <v>0</v>
      </c>
      <c r="AL6352" s="85"/>
      <c r="AM6352" s="85"/>
    </row>
    <row r="6353" spans="1:39" s="86" customFormat="1" ht="13.25" hidden="1" customHeight="1" x14ac:dyDescent="0.3">
      <c r="A6353" s="89" t="s">
        <v>3792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980"/>
        <v>-5.9999999998012754E-3</v>
      </c>
      <c r="X6353" s="6">
        <f t="shared" si="981"/>
        <v>0</v>
      </c>
      <c r="Y6353" s="13">
        <f t="shared" si="984"/>
        <v>0</v>
      </c>
      <c r="Z6353" s="14">
        <v>0</v>
      </c>
      <c r="AA6353" s="6">
        <v>0</v>
      </c>
      <c r="AB6353" s="4">
        <f t="shared" si="985"/>
        <v>0</v>
      </c>
      <c r="AC6353" s="6">
        <f t="shared" si="983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979"/>
        <v>0</v>
      </c>
      <c r="AG6353" s="14">
        <v>0.4</v>
      </c>
      <c r="AH6353" s="6">
        <f t="shared" si="982"/>
        <v>0</v>
      </c>
      <c r="AI6353" s="47"/>
      <c r="AJ6353" s="126" t="e">
        <v>#N/A</v>
      </c>
      <c r="AK6353" s="80">
        <f t="shared" si="986"/>
        <v>0</v>
      </c>
      <c r="AL6353" s="85"/>
      <c r="AM6353" s="85"/>
    </row>
    <row r="6354" spans="1:39" s="86" customFormat="1" ht="13.25" hidden="1" customHeight="1" x14ac:dyDescent="0.3">
      <c r="A6354" s="89" t="s">
        <v>3792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980"/>
        <v>-13927.29027636251</v>
      </c>
      <c r="X6354" s="6">
        <f t="shared" si="981"/>
        <v>0</v>
      </c>
      <c r="Y6354" s="13">
        <f t="shared" si="984"/>
        <v>0</v>
      </c>
      <c r="Z6354" s="14">
        <v>0</v>
      </c>
      <c r="AA6354" s="6">
        <v>0</v>
      </c>
      <c r="AB6354" s="4">
        <f t="shared" si="985"/>
        <v>0</v>
      </c>
      <c r="AC6354" s="6">
        <f t="shared" si="983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979"/>
        <v>0</v>
      </c>
      <c r="AG6354" s="14">
        <v>0.41</v>
      </c>
      <c r="AH6354" s="6">
        <f t="shared" si="982"/>
        <v>0</v>
      </c>
      <c r="AI6354" s="47"/>
      <c r="AJ6354" s="126" t="e">
        <v>#N/A</v>
      </c>
      <c r="AK6354" s="80">
        <f t="shared" si="986"/>
        <v>0</v>
      </c>
      <c r="AL6354" s="85"/>
      <c r="AM6354" s="85"/>
    </row>
    <row r="6355" spans="1:39" s="86" customFormat="1" ht="13.25" hidden="1" customHeight="1" x14ac:dyDescent="0.3">
      <c r="A6355" s="89" t="s">
        <v>3792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980"/>
        <v>14000</v>
      </c>
      <c r="X6355" s="6">
        <f t="shared" si="981"/>
        <v>0</v>
      </c>
      <c r="Y6355" s="13">
        <f t="shared" si="984"/>
        <v>0</v>
      </c>
      <c r="Z6355" s="14">
        <v>0</v>
      </c>
      <c r="AA6355" s="6">
        <v>0</v>
      </c>
      <c r="AB6355" s="4">
        <f t="shared" si="985"/>
        <v>0</v>
      </c>
      <c r="AC6355" s="6">
        <f t="shared" si="983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979"/>
        <v>0</v>
      </c>
      <c r="AG6355" s="14">
        <v>0.4</v>
      </c>
      <c r="AH6355" s="6">
        <f t="shared" si="982"/>
        <v>0</v>
      </c>
      <c r="AI6355" s="47"/>
      <c r="AJ6355" s="126" t="e">
        <v>#N/A</v>
      </c>
      <c r="AK6355" s="80">
        <f t="shared" si="986"/>
        <v>0</v>
      </c>
      <c r="AL6355" s="85"/>
      <c r="AM6355" s="85"/>
    </row>
    <row r="6356" spans="1:39" s="86" customFormat="1" ht="13.25" hidden="1" customHeight="1" x14ac:dyDescent="0.3">
      <c r="A6356" s="89" t="s">
        <v>3792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980"/>
        <v>5139.170001367831</v>
      </c>
      <c r="X6356" s="6">
        <f t="shared" si="981"/>
        <v>0</v>
      </c>
      <c r="Y6356" s="13">
        <f t="shared" si="984"/>
        <v>0</v>
      </c>
      <c r="Z6356" s="14">
        <v>0</v>
      </c>
      <c r="AA6356" s="6">
        <v>0</v>
      </c>
      <c r="AB6356" s="4">
        <f t="shared" si="985"/>
        <v>0</v>
      </c>
      <c r="AC6356" s="6">
        <f t="shared" si="983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979"/>
        <v>0</v>
      </c>
      <c r="AG6356" s="14">
        <v>0.4</v>
      </c>
      <c r="AH6356" s="6">
        <f t="shared" si="982"/>
        <v>0</v>
      </c>
      <c r="AI6356" s="47"/>
      <c r="AJ6356" s="126" t="e">
        <v>#N/A</v>
      </c>
      <c r="AK6356" s="80">
        <f t="shared" si="986"/>
        <v>0</v>
      </c>
      <c r="AL6356" s="85"/>
      <c r="AM6356" s="85"/>
    </row>
    <row r="6357" spans="1:39" s="86" customFormat="1" ht="13.25" hidden="1" customHeight="1" x14ac:dyDescent="0.3">
      <c r="A6357" s="89" t="s">
        <v>3792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980"/>
        <v>242.23590510948313</v>
      </c>
      <c r="X6357" s="6">
        <f t="shared" si="981"/>
        <v>0</v>
      </c>
      <c r="Y6357" s="13">
        <f t="shared" si="984"/>
        <v>0</v>
      </c>
      <c r="Z6357" s="14">
        <v>0</v>
      </c>
      <c r="AA6357" s="6">
        <v>0</v>
      </c>
      <c r="AB6357" s="4">
        <f t="shared" si="985"/>
        <v>0</v>
      </c>
      <c r="AC6357" s="6">
        <f t="shared" si="983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979"/>
        <v>0</v>
      </c>
      <c r="AG6357" s="14">
        <v>0.37</v>
      </c>
      <c r="AH6357" s="6">
        <f t="shared" si="982"/>
        <v>0</v>
      </c>
      <c r="AI6357" s="47"/>
      <c r="AJ6357" s="126" t="e">
        <v>#N/A</v>
      </c>
      <c r="AK6357" s="80">
        <f t="shared" si="986"/>
        <v>0</v>
      </c>
      <c r="AL6357" s="85"/>
      <c r="AM6357" s="85"/>
    </row>
    <row r="6358" spans="1:39" s="86" customFormat="1" ht="13.25" hidden="1" customHeight="1" x14ac:dyDescent="0.3">
      <c r="A6358" s="89" t="s">
        <v>3794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980"/>
        <v>4961.8399999999583</v>
      </c>
      <c r="X6358" s="6">
        <f t="shared" si="981"/>
        <v>10000.000000000002</v>
      </c>
      <c r="Y6358" s="13">
        <f t="shared" si="984"/>
        <v>0</v>
      </c>
      <c r="Z6358" s="14">
        <v>0</v>
      </c>
      <c r="AA6358" s="6">
        <v>0</v>
      </c>
      <c r="AB6358" s="4">
        <f t="shared" si="985"/>
        <v>10000.000000000002</v>
      </c>
      <c r="AC6358" s="6">
        <f t="shared" si="983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979"/>
        <v>925.5293999999999</v>
      </c>
      <c r="AG6358" s="14">
        <v>0.41</v>
      </c>
      <c r="AH6358" s="6">
        <f t="shared" si="982"/>
        <v>10283.687943262414</v>
      </c>
      <c r="AI6358" s="47"/>
      <c r="AJ6358" s="126" t="e">
        <v>#N/A</v>
      </c>
      <c r="AK6358" s="80">
        <f t="shared" si="986"/>
        <v>0</v>
      </c>
      <c r="AL6358" s="85"/>
      <c r="AM6358" s="85"/>
    </row>
    <row r="6359" spans="1:39" s="86" customFormat="1" ht="13.25" hidden="1" customHeight="1" x14ac:dyDescent="0.3">
      <c r="A6359" s="89" t="s">
        <v>3794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980"/>
        <v>13171.470704793706</v>
      </c>
      <c r="X6359" s="6">
        <f t="shared" si="981"/>
        <v>0</v>
      </c>
      <c r="Y6359" s="13">
        <f t="shared" si="984"/>
        <v>0</v>
      </c>
      <c r="Z6359" s="14">
        <v>0</v>
      </c>
      <c r="AA6359" s="6">
        <v>0</v>
      </c>
      <c r="AB6359" s="4">
        <f t="shared" si="985"/>
        <v>0</v>
      </c>
      <c r="AC6359" s="6">
        <f t="shared" si="983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979"/>
        <v>0</v>
      </c>
      <c r="AG6359" s="14">
        <v>0.46</v>
      </c>
      <c r="AH6359" s="6">
        <f t="shared" si="982"/>
        <v>0</v>
      </c>
      <c r="AI6359" s="47"/>
      <c r="AJ6359" s="126" t="e">
        <v>#N/A</v>
      </c>
      <c r="AK6359" s="80">
        <f t="shared" si="986"/>
        <v>0</v>
      </c>
      <c r="AL6359" s="85"/>
      <c r="AM6359" s="85"/>
    </row>
    <row r="6360" spans="1:39" s="86" customFormat="1" ht="13.25" hidden="1" customHeight="1" x14ac:dyDescent="0.3">
      <c r="A6360" s="89" t="s">
        <v>3792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980"/>
        <v>-1997.87</v>
      </c>
      <c r="X6360" s="6">
        <f t="shared" si="981"/>
        <v>0</v>
      </c>
      <c r="Y6360" s="13">
        <f t="shared" si="984"/>
        <v>0</v>
      </c>
      <c r="Z6360" s="14">
        <v>0</v>
      </c>
      <c r="AA6360" s="6">
        <v>0</v>
      </c>
      <c r="AB6360" s="4">
        <f t="shared" si="985"/>
        <v>0</v>
      </c>
      <c r="AC6360" s="6">
        <f t="shared" si="983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979"/>
        <v>0</v>
      </c>
      <c r="AG6360" s="14">
        <v>0.46</v>
      </c>
      <c r="AH6360" s="6">
        <f t="shared" si="982"/>
        <v>0</v>
      </c>
      <c r="AI6360" s="47"/>
      <c r="AJ6360" s="126" t="e">
        <v>#N/A</v>
      </c>
      <c r="AK6360" s="80">
        <f t="shared" si="986"/>
        <v>0</v>
      </c>
      <c r="AL6360" s="85"/>
      <c r="AM6360" s="85"/>
    </row>
    <row r="6361" spans="1:39" s="86" customFormat="1" ht="13.25" hidden="1" customHeight="1" x14ac:dyDescent="0.3">
      <c r="A6361" s="89" t="s">
        <v>3792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980"/>
        <v>124575.60023211583</v>
      </c>
      <c r="X6361" s="6">
        <f t="shared" si="981"/>
        <v>0</v>
      </c>
      <c r="Y6361" s="13">
        <f t="shared" si="984"/>
        <v>0</v>
      </c>
      <c r="Z6361" s="14">
        <v>0</v>
      </c>
      <c r="AA6361" s="6">
        <v>0</v>
      </c>
      <c r="AB6361" s="4">
        <f t="shared" si="985"/>
        <v>0</v>
      </c>
      <c r="AC6361" s="6">
        <f t="shared" si="983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979"/>
        <v>0</v>
      </c>
      <c r="AG6361" s="14">
        <v>0.37</v>
      </c>
      <c r="AH6361" s="6">
        <f t="shared" si="982"/>
        <v>0</v>
      </c>
      <c r="AI6361" s="47"/>
      <c r="AJ6361" s="126" t="e">
        <v>#N/A</v>
      </c>
      <c r="AK6361" s="80">
        <f t="shared" si="986"/>
        <v>0</v>
      </c>
      <c r="AL6361" s="85"/>
      <c r="AM6361" s="85"/>
    </row>
    <row r="6362" spans="1:39" s="86" customFormat="1" ht="13.25" hidden="1" customHeight="1" x14ac:dyDescent="0.3">
      <c r="A6362" s="89" t="s">
        <v>3794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980"/>
        <v>12.659999999999901</v>
      </c>
      <c r="X6362" s="6">
        <f t="shared" si="981"/>
        <v>0</v>
      </c>
      <c r="Y6362" s="13">
        <f t="shared" si="984"/>
        <v>0</v>
      </c>
      <c r="Z6362" s="14">
        <v>0</v>
      </c>
      <c r="AA6362" s="6">
        <v>0</v>
      </c>
      <c r="AB6362" s="4">
        <f t="shared" si="985"/>
        <v>0</v>
      </c>
      <c r="AC6362" s="6">
        <f t="shared" si="983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979"/>
        <v>0</v>
      </c>
      <c r="AG6362" s="14">
        <v>0.37</v>
      </c>
      <c r="AH6362" s="6">
        <f t="shared" si="982"/>
        <v>0</v>
      </c>
      <c r="AI6362" s="47"/>
      <c r="AJ6362" s="126" t="e">
        <v>#N/A</v>
      </c>
      <c r="AK6362" s="80">
        <f t="shared" si="986"/>
        <v>0</v>
      </c>
      <c r="AL6362" s="85"/>
      <c r="AM6362" s="85"/>
    </row>
    <row r="6363" spans="1:39" s="86" customFormat="1" ht="13.25" hidden="1" customHeight="1" x14ac:dyDescent="0.3">
      <c r="A6363" s="89" t="s">
        <v>3794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980"/>
        <v>77615.606438356161</v>
      </c>
      <c r="X6363" s="6">
        <f t="shared" si="981"/>
        <v>0</v>
      </c>
      <c r="Y6363" s="13">
        <f t="shared" si="984"/>
        <v>0</v>
      </c>
      <c r="Z6363" s="14">
        <v>0</v>
      </c>
      <c r="AA6363" s="6">
        <v>0</v>
      </c>
      <c r="AB6363" s="4">
        <f t="shared" si="985"/>
        <v>0</v>
      </c>
      <c r="AC6363" s="6">
        <f t="shared" si="983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979"/>
        <v>0</v>
      </c>
      <c r="AG6363" s="14">
        <v>0.46</v>
      </c>
      <c r="AH6363" s="6">
        <f t="shared" si="982"/>
        <v>0</v>
      </c>
      <c r="AI6363" s="47"/>
      <c r="AJ6363" s="126" t="e">
        <v>#N/A</v>
      </c>
      <c r="AK6363" s="80">
        <f t="shared" si="986"/>
        <v>0</v>
      </c>
      <c r="AL6363" s="85"/>
      <c r="AM6363" s="85"/>
    </row>
    <row r="6364" spans="1:39" s="86" customFormat="1" ht="13.25" hidden="1" customHeight="1" x14ac:dyDescent="0.3">
      <c r="A6364" s="89" t="s">
        <v>3794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980"/>
        <v>2505.8718978102197</v>
      </c>
      <c r="X6364" s="6">
        <f t="shared" si="981"/>
        <v>0</v>
      </c>
      <c r="Y6364" s="13">
        <f t="shared" si="984"/>
        <v>0</v>
      </c>
      <c r="Z6364" s="14">
        <v>0</v>
      </c>
      <c r="AA6364" s="6">
        <v>0</v>
      </c>
      <c r="AB6364" s="4">
        <f t="shared" si="985"/>
        <v>0</v>
      </c>
      <c r="AC6364" s="6">
        <f t="shared" si="983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979"/>
        <v>0</v>
      </c>
      <c r="AG6364" s="14">
        <v>0.37</v>
      </c>
      <c r="AH6364" s="6">
        <f t="shared" si="982"/>
        <v>0</v>
      </c>
      <c r="AI6364" s="47"/>
      <c r="AJ6364" s="126" t="e">
        <v>#N/A</v>
      </c>
      <c r="AK6364" s="80">
        <f t="shared" si="986"/>
        <v>0</v>
      </c>
      <c r="AL6364" s="85"/>
      <c r="AM6364" s="85"/>
    </row>
    <row r="6365" spans="1:39" s="86" customFormat="1" ht="13.25" hidden="1" customHeight="1" x14ac:dyDescent="0.3">
      <c r="A6365" s="89" t="s">
        <v>3792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980"/>
        <v>0</v>
      </c>
      <c r="X6365" s="6">
        <f t="shared" si="981"/>
        <v>33.869407407406399</v>
      </c>
      <c r="Y6365" s="13">
        <f t="shared" si="984"/>
        <v>33.869407407406399</v>
      </c>
      <c r="Z6365" s="14">
        <v>0</v>
      </c>
      <c r="AA6365" s="6">
        <v>0</v>
      </c>
      <c r="AB6365" s="4">
        <f t="shared" si="985"/>
        <v>33.869407407406399</v>
      </c>
      <c r="AC6365" s="6">
        <f t="shared" si="983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979"/>
        <v>0</v>
      </c>
      <c r="AG6365" s="14">
        <v>0.37</v>
      </c>
      <c r="AH6365" s="6">
        <f t="shared" si="982"/>
        <v>33.374963503648644</v>
      </c>
      <c r="AI6365" s="47"/>
      <c r="AJ6365" s="126" t="e">
        <v>#N/A</v>
      </c>
      <c r="AK6365" s="80">
        <f t="shared" si="986"/>
        <v>0</v>
      </c>
      <c r="AL6365" s="85"/>
      <c r="AM6365" s="85"/>
    </row>
    <row r="6366" spans="1:39" s="86" customFormat="1" ht="13.25" hidden="1" customHeight="1" x14ac:dyDescent="0.3">
      <c r="A6366" s="89" t="s">
        <v>3794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981"/>
        <v>-32.659785714284745</v>
      </c>
      <c r="Y6366" s="13">
        <f t="shared" si="984"/>
        <v>0</v>
      </c>
      <c r="Z6366" s="14">
        <v>0</v>
      </c>
      <c r="AA6366" s="6">
        <v>0</v>
      </c>
      <c r="AB6366" s="4">
        <f t="shared" si="985"/>
        <v>-32.659785714284745</v>
      </c>
      <c r="AC6366" s="6">
        <f t="shared" si="983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979"/>
        <v>0</v>
      </c>
      <c r="AG6366" s="14">
        <v>0.37</v>
      </c>
      <c r="AH6366" s="6">
        <f t="shared" si="982"/>
        <v>-33.374963503648644</v>
      </c>
      <c r="AI6366" s="47"/>
      <c r="AJ6366" s="126" t="e">
        <v>#N/A</v>
      </c>
      <c r="AK6366" s="80">
        <f t="shared" si="986"/>
        <v>0</v>
      </c>
      <c r="AL6366" s="85"/>
      <c r="AM6366" s="85"/>
    </row>
    <row r="6367" spans="1:39" s="86" customFormat="1" ht="13.25" hidden="1" customHeight="1" x14ac:dyDescent="0.3">
      <c r="A6367" s="89" t="s">
        <v>3792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980"/>
        <v>0.05</v>
      </c>
      <c r="X6367" s="6">
        <f t="shared" si="981"/>
        <v>0</v>
      </c>
      <c r="Y6367" s="13">
        <f t="shared" si="984"/>
        <v>0</v>
      </c>
      <c r="Z6367" s="14">
        <v>0</v>
      </c>
      <c r="AA6367" s="6">
        <v>0</v>
      </c>
      <c r="AB6367" s="4">
        <f t="shared" si="985"/>
        <v>0</v>
      </c>
      <c r="AC6367" s="6">
        <f t="shared" si="983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979"/>
        <v>0</v>
      </c>
      <c r="AG6367" s="14">
        <v>0.41</v>
      </c>
      <c r="AH6367" s="6">
        <f t="shared" si="982"/>
        <v>0</v>
      </c>
      <c r="AI6367" s="47"/>
      <c r="AJ6367" s="126" t="e">
        <v>#N/A</v>
      </c>
      <c r="AK6367" s="80">
        <f t="shared" si="986"/>
        <v>0</v>
      </c>
      <c r="AL6367" s="85"/>
      <c r="AM6367" s="85"/>
    </row>
    <row r="6368" spans="1:39" s="86" customFormat="1" ht="13.25" hidden="1" customHeight="1" x14ac:dyDescent="0.3">
      <c r="A6368" s="89" t="s">
        <v>3794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980"/>
        <v>27969.793795620441</v>
      </c>
      <c r="X6368" s="6">
        <f t="shared" si="981"/>
        <v>0</v>
      </c>
      <c r="Y6368" s="13">
        <f t="shared" si="984"/>
        <v>0</v>
      </c>
      <c r="Z6368" s="14">
        <v>0</v>
      </c>
      <c r="AA6368" s="6">
        <v>0</v>
      </c>
      <c r="AB6368" s="4">
        <f t="shared" si="985"/>
        <v>0</v>
      </c>
      <c r="AC6368" s="6">
        <f t="shared" si="983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979"/>
        <v>0</v>
      </c>
      <c r="AG6368" s="14">
        <v>0.37</v>
      </c>
      <c r="AH6368" s="6">
        <f t="shared" si="982"/>
        <v>0</v>
      </c>
      <c r="AI6368" s="47"/>
      <c r="AJ6368" s="126" t="e">
        <v>#N/A</v>
      </c>
      <c r="AK6368" s="80">
        <f t="shared" si="986"/>
        <v>0</v>
      </c>
      <c r="AL6368" s="85"/>
      <c r="AM6368" s="85"/>
    </row>
    <row r="6369" spans="1:39" s="86" customFormat="1" ht="13.25" hidden="1" customHeight="1" x14ac:dyDescent="0.3">
      <c r="A6369" s="89" t="s">
        <v>3792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980"/>
        <v>-56746.807504651188</v>
      </c>
      <c r="X6369" s="6">
        <f t="shared" si="981"/>
        <v>0</v>
      </c>
      <c r="Y6369" s="13">
        <f t="shared" si="984"/>
        <v>0</v>
      </c>
      <c r="Z6369" s="14">
        <v>0</v>
      </c>
      <c r="AA6369" s="6">
        <v>0</v>
      </c>
      <c r="AB6369" s="4">
        <f t="shared" si="985"/>
        <v>0</v>
      </c>
      <c r="AC6369" s="6">
        <f t="shared" si="983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979"/>
        <v>0</v>
      </c>
      <c r="AG6369" s="14">
        <v>0.4</v>
      </c>
      <c r="AH6369" s="6">
        <f t="shared" si="982"/>
        <v>0</v>
      </c>
      <c r="AI6369" s="47"/>
      <c r="AJ6369" s="126" t="e">
        <v>#N/A</v>
      </c>
      <c r="AK6369" s="80">
        <f t="shared" si="986"/>
        <v>0</v>
      </c>
      <c r="AL6369" s="85"/>
      <c r="AM6369" s="85"/>
    </row>
    <row r="6370" spans="1:39" s="86" customFormat="1" ht="13.25" hidden="1" customHeight="1" x14ac:dyDescent="0.3">
      <c r="A6370" s="89" t="s">
        <v>3792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980"/>
        <v>-3481.5356934388265</v>
      </c>
      <c r="X6370" s="6">
        <f t="shared" si="981"/>
        <v>0</v>
      </c>
      <c r="Y6370" s="13">
        <f t="shared" si="984"/>
        <v>0</v>
      </c>
      <c r="Z6370" s="14">
        <v>0</v>
      </c>
      <c r="AA6370" s="6">
        <v>0</v>
      </c>
      <c r="AB6370" s="4">
        <f t="shared" si="985"/>
        <v>0</v>
      </c>
      <c r="AC6370" s="6">
        <f t="shared" si="983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979"/>
        <v>0</v>
      </c>
      <c r="AG6370" s="14">
        <v>0.37</v>
      </c>
      <c r="AH6370" s="6">
        <f t="shared" si="982"/>
        <v>0</v>
      </c>
      <c r="AI6370" s="47"/>
      <c r="AJ6370" s="126" t="e">
        <v>#N/A</v>
      </c>
      <c r="AK6370" s="80">
        <f t="shared" si="986"/>
        <v>0</v>
      </c>
      <c r="AL6370" s="85"/>
      <c r="AM6370" s="85"/>
    </row>
    <row r="6371" spans="1:39" s="86" customFormat="1" ht="13.25" hidden="1" customHeight="1" x14ac:dyDescent="0.3">
      <c r="A6371" s="89" t="s">
        <v>3794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980"/>
        <v>0.16800000070361421</v>
      </c>
      <c r="X6371" s="6">
        <f t="shared" si="981"/>
        <v>0</v>
      </c>
      <c r="Y6371" s="13">
        <f t="shared" si="984"/>
        <v>0</v>
      </c>
      <c r="Z6371" s="14">
        <v>0</v>
      </c>
      <c r="AA6371" s="6">
        <v>0</v>
      </c>
      <c r="AB6371" s="4">
        <f t="shared" si="985"/>
        <v>0</v>
      </c>
      <c r="AC6371" s="6">
        <f t="shared" si="983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979"/>
        <v>0</v>
      </c>
      <c r="AG6371" s="14">
        <v>0.46</v>
      </c>
      <c r="AH6371" s="6">
        <f t="shared" si="982"/>
        <v>0</v>
      </c>
      <c r="AI6371" s="47"/>
      <c r="AJ6371" s="126" t="e">
        <v>#N/A</v>
      </c>
      <c r="AK6371" s="80">
        <f t="shared" si="986"/>
        <v>0</v>
      </c>
      <c r="AL6371" s="85"/>
      <c r="AM6371" s="85"/>
    </row>
    <row r="6372" spans="1:39" s="86" customFormat="1" ht="13.25" hidden="1" customHeight="1" x14ac:dyDescent="0.3">
      <c r="A6372" s="89" t="s">
        <v>3794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980"/>
        <v>61137.986145203991</v>
      </c>
      <c r="X6372" s="6">
        <f t="shared" si="981"/>
        <v>0</v>
      </c>
      <c r="Y6372" s="13">
        <f t="shared" si="984"/>
        <v>0</v>
      </c>
      <c r="Z6372" s="14">
        <v>0</v>
      </c>
      <c r="AA6372" s="6">
        <v>0</v>
      </c>
      <c r="AB6372" s="4">
        <f t="shared" si="985"/>
        <v>0</v>
      </c>
      <c r="AC6372" s="6">
        <f t="shared" si="983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987">AD6372*AE6372</f>
        <v>0</v>
      </c>
      <c r="AG6372" s="14">
        <v>0.46</v>
      </c>
      <c r="AH6372" s="6">
        <f t="shared" si="982"/>
        <v>0</v>
      </c>
      <c r="AI6372" s="47"/>
      <c r="AJ6372" s="126" t="e">
        <v>#N/A</v>
      </c>
      <c r="AK6372" s="80">
        <f t="shared" si="986"/>
        <v>0</v>
      </c>
      <c r="AL6372" s="85"/>
      <c r="AM6372" s="85"/>
    </row>
    <row r="6373" spans="1:39" s="86" customFormat="1" ht="13.25" hidden="1" customHeight="1" x14ac:dyDescent="0.3">
      <c r="A6373" s="89" t="s">
        <v>3794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980"/>
        <v>14000</v>
      </c>
      <c r="X6373" s="6">
        <f t="shared" si="981"/>
        <v>0</v>
      </c>
      <c r="Y6373" s="13">
        <f t="shared" si="984"/>
        <v>0</v>
      </c>
      <c r="Z6373" s="14">
        <v>0</v>
      </c>
      <c r="AA6373" s="6">
        <v>0</v>
      </c>
      <c r="AB6373" s="4">
        <f t="shared" si="985"/>
        <v>0</v>
      </c>
      <c r="AC6373" s="6">
        <f t="shared" si="983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987"/>
        <v>0</v>
      </c>
      <c r="AG6373" s="14">
        <v>0.46</v>
      </c>
      <c r="AH6373" s="6">
        <f t="shared" si="982"/>
        <v>0</v>
      </c>
      <c r="AI6373" s="47"/>
      <c r="AJ6373" s="126" t="e">
        <v>#N/A</v>
      </c>
      <c r="AK6373" s="80">
        <f t="shared" si="986"/>
        <v>0</v>
      </c>
      <c r="AL6373" s="85"/>
      <c r="AM6373" s="85"/>
    </row>
    <row r="6374" spans="1:39" s="86" customFormat="1" ht="13.25" hidden="1" customHeight="1" x14ac:dyDescent="0.3">
      <c r="A6374" s="89" t="s">
        <v>3794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980"/>
        <v>22187.300465756074</v>
      </c>
      <c r="X6374" s="6">
        <f t="shared" si="981"/>
        <v>0</v>
      </c>
      <c r="Y6374" s="13">
        <f t="shared" si="984"/>
        <v>0</v>
      </c>
      <c r="Z6374" s="14">
        <v>0</v>
      </c>
      <c r="AA6374" s="6">
        <v>0</v>
      </c>
      <c r="AB6374" s="4">
        <f t="shared" si="985"/>
        <v>0</v>
      </c>
      <c r="AC6374" s="6">
        <f t="shared" si="983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987"/>
        <v>0</v>
      </c>
      <c r="AG6374" s="14">
        <v>0.46</v>
      </c>
      <c r="AH6374" s="6">
        <f t="shared" si="982"/>
        <v>0</v>
      </c>
      <c r="AI6374" s="47"/>
      <c r="AJ6374" s="126" t="e">
        <v>#N/A</v>
      </c>
      <c r="AK6374" s="80">
        <f t="shared" si="986"/>
        <v>0</v>
      </c>
      <c r="AL6374" s="85"/>
      <c r="AM6374" s="85"/>
    </row>
    <row r="6375" spans="1:39" s="86" customFormat="1" ht="13.25" hidden="1" customHeight="1" x14ac:dyDescent="0.3">
      <c r="A6375" s="89" t="s">
        <v>3792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980"/>
        <v>4.0000000793952495E-2</v>
      </c>
      <c r="X6375" s="6">
        <f t="shared" si="981"/>
        <v>0</v>
      </c>
      <c r="Y6375" s="13">
        <f t="shared" si="984"/>
        <v>0</v>
      </c>
      <c r="Z6375" s="14">
        <v>0</v>
      </c>
      <c r="AA6375" s="6">
        <v>0</v>
      </c>
      <c r="AB6375" s="4">
        <f t="shared" si="985"/>
        <v>0</v>
      </c>
      <c r="AC6375" s="6">
        <f t="shared" si="983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987"/>
        <v>0</v>
      </c>
      <c r="AG6375" s="14">
        <v>0.46</v>
      </c>
      <c r="AH6375" s="6">
        <f t="shared" si="982"/>
        <v>0</v>
      </c>
      <c r="AI6375" s="47"/>
      <c r="AJ6375" s="126" t="e">
        <v>#N/A</v>
      </c>
      <c r="AK6375" s="80">
        <f t="shared" si="986"/>
        <v>0</v>
      </c>
      <c r="AL6375" s="85"/>
      <c r="AM6375" s="85"/>
    </row>
    <row r="6376" spans="1:39" s="86" customFormat="1" ht="13.25" hidden="1" customHeight="1" x14ac:dyDescent="0.3">
      <c r="A6376" s="89" t="s">
        <v>3792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980"/>
        <v>-160156.09419999988</v>
      </c>
      <c r="X6376" s="6">
        <f t="shared" si="981"/>
        <v>0</v>
      </c>
      <c r="Y6376" s="13">
        <f t="shared" si="984"/>
        <v>0</v>
      </c>
      <c r="Z6376" s="14">
        <v>0</v>
      </c>
      <c r="AA6376" s="6">
        <v>0</v>
      </c>
      <c r="AB6376" s="4">
        <f t="shared" si="985"/>
        <v>0</v>
      </c>
      <c r="AC6376" s="6">
        <f t="shared" si="983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987"/>
        <v>0</v>
      </c>
      <c r="AG6376" s="14">
        <v>0.38</v>
      </c>
      <c r="AH6376" s="6">
        <f t="shared" si="982"/>
        <v>0</v>
      </c>
      <c r="AI6376" s="47"/>
      <c r="AJ6376" s="126" t="e">
        <v>#N/A</v>
      </c>
      <c r="AK6376" s="80">
        <f t="shared" si="986"/>
        <v>0</v>
      </c>
      <c r="AL6376" s="85"/>
      <c r="AM6376" s="85"/>
    </row>
    <row r="6377" spans="1:39" s="86" customFormat="1" ht="13.25" hidden="1" customHeight="1" x14ac:dyDescent="0.3">
      <c r="A6377" s="89" t="s">
        <v>3794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988">T6377+U6377-V6377</f>
        <v>-141796.72999999978</v>
      </c>
      <c r="X6377" s="6">
        <f t="shared" si="981"/>
        <v>0</v>
      </c>
      <c r="Y6377" s="13">
        <f t="shared" si="984"/>
        <v>0</v>
      </c>
      <c r="Z6377" s="14">
        <v>0</v>
      </c>
      <c r="AA6377" s="6">
        <v>0</v>
      </c>
      <c r="AB6377" s="4">
        <f t="shared" si="985"/>
        <v>0</v>
      </c>
      <c r="AC6377" s="6">
        <f t="shared" si="983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987"/>
        <v>0</v>
      </c>
      <c r="AG6377" s="14">
        <v>0.28000000000000003</v>
      </c>
      <c r="AH6377" s="6">
        <f t="shared" si="982"/>
        <v>0</v>
      </c>
      <c r="AI6377" s="47"/>
      <c r="AJ6377" s="126" t="e">
        <v>#N/A</v>
      </c>
      <c r="AK6377" s="80">
        <f t="shared" si="986"/>
        <v>0</v>
      </c>
      <c r="AL6377" s="85"/>
      <c r="AM6377" s="85"/>
    </row>
    <row r="6378" spans="1:39" s="86" customFormat="1" ht="13.25" hidden="1" customHeight="1" x14ac:dyDescent="0.3">
      <c r="A6378" s="89" t="s">
        <v>3794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988"/>
        <v>1321.5999999999976</v>
      </c>
      <c r="X6378" s="6">
        <f t="shared" si="981"/>
        <v>0</v>
      </c>
      <c r="Y6378" s="13">
        <f t="shared" si="984"/>
        <v>0</v>
      </c>
      <c r="Z6378" s="14">
        <v>0</v>
      </c>
      <c r="AA6378" s="6">
        <v>0</v>
      </c>
      <c r="AB6378" s="4">
        <f t="shared" si="985"/>
        <v>0</v>
      </c>
      <c r="AC6378" s="6">
        <f t="shared" si="983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987"/>
        <v>0</v>
      </c>
      <c r="AG6378" s="14">
        <v>0</v>
      </c>
      <c r="AH6378" s="6">
        <f t="shared" si="982"/>
        <v>0</v>
      </c>
      <c r="AI6378" s="47"/>
      <c r="AJ6378" s="126" t="e">
        <v>#N/A</v>
      </c>
      <c r="AK6378" s="80">
        <f t="shared" si="986"/>
        <v>0</v>
      </c>
      <c r="AL6378" s="85"/>
      <c r="AM6378" s="85"/>
    </row>
    <row r="6379" spans="1:39" s="86" customFormat="1" ht="13.25" hidden="1" customHeight="1" x14ac:dyDescent="0.3">
      <c r="A6379" s="89" t="s">
        <v>3794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988"/>
        <v>1727538.0879999995</v>
      </c>
      <c r="X6379" s="6">
        <f t="shared" si="981"/>
        <v>0</v>
      </c>
      <c r="Y6379" s="13">
        <f t="shared" si="984"/>
        <v>0</v>
      </c>
      <c r="Z6379" s="14">
        <v>0</v>
      </c>
      <c r="AA6379" s="6">
        <v>0</v>
      </c>
      <c r="AB6379" s="4">
        <f t="shared" si="985"/>
        <v>0</v>
      </c>
      <c r="AC6379" s="6">
        <f t="shared" si="983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987"/>
        <v>0</v>
      </c>
      <c r="AG6379" s="14">
        <v>0.06</v>
      </c>
      <c r="AH6379" s="6">
        <f t="shared" si="982"/>
        <v>0</v>
      </c>
      <c r="AI6379" s="47"/>
      <c r="AJ6379" s="126" t="e">
        <v>#N/A</v>
      </c>
      <c r="AK6379" s="80">
        <f t="shared" si="986"/>
        <v>0</v>
      </c>
      <c r="AL6379" s="85"/>
      <c r="AM6379" s="85"/>
    </row>
    <row r="6380" spans="1:39" s="86" customFormat="1" ht="13.25" hidden="1" customHeight="1" x14ac:dyDescent="0.3">
      <c r="A6380" s="89" t="s">
        <v>3794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988"/>
        <v>48697.410000000011</v>
      </c>
      <c r="X6380" s="6">
        <f t="shared" si="981"/>
        <v>0</v>
      </c>
      <c r="Y6380" s="13">
        <f t="shared" si="984"/>
        <v>0</v>
      </c>
      <c r="Z6380" s="14">
        <v>0</v>
      </c>
      <c r="AA6380" s="6">
        <v>0</v>
      </c>
      <c r="AB6380" s="4">
        <f t="shared" si="985"/>
        <v>0</v>
      </c>
      <c r="AC6380" s="6">
        <f t="shared" si="983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987"/>
        <v>0</v>
      </c>
      <c r="AG6380" s="14">
        <v>0</v>
      </c>
      <c r="AH6380" s="6">
        <f t="shared" si="982"/>
        <v>0</v>
      </c>
      <c r="AI6380" s="47"/>
      <c r="AJ6380" s="126" t="e">
        <v>#N/A</v>
      </c>
      <c r="AK6380" s="80">
        <f t="shared" si="986"/>
        <v>0</v>
      </c>
      <c r="AL6380" s="85"/>
      <c r="AM6380" s="85"/>
    </row>
    <row r="6381" spans="1:39" s="86" customFormat="1" ht="13.25" hidden="1" customHeight="1" x14ac:dyDescent="0.3">
      <c r="A6381" s="89" t="s">
        <v>3792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988"/>
        <v>5438693.4020000007</v>
      </c>
      <c r="X6381" s="6">
        <f t="shared" si="981"/>
        <v>0</v>
      </c>
      <c r="Y6381" s="13">
        <f t="shared" si="984"/>
        <v>0</v>
      </c>
      <c r="Z6381" s="14">
        <v>0</v>
      </c>
      <c r="AA6381" s="6">
        <v>0</v>
      </c>
      <c r="AB6381" s="4">
        <f t="shared" si="985"/>
        <v>0</v>
      </c>
      <c r="AC6381" s="6">
        <f t="shared" si="983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987"/>
        <v>0</v>
      </c>
      <c r="AG6381" s="14">
        <v>0.06</v>
      </c>
      <c r="AH6381" s="6">
        <f t="shared" si="982"/>
        <v>0</v>
      </c>
      <c r="AI6381" s="47"/>
      <c r="AJ6381" s="126" t="e">
        <v>#N/A</v>
      </c>
      <c r="AK6381" s="80">
        <f t="shared" si="986"/>
        <v>0</v>
      </c>
      <c r="AL6381" s="85"/>
      <c r="AM6381" s="85"/>
    </row>
    <row r="6382" spans="1:39" s="86" customFormat="1" ht="13.25" hidden="1" customHeight="1" x14ac:dyDescent="0.35">
      <c r="A6382" s="89" t="s">
        <v>3792</v>
      </c>
      <c r="B6382" s="86" t="s">
        <v>35</v>
      </c>
      <c r="C6382" s="86" t="s">
        <v>59</v>
      </c>
      <c r="D6382" s="86" t="s">
        <v>60</v>
      </c>
      <c r="E6382" s="86" t="s">
        <v>3917</v>
      </c>
      <c r="F6382" s="86" t="s">
        <v>3917</v>
      </c>
      <c r="G6382" s="86" t="s">
        <v>3917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3917</v>
      </c>
      <c r="O6382" s="47" t="s">
        <v>40</v>
      </c>
      <c r="P6382" s="47" t="s">
        <v>41</v>
      </c>
      <c r="Q6382" s="14">
        <v>0</v>
      </c>
      <c r="R6382" s="143"/>
      <c r="S6382" s="47" t="s">
        <v>3918</v>
      </c>
      <c r="T6382" s="6">
        <v>0</v>
      </c>
      <c r="U6382" s="6">
        <v>1100</v>
      </c>
      <c r="V6382" s="6">
        <v>1100</v>
      </c>
      <c r="W6382" s="6">
        <f t="shared" si="988"/>
        <v>0</v>
      </c>
      <c r="X6382" s="6">
        <v>0</v>
      </c>
      <c r="Y6382" s="13">
        <f t="shared" si="984"/>
        <v>0</v>
      </c>
      <c r="Z6382" s="14">
        <v>0</v>
      </c>
      <c r="AA6382" s="6">
        <v>0</v>
      </c>
      <c r="AB6382" s="4">
        <f t="shared" si="985"/>
        <v>0</v>
      </c>
      <c r="AC6382" s="6">
        <f t="shared" si="983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987"/>
        <v>99</v>
      </c>
      <c r="AG6382" s="14">
        <v>0</v>
      </c>
      <c r="AH6382" s="6">
        <f t="shared" si="982"/>
        <v>1100</v>
      </c>
      <c r="AI6382" s="100"/>
      <c r="AJ6382" s="126" t="e">
        <v>#N/A</v>
      </c>
      <c r="AK6382" s="80">
        <f t="shared" si="986"/>
        <v>0</v>
      </c>
      <c r="AL6382" s="85"/>
      <c r="AM6382" s="85"/>
    </row>
    <row r="6383" spans="1:39" s="86" customFormat="1" ht="13.25" hidden="1" customHeight="1" x14ac:dyDescent="0.3">
      <c r="A6383" s="89" t="s">
        <v>3794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47" t="str">
        <f>N6383</f>
        <v>巨量引擎-一类</v>
      </c>
      <c r="L6383" s="47" t="s">
        <v>35</v>
      </c>
      <c r="N6383" s="86" t="s">
        <v>3707</v>
      </c>
      <c r="O6383" s="47" t="s">
        <v>45</v>
      </c>
      <c r="P6383" s="47" t="s">
        <v>92</v>
      </c>
      <c r="Q6383" s="14">
        <v>0.94</v>
      </c>
      <c r="R6383" s="143"/>
      <c r="S6383" s="47" t="s">
        <v>3919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984"/>
        <v>0</v>
      </c>
      <c r="Z6383" s="66">
        <v>0</v>
      </c>
      <c r="AA6383" s="6">
        <v>0</v>
      </c>
      <c r="AB6383" s="4">
        <f t="shared" si="985"/>
        <v>0</v>
      </c>
      <c r="AC6383" s="6">
        <f t="shared" si="983"/>
        <v>1011892.92</v>
      </c>
      <c r="AD6383" s="6">
        <f>V6383</f>
        <v>1011892.92</v>
      </c>
      <c r="AE6383" s="14">
        <v>0.06</v>
      </c>
      <c r="AF6383" s="6">
        <f t="shared" si="987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986"/>
        <v>0</v>
      </c>
      <c r="AL6383" s="85"/>
      <c r="AM6383" s="85"/>
    </row>
    <row r="6384" spans="1:39" s="86" customFormat="1" ht="13.25" hidden="1" customHeight="1" x14ac:dyDescent="0.3">
      <c r="A6384" s="89" t="s">
        <v>3792</v>
      </c>
      <c r="B6384" s="86" t="s">
        <v>35</v>
      </c>
      <c r="C6384" s="86" t="s">
        <v>59</v>
      </c>
      <c r="D6384" s="86" t="s">
        <v>60</v>
      </c>
      <c r="E6384" s="86" t="s">
        <v>3920</v>
      </c>
      <c r="F6384" s="86" t="s">
        <v>3920</v>
      </c>
      <c r="G6384" s="86" t="s">
        <v>3920</v>
      </c>
      <c r="H6384" s="144">
        <v>229</v>
      </c>
      <c r="I6384" s="86" t="s">
        <v>3356</v>
      </c>
      <c r="J6384" s="47" t="s">
        <v>3326</v>
      </c>
      <c r="K6384" s="47" t="str">
        <f t="shared" ref="K6384:K6447" si="989">N6384</f>
        <v>巨量引擎-一类平台/电商</v>
      </c>
      <c r="L6384" s="47" t="s">
        <v>35</v>
      </c>
      <c r="N6384" s="86" t="s">
        <v>3718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990">T6384+U6384-V6384</f>
        <v>23125.989999999583</v>
      </c>
      <c r="X6384" s="6">
        <f t="shared" ref="X6384:X6447" si="991">IF(P6384="折扣",V6384*Q6384,IF(P6384="返现",V6384,V6384/(1+Q6384)))</f>
        <v>446874.01000000042</v>
      </c>
      <c r="Y6384" s="13">
        <f t="shared" si="984"/>
        <v>0</v>
      </c>
      <c r="Z6384" s="66">
        <v>0</v>
      </c>
      <c r="AA6384" s="6">
        <v>0</v>
      </c>
      <c r="AB6384" s="4">
        <f t="shared" si="985"/>
        <v>446874.01000000042</v>
      </c>
      <c r="AC6384" s="6">
        <f t="shared" si="983"/>
        <v>26812.440600000024</v>
      </c>
      <c r="AD6384" s="6">
        <f t="shared" ref="AD6384:AD6447" si="992">V6384</f>
        <v>446874.01000000042</v>
      </c>
      <c r="AE6384" s="14">
        <v>0.06</v>
      </c>
      <c r="AF6384" s="6">
        <f t="shared" si="987"/>
        <v>26812.440600000024</v>
      </c>
      <c r="AG6384" s="14">
        <v>0</v>
      </c>
      <c r="AH6384" s="64">
        <f t="shared" ref="AH6384:AH6447" si="993">V6384</f>
        <v>446874.01000000042</v>
      </c>
      <c r="AJ6384" s="126" t="e">
        <v>#N/A</v>
      </c>
      <c r="AK6384" s="80">
        <f t="shared" si="986"/>
        <v>0</v>
      </c>
      <c r="AL6384" s="85"/>
      <c r="AM6384" s="85"/>
    </row>
    <row r="6385" spans="1:39" s="86" customFormat="1" ht="13.25" hidden="1" customHeight="1" x14ac:dyDescent="0.3">
      <c r="A6385" s="89" t="s">
        <v>3794</v>
      </c>
      <c r="B6385" s="86" t="s">
        <v>35</v>
      </c>
      <c r="C6385" s="86" t="s">
        <v>59</v>
      </c>
      <c r="D6385" s="86" t="s">
        <v>60</v>
      </c>
      <c r="E6385" s="86" t="s">
        <v>3921</v>
      </c>
      <c r="F6385" s="86" t="s">
        <v>3921</v>
      </c>
      <c r="G6385" s="86" t="s">
        <v>3921</v>
      </c>
      <c r="H6385" s="144">
        <v>229</v>
      </c>
      <c r="I6385" s="86" t="s">
        <v>3356</v>
      </c>
      <c r="J6385" s="47" t="s">
        <v>3326</v>
      </c>
      <c r="K6385" s="47" t="str">
        <f t="shared" si="989"/>
        <v>巨量引擎-三类</v>
      </c>
      <c r="L6385" s="47" t="s">
        <v>35</v>
      </c>
      <c r="N6385" s="86" t="s">
        <v>3712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990"/>
        <v>22800.980000000003</v>
      </c>
      <c r="X6385" s="6">
        <f t="shared" si="991"/>
        <v>27699.019999999997</v>
      </c>
      <c r="Y6385" s="13">
        <f t="shared" si="984"/>
        <v>0</v>
      </c>
      <c r="Z6385" s="66">
        <v>0</v>
      </c>
      <c r="AA6385" s="6">
        <v>0</v>
      </c>
      <c r="AB6385" s="4">
        <f t="shared" si="985"/>
        <v>27699.019999999997</v>
      </c>
      <c r="AC6385" s="6">
        <f t="shared" si="983"/>
        <v>1661.9411999999998</v>
      </c>
      <c r="AD6385" s="6">
        <f t="shared" si="992"/>
        <v>27699.019999999997</v>
      </c>
      <c r="AE6385" s="14">
        <v>0.06</v>
      </c>
      <c r="AF6385" s="6">
        <f t="shared" si="987"/>
        <v>1661.9411999999998</v>
      </c>
      <c r="AG6385" s="14">
        <v>0</v>
      </c>
      <c r="AH6385" s="64">
        <f t="shared" si="993"/>
        <v>27699.019999999997</v>
      </c>
      <c r="AJ6385" s="126" t="e">
        <v>#N/A</v>
      </c>
      <c r="AK6385" s="80">
        <f t="shared" si="986"/>
        <v>0</v>
      </c>
      <c r="AL6385" s="85"/>
      <c r="AM6385" s="85"/>
    </row>
    <row r="6386" spans="1:39" s="86" customFormat="1" ht="13.25" hidden="1" customHeight="1" x14ac:dyDescent="0.3">
      <c r="A6386" s="89" t="s">
        <v>3794</v>
      </c>
      <c r="B6386" s="86" t="s">
        <v>35</v>
      </c>
      <c r="C6386" s="86" t="s">
        <v>59</v>
      </c>
      <c r="D6386" s="86" t="s">
        <v>60</v>
      </c>
      <c r="E6386" s="86" t="s">
        <v>3922</v>
      </c>
      <c r="F6386" s="86" t="s">
        <v>3923</v>
      </c>
      <c r="G6386" s="86" t="s">
        <v>3922</v>
      </c>
      <c r="H6386" s="144">
        <v>229</v>
      </c>
      <c r="I6386" s="86" t="s">
        <v>3356</v>
      </c>
      <c r="J6386" s="47" t="s">
        <v>3326</v>
      </c>
      <c r="K6386" s="47" t="str">
        <f t="shared" si="989"/>
        <v>巨量引擎-一类</v>
      </c>
      <c r="L6386" s="47" t="s">
        <v>35</v>
      </c>
      <c r="N6386" s="86" t="s">
        <v>3707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990"/>
        <v>4323860.0799999982</v>
      </c>
      <c r="X6386" s="6">
        <f t="shared" si="991"/>
        <v>11916139.920000002</v>
      </c>
      <c r="Y6386" s="13">
        <f t="shared" si="984"/>
        <v>0</v>
      </c>
      <c r="Z6386" s="66">
        <v>0</v>
      </c>
      <c r="AA6386" s="6">
        <v>0</v>
      </c>
      <c r="AB6386" s="4">
        <f t="shared" si="985"/>
        <v>11916139.920000002</v>
      </c>
      <c r="AC6386" s="6">
        <f t="shared" si="983"/>
        <v>714968.39520000003</v>
      </c>
      <c r="AD6386" s="6">
        <f t="shared" si="992"/>
        <v>11916139.920000002</v>
      </c>
      <c r="AE6386" s="14">
        <v>0.06</v>
      </c>
      <c r="AF6386" s="6">
        <f t="shared" si="987"/>
        <v>714968.39520000003</v>
      </c>
      <c r="AG6386" s="14">
        <v>0</v>
      </c>
      <c r="AH6386" s="64">
        <f t="shared" si="993"/>
        <v>11916139.920000002</v>
      </c>
      <c r="AJ6386" s="126" t="e">
        <v>#N/A</v>
      </c>
      <c r="AK6386" s="80">
        <f t="shared" si="986"/>
        <v>0</v>
      </c>
      <c r="AL6386" s="85"/>
      <c r="AM6386" s="85"/>
    </row>
    <row r="6387" spans="1:39" s="86" customFormat="1" ht="13.25" hidden="1" customHeight="1" x14ac:dyDescent="0.3">
      <c r="A6387" s="89" t="s">
        <v>3794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47" t="str">
        <f t="shared" si="989"/>
        <v>巨量引擎-一类</v>
      </c>
      <c r="L6387" s="47" t="s">
        <v>35</v>
      </c>
      <c r="N6387" s="86" t="s">
        <v>3707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990"/>
        <v>2196946.1199999992</v>
      </c>
      <c r="X6387" s="6">
        <f t="shared" si="991"/>
        <v>689374.8899999999</v>
      </c>
      <c r="Y6387" s="13">
        <f t="shared" si="984"/>
        <v>0</v>
      </c>
      <c r="Z6387" s="66">
        <v>0</v>
      </c>
      <c r="AA6387" s="6">
        <v>0</v>
      </c>
      <c r="AB6387" s="4">
        <f t="shared" si="985"/>
        <v>689374.8899999999</v>
      </c>
      <c r="AC6387" s="6">
        <f t="shared" si="983"/>
        <v>41362.493399999992</v>
      </c>
      <c r="AD6387" s="6">
        <f t="shared" si="992"/>
        <v>689374.8899999999</v>
      </c>
      <c r="AE6387" s="14">
        <v>0.06</v>
      </c>
      <c r="AF6387" s="6">
        <f t="shared" si="987"/>
        <v>41362.493399999992</v>
      </c>
      <c r="AG6387" s="14">
        <v>0</v>
      </c>
      <c r="AH6387" s="64">
        <f t="shared" si="993"/>
        <v>689374.8899999999</v>
      </c>
      <c r="AJ6387" s="126" t="e">
        <v>#N/A</v>
      </c>
      <c r="AK6387" s="80">
        <f t="shared" si="986"/>
        <v>0</v>
      </c>
      <c r="AL6387" s="85"/>
      <c r="AM6387" s="85"/>
    </row>
    <row r="6388" spans="1:39" s="86" customFormat="1" ht="13.25" hidden="1" customHeight="1" x14ac:dyDescent="0.3">
      <c r="A6388" s="89" t="s">
        <v>3794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47" t="str">
        <f t="shared" si="989"/>
        <v>巨量引擎-三类</v>
      </c>
      <c r="L6388" s="47" t="s">
        <v>35</v>
      </c>
      <c r="N6388" s="86" t="s">
        <v>3712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990"/>
        <v>20658.030000000144</v>
      </c>
      <c r="X6388" s="6">
        <f t="shared" si="991"/>
        <v>253541.36</v>
      </c>
      <c r="Y6388" s="13">
        <f t="shared" si="984"/>
        <v>0</v>
      </c>
      <c r="Z6388" s="66">
        <v>0</v>
      </c>
      <c r="AA6388" s="6">
        <v>0</v>
      </c>
      <c r="AB6388" s="4">
        <f t="shared" si="985"/>
        <v>253541.36</v>
      </c>
      <c r="AC6388" s="6">
        <f t="shared" si="983"/>
        <v>15212.481599999999</v>
      </c>
      <c r="AD6388" s="6">
        <f t="shared" si="992"/>
        <v>253541.36</v>
      </c>
      <c r="AE6388" s="14">
        <v>0.06</v>
      </c>
      <c r="AF6388" s="6">
        <f t="shared" si="987"/>
        <v>15212.481599999999</v>
      </c>
      <c r="AG6388" s="14">
        <v>0</v>
      </c>
      <c r="AH6388" s="64">
        <f t="shared" si="993"/>
        <v>253541.36</v>
      </c>
      <c r="AJ6388" s="126" t="e">
        <v>#N/A</v>
      </c>
      <c r="AK6388" s="80">
        <f t="shared" si="986"/>
        <v>0</v>
      </c>
      <c r="AL6388" s="85"/>
      <c r="AM6388" s="85"/>
    </row>
    <row r="6389" spans="1:39" s="86" customFormat="1" ht="13.25" hidden="1" customHeight="1" x14ac:dyDescent="0.3">
      <c r="A6389" s="89" t="s">
        <v>3794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47" t="str">
        <f t="shared" si="989"/>
        <v>巨量引擎-二类</v>
      </c>
      <c r="L6389" s="47" t="s">
        <v>35</v>
      </c>
      <c r="N6389" s="86" t="s">
        <v>3710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990"/>
        <v>6484362.7500000037</v>
      </c>
      <c r="X6389" s="6">
        <f t="shared" si="991"/>
        <v>3887395.0199999996</v>
      </c>
      <c r="Y6389" s="13">
        <f t="shared" si="984"/>
        <v>0</v>
      </c>
      <c r="Z6389" s="66">
        <v>0</v>
      </c>
      <c r="AA6389" s="6">
        <v>0</v>
      </c>
      <c r="AB6389" s="4">
        <f t="shared" si="985"/>
        <v>3887395.0199999996</v>
      </c>
      <c r="AC6389" s="6">
        <f t="shared" si="983"/>
        <v>233243.70119999995</v>
      </c>
      <c r="AD6389" s="6">
        <f t="shared" si="992"/>
        <v>3887395.0199999996</v>
      </c>
      <c r="AE6389" s="14">
        <v>0.06</v>
      </c>
      <c r="AF6389" s="6">
        <f t="shared" si="987"/>
        <v>233243.70119999995</v>
      </c>
      <c r="AG6389" s="14">
        <v>0</v>
      </c>
      <c r="AH6389" s="64">
        <f t="shared" si="993"/>
        <v>3887395.0199999996</v>
      </c>
      <c r="AJ6389" s="126" t="e">
        <v>#N/A</v>
      </c>
      <c r="AK6389" s="80">
        <f t="shared" si="986"/>
        <v>0</v>
      </c>
      <c r="AL6389" s="85"/>
      <c r="AM6389" s="85"/>
    </row>
    <row r="6390" spans="1:39" s="86" customFormat="1" ht="13.25" hidden="1" customHeight="1" x14ac:dyDescent="0.3">
      <c r="A6390" s="89" t="s">
        <v>3794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47" t="str">
        <f t="shared" si="989"/>
        <v>巨量引擎-二类</v>
      </c>
      <c r="L6390" s="47" t="s">
        <v>35</v>
      </c>
      <c r="N6390" s="86" t="s">
        <v>3710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990"/>
        <v>958634.3</v>
      </c>
      <c r="X6390" s="6">
        <f t="shared" si="991"/>
        <v>61365.700000000004</v>
      </c>
      <c r="Y6390" s="13">
        <f t="shared" si="984"/>
        <v>0</v>
      </c>
      <c r="Z6390" s="66">
        <v>0</v>
      </c>
      <c r="AA6390" s="6">
        <v>0</v>
      </c>
      <c r="AB6390" s="4">
        <f t="shared" si="985"/>
        <v>61365.700000000004</v>
      </c>
      <c r="AC6390" s="6">
        <f t="shared" si="983"/>
        <v>3375.1135000000004</v>
      </c>
      <c r="AD6390" s="6">
        <f t="shared" si="992"/>
        <v>61365.700000000004</v>
      </c>
      <c r="AE6390" s="14">
        <v>0.06</v>
      </c>
      <c r="AF6390" s="6">
        <f t="shared" si="987"/>
        <v>3681.942</v>
      </c>
      <c r="AG6390" s="14">
        <v>0</v>
      </c>
      <c r="AH6390" s="64">
        <f t="shared" si="993"/>
        <v>61365.700000000004</v>
      </c>
      <c r="AJ6390" s="126" t="e">
        <v>#N/A</v>
      </c>
      <c r="AK6390" s="80">
        <f t="shared" si="986"/>
        <v>0</v>
      </c>
      <c r="AL6390" s="85"/>
      <c r="AM6390" s="85"/>
    </row>
    <row r="6391" spans="1:39" s="86" customFormat="1" ht="13.25" hidden="1" customHeight="1" x14ac:dyDescent="0.3">
      <c r="A6391" s="89" t="s">
        <v>3794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989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990"/>
        <v>786815.98999999766</v>
      </c>
      <c r="X6391" s="6">
        <f t="shared" si="991"/>
        <v>1942211.4811320752</v>
      </c>
      <c r="Y6391" s="13">
        <f t="shared" si="984"/>
        <v>0</v>
      </c>
      <c r="Z6391" s="66">
        <v>0</v>
      </c>
      <c r="AA6391" s="6">
        <v>0</v>
      </c>
      <c r="AB6391" s="4">
        <f t="shared" si="985"/>
        <v>1942211.4811320752</v>
      </c>
      <c r="AC6391" s="6">
        <f t="shared" si="983"/>
        <v>116532.6888679245</v>
      </c>
      <c r="AD6391" s="6">
        <f t="shared" si="992"/>
        <v>2058744.1699999997</v>
      </c>
      <c r="AE6391" s="14">
        <v>0.06</v>
      </c>
      <c r="AF6391" s="6">
        <f t="shared" si="987"/>
        <v>123524.65019999997</v>
      </c>
      <c r="AG6391" s="14">
        <v>0</v>
      </c>
      <c r="AH6391" s="64">
        <f t="shared" si="993"/>
        <v>2058744.1699999997</v>
      </c>
      <c r="AJ6391" s="126" t="e">
        <v>#N/A</v>
      </c>
      <c r="AK6391" s="80">
        <f t="shared" si="986"/>
        <v>0</v>
      </c>
      <c r="AL6391" s="85"/>
      <c r="AM6391" s="85"/>
    </row>
    <row r="6392" spans="1:39" s="86" customFormat="1" ht="13.25" hidden="1" customHeight="1" x14ac:dyDescent="0.3">
      <c r="A6392" s="89" t="s">
        <v>3794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47" t="str">
        <f t="shared" si="989"/>
        <v>巨量引擎-二类</v>
      </c>
      <c r="L6392" s="47" t="s">
        <v>35</v>
      </c>
      <c r="N6392" s="86" t="s">
        <v>3710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990"/>
        <v>427663.26</v>
      </c>
      <c r="X6392" s="6">
        <f t="shared" si="991"/>
        <v>83568.140186915887</v>
      </c>
      <c r="Y6392" s="13">
        <f t="shared" si="984"/>
        <v>0</v>
      </c>
      <c r="Z6392" s="66">
        <v>0</v>
      </c>
      <c r="AA6392" s="6">
        <v>0</v>
      </c>
      <c r="AB6392" s="4">
        <f t="shared" si="985"/>
        <v>83568.140186915887</v>
      </c>
      <c r="AC6392" s="6">
        <f t="shared" si="983"/>
        <v>5849.7698130841163</v>
      </c>
      <c r="AD6392" s="6">
        <f t="shared" si="992"/>
        <v>89417.91</v>
      </c>
      <c r="AE6392" s="14">
        <v>0.06</v>
      </c>
      <c r="AF6392" s="6">
        <f t="shared" si="987"/>
        <v>5365.0745999999999</v>
      </c>
      <c r="AG6392" s="14">
        <v>0</v>
      </c>
      <c r="AH6392" s="64">
        <f t="shared" si="993"/>
        <v>89417.91</v>
      </c>
      <c r="AJ6392" s="126" t="e">
        <v>#N/A</v>
      </c>
      <c r="AK6392" s="80">
        <f t="shared" si="986"/>
        <v>0</v>
      </c>
      <c r="AL6392" s="85"/>
      <c r="AM6392" s="85"/>
    </row>
    <row r="6393" spans="1:39" s="86" customFormat="1" ht="13.25" hidden="1" customHeight="1" x14ac:dyDescent="0.3">
      <c r="A6393" s="89" t="s">
        <v>3794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47" t="str">
        <f t="shared" si="989"/>
        <v>巨量引擎-三类</v>
      </c>
      <c r="L6393" s="47" t="s">
        <v>35</v>
      </c>
      <c r="N6393" s="86" t="s">
        <v>3712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990"/>
        <v>-22298.560000000009</v>
      </c>
      <c r="X6393" s="6">
        <f t="shared" si="991"/>
        <v>1.2741</v>
      </c>
      <c r="Y6393" s="13">
        <f t="shared" si="984"/>
        <v>0</v>
      </c>
      <c r="Z6393" s="66">
        <v>0</v>
      </c>
      <c r="AA6393" s="6">
        <v>0</v>
      </c>
      <c r="AB6393" s="4">
        <f t="shared" si="985"/>
        <v>1.2741</v>
      </c>
      <c r="AC6393" s="6">
        <f t="shared" si="983"/>
        <v>9.5899999999999874E-2</v>
      </c>
      <c r="AD6393" s="6">
        <f t="shared" si="992"/>
        <v>1.3699999999999999</v>
      </c>
      <c r="AE6393" s="14">
        <v>0.06</v>
      </c>
      <c r="AF6393" s="6">
        <f t="shared" si="987"/>
        <v>8.2199999999999995E-2</v>
      </c>
      <c r="AG6393" s="14">
        <v>0</v>
      </c>
      <c r="AH6393" s="64">
        <f t="shared" si="993"/>
        <v>1.3699999999999999</v>
      </c>
      <c r="AJ6393" s="126" t="e">
        <v>#N/A</v>
      </c>
      <c r="AK6393" s="80">
        <f t="shared" si="986"/>
        <v>0</v>
      </c>
      <c r="AL6393" s="85"/>
      <c r="AM6393" s="85"/>
    </row>
    <row r="6394" spans="1:39" s="86" customFormat="1" ht="13.25" hidden="1" customHeight="1" x14ac:dyDescent="0.3">
      <c r="A6394" s="89" t="s">
        <v>3794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47" t="str">
        <f t="shared" si="989"/>
        <v>巨量引擎-二类</v>
      </c>
      <c r="L6394" s="47" t="s">
        <v>35</v>
      </c>
      <c r="N6394" s="86" t="s">
        <v>3710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990"/>
        <v>1294434.6600000006</v>
      </c>
      <c r="X6394" s="6">
        <f t="shared" si="991"/>
        <v>2345677.6</v>
      </c>
      <c r="Y6394" s="13">
        <f t="shared" si="984"/>
        <v>0</v>
      </c>
      <c r="Z6394" s="66">
        <v>0</v>
      </c>
      <c r="AA6394" s="6">
        <v>0</v>
      </c>
      <c r="AB6394" s="4">
        <f t="shared" si="985"/>
        <v>2345677.6</v>
      </c>
      <c r="AC6394" s="6">
        <f t="shared" si="983"/>
        <v>140740.65599999999</v>
      </c>
      <c r="AD6394" s="6">
        <f t="shared" si="992"/>
        <v>2345677.6</v>
      </c>
      <c r="AE6394" s="14">
        <v>0.06</v>
      </c>
      <c r="AF6394" s="6">
        <f t="shared" si="987"/>
        <v>140740.65599999999</v>
      </c>
      <c r="AG6394" s="14">
        <v>0</v>
      </c>
      <c r="AH6394" s="64">
        <f t="shared" si="993"/>
        <v>2345677.6</v>
      </c>
      <c r="AJ6394" s="126" t="e">
        <v>#N/A</v>
      </c>
      <c r="AK6394" s="80">
        <f t="shared" si="986"/>
        <v>0</v>
      </c>
      <c r="AL6394" s="85"/>
      <c r="AM6394" s="85"/>
    </row>
    <row r="6395" spans="1:39" s="86" customFormat="1" ht="13.25" hidden="1" customHeight="1" x14ac:dyDescent="0.3">
      <c r="A6395" s="89" t="s">
        <v>3794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47" t="str">
        <f t="shared" si="989"/>
        <v>巨量引擎-一类</v>
      </c>
      <c r="L6395" s="47" t="s">
        <v>35</v>
      </c>
      <c r="N6395" s="86" t="s">
        <v>3707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990"/>
        <v>1020000</v>
      </c>
      <c r="X6395" s="6">
        <f t="shared" si="991"/>
        <v>0</v>
      </c>
      <c r="Y6395" s="13">
        <f t="shared" si="984"/>
        <v>0</v>
      </c>
      <c r="Z6395" s="66">
        <v>0</v>
      </c>
      <c r="AA6395" s="6">
        <v>0</v>
      </c>
      <c r="AB6395" s="4">
        <f t="shared" si="985"/>
        <v>0</v>
      </c>
      <c r="AC6395" s="6">
        <f t="shared" si="983"/>
        <v>0</v>
      </c>
      <c r="AD6395" s="6">
        <f t="shared" si="992"/>
        <v>0</v>
      </c>
      <c r="AE6395" s="14">
        <v>0.06</v>
      </c>
      <c r="AF6395" s="6">
        <f t="shared" si="987"/>
        <v>0</v>
      </c>
      <c r="AG6395" s="14">
        <v>0</v>
      </c>
      <c r="AH6395" s="64">
        <f t="shared" si="993"/>
        <v>0</v>
      </c>
      <c r="AJ6395" s="126" t="e">
        <v>#N/A</v>
      </c>
      <c r="AK6395" s="80">
        <f t="shared" si="986"/>
        <v>0</v>
      </c>
      <c r="AL6395" s="85"/>
      <c r="AM6395" s="85"/>
    </row>
    <row r="6396" spans="1:39" s="86" customFormat="1" ht="13.25" hidden="1" customHeight="1" x14ac:dyDescent="0.3">
      <c r="A6396" s="89" t="s">
        <v>3792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47" t="str">
        <f t="shared" si="989"/>
        <v>巨量引擎-一类</v>
      </c>
      <c r="L6396" s="47" t="s">
        <v>35</v>
      </c>
      <c r="N6396" s="86" t="s">
        <v>3707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990"/>
        <v>7590608.8100000061</v>
      </c>
      <c r="X6396" s="6">
        <f t="shared" si="991"/>
        <v>18943357.27</v>
      </c>
      <c r="Y6396" s="13">
        <f t="shared" si="984"/>
        <v>0</v>
      </c>
      <c r="Z6396" s="66">
        <v>0</v>
      </c>
      <c r="AA6396" s="6">
        <v>0</v>
      </c>
      <c r="AB6396" s="4">
        <f t="shared" si="985"/>
        <v>18943357.27</v>
      </c>
      <c r="AC6396" s="6">
        <f t="shared" si="983"/>
        <v>1136601.4361999999</v>
      </c>
      <c r="AD6396" s="6">
        <f t="shared" si="992"/>
        <v>18943357.27</v>
      </c>
      <c r="AE6396" s="14">
        <v>0.06</v>
      </c>
      <c r="AF6396" s="6">
        <f t="shared" si="987"/>
        <v>1136601.4361999999</v>
      </c>
      <c r="AG6396" s="14">
        <v>0</v>
      </c>
      <c r="AH6396" s="64">
        <f t="shared" si="993"/>
        <v>18943357.27</v>
      </c>
      <c r="AJ6396" s="126" t="e">
        <v>#N/A</v>
      </c>
      <c r="AK6396" s="80">
        <f t="shared" si="986"/>
        <v>0</v>
      </c>
      <c r="AL6396" s="85"/>
      <c r="AM6396" s="85"/>
    </row>
    <row r="6397" spans="1:39" s="86" customFormat="1" ht="13.25" hidden="1" customHeight="1" x14ac:dyDescent="0.3">
      <c r="A6397" s="89" t="s">
        <v>3794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47" t="str">
        <f t="shared" si="989"/>
        <v>巨量引擎-一类</v>
      </c>
      <c r="L6397" s="47" t="s">
        <v>35</v>
      </c>
      <c r="N6397" s="86" t="s">
        <v>3707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990"/>
        <v>6095644.8599999994</v>
      </c>
      <c r="X6397" s="6">
        <f t="shared" si="991"/>
        <v>21140080.740000002</v>
      </c>
      <c r="Y6397" s="13">
        <f t="shared" si="984"/>
        <v>0</v>
      </c>
      <c r="Z6397" s="66">
        <v>0</v>
      </c>
      <c r="AA6397" s="6">
        <v>0</v>
      </c>
      <c r="AB6397" s="4">
        <f t="shared" si="985"/>
        <v>21140080.740000002</v>
      </c>
      <c r="AC6397" s="6">
        <f t="shared" si="983"/>
        <v>1268404.8444000001</v>
      </c>
      <c r="AD6397" s="6">
        <f t="shared" si="992"/>
        <v>21140080.740000002</v>
      </c>
      <c r="AE6397" s="14">
        <v>0.06</v>
      </c>
      <c r="AF6397" s="6">
        <f t="shared" si="987"/>
        <v>1268404.8444000001</v>
      </c>
      <c r="AG6397" s="14">
        <v>0</v>
      </c>
      <c r="AH6397" s="64">
        <f t="shared" si="993"/>
        <v>21140080.740000002</v>
      </c>
      <c r="AJ6397" s="126" t="e">
        <v>#N/A</v>
      </c>
      <c r="AK6397" s="80">
        <f t="shared" si="986"/>
        <v>0</v>
      </c>
      <c r="AL6397" s="85"/>
      <c r="AM6397" s="85"/>
    </row>
    <row r="6398" spans="1:39" s="86" customFormat="1" ht="13.25" hidden="1" customHeight="1" x14ac:dyDescent="0.3">
      <c r="A6398" s="89" t="s">
        <v>3794</v>
      </c>
      <c r="B6398" s="86" t="s">
        <v>35</v>
      </c>
      <c r="C6398" s="86" t="s">
        <v>59</v>
      </c>
      <c r="D6398" s="86" t="s">
        <v>60</v>
      </c>
      <c r="E6398" s="86" t="s">
        <v>3924</v>
      </c>
      <c r="F6398" s="86" t="s">
        <v>3924</v>
      </c>
      <c r="G6398" s="86" t="s">
        <v>3924</v>
      </c>
      <c r="H6398" s="143">
        <v>229</v>
      </c>
      <c r="I6398" s="86" t="s">
        <v>3356</v>
      </c>
      <c r="J6398" s="47" t="s">
        <v>3326</v>
      </c>
      <c r="K6398" s="47" t="str">
        <f t="shared" si="989"/>
        <v>巨量引擎-一类</v>
      </c>
      <c r="L6398" s="47" t="s">
        <v>35</v>
      </c>
      <c r="N6398" s="86" t="s">
        <v>3707</v>
      </c>
      <c r="O6398" s="47" t="s">
        <v>45</v>
      </c>
      <c r="P6398" s="47" t="s">
        <v>92</v>
      </c>
      <c r="Q6398" s="14">
        <v>0.94</v>
      </c>
      <c r="R6398" s="143"/>
      <c r="S6398" s="47" t="s">
        <v>3925</v>
      </c>
      <c r="T6398" s="6">
        <v>0</v>
      </c>
      <c r="U6398" s="6">
        <v>1124241.33</v>
      </c>
      <c r="V6398" s="6">
        <v>1124241.33</v>
      </c>
      <c r="W6398" s="6">
        <f t="shared" si="990"/>
        <v>0</v>
      </c>
      <c r="X6398" s="6">
        <v>0</v>
      </c>
      <c r="Y6398" s="13">
        <f t="shared" si="984"/>
        <v>0</v>
      </c>
      <c r="Z6398" s="66">
        <v>0</v>
      </c>
      <c r="AA6398" s="6">
        <v>0</v>
      </c>
      <c r="AB6398" s="4">
        <f t="shared" si="985"/>
        <v>0</v>
      </c>
      <c r="AC6398" s="6">
        <f t="shared" ref="AC6398:AC6461" si="994">IF(P6398="返现",X6398*Q6398,V6398-X6398)</f>
        <v>1124241.33</v>
      </c>
      <c r="AD6398" s="6">
        <f t="shared" si="992"/>
        <v>1124241.33</v>
      </c>
      <c r="AE6398" s="14">
        <v>0.06</v>
      </c>
      <c r="AF6398" s="6">
        <f t="shared" si="987"/>
        <v>67454.479800000001</v>
      </c>
      <c r="AG6398" s="14">
        <v>0</v>
      </c>
      <c r="AH6398" s="64">
        <f t="shared" si="993"/>
        <v>1124241.33</v>
      </c>
      <c r="AJ6398" s="126" t="e">
        <v>#N/A</v>
      </c>
      <c r="AK6398" s="80">
        <f t="shared" si="986"/>
        <v>0</v>
      </c>
      <c r="AL6398" s="85"/>
      <c r="AM6398" s="85"/>
    </row>
    <row r="6399" spans="1:39" s="86" customFormat="1" ht="13.25" hidden="1" customHeight="1" x14ac:dyDescent="0.3">
      <c r="A6399" s="89" t="s">
        <v>3792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47" t="str">
        <f t="shared" si="989"/>
        <v>巨量引擎-二类</v>
      </c>
      <c r="L6399" s="47" t="s">
        <v>35</v>
      </c>
      <c r="N6399" s="86" t="s">
        <v>3926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990"/>
        <v>4007630.1200000006</v>
      </c>
      <c r="X6399" s="6">
        <f t="shared" si="991"/>
        <v>682474.98095238092</v>
      </c>
      <c r="Y6399" s="13">
        <f t="shared" si="984"/>
        <v>0</v>
      </c>
      <c r="Z6399" s="66">
        <v>0</v>
      </c>
      <c r="AA6399" s="6">
        <v>0</v>
      </c>
      <c r="AB6399" s="4">
        <f t="shared" si="985"/>
        <v>682474.98095238092</v>
      </c>
      <c r="AC6399" s="6">
        <f t="shared" si="994"/>
        <v>34123.749047619058</v>
      </c>
      <c r="AD6399" s="6">
        <f t="shared" si="992"/>
        <v>716598.73</v>
      </c>
      <c r="AE6399" s="14">
        <v>0.06</v>
      </c>
      <c r="AF6399" s="6">
        <f t="shared" si="987"/>
        <v>42995.923799999997</v>
      </c>
      <c r="AG6399" s="14">
        <v>0</v>
      </c>
      <c r="AH6399" s="64">
        <f t="shared" si="993"/>
        <v>716598.73</v>
      </c>
      <c r="AJ6399" s="126" t="e">
        <v>#N/A</v>
      </c>
      <c r="AK6399" s="80">
        <f t="shared" si="986"/>
        <v>0</v>
      </c>
      <c r="AL6399" s="85"/>
      <c r="AM6399" s="85"/>
    </row>
    <row r="6400" spans="1:39" s="86" customFormat="1" ht="13.25" hidden="1" customHeight="1" x14ac:dyDescent="0.3">
      <c r="A6400" s="89" t="s">
        <v>3794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47" t="str">
        <f t="shared" si="989"/>
        <v>巨量引擎-三类</v>
      </c>
      <c r="L6400" s="47" t="s">
        <v>35</v>
      </c>
      <c r="N6400" s="86" t="s">
        <v>3712</v>
      </c>
      <c r="O6400" s="47" t="s">
        <v>45</v>
      </c>
      <c r="P6400" s="47" t="s">
        <v>41</v>
      </c>
      <c r="Q6400" s="14">
        <v>0</v>
      </c>
      <c r="R6400" s="143"/>
      <c r="S6400" s="47" t="s">
        <v>3927</v>
      </c>
      <c r="T6400" s="6">
        <v>4620.6899999999914</v>
      </c>
      <c r="U6400" s="6">
        <v>-4077.75</v>
      </c>
      <c r="V6400" s="6">
        <v>542.94000000000005</v>
      </c>
      <c r="W6400" s="6">
        <f t="shared" si="990"/>
        <v>-8.6401996668428183E-12</v>
      </c>
      <c r="X6400" s="6">
        <v>0</v>
      </c>
      <c r="Y6400" s="13">
        <f t="shared" si="984"/>
        <v>0</v>
      </c>
      <c r="Z6400" s="66">
        <v>0</v>
      </c>
      <c r="AA6400" s="6">
        <v>0</v>
      </c>
      <c r="AB6400" s="4">
        <f t="shared" si="985"/>
        <v>0</v>
      </c>
      <c r="AC6400" s="6">
        <f t="shared" si="994"/>
        <v>542.94000000000005</v>
      </c>
      <c r="AD6400" s="6">
        <f t="shared" si="992"/>
        <v>542.94000000000005</v>
      </c>
      <c r="AE6400" s="14">
        <v>0.06</v>
      </c>
      <c r="AF6400" s="6">
        <f t="shared" si="987"/>
        <v>32.5764</v>
      </c>
      <c r="AG6400" s="14">
        <v>0</v>
      </c>
      <c r="AH6400" s="64">
        <f t="shared" si="993"/>
        <v>542.94000000000005</v>
      </c>
      <c r="AJ6400" s="126" t="e">
        <v>#N/A</v>
      </c>
      <c r="AK6400" s="80">
        <f t="shared" si="986"/>
        <v>0</v>
      </c>
      <c r="AL6400" s="85"/>
      <c r="AM6400" s="85"/>
    </row>
    <row r="6401" spans="1:39" s="86" customFormat="1" ht="13.25" hidden="1" customHeight="1" x14ac:dyDescent="0.3">
      <c r="A6401" s="89" t="s">
        <v>3794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47" t="str">
        <f t="shared" si="989"/>
        <v>巨量引擎-三类</v>
      </c>
      <c r="L6401" s="47" t="s">
        <v>35</v>
      </c>
      <c r="N6401" s="86" t="s">
        <v>3712</v>
      </c>
      <c r="O6401" s="47" t="s">
        <v>45</v>
      </c>
      <c r="P6401" s="47" t="s">
        <v>41</v>
      </c>
      <c r="Q6401" s="14">
        <v>0</v>
      </c>
      <c r="R6401" s="143"/>
      <c r="S6401" s="47" t="s">
        <v>3928</v>
      </c>
      <c r="T6401" s="6">
        <v>24437.200000000004</v>
      </c>
      <c r="U6401" s="6">
        <v>40000</v>
      </c>
      <c r="V6401" s="6">
        <v>58661.719999999987</v>
      </c>
      <c r="W6401" s="6">
        <f t="shared" si="990"/>
        <v>5775.4800000000178</v>
      </c>
      <c r="X6401" s="6">
        <v>240000</v>
      </c>
      <c r="Y6401" s="13">
        <f t="shared" si="984"/>
        <v>181338.28000000003</v>
      </c>
      <c r="Z6401" s="66">
        <v>0</v>
      </c>
      <c r="AA6401" s="6">
        <v>0</v>
      </c>
      <c r="AB6401" s="4">
        <f t="shared" si="985"/>
        <v>240000</v>
      </c>
      <c r="AC6401" s="6">
        <f t="shared" si="994"/>
        <v>-181338.28000000003</v>
      </c>
      <c r="AD6401" s="6">
        <f t="shared" si="992"/>
        <v>58661.719999999987</v>
      </c>
      <c r="AE6401" s="14">
        <v>0.06</v>
      </c>
      <c r="AF6401" s="6">
        <f t="shared" si="987"/>
        <v>3519.703199999999</v>
      </c>
      <c r="AG6401" s="14">
        <v>0</v>
      </c>
      <c r="AH6401" s="64">
        <f t="shared" si="993"/>
        <v>58661.719999999987</v>
      </c>
      <c r="AJ6401" s="126" t="e">
        <v>#N/A</v>
      </c>
      <c r="AK6401" s="80">
        <f t="shared" si="986"/>
        <v>0</v>
      </c>
      <c r="AL6401" s="85"/>
      <c r="AM6401" s="85"/>
    </row>
    <row r="6402" spans="1:39" s="86" customFormat="1" ht="13.25" hidden="1" customHeight="1" x14ac:dyDescent="0.3">
      <c r="A6402" s="89" t="s">
        <v>3794</v>
      </c>
      <c r="B6402" s="86" t="s">
        <v>35</v>
      </c>
      <c r="C6402" s="86" t="s">
        <v>96</v>
      </c>
      <c r="D6402" s="86" t="s">
        <v>97</v>
      </c>
      <c r="E6402" s="86" t="s">
        <v>3929</v>
      </c>
      <c r="F6402" s="86" t="s">
        <v>3929</v>
      </c>
      <c r="G6402" s="86" t="s">
        <v>3929</v>
      </c>
      <c r="H6402" s="144">
        <v>229</v>
      </c>
      <c r="I6402" s="86" t="s">
        <v>3356</v>
      </c>
      <c r="J6402" s="47" t="s">
        <v>3326</v>
      </c>
      <c r="K6402" s="47" t="str">
        <f t="shared" si="989"/>
        <v>巨量引擎-三类</v>
      </c>
      <c r="L6402" s="47" t="s">
        <v>35</v>
      </c>
      <c r="N6402" s="86" t="s">
        <v>3712</v>
      </c>
      <c r="O6402" s="47" t="s">
        <v>45</v>
      </c>
      <c r="P6402" s="47" t="s">
        <v>41</v>
      </c>
      <c r="Q6402" s="14">
        <v>0</v>
      </c>
      <c r="R6402" s="143"/>
      <c r="S6402" s="47" t="s">
        <v>3927</v>
      </c>
      <c r="T6402" s="6">
        <v>0</v>
      </c>
      <c r="U6402" s="6">
        <v>20000</v>
      </c>
      <c r="V6402" s="6">
        <v>4586.83</v>
      </c>
      <c r="W6402" s="6">
        <f t="shared" si="990"/>
        <v>15413.17</v>
      </c>
      <c r="X6402" s="6">
        <v>165000</v>
      </c>
      <c r="Y6402" s="13">
        <f t="shared" si="984"/>
        <v>160413.17000000001</v>
      </c>
      <c r="Z6402" s="66">
        <v>0</v>
      </c>
      <c r="AA6402" s="6">
        <v>0</v>
      </c>
      <c r="AB6402" s="4">
        <f t="shared" si="985"/>
        <v>165000</v>
      </c>
      <c r="AC6402" s="6">
        <f t="shared" si="994"/>
        <v>-160413.17000000001</v>
      </c>
      <c r="AD6402" s="6">
        <f t="shared" si="992"/>
        <v>4586.83</v>
      </c>
      <c r="AE6402" s="14">
        <v>0.06</v>
      </c>
      <c r="AF6402" s="6">
        <f t="shared" si="987"/>
        <v>275.20979999999997</v>
      </c>
      <c r="AG6402" s="14">
        <v>0</v>
      </c>
      <c r="AH6402" s="64">
        <f t="shared" si="993"/>
        <v>4586.83</v>
      </c>
      <c r="AJ6402" s="126" t="e">
        <v>#N/A</v>
      </c>
      <c r="AK6402" s="80">
        <f t="shared" si="986"/>
        <v>0</v>
      </c>
      <c r="AL6402" s="85"/>
      <c r="AM6402" s="85"/>
    </row>
    <row r="6403" spans="1:39" s="86" customFormat="1" ht="13.25" hidden="1" customHeight="1" x14ac:dyDescent="0.3">
      <c r="A6403" s="89" t="s">
        <v>3794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47" t="str">
        <f t="shared" si="989"/>
        <v>巨量引擎-一类</v>
      </c>
      <c r="L6403" s="47" t="s">
        <v>35</v>
      </c>
      <c r="N6403" s="86" t="s">
        <v>3707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990"/>
        <v>158334.14999999997</v>
      </c>
      <c r="X6403" s="6">
        <f t="shared" si="991"/>
        <v>175394.13</v>
      </c>
      <c r="Y6403" s="13">
        <f t="shared" ref="Y6403:Y6466" si="995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996">X6403+AA6403</f>
        <v>175394.13</v>
      </c>
      <c r="AC6403" s="6">
        <f t="shared" si="994"/>
        <v>0</v>
      </c>
      <c r="AD6403" s="6">
        <f t="shared" si="992"/>
        <v>175394.13</v>
      </c>
      <c r="AE6403" s="14">
        <v>0.06</v>
      </c>
      <c r="AF6403" s="6">
        <f t="shared" si="987"/>
        <v>10523.647800000001</v>
      </c>
      <c r="AG6403" s="14">
        <v>0</v>
      </c>
      <c r="AH6403" s="64">
        <f t="shared" si="993"/>
        <v>175394.13</v>
      </c>
      <c r="AJ6403" s="126" t="e">
        <v>#N/A</v>
      </c>
      <c r="AK6403" s="80">
        <f t="shared" ref="AK6403:AK6466" si="997">X6403+AA6403-AB6403</f>
        <v>0</v>
      </c>
      <c r="AL6403" s="85"/>
      <c r="AM6403" s="85"/>
    </row>
    <row r="6404" spans="1:39" s="86" customFormat="1" ht="13.25" hidden="1" customHeight="1" x14ac:dyDescent="0.3">
      <c r="A6404" s="89" t="s">
        <v>3792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47" t="str">
        <f t="shared" si="989"/>
        <v>巨量引擎-三类</v>
      </c>
      <c r="L6404" s="47" t="s">
        <v>35</v>
      </c>
      <c r="N6404" s="86" t="s">
        <v>3712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990"/>
        <v>322166.57000000007</v>
      </c>
      <c r="X6404" s="6">
        <f t="shared" si="991"/>
        <v>219496.5</v>
      </c>
      <c r="Y6404" s="13">
        <f t="shared" si="995"/>
        <v>0</v>
      </c>
      <c r="Z6404" s="66">
        <v>0</v>
      </c>
      <c r="AA6404" s="6">
        <v>0</v>
      </c>
      <c r="AB6404" s="4">
        <f t="shared" si="996"/>
        <v>219496.5</v>
      </c>
      <c r="AC6404" s="6">
        <f t="shared" si="994"/>
        <v>0</v>
      </c>
      <c r="AD6404" s="6">
        <f t="shared" si="992"/>
        <v>219496.5</v>
      </c>
      <c r="AE6404" s="14">
        <v>0.06</v>
      </c>
      <c r="AF6404" s="6">
        <f t="shared" si="987"/>
        <v>13169.789999999999</v>
      </c>
      <c r="AG6404" s="14">
        <v>0</v>
      </c>
      <c r="AH6404" s="64">
        <f t="shared" si="993"/>
        <v>219496.5</v>
      </c>
      <c r="AJ6404" s="126" t="e">
        <v>#N/A</v>
      </c>
      <c r="AK6404" s="80">
        <f t="shared" si="997"/>
        <v>0</v>
      </c>
      <c r="AL6404" s="85"/>
      <c r="AM6404" s="85"/>
    </row>
    <row r="6405" spans="1:39" s="86" customFormat="1" ht="13.25" hidden="1" customHeight="1" x14ac:dyDescent="0.3">
      <c r="A6405" s="89" t="s">
        <v>3794</v>
      </c>
      <c r="B6405" s="86" t="s">
        <v>35</v>
      </c>
      <c r="C6405" s="86" t="s">
        <v>36</v>
      </c>
      <c r="D6405" s="86" t="s">
        <v>185</v>
      </c>
      <c r="E6405" s="86" t="s">
        <v>3930</v>
      </c>
      <c r="F6405" s="86" t="s">
        <v>3931</v>
      </c>
      <c r="G6405" s="86" t="s">
        <v>3930</v>
      </c>
      <c r="H6405" s="144">
        <v>229</v>
      </c>
      <c r="I6405" s="86" t="s">
        <v>3356</v>
      </c>
      <c r="J6405" s="47" t="s">
        <v>3326</v>
      </c>
      <c r="K6405" s="47" t="str">
        <f t="shared" si="989"/>
        <v>巨量引擎-一类平台/电商</v>
      </c>
      <c r="L6405" s="47" t="s">
        <v>35</v>
      </c>
      <c r="N6405" s="86" t="s">
        <v>3718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990"/>
        <v>399932.43</v>
      </c>
      <c r="X6405" s="6">
        <f t="shared" si="991"/>
        <v>64.97115384615384</v>
      </c>
      <c r="Y6405" s="13">
        <f t="shared" si="995"/>
        <v>0</v>
      </c>
      <c r="Z6405" s="66">
        <v>0</v>
      </c>
      <c r="AA6405" s="6">
        <v>0</v>
      </c>
      <c r="AB6405" s="4">
        <f t="shared" si="996"/>
        <v>64.97115384615384</v>
      </c>
      <c r="AC6405" s="6">
        <f t="shared" si="994"/>
        <v>2.5988461538461536</v>
      </c>
      <c r="AD6405" s="6">
        <f t="shared" si="992"/>
        <v>67.569999999999993</v>
      </c>
      <c r="AE6405" s="14">
        <v>0.06</v>
      </c>
      <c r="AF6405" s="6">
        <f t="shared" si="987"/>
        <v>4.0541999999999998</v>
      </c>
      <c r="AG6405" s="14">
        <v>0</v>
      </c>
      <c r="AH6405" s="64">
        <f t="shared" si="993"/>
        <v>67.569999999999993</v>
      </c>
      <c r="AJ6405" s="126" t="e">
        <v>#N/A</v>
      </c>
      <c r="AK6405" s="80">
        <f t="shared" si="997"/>
        <v>0</v>
      </c>
      <c r="AL6405" s="85"/>
      <c r="AM6405" s="85"/>
    </row>
    <row r="6406" spans="1:39" s="86" customFormat="1" ht="13.25" hidden="1" customHeight="1" x14ac:dyDescent="0.3">
      <c r="A6406" s="89" t="s">
        <v>3794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47" t="str">
        <f t="shared" si="989"/>
        <v>巨量引擎-一类</v>
      </c>
      <c r="L6406" s="47" t="s">
        <v>35</v>
      </c>
      <c r="N6406" s="86" t="s">
        <v>3707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990"/>
        <v>2326738.6999999974</v>
      </c>
      <c r="X6406" s="6">
        <f t="shared" si="991"/>
        <v>6548372.9399999995</v>
      </c>
      <c r="Y6406" s="13">
        <f t="shared" si="995"/>
        <v>0</v>
      </c>
      <c r="Z6406" s="66">
        <v>0</v>
      </c>
      <c r="AA6406" s="6">
        <v>0</v>
      </c>
      <c r="AB6406" s="4">
        <f t="shared" si="996"/>
        <v>6548372.9399999995</v>
      </c>
      <c r="AC6406" s="6">
        <f t="shared" si="994"/>
        <v>0</v>
      </c>
      <c r="AD6406" s="6">
        <f t="shared" si="992"/>
        <v>6548372.9399999995</v>
      </c>
      <c r="AE6406" s="14">
        <v>0.06</v>
      </c>
      <c r="AF6406" s="6">
        <f t="shared" si="987"/>
        <v>392902.37639999995</v>
      </c>
      <c r="AG6406" s="14">
        <v>0</v>
      </c>
      <c r="AH6406" s="64">
        <f t="shared" si="993"/>
        <v>6548372.9399999995</v>
      </c>
      <c r="AJ6406" s="126" t="e">
        <v>#N/A</v>
      </c>
      <c r="AK6406" s="80">
        <f t="shared" si="997"/>
        <v>0</v>
      </c>
      <c r="AL6406" s="85"/>
      <c r="AM6406" s="85"/>
    </row>
    <row r="6407" spans="1:39" s="86" customFormat="1" ht="13.25" hidden="1" customHeight="1" x14ac:dyDescent="0.3">
      <c r="A6407" s="89" t="s">
        <v>3794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47" t="str">
        <f t="shared" si="989"/>
        <v>巨量引擎-三类</v>
      </c>
      <c r="L6407" s="47" t="s">
        <v>35</v>
      </c>
      <c r="N6407" s="86" t="s">
        <v>3712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990"/>
        <v>56012.149999999994</v>
      </c>
      <c r="X6407" s="6">
        <f t="shared" si="991"/>
        <v>2453.33</v>
      </c>
      <c r="Y6407" s="13">
        <f t="shared" si="995"/>
        <v>0</v>
      </c>
      <c r="Z6407" s="66">
        <v>0</v>
      </c>
      <c r="AA6407" s="6">
        <v>0</v>
      </c>
      <c r="AB6407" s="4">
        <f t="shared" si="996"/>
        <v>2453.33</v>
      </c>
      <c r="AC6407" s="6">
        <f t="shared" si="994"/>
        <v>0</v>
      </c>
      <c r="AD6407" s="6">
        <f t="shared" si="992"/>
        <v>2453.33</v>
      </c>
      <c r="AE6407" s="14">
        <v>0.06</v>
      </c>
      <c r="AF6407" s="6">
        <f t="shared" si="987"/>
        <v>147.19979999999998</v>
      </c>
      <c r="AG6407" s="14">
        <v>0</v>
      </c>
      <c r="AH6407" s="64">
        <f t="shared" si="993"/>
        <v>2453.33</v>
      </c>
      <c r="AJ6407" s="126" t="e">
        <v>#N/A</v>
      </c>
      <c r="AK6407" s="80">
        <f t="shared" si="997"/>
        <v>0</v>
      </c>
      <c r="AL6407" s="85"/>
      <c r="AM6407" s="85"/>
    </row>
    <row r="6408" spans="1:39" s="86" customFormat="1" ht="13.25" hidden="1" customHeight="1" x14ac:dyDescent="0.3">
      <c r="A6408" s="89" t="s">
        <v>3794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47" t="str">
        <f t="shared" si="989"/>
        <v>巨量引擎-三类</v>
      </c>
      <c r="L6408" s="47" t="s">
        <v>35</v>
      </c>
      <c r="N6408" s="86" t="s">
        <v>3712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990"/>
        <v>3732442.5699999984</v>
      </c>
      <c r="X6408" s="6">
        <f t="shared" si="991"/>
        <v>13629098.039603965</v>
      </c>
      <c r="Y6408" s="13">
        <f t="shared" si="995"/>
        <v>0</v>
      </c>
      <c r="Z6408" s="66">
        <v>0</v>
      </c>
      <c r="AA6408" s="6">
        <v>0</v>
      </c>
      <c r="AB6408" s="4">
        <f t="shared" si="996"/>
        <v>13629098.039603965</v>
      </c>
      <c r="AC6408" s="6">
        <f t="shared" si="994"/>
        <v>136290.98039603978</v>
      </c>
      <c r="AD6408" s="6">
        <f t="shared" si="992"/>
        <v>13765389.020000005</v>
      </c>
      <c r="AE6408" s="14">
        <v>0.06</v>
      </c>
      <c r="AF6408" s="6">
        <f t="shared" si="987"/>
        <v>825923.34120000026</v>
      </c>
      <c r="AG6408" s="14">
        <v>0</v>
      </c>
      <c r="AH6408" s="64">
        <f t="shared" si="993"/>
        <v>13765389.020000005</v>
      </c>
      <c r="AJ6408" s="126" t="e">
        <v>#N/A</v>
      </c>
      <c r="AK6408" s="80">
        <f t="shared" si="997"/>
        <v>0</v>
      </c>
      <c r="AL6408" s="85"/>
      <c r="AM6408" s="85"/>
    </row>
    <row r="6409" spans="1:39" s="86" customFormat="1" ht="13.25" hidden="1" customHeight="1" x14ac:dyDescent="0.3">
      <c r="A6409" s="89" t="s">
        <v>3794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989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990"/>
        <v>19937.290000000037</v>
      </c>
      <c r="X6409" s="6">
        <f t="shared" si="991"/>
        <v>123487.05607476631</v>
      </c>
      <c r="Y6409" s="13">
        <f t="shared" si="995"/>
        <v>0</v>
      </c>
      <c r="Z6409" s="66">
        <v>0</v>
      </c>
      <c r="AA6409" s="6">
        <v>0</v>
      </c>
      <c r="AB6409" s="4">
        <f t="shared" si="996"/>
        <v>123487.05607476631</v>
      </c>
      <c r="AC6409" s="6">
        <f t="shared" si="994"/>
        <v>8644.0939252336539</v>
      </c>
      <c r="AD6409" s="6">
        <f t="shared" si="992"/>
        <v>132131.14999999997</v>
      </c>
      <c r="AE6409" s="14">
        <v>0.06</v>
      </c>
      <c r="AF6409" s="6">
        <f t="shared" si="987"/>
        <v>7927.8689999999979</v>
      </c>
      <c r="AG6409" s="14">
        <v>0</v>
      </c>
      <c r="AH6409" s="64">
        <f t="shared" si="993"/>
        <v>132131.14999999997</v>
      </c>
      <c r="AJ6409" s="126" t="e">
        <v>#N/A</v>
      </c>
      <c r="AK6409" s="80">
        <f t="shared" si="997"/>
        <v>0</v>
      </c>
      <c r="AL6409" s="85"/>
      <c r="AM6409" s="85"/>
    </row>
    <row r="6410" spans="1:39" s="86" customFormat="1" ht="13.25" hidden="1" customHeight="1" x14ac:dyDescent="0.3">
      <c r="A6410" s="89" t="s">
        <v>3794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47" t="str">
        <f t="shared" si="989"/>
        <v>巨量引擎-三类</v>
      </c>
      <c r="L6410" s="47" t="s">
        <v>35</v>
      </c>
      <c r="N6410" s="86" t="s">
        <v>3712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990"/>
        <v>206816.16000000003</v>
      </c>
      <c r="X6410" s="6">
        <f t="shared" si="991"/>
        <v>22122.037735849055</v>
      </c>
      <c r="Y6410" s="13">
        <f t="shared" si="995"/>
        <v>0</v>
      </c>
      <c r="Z6410" s="66">
        <v>0</v>
      </c>
      <c r="AA6410" s="6">
        <v>0</v>
      </c>
      <c r="AB6410" s="4">
        <f t="shared" si="996"/>
        <v>22122.037735849055</v>
      </c>
      <c r="AC6410" s="6">
        <f t="shared" si="994"/>
        <v>1327.3222641509456</v>
      </c>
      <c r="AD6410" s="6">
        <f t="shared" si="992"/>
        <v>23449.360000000001</v>
      </c>
      <c r="AE6410" s="14">
        <v>0.06</v>
      </c>
      <c r="AF6410" s="6">
        <f t="shared" si="987"/>
        <v>1406.9616000000001</v>
      </c>
      <c r="AG6410" s="14">
        <v>0</v>
      </c>
      <c r="AH6410" s="64">
        <f t="shared" si="993"/>
        <v>23449.360000000001</v>
      </c>
      <c r="AJ6410" s="126" t="e">
        <v>#N/A</v>
      </c>
      <c r="AK6410" s="80">
        <f t="shared" si="997"/>
        <v>0</v>
      </c>
      <c r="AL6410" s="85"/>
      <c r="AM6410" s="85"/>
    </row>
    <row r="6411" spans="1:39" s="86" customFormat="1" ht="13.25" hidden="1" customHeight="1" x14ac:dyDescent="0.3">
      <c r="A6411" s="89" t="s">
        <v>3794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989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990"/>
        <v>4.6566128730773926E-10</v>
      </c>
      <c r="X6411" s="6">
        <f t="shared" si="991"/>
        <v>0</v>
      </c>
      <c r="Y6411" s="13">
        <f t="shared" si="995"/>
        <v>0</v>
      </c>
      <c r="Z6411" s="66">
        <v>0</v>
      </c>
      <c r="AA6411" s="6">
        <v>0</v>
      </c>
      <c r="AB6411" s="4">
        <f t="shared" si="996"/>
        <v>0</v>
      </c>
      <c r="AC6411" s="6">
        <f t="shared" si="994"/>
        <v>0</v>
      </c>
      <c r="AD6411" s="6">
        <f t="shared" si="992"/>
        <v>0</v>
      </c>
      <c r="AE6411" s="14">
        <v>0.06</v>
      </c>
      <c r="AF6411" s="6">
        <f t="shared" si="987"/>
        <v>0</v>
      </c>
      <c r="AG6411" s="14">
        <v>0</v>
      </c>
      <c r="AH6411" s="64">
        <f t="shared" si="993"/>
        <v>0</v>
      </c>
      <c r="AJ6411" s="126" t="e">
        <v>#N/A</v>
      </c>
      <c r="AK6411" s="80">
        <f t="shared" si="997"/>
        <v>0</v>
      </c>
      <c r="AL6411" s="85"/>
      <c r="AM6411" s="85"/>
    </row>
    <row r="6412" spans="1:39" s="86" customFormat="1" ht="13.25" hidden="1" customHeight="1" x14ac:dyDescent="0.3">
      <c r="A6412" s="89" t="s">
        <v>3792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47" t="str">
        <f t="shared" si="989"/>
        <v>巨量引擎-一类</v>
      </c>
      <c r="L6412" s="47" t="s">
        <v>35</v>
      </c>
      <c r="N6412" s="86" t="s">
        <v>3707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990"/>
        <v>5254461.1900000013</v>
      </c>
      <c r="X6412" s="6">
        <f t="shared" si="991"/>
        <v>15651647.714285716</v>
      </c>
      <c r="Y6412" s="13">
        <f t="shared" si="995"/>
        <v>0</v>
      </c>
      <c r="Z6412" s="66">
        <v>0</v>
      </c>
      <c r="AA6412" s="6">
        <v>0</v>
      </c>
      <c r="AB6412" s="4">
        <f t="shared" si="996"/>
        <v>15651647.714285716</v>
      </c>
      <c r="AC6412" s="6">
        <f t="shared" si="994"/>
        <v>234774.71571428329</v>
      </c>
      <c r="AD6412" s="6">
        <f t="shared" si="992"/>
        <v>15886422.43</v>
      </c>
      <c r="AE6412" s="14">
        <v>0.06</v>
      </c>
      <c r="AF6412" s="6">
        <f t="shared" si="987"/>
        <v>953185.34579999989</v>
      </c>
      <c r="AG6412" s="14">
        <v>0</v>
      </c>
      <c r="AH6412" s="64">
        <f t="shared" si="993"/>
        <v>15886422.43</v>
      </c>
      <c r="AJ6412" s="126" t="e">
        <v>#N/A</v>
      </c>
      <c r="AK6412" s="80">
        <f t="shared" si="997"/>
        <v>0</v>
      </c>
      <c r="AL6412" s="85"/>
      <c r="AM6412" s="85"/>
    </row>
    <row r="6413" spans="1:39" s="86" customFormat="1" ht="13.25" hidden="1" customHeight="1" x14ac:dyDescent="0.3">
      <c r="A6413" s="89" t="s">
        <v>3794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47" t="str">
        <f t="shared" si="989"/>
        <v>巨量引擎-二类</v>
      </c>
      <c r="L6413" s="47" t="s">
        <v>35</v>
      </c>
      <c r="N6413" s="86" t="s">
        <v>3710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990"/>
        <v>2091.2400000000926</v>
      </c>
      <c r="X6413" s="6">
        <f t="shared" si="991"/>
        <v>62672.707547169826</v>
      </c>
      <c r="Y6413" s="13">
        <f t="shared" si="995"/>
        <v>0</v>
      </c>
      <c r="Z6413" s="66">
        <v>0</v>
      </c>
      <c r="AA6413" s="6">
        <v>0</v>
      </c>
      <c r="AB6413" s="4">
        <f t="shared" si="996"/>
        <v>62672.707547169826</v>
      </c>
      <c r="AC6413" s="6">
        <f t="shared" si="994"/>
        <v>3760.3624528301953</v>
      </c>
      <c r="AD6413" s="6">
        <f t="shared" si="992"/>
        <v>66433.070000000022</v>
      </c>
      <c r="AE6413" s="14">
        <v>0.06</v>
      </c>
      <c r="AF6413" s="6">
        <f t="shared" si="987"/>
        <v>3985.9842000000012</v>
      </c>
      <c r="AG6413" s="14">
        <v>0</v>
      </c>
      <c r="AH6413" s="64">
        <f t="shared" si="993"/>
        <v>66433.070000000022</v>
      </c>
      <c r="AJ6413" s="126" t="e">
        <v>#N/A</v>
      </c>
      <c r="AK6413" s="80">
        <f t="shared" si="997"/>
        <v>0</v>
      </c>
      <c r="AL6413" s="85"/>
      <c r="AM6413" s="85"/>
    </row>
    <row r="6414" spans="1:39" s="86" customFormat="1" ht="13.25" hidden="1" customHeight="1" x14ac:dyDescent="0.3">
      <c r="A6414" s="89" t="s">
        <v>3794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47" t="str">
        <f t="shared" si="989"/>
        <v>巨量引擎-三类</v>
      </c>
      <c r="L6414" s="47" t="s">
        <v>35</v>
      </c>
      <c r="N6414" s="86" t="s">
        <v>3712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990"/>
        <v>134214.69999999992</v>
      </c>
      <c r="X6414" s="6">
        <f t="shared" si="991"/>
        <v>229983.2999999999</v>
      </c>
      <c r="Y6414" s="13">
        <f t="shared" si="995"/>
        <v>0</v>
      </c>
      <c r="Z6414" s="66">
        <v>0</v>
      </c>
      <c r="AA6414" s="6">
        <v>0</v>
      </c>
      <c r="AB6414" s="4">
        <f t="shared" si="996"/>
        <v>229983.2999999999</v>
      </c>
      <c r="AC6414" s="6">
        <f t="shared" si="994"/>
        <v>0</v>
      </c>
      <c r="AD6414" s="6">
        <f t="shared" si="992"/>
        <v>229983.2999999999</v>
      </c>
      <c r="AE6414" s="14">
        <v>0.06</v>
      </c>
      <c r="AF6414" s="6">
        <f t="shared" si="987"/>
        <v>13798.997999999994</v>
      </c>
      <c r="AG6414" s="14">
        <v>0</v>
      </c>
      <c r="AH6414" s="64">
        <f t="shared" si="993"/>
        <v>229983.2999999999</v>
      </c>
      <c r="AJ6414" s="126" t="e">
        <v>#N/A</v>
      </c>
      <c r="AK6414" s="80">
        <f t="shared" si="997"/>
        <v>0</v>
      </c>
      <c r="AL6414" s="85"/>
      <c r="AM6414" s="85"/>
    </row>
    <row r="6415" spans="1:39" s="86" customFormat="1" ht="13.25" hidden="1" customHeight="1" x14ac:dyDescent="0.3">
      <c r="A6415" s="89" t="s">
        <v>3794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47" t="str">
        <f t="shared" si="989"/>
        <v>巨量引擎-一类</v>
      </c>
      <c r="L6415" s="47" t="s">
        <v>35</v>
      </c>
      <c r="N6415" s="86" t="s">
        <v>3707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991"/>
        <v>-4958568.1844660211</v>
      </c>
      <c r="Y6415" s="13">
        <f t="shared" si="995"/>
        <v>148757.04553398117</v>
      </c>
      <c r="Z6415" s="66">
        <v>0</v>
      </c>
      <c r="AA6415" s="6">
        <v>0</v>
      </c>
      <c r="AB6415" s="4">
        <f t="shared" si="996"/>
        <v>-4958568.1844660211</v>
      </c>
      <c r="AC6415" s="6">
        <f t="shared" si="994"/>
        <v>-148757.04553398117</v>
      </c>
      <c r="AD6415" s="6">
        <f t="shared" si="992"/>
        <v>-5107325.2300000023</v>
      </c>
      <c r="AE6415" s="14">
        <v>0.06</v>
      </c>
      <c r="AF6415" s="6">
        <f t="shared" si="987"/>
        <v>-306439.51380000013</v>
      </c>
      <c r="AG6415" s="14">
        <v>0</v>
      </c>
      <c r="AH6415" s="64">
        <f t="shared" si="993"/>
        <v>-5107325.2300000023</v>
      </c>
      <c r="AJ6415" s="126" t="e">
        <v>#N/A</v>
      </c>
      <c r="AK6415" s="80">
        <f t="shared" si="997"/>
        <v>0</v>
      </c>
      <c r="AL6415" s="85"/>
      <c r="AM6415" s="85"/>
    </row>
    <row r="6416" spans="1:39" s="86" customFormat="1" ht="13.25" hidden="1" customHeight="1" x14ac:dyDescent="0.3">
      <c r="A6416" s="89" t="s">
        <v>3792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47" t="str">
        <f t="shared" si="989"/>
        <v>巨量引擎-一类</v>
      </c>
      <c r="L6416" s="47" t="s">
        <v>35</v>
      </c>
      <c r="N6416" s="86" t="s">
        <v>3707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990"/>
        <v>1153522.4100000001</v>
      </c>
      <c r="X6416" s="6">
        <f t="shared" si="991"/>
        <v>607032.30000000005</v>
      </c>
      <c r="Y6416" s="13">
        <f t="shared" si="995"/>
        <v>0</v>
      </c>
      <c r="Z6416" s="66">
        <v>0</v>
      </c>
      <c r="AA6416" s="6">
        <v>0</v>
      </c>
      <c r="AB6416" s="4">
        <f t="shared" si="996"/>
        <v>607032.30000000005</v>
      </c>
      <c r="AC6416" s="6">
        <f t="shared" si="994"/>
        <v>0</v>
      </c>
      <c r="AD6416" s="6">
        <f t="shared" si="992"/>
        <v>607032.30000000005</v>
      </c>
      <c r="AE6416" s="14">
        <v>0.06</v>
      </c>
      <c r="AF6416" s="6">
        <f t="shared" si="987"/>
        <v>36421.938000000002</v>
      </c>
      <c r="AG6416" s="14">
        <v>0</v>
      </c>
      <c r="AH6416" s="64">
        <f t="shared" si="993"/>
        <v>607032.30000000005</v>
      </c>
      <c r="AJ6416" s="126" t="e">
        <v>#N/A</v>
      </c>
      <c r="AK6416" s="80">
        <f t="shared" si="997"/>
        <v>0</v>
      </c>
      <c r="AL6416" s="85"/>
      <c r="AM6416" s="85"/>
    </row>
    <row r="6417" spans="1:39" s="86" customFormat="1" ht="13.25" hidden="1" customHeight="1" x14ac:dyDescent="0.3">
      <c r="A6417" s="89" t="s">
        <v>3792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47" t="str">
        <f t="shared" si="989"/>
        <v>巨量引擎-三类</v>
      </c>
      <c r="L6417" s="47" t="s">
        <v>35</v>
      </c>
      <c r="N6417" s="86" t="s">
        <v>3712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990"/>
        <v>19611.53</v>
      </c>
      <c r="X6417" s="6">
        <f t="shared" si="991"/>
        <v>104.5566037735849</v>
      </c>
      <c r="Y6417" s="13">
        <f t="shared" si="995"/>
        <v>0</v>
      </c>
      <c r="Z6417" s="66">
        <v>0</v>
      </c>
      <c r="AA6417" s="6">
        <v>0</v>
      </c>
      <c r="AB6417" s="4">
        <f t="shared" si="996"/>
        <v>104.5566037735849</v>
      </c>
      <c r="AC6417" s="6">
        <f t="shared" si="994"/>
        <v>6.2733962264151018</v>
      </c>
      <c r="AD6417" s="6">
        <f t="shared" si="992"/>
        <v>110.83</v>
      </c>
      <c r="AE6417" s="14">
        <v>0.06</v>
      </c>
      <c r="AF6417" s="6">
        <f t="shared" si="987"/>
        <v>6.6497999999999999</v>
      </c>
      <c r="AG6417" s="14">
        <v>0</v>
      </c>
      <c r="AH6417" s="64">
        <f t="shared" si="993"/>
        <v>110.83</v>
      </c>
      <c r="AJ6417" s="126" t="e">
        <v>#N/A</v>
      </c>
      <c r="AK6417" s="80">
        <f t="shared" si="997"/>
        <v>0</v>
      </c>
      <c r="AL6417" s="85"/>
      <c r="AM6417" s="85"/>
    </row>
    <row r="6418" spans="1:39" s="86" customFormat="1" ht="13.25" hidden="1" customHeight="1" x14ac:dyDescent="0.3">
      <c r="A6418" s="89" t="s">
        <v>3794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47" t="str">
        <f t="shared" si="989"/>
        <v>巨量引擎-一类平台/电商</v>
      </c>
      <c r="L6418" s="47" t="s">
        <v>35</v>
      </c>
      <c r="N6418" s="86" t="s">
        <v>3718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991"/>
        <v>356996.90999999963</v>
      </c>
      <c r="Y6418" s="13">
        <f t="shared" si="995"/>
        <v>0</v>
      </c>
      <c r="Z6418" s="66">
        <v>0</v>
      </c>
      <c r="AA6418" s="6">
        <v>0</v>
      </c>
      <c r="AB6418" s="4">
        <f t="shared" si="996"/>
        <v>356996.90999999963</v>
      </c>
      <c r="AC6418" s="6">
        <f t="shared" si="994"/>
        <v>0</v>
      </c>
      <c r="AD6418" s="6">
        <f t="shared" si="992"/>
        <v>356996.90999999963</v>
      </c>
      <c r="AE6418" s="14">
        <v>0.06</v>
      </c>
      <c r="AF6418" s="6">
        <f t="shared" si="987"/>
        <v>21419.814599999976</v>
      </c>
      <c r="AG6418" s="14">
        <v>0</v>
      </c>
      <c r="AH6418" s="64">
        <f t="shared" si="993"/>
        <v>356996.90999999963</v>
      </c>
      <c r="AJ6418" s="126" t="e">
        <v>#N/A</v>
      </c>
      <c r="AK6418" s="80">
        <f t="shared" si="997"/>
        <v>0</v>
      </c>
      <c r="AL6418" s="85"/>
      <c r="AM6418" s="85"/>
    </row>
    <row r="6419" spans="1:39" s="86" customFormat="1" ht="13.25" hidden="1" customHeight="1" x14ac:dyDescent="0.3">
      <c r="A6419" s="89" t="s">
        <v>3794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47" t="str">
        <f t="shared" si="989"/>
        <v>巨量引擎-三类</v>
      </c>
      <c r="L6419" s="47" t="s">
        <v>35</v>
      </c>
      <c r="N6419" s="86" t="s">
        <v>3712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990"/>
        <v>1196724.0600000005</v>
      </c>
      <c r="X6419" s="6">
        <f t="shared" si="991"/>
        <v>2699964.7899999996</v>
      </c>
      <c r="Y6419" s="13">
        <f t="shared" si="995"/>
        <v>0</v>
      </c>
      <c r="Z6419" s="66">
        <v>0</v>
      </c>
      <c r="AA6419" s="6">
        <v>0</v>
      </c>
      <c r="AB6419" s="4">
        <f t="shared" si="996"/>
        <v>2699964.7899999996</v>
      </c>
      <c r="AC6419" s="6">
        <f t="shared" si="994"/>
        <v>0</v>
      </c>
      <c r="AD6419" s="6">
        <f t="shared" si="992"/>
        <v>2699964.7899999996</v>
      </c>
      <c r="AE6419" s="14">
        <v>0.06</v>
      </c>
      <c r="AF6419" s="6">
        <f t="shared" si="987"/>
        <v>161997.88739999998</v>
      </c>
      <c r="AG6419" s="14">
        <v>0</v>
      </c>
      <c r="AH6419" s="64">
        <f t="shared" si="993"/>
        <v>2699964.7899999996</v>
      </c>
      <c r="AJ6419" s="126" t="e">
        <v>#N/A</v>
      </c>
      <c r="AK6419" s="80">
        <f t="shared" si="997"/>
        <v>0</v>
      </c>
      <c r="AL6419" s="85"/>
      <c r="AM6419" s="85"/>
    </row>
    <row r="6420" spans="1:39" s="86" customFormat="1" ht="13.25" hidden="1" customHeight="1" x14ac:dyDescent="0.3">
      <c r="A6420" s="89" t="s">
        <v>3794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47" t="str">
        <f t="shared" si="989"/>
        <v>巨量引擎-一类</v>
      </c>
      <c r="L6420" s="47" t="s">
        <v>35</v>
      </c>
      <c r="N6420" s="86" t="s">
        <v>3707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990"/>
        <v>309999.49</v>
      </c>
      <c r="X6420" s="6">
        <f t="shared" si="991"/>
        <v>15814.369999999999</v>
      </c>
      <c r="Y6420" s="13">
        <f t="shared" si="995"/>
        <v>0</v>
      </c>
      <c r="Z6420" s="66">
        <v>0</v>
      </c>
      <c r="AA6420" s="6">
        <v>0</v>
      </c>
      <c r="AB6420" s="4">
        <f t="shared" si="996"/>
        <v>15814.369999999999</v>
      </c>
      <c r="AC6420" s="6">
        <f t="shared" si="994"/>
        <v>0</v>
      </c>
      <c r="AD6420" s="6">
        <f t="shared" si="992"/>
        <v>15814.369999999999</v>
      </c>
      <c r="AE6420" s="14">
        <v>0.06</v>
      </c>
      <c r="AF6420" s="6">
        <f t="shared" si="987"/>
        <v>948.86219999999992</v>
      </c>
      <c r="AG6420" s="14">
        <v>0</v>
      </c>
      <c r="AH6420" s="64">
        <f t="shared" si="993"/>
        <v>15814.369999999999</v>
      </c>
      <c r="AJ6420" s="126" t="e">
        <v>#N/A</v>
      </c>
      <c r="AK6420" s="80">
        <f t="shared" si="997"/>
        <v>0</v>
      </c>
      <c r="AL6420" s="85"/>
      <c r="AM6420" s="85"/>
    </row>
    <row r="6421" spans="1:39" s="86" customFormat="1" ht="13.25" hidden="1" customHeight="1" x14ac:dyDescent="0.3">
      <c r="A6421" s="89" t="s">
        <v>3794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47" t="str">
        <f t="shared" si="989"/>
        <v>巨量引擎-一类</v>
      </c>
      <c r="L6421" s="47" t="s">
        <v>35</v>
      </c>
      <c r="N6421" s="86" t="s">
        <v>3707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990"/>
        <v>3840414.4400000013</v>
      </c>
      <c r="X6421" s="6">
        <f t="shared" si="991"/>
        <v>6821894</v>
      </c>
      <c r="Y6421" s="13">
        <f t="shared" si="995"/>
        <v>0</v>
      </c>
      <c r="Z6421" s="66">
        <v>0</v>
      </c>
      <c r="AA6421" s="6">
        <v>0</v>
      </c>
      <c r="AB6421" s="4">
        <f t="shared" si="996"/>
        <v>6821894</v>
      </c>
      <c r="AC6421" s="6">
        <f t="shared" si="994"/>
        <v>0</v>
      </c>
      <c r="AD6421" s="6">
        <f t="shared" si="992"/>
        <v>6821894</v>
      </c>
      <c r="AE6421" s="14">
        <v>0.06</v>
      </c>
      <c r="AF6421" s="6">
        <f t="shared" si="987"/>
        <v>409313.64</v>
      </c>
      <c r="AG6421" s="14">
        <v>0</v>
      </c>
      <c r="AH6421" s="64">
        <f t="shared" si="993"/>
        <v>6821894</v>
      </c>
      <c r="AJ6421" s="126" t="e">
        <v>#N/A</v>
      </c>
      <c r="AK6421" s="80">
        <f t="shared" si="997"/>
        <v>0</v>
      </c>
      <c r="AL6421" s="85"/>
      <c r="AM6421" s="85"/>
    </row>
    <row r="6422" spans="1:39" s="86" customFormat="1" ht="13.25" hidden="1" customHeight="1" x14ac:dyDescent="0.3">
      <c r="A6422" s="89" t="s">
        <v>3794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989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990"/>
        <v>27396.809999999998</v>
      </c>
      <c r="X6422" s="6">
        <f t="shared" si="991"/>
        <v>0</v>
      </c>
      <c r="Y6422" s="13">
        <f t="shared" si="995"/>
        <v>0</v>
      </c>
      <c r="Z6422" s="66">
        <v>0</v>
      </c>
      <c r="AA6422" s="6">
        <v>0</v>
      </c>
      <c r="AB6422" s="4">
        <f t="shared" si="996"/>
        <v>0</v>
      </c>
      <c r="AC6422" s="6">
        <f t="shared" si="994"/>
        <v>0</v>
      </c>
      <c r="AD6422" s="6">
        <f t="shared" si="992"/>
        <v>0</v>
      </c>
      <c r="AE6422" s="14">
        <v>0.06</v>
      </c>
      <c r="AF6422" s="6">
        <f t="shared" si="987"/>
        <v>0</v>
      </c>
      <c r="AG6422" s="14">
        <v>0</v>
      </c>
      <c r="AH6422" s="64">
        <f t="shared" si="993"/>
        <v>0</v>
      </c>
      <c r="AJ6422" s="126" t="e">
        <v>#N/A</v>
      </c>
      <c r="AK6422" s="80">
        <f t="shared" si="997"/>
        <v>0</v>
      </c>
      <c r="AL6422" s="85"/>
      <c r="AM6422" s="85"/>
    </row>
    <row r="6423" spans="1:39" s="86" customFormat="1" ht="13.25" hidden="1" customHeight="1" x14ac:dyDescent="0.3">
      <c r="A6423" s="89" t="s">
        <v>3794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989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990"/>
        <v>1.4551915228366852E-10</v>
      </c>
      <c r="X6423" s="6">
        <f t="shared" si="991"/>
        <v>0</v>
      </c>
      <c r="Y6423" s="13">
        <f t="shared" si="995"/>
        <v>0</v>
      </c>
      <c r="Z6423" s="66">
        <v>0</v>
      </c>
      <c r="AA6423" s="6">
        <v>0</v>
      </c>
      <c r="AB6423" s="4">
        <f t="shared" si="996"/>
        <v>0</v>
      </c>
      <c r="AC6423" s="6">
        <f t="shared" si="994"/>
        <v>0</v>
      </c>
      <c r="AD6423" s="6">
        <f t="shared" si="992"/>
        <v>0</v>
      </c>
      <c r="AE6423" s="14">
        <v>0.06</v>
      </c>
      <c r="AF6423" s="6">
        <f t="shared" si="987"/>
        <v>0</v>
      </c>
      <c r="AG6423" s="14">
        <v>0</v>
      </c>
      <c r="AH6423" s="64">
        <f t="shared" si="993"/>
        <v>0</v>
      </c>
      <c r="AJ6423" s="126" t="e">
        <v>#N/A</v>
      </c>
      <c r="AK6423" s="80">
        <f t="shared" si="997"/>
        <v>0</v>
      </c>
      <c r="AL6423" s="85"/>
      <c r="AM6423" s="85"/>
    </row>
    <row r="6424" spans="1:39" s="86" customFormat="1" ht="13.25" hidden="1" customHeight="1" x14ac:dyDescent="0.3">
      <c r="A6424" s="89" t="s">
        <v>3794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3932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47" t="str">
        <f t="shared" si="989"/>
        <v>巨量引擎-一类</v>
      </c>
      <c r="L6424" s="47" t="s">
        <v>35</v>
      </c>
      <c r="N6424" s="86" t="s">
        <v>3707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990"/>
        <v>210480.99</v>
      </c>
      <c r="X6424" s="6">
        <f t="shared" si="991"/>
        <v>89519.01</v>
      </c>
      <c r="Y6424" s="13">
        <f t="shared" si="995"/>
        <v>0</v>
      </c>
      <c r="Z6424" s="66">
        <v>0</v>
      </c>
      <c r="AA6424" s="6">
        <v>0</v>
      </c>
      <c r="AB6424" s="4">
        <f t="shared" si="996"/>
        <v>89519.01</v>
      </c>
      <c r="AC6424" s="6">
        <f t="shared" si="994"/>
        <v>0</v>
      </c>
      <c r="AD6424" s="6">
        <f t="shared" si="992"/>
        <v>89519.01</v>
      </c>
      <c r="AE6424" s="14">
        <v>0.06</v>
      </c>
      <c r="AF6424" s="6">
        <f t="shared" si="987"/>
        <v>5371.1405999999997</v>
      </c>
      <c r="AG6424" s="14">
        <v>0</v>
      </c>
      <c r="AH6424" s="64">
        <f t="shared" si="993"/>
        <v>89519.01</v>
      </c>
      <c r="AJ6424" s="126" t="e">
        <v>#N/A</v>
      </c>
      <c r="AK6424" s="80">
        <f t="shared" si="997"/>
        <v>0</v>
      </c>
      <c r="AL6424" s="85"/>
      <c r="AM6424" s="85"/>
    </row>
    <row r="6425" spans="1:39" s="86" customFormat="1" ht="13.25" hidden="1" customHeight="1" x14ac:dyDescent="0.3">
      <c r="A6425" s="89" t="s">
        <v>3794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47" t="str">
        <f t="shared" si="989"/>
        <v>巨量引擎-三类</v>
      </c>
      <c r="L6425" s="47" t="s">
        <v>35</v>
      </c>
      <c r="N6425" s="86" t="s">
        <v>3712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990"/>
        <v>7039992.4000000022</v>
      </c>
      <c r="X6425" s="6">
        <f t="shared" si="991"/>
        <v>26455793.569999997</v>
      </c>
      <c r="Y6425" s="13">
        <f t="shared" si="995"/>
        <v>0</v>
      </c>
      <c r="Z6425" s="66">
        <v>0</v>
      </c>
      <c r="AA6425" s="6">
        <v>0</v>
      </c>
      <c r="AB6425" s="4">
        <f t="shared" si="996"/>
        <v>26455793.569999997</v>
      </c>
      <c r="AC6425" s="6">
        <f t="shared" si="994"/>
        <v>0</v>
      </c>
      <c r="AD6425" s="6">
        <f t="shared" si="992"/>
        <v>26455793.569999997</v>
      </c>
      <c r="AE6425" s="14">
        <v>0.06</v>
      </c>
      <c r="AF6425" s="6">
        <f t="shared" si="987"/>
        <v>1587347.6141999997</v>
      </c>
      <c r="AG6425" s="14">
        <v>0</v>
      </c>
      <c r="AH6425" s="64">
        <f t="shared" si="993"/>
        <v>26455793.569999997</v>
      </c>
      <c r="AJ6425" s="126" t="e">
        <v>#N/A</v>
      </c>
      <c r="AK6425" s="80">
        <f t="shared" si="997"/>
        <v>0</v>
      </c>
      <c r="AL6425" s="85"/>
      <c r="AM6425" s="85"/>
    </row>
    <row r="6426" spans="1:39" s="86" customFormat="1" ht="13.25" hidden="1" customHeight="1" x14ac:dyDescent="0.3">
      <c r="A6426" s="89" t="s">
        <v>3792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989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990"/>
        <v>8.5765350377187133E-10</v>
      </c>
      <c r="X6426" s="6">
        <f t="shared" si="991"/>
        <v>0</v>
      </c>
      <c r="Y6426" s="13">
        <f t="shared" si="995"/>
        <v>0</v>
      </c>
      <c r="Z6426" s="66">
        <v>0</v>
      </c>
      <c r="AA6426" s="6">
        <v>0</v>
      </c>
      <c r="AB6426" s="4">
        <f t="shared" si="996"/>
        <v>0</v>
      </c>
      <c r="AC6426" s="6">
        <f t="shared" si="994"/>
        <v>0</v>
      </c>
      <c r="AD6426" s="6">
        <f t="shared" si="992"/>
        <v>0</v>
      </c>
      <c r="AE6426" s="14">
        <v>0.06</v>
      </c>
      <c r="AF6426" s="6">
        <f t="shared" si="987"/>
        <v>0</v>
      </c>
      <c r="AG6426" s="14">
        <v>0</v>
      </c>
      <c r="AH6426" s="64">
        <f t="shared" si="993"/>
        <v>0</v>
      </c>
      <c r="AJ6426" s="126" t="e">
        <v>#N/A</v>
      </c>
      <c r="AK6426" s="80">
        <f t="shared" si="997"/>
        <v>0</v>
      </c>
      <c r="AL6426" s="85"/>
      <c r="AM6426" s="85"/>
    </row>
    <row r="6427" spans="1:39" s="86" customFormat="1" ht="13.25" hidden="1" customHeight="1" x14ac:dyDescent="0.3">
      <c r="A6427" s="89" t="s">
        <v>3794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47" t="str">
        <f t="shared" si="989"/>
        <v>巨量引擎-二类</v>
      </c>
      <c r="L6427" s="47" t="s">
        <v>35</v>
      </c>
      <c r="N6427" s="86" t="s">
        <v>3710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990"/>
        <v>82480.979999999981</v>
      </c>
      <c r="X6427" s="6">
        <f t="shared" si="991"/>
        <v>140868.26666666666</v>
      </c>
      <c r="Y6427" s="13">
        <f t="shared" si="995"/>
        <v>0</v>
      </c>
      <c r="Z6427" s="66">
        <v>0</v>
      </c>
      <c r="AA6427" s="6">
        <v>0</v>
      </c>
      <c r="AB6427" s="4">
        <f t="shared" si="996"/>
        <v>140868.26666666666</v>
      </c>
      <c r="AC6427" s="6">
        <f t="shared" si="994"/>
        <v>7043.4133333333302</v>
      </c>
      <c r="AD6427" s="6">
        <f t="shared" si="992"/>
        <v>147911.67999999999</v>
      </c>
      <c r="AE6427" s="14">
        <v>0.06</v>
      </c>
      <c r="AF6427" s="6">
        <f t="shared" si="987"/>
        <v>8874.7007999999987</v>
      </c>
      <c r="AG6427" s="14">
        <v>0</v>
      </c>
      <c r="AH6427" s="64">
        <f t="shared" si="993"/>
        <v>147911.67999999999</v>
      </c>
      <c r="AJ6427" s="126" t="e">
        <v>#N/A</v>
      </c>
      <c r="AK6427" s="80">
        <f t="shared" si="997"/>
        <v>0</v>
      </c>
      <c r="AL6427" s="85"/>
      <c r="AM6427" s="85"/>
    </row>
    <row r="6428" spans="1:39" s="86" customFormat="1" ht="13.25" hidden="1" customHeight="1" x14ac:dyDescent="0.3">
      <c r="A6428" s="89" t="s">
        <v>3794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47" t="str">
        <f t="shared" si="989"/>
        <v>巨量引擎-一类</v>
      </c>
      <c r="L6428" s="47" t="s">
        <v>35</v>
      </c>
      <c r="N6428" s="86" t="s">
        <v>3933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990"/>
        <v>0</v>
      </c>
      <c r="X6428" s="6">
        <f t="shared" si="991"/>
        <v>-5921.7864077669901</v>
      </c>
      <c r="Y6428" s="13">
        <f t="shared" si="995"/>
        <v>177.65359223300948</v>
      </c>
      <c r="Z6428" s="66">
        <v>0</v>
      </c>
      <c r="AA6428" s="6">
        <v>0</v>
      </c>
      <c r="AB6428" s="4">
        <f t="shared" si="996"/>
        <v>-5921.7864077669901</v>
      </c>
      <c r="AC6428" s="6">
        <f t="shared" si="994"/>
        <v>-177.65359223300948</v>
      </c>
      <c r="AD6428" s="6">
        <f t="shared" si="992"/>
        <v>-6099.44</v>
      </c>
      <c r="AE6428" s="14">
        <v>0.06</v>
      </c>
      <c r="AF6428" s="6">
        <f t="shared" si="987"/>
        <v>-365.96639999999996</v>
      </c>
      <c r="AG6428" s="14">
        <v>0</v>
      </c>
      <c r="AH6428" s="64">
        <f t="shared" si="993"/>
        <v>-6099.44</v>
      </c>
      <c r="AJ6428" s="126" t="e">
        <v>#N/A</v>
      </c>
      <c r="AK6428" s="80">
        <f t="shared" si="997"/>
        <v>0</v>
      </c>
      <c r="AL6428" s="85"/>
      <c r="AM6428" s="85"/>
    </row>
    <row r="6429" spans="1:39" s="86" customFormat="1" ht="13.25" hidden="1" customHeight="1" x14ac:dyDescent="0.3">
      <c r="A6429" s="89" t="s">
        <v>3794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47" t="str">
        <f t="shared" si="989"/>
        <v>巨量引擎-一类</v>
      </c>
      <c r="L6429" s="47" t="s">
        <v>35</v>
      </c>
      <c r="N6429" s="86" t="s">
        <v>3933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990"/>
        <v>0</v>
      </c>
      <c r="X6429" s="6">
        <f t="shared" si="991"/>
        <v>-36119.72</v>
      </c>
      <c r="Y6429" s="13">
        <f t="shared" si="995"/>
        <v>0</v>
      </c>
      <c r="Z6429" s="66">
        <v>0</v>
      </c>
      <c r="AA6429" s="6">
        <v>0</v>
      </c>
      <c r="AB6429" s="4">
        <f t="shared" si="996"/>
        <v>-36119.72</v>
      </c>
      <c r="AC6429" s="6">
        <f t="shared" si="994"/>
        <v>0</v>
      </c>
      <c r="AD6429" s="6">
        <f t="shared" si="992"/>
        <v>-36119.72</v>
      </c>
      <c r="AE6429" s="14">
        <v>0.06</v>
      </c>
      <c r="AF6429" s="6">
        <f t="shared" si="987"/>
        <v>-2167.1831999999999</v>
      </c>
      <c r="AG6429" s="14">
        <v>0</v>
      </c>
      <c r="AH6429" s="64">
        <f t="shared" si="993"/>
        <v>-36119.72</v>
      </c>
      <c r="AJ6429" s="126" t="e">
        <v>#N/A</v>
      </c>
      <c r="AK6429" s="80">
        <f t="shared" si="997"/>
        <v>0</v>
      </c>
      <c r="AL6429" s="85"/>
      <c r="AM6429" s="85"/>
    </row>
    <row r="6430" spans="1:39" s="86" customFormat="1" ht="13.25" hidden="1" customHeight="1" x14ac:dyDescent="0.3">
      <c r="A6430" s="89" t="s">
        <v>3794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47" t="str">
        <f t="shared" si="989"/>
        <v>巨量引擎-三类</v>
      </c>
      <c r="L6430" s="47" t="s">
        <v>35</v>
      </c>
      <c r="N6430" s="86" t="s">
        <v>3712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990"/>
        <v>600426.68000000063</v>
      </c>
      <c r="X6430" s="6">
        <f t="shared" si="991"/>
        <v>1600798.87</v>
      </c>
      <c r="Y6430" s="13">
        <f t="shared" si="995"/>
        <v>0</v>
      </c>
      <c r="Z6430" s="66">
        <v>0</v>
      </c>
      <c r="AA6430" s="6">
        <v>0</v>
      </c>
      <c r="AB6430" s="4">
        <f t="shared" si="996"/>
        <v>1600798.87</v>
      </c>
      <c r="AC6430" s="6">
        <f t="shared" si="994"/>
        <v>0</v>
      </c>
      <c r="AD6430" s="6">
        <f t="shared" si="992"/>
        <v>1600798.87</v>
      </c>
      <c r="AE6430" s="14">
        <v>0.06</v>
      </c>
      <c r="AF6430" s="6">
        <f t="shared" si="987"/>
        <v>96047.93220000001</v>
      </c>
      <c r="AG6430" s="14">
        <v>0</v>
      </c>
      <c r="AH6430" s="64">
        <f t="shared" si="993"/>
        <v>1600798.87</v>
      </c>
      <c r="AJ6430" s="126" t="e">
        <v>#N/A</v>
      </c>
      <c r="AK6430" s="80">
        <f t="shared" si="997"/>
        <v>0</v>
      </c>
      <c r="AL6430" s="85"/>
      <c r="AM6430" s="85"/>
    </row>
    <row r="6431" spans="1:39" s="86" customFormat="1" ht="13.25" hidden="1" customHeight="1" x14ac:dyDescent="0.3">
      <c r="A6431" s="89" t="s">
        <v>3794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47" t="str">
        <f t="shared" si="989"/>
        <v>巨量引擎-三类</v>
      </c>
      <c r="L6431" s="47" t="s">
        <v>35</v>
      </c>
      <c r="N6431" s="86" t="s">
        <v>3712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990"/>
        <v>1994236.9000000032</v>
      </c>
      <c r="X6431" s="6">
        <f t="shared" si="991"/>
        <v>3168034.2499999991</v>
      </c>
      <c r="Y6431" s="13">
        <f t="shared" si="995"/>
        <v>0</v>
      </c>
      <c r="Z6431" s="66">
        <v>0</v>
      </c>
      <c r="AA6431" s="6">
        <v>0</v>
      </c>
      <c r="AB6431" s="4">
        <f t="shared" si="996"/>
        <v>3168034.2499999991</v>
      </c>
      <c r="AC6431" s="6">
        <f t="shared" si="994"/>
        <v>0</v>
      </c>
      <c r="AD6431" s="6">
        <f t="shared" si="992"/>
        <v>3168034.2499999991</v>
      </c>
      <c r="AE6431" s="14">
        <v>0.06</v>
      </c>
      <c r="AF6431" s="6">
        <f t="shared" si="987"/>
        <v>190082.05499999993</v>
      </c>
      <c r="AG6431" s="14">
        <v>0</v>
      </c>
      <c r="AH6431" s="64">
        <f t="shared" si="993"/>
        <v>3168034.2499999991</v>
      </c>
      <c r="AJ6431" s="126" t="e">
        <v>#N/A</v>
      </c>
      <c r="AK6431" s="80">
        <f t="shared" si="997"/>
        <v>0</v>
      </c>
      <c r="AL6431" s="85"/>
      <c r="AM6431" s="85"/>
    </row>
    <row r="6432" spans="1:39" s="86" customFormat="1" ht="13.25" hidden="1" customHeight="1" x14ac:dyDescent="0.3">
      <c r="A6432" s="89" t="s">
        <v>3794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989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990"/>
        <v>-8.7311491370201111E-11</v>
      </c>
      <c r="X6432" s="6">
        <f t="shared" si="991"/>
        <v>0</v>
      </c>
      <c r="Y6432" s="13">
        <f t="shared" si="995"/>
        <v>0</v>
      </c>
      <c r="Z6432" s="66">
        <v>0</v>
      </c>
      <c r="AA6432" s="6">
        <v>0</v>
      </c>
      <c r="AB6432" s="4">
        <f t="shared" si="996"/>
        <v>0</v>
      </c>
      <c r="AC6432" s="6">
        <f t="shared" si="994"/>
        <v>0</v>
      </c>
      <c r="AD6432" s="6">
        <f t="shared" si="992"/>
        <v>0</v>
      </c>
      <c r="AE6432" s="14">
        <v>0.06</v>
      </c>
      <c r="AF6432" s="6">
        <f t="shared" si="987"/>
        <v>0</v>
      </c>
      <c r="AG6432" s="14">
        <v>0</v>
      </c>
      <c r="AH6432" s="64">
        <f t="shared" si="993"/>
        <v>0</v>
      </c>
      <c r="AJ6432" s="126" t="e">
        <v>#N/A</v>
      </c>
      <c r="AK6432" s="80">
        <f t="shared" si="997"/>
        <v>0</v>
      </c>
      <c r="AL6432" s="85"/>
      <c r="AM6432" s="85"/>
    </row>
    <row r="6433" spans="1:39" s="86" customFormat="1" ht="13.25" hidden="1" customHeight="1" x14ac:dyDescent="0.3">
      <c r="A6433" s="89" t="s">
        <v>3794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47" t="str">
        <f t="shared" si="989"/>
        <v>巨量引擎-一类</v>
      </c>
      <c r="L6433" s="47" t="s">
        <v>35</v>
      </c>
      <c r="N6433" s="86" t="s">
        <v>3707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990"/>
        <v>187796.62999999998</v>
      </c>
      <c r="X6433" s="6">
        <f t="shared" si="991"/>
        <v>241975.72</v>
      </c>
      <c r="Y6433" s="13">
        <f t="shared" si="995"/>
        <v>0</v>
      </c>
      <c r="Z6433" s="66">
        <v>0</v>
      </c>
      <c r="AA6433" s="6">
        <v>0</v>
      </c>
      <c r="AB6433" s="4">
        <f t="shared" si="996"/>
        <v>241975.72</v>
      </c>
      <c r="AC6433" s="6">
        <f t="shared" si="994"/>
        <v>0</v>
      </c>
      <c r="AD6433" s="6">
        <f t="shared" si="992"/>
        <v>241975.72</v>
      </c>
      <c r="AE6433" s="14">
        <v>0.06</v>
      </c>
      <c r="AF6433" s="6">
        <f t="shared" si="987"/>
        <v>14518.5432</v>
      </c>
      <c r="AG6433" s="14">
        <v>0</v>
      </c>
      <c r="AH6433" s="64">
        <f t="shared" si="993"/>
        <v>241975.72</v>
      </c>
      <c r="AJ6433" s="126" t="e">
        <v>#N/A</v>
      </c>
      <c r="AK6433" s="80">
        <f t="shared" si="997"/>
        <v>0</v>
      </c>
      <c r="AL6433" s="85"/>
      <c r="AM6433" s="85"/>
    </row>
    <row r="6434" spans="1:39" s="86" customFormat="1" ht="13.25" hidden="1" customHeight="1" x14ac:dyDescent="0.3">
      <c r="A6434" s="89" t="s">
        <v>3794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47" t="str">
        <f t="shared" si="989"/>
        <v>巨量引擎-三类</v>
      </c>
      <c r="L6434" s="47" t="s">
        <v>35</v>
      </c>
      <c r="N6434" s="86" t="s">
        <v>3712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990"/>
        <v>930537.50000000093</v>
      </c>
      <c r="X6434" s="6">
        <f t="shared" si="991"/>
        <v>3159022.31</v>
      </c>
      <c r="Y6434" s="13">
        <f t="shared" si="995"/>
        <v>0</v>
      </c>
      <c r="Z6434" s="66">
        <v>0</v>
      </c>
      <c r="AA6434" s="6">
        <v>0</v>
      </c>
      <c r="AB6434" s="4">
        <f t="shared" si="996"/>
        <v>3159022.31</v>
      </c>
      <c r="AC6434" s="6">
        <f t="shared" si="994"/>
        <v>0</v>
      </c>
      <c r="AD6434" s="6">
        <f t="shared" si="992"/>
        <v>3159022.31</v>
      </c>
      <c r="AE6434" s="14">
        <v>0.06</v>
      </c>
      <c r="AF6434" s="6">
        <f t="shared" si="987"/>
        <v>189541.33859999999</v>
      </c>
      <c r="AG6434" s="14">
        <v>0</v>
      </c>
      <c r="AH6434" s="64">
        <f t="shared" si="993"/>
        <v>3159022.31</v>
      </c>
      <c r="AJ6434" s="126" t="e">
        <v>#N/A</v>
      </c>
      <c r="AK6434" s="80">
        <f t="shared" si="997"/>
        <v>0</v>
      </c>
      <c r="AL6434" s="85"/>
      <c r="AM6434" s="85"/>
    </row>
    <row r="6435" spans="1:39" s="86" customFormat="1" ht="13.25" hidden="1" customHeight="1" x14ac:dyDescent="0.3">
      <c r="A6435" s="89" t="s">
        <v>3794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47" t="str">
        <f t="shared" si="989"/>
        <v>巨量引擎-三类</v>
      </c>
      <c r="L6435" s="47" t="s">
        <v>35</v>
      </c>
      <c r="N6435" s="86" t="s">
        <v>3712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990"/>
        <v>98351.339999999705</v>
      </c>
      <c r="X6435" s="6">
        <f t="shared" si="991"/>
        <v>198668.36000000002</v>
      </c>
      <c r="Y6435" s="13">
        <f t="shared" si="995"/>
        <v>0</v>
      </c>
      <c r="Z6435" s="66">
        <v>0</v>
      </c>
      <c r="AA6435" s="6">
        <v>0</v>
      </c>
      <c r="AB6435" s="4">
        <f t="shared" si="996"/>
        <v>198668.36000000002</v>
      </c>
      <c r="AC6435" s="6">
        <f t="shared" si="994"/>
        <v>0</v>
      </c>
      <c r="AD6435" s="6">
        <f t="shared" si="992"/>
        <v>198668.36000000002</v>
      </c>
      <c r="AE6435" s="14">
        <v>0.06</v>
      </c>
      <c r="AF6435" s="6">
        <f t="shared" si="987"/>
        <v>11920.1016</v>
      </c>
      <c r="AG6435" s="14">
        <v>0</v>
      </c>
      <c r="AH6435" s="64">
        <f t="shared" si="993"/>
        <v>198668.36000000002</v>
      </c>
      <c r="AJ6435" s="126" t="e">
        <v>#N/A</v>
      </c>
      <c r="AK6435" s="80">
        <f t="shared" si="997"/>
        <v>0</v>
      </c>
      <c r="AL6435" s="85"/>
      <c r="AM6435" s="85"/>
    </row>
    <row r="6436" spans="1:39" s="86" customFormat="1" ht="13.25" customHeight="1" x14ac:dyDescent="0.3">
      <c r="A6436" s="89" t="s">
        <v>3794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47" t="str">
        <f t="shared" si="989"/>
        <v>巨量引擎-二类</v>
      </c>
      <c r="L6436" s="47" t="s">
        <v>35</v>
      </c>
      <c r="N6436" s="86" t="s">
        <v>3710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990"/>
        <v>4814147.980000006</v>
      </c>
      <c r="X6436" s="6">
        <f>V6436/(1+1%)</f>
        <v>8284505.2277227715</v>
      </c>
      <c r="Y6436" s="13">
        <f t="shared" si="995"/>
        <v>0</v>
      </c>
      <c r="Z6436" s="66">
        <v>0</v>
      </c>
      <c r="AA6436" s="6">
        <v>0</v>
      </c>
      <c r="AB6436" s="4">
        <f t="shared" si="996"/>
        <v>8284505.2277227715</v>
      </c>
      <c r="AC6436" s="6">
        <f t="shared" si="994"/>
        <v>82845.052277227864</v>
      </c>
      <c r="AD6436" s="6">
        <f t="shared" si="992"/>
        <v>8367350.2799999993</v>
      </c>
      <c r="AE6436" s="14">
        <v>0.06</v>
      </c>
      <c r="AF6436" s="6">
        <f t="shared" ref="AF6436:AF6499" si="998">AD6436*AE6436</f>
        <v>502041.01679999992</v>
      </c>
      <c r="AG6436" s="14">
        <v>0</v>
      </c>
      <c r="AH6436" s="64">
        <f t="shared" si="993"/>
        <v>8367350.2799999993</v>
      </c>
      <c r="AJ6436" s="126" t="e">
        <v>#N/A</v>
      </c>
      <c r="AK6436" s="80">
        <f t="shared" si="997"/>
        <v>0</v>
      </c>
      <c r="AL6436" s="85"/>
      <c r="AM6436" s="85"/>
    </row>
    <row r="6437" spans="1:39" s="86" customFormat="1" ht="13.25" hidden="1" customHeight="1" x14ac:dyDescent="0.3">
      <c r="A6437" s="89" t="s">
        <v>3792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47" t="str">
        <f t="shared" si="989"/>
        <v>巨量引擎-二类</v>
      </c>
      <c r="L6437" s="47" t="s">
        <v>35</v>
      </c>
      <c r="N6437" s="86" t="s">
        <v>3710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1294216.6400000004</v>
      </c>
      <c r="W6437" s="6">
        <f t="shared" si="990"/>
        <v>238302.07999999844</v>
      </c>
      <c r="X6437" s="6">
        <f t="shared" si="991"/>
        <v>1294216.6400000004</v>
      </c>
      <c r="Y6437" s="13">
        <f t="shared" si="995"/>
        <v>0</v>
      </c>
      <c r="Z6437" s="66">
        <v>0</v>
      </c>
      <c r="AA6437" s="6">
        <v>0</v>
      </c>
      <c r="AB6437" s="4">
        <f t="shared" si="996"/>
        <v>1294216.6400000004</v>
      </c>
      <c r="AC6437" s="6">
        <f t="shared" si="994"/>
        <v>0</v>
      </c>
      <c r="AD6437" s="6">
        <f t="shared" si="992"/>
        <v>1294216.6400000004</v>
      </c>
      <c r="AE6437" s="14">
        <v>0.06</v>
      </c>
      <c r="AF6437" s="6">
        <f t="shared" si="998"/>
        <v>77652.998400000026</v>
      </c>
      <c r="AG6437" s="14">
        <v>0</v>
      </c>
      <c r="AH6437" s="64">
        <f t="shared" si="993"/>
        <v>1294216.6400000004</v>
      </c>
      <c r="AJ6437" s="126" t="e">
        <v>#N/A</v>
      </c>
      <c r="AK6437" s="80">
        <f t="shared" si="997"/>
        <v>0</v>
      </c>
      <c r="AL6437" s="85"/>
      <c r="AM6437" s="85"/>
    </row>
    <row r="6438" spans="1:39" s="86" customFormat="1" ht="13.25" hidden="1" customHeight="1" x14ac:dyDescent="0.3">
      <c r="A6438" s="89" t="s">
        <v>3794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47" t="str">
        <f t="shared" si="989"/>
        <v>巨量引擎-二类</v>
      </c>
      <c r="L6438" s="47" t="s">
        <v>35</v>
      </c>
      <c r="N6438" s="86" t="s">
        <v>3710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208948.59</v>
      </c>
      <c r="W6438" s="6">
        <f t="shared" si="990"/>
        <v>86774.190000000031</v>
      </c>
      <c r="X6438" s="6">
        <f t="shared" si="991"/>
        <v>200912.10576923075</v>
      </c>
      <c r="Y6438" s="13">
        <f t="shared" si="995"/>
        <v>0</v>
      </c>
      <c r="Z6438" s="66">
        <v>0</v>
      </c>
      <c r="AA6438" s="6">
        <v>0</v>
      </c>
      <c r="AB6438" s="4">
        <f t="shared" si="996"/>
        <v>200912.10576923075</v>
      </c>
      <c r="AC6438" s="6">
        <f t="shared" si="994"/>
        <v>8036.4842307692452</v>
      </c>
      <c r="AD6438" s="6">
        <f t="shared" si="992"/>
        <v>208948.59</v>
      </c>
      <c r="AE6438" s="14">
        <v>0.06</v>
      </c>
      <c r="AF6438" s="6">
        <f t="shared" si="998"/>
        <v>12536.9154</v>
      </c>
      <c r="AG6438" s="14">
        <v>0</v>
      </c>
      <c r="AH6438" s="64">
        <f t="shared" si="993"/>
        <v>208948.59</v>
      </c>
      <c r="AJ6438" s="126" t="e">
        <v>#N/A</v>
      </c>
      <c r="AK6438" s="80">
        <f t="shared" si="997"/>
        <v>0</v>
      </c>
      <c r="AL6438" s="85"/>
      <c r="AM6438" s="85"/>
    </row>
    <row r="6439" spans="1:39" s="86" customFormat="1" ht="13.25" hidden="1" customHeight="1" x14ac:dyDescent="0.3">
      <c r="A6439" s="89" t="s">
        <v>3794</v>
      </c>
      <c r="B6439" s="86" t="s">
        <v>35</v>
      </c>
      <c r="C6439" s="86" t="s">
        <v>164</v>
      </c>
      <c r="D6439" s="86" t="s">
        <v>305</v>
      </c>
      <c r="E6439" s="86" t="s">
        <v>3934</v>
      </c>
      <c r="F6439" s="86" t="s">
        <v>3935</v>
      </c>
      <c r="G6439" s="86" t="s">
        <v>3934</v>
      </c>
      <c r="H6439" s="144">
        <v>229</v>
      </c>
      <c r="I6439" s="86" t="s">
        <v>3356</v>
      </c>
      <c r="J6439" s="47" t="s">
        <v>3326</v>
      </c>
      <c r="K6439" s="47" t="str">
        <f t="shared" si="989"/>
        <v>巨量引擎-二类</v>
      </c>
      <c r="L6439" s="47" t="s">
        <v>35</v>
      </c>
      <c r="N6439" s="86" t="s">
        <v>3710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990"/>
        <v>1445436.8800000001</v>
      </c>
      <c r="X6439" s="6">
        <f t="shared" si="991"/>
        <v>1341017.4887999999</v>
      </c>
      <c r="Y6439" s="13">
        <f t="shared" si="995"/>
        <v>0</v>
      </c>
      <c r="Z6439" s="66">
        <v>0</v>
      </c>
      <c r="AA6439" s="6">
        <v>0</v>
      </c>
      <c r="AB6439" s="4">
        <f t="shared" si="996"/>
        <v>1341017.4887999999</v>
      </c>
      <c r="AC6439" s="6">
        <f t="shared" si="994"/>
        <v>13545.631199999945</v>
      </c>
      <c r="AD6439" s="6">
        <f t="shared" si="992"/>
        <v>1354563.1199999999</v>
      </c>
      <c r="AE6439" s="14">
        <v>0.06</v>
      </c>
      <c r="AF6439" s="6">
        <f t="shared" si="998"/>
        <v>81273.787199999992</v>
      </c>
      <c r="AG6439" s="14">
        <v>0</v>
      </c>
      <c r="AH6439" s="64">
        <f t="shared" si="993"/>
        <v>1354563.1199999999</v>
      </c>
      <c r="AJ6439" s="126" t="e">
        <v>#N/A</v>
      </c>
      <c r="AK6439" s="80">
        <f t="shared" si="997"/>
        <v>0</v>
      </c>
      <c r="AL6439" s="85"/>
      <c r="AM6439" s="85"/>
    </row>
    <row r="6440" spans="1:39" s="86" customFormat="1" ht="13.25" hidden="1" customHeight="1" x14ac:dyDescent="0.3">
      <c r="A6440" s="89" t="s">
        <v>3794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47" t="str">
        <f t="shared" si="989"/>
        <v>巨量引擎-二类</v>
      </c>
      <c r="L6440" s="47" t="s">
        <v>35</v>
      </c>
      <c r="N6440" s="86" t="s">
        <v>3710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990"/>
        <v>1.9799999902024865</v>
      </c>
      <c r="X6440" s="6">
        <f t="shared" si="991"/>
        <v>0</v>
      </c>
      <c r="Y6440" s="13">
        <f t="shared" si="995"/>
        <v>0</v>
      </c>
      <c r="Z6440" s="66">
        <v>0</v>
      </c>
      <c r="AA6440" s="6">
        <v>0</v>
      </c>
      <c r="AB6440" s="4">
        <f t="shared" si="996"/>
        <v>0</v>
      </c>
      <c r="AC6440" s="6">
        <f t="shared" si="994"/>
        <v>0</v>
      </c>
      <c r="AD6440" s="6">
        <f t="shared" si="992"/>
        <v>0</v>
      </c>
      <c r="AE6440" s="14">
        <v>0.06</v>
      </c>
      <c r="AF6440" s="6">
        <f t="shared" si="998"/>
        <v>0</v>
      </c>
      <c r="AG6440" s="14">
        <v>0</v>
      </c>
      <c r="AH6440" s="64">
        <f t="shared" si="993"/>
        <v>0</v>
      </c>
      <c r="AJ6440" s="126" t="e">
        <v>#N/A</v>
      </c>
      <c r="AK6440" s="80">
        <f t="shared" si="997"/>
        <v>0</v>
      </c>
      <c r="AL6440" s="85"/>
      <c r="AM6440" s="85"/>
    </row>
    <row r="6441" spans="1:39" s="86" customFormat="1" ht="13.25" hidden="1" customHeight="1" x14ac:dyDescent="0.3">
      <c r="A6441" s="89" t="s">
        <v>3794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47" t="str">
        <f t="shared" si="989"/>
        <v>巨量引擎-二类</v>
      </c>
      <c r="L6441" s="47" t="s">
        <v>35</v>
      </c>
      <c r="N6441" s="86" t="s">
        <v>3710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990"/>
        <v>1529678.7999999826</v>
      </c>
      <c r="X6441" s="6">
        <f t="shared" si="991"/>
        <v>1137915.2199999997</v>
      </c>
      <c r="Y6441" s="13">
        <f t="shared" si="995"/>
        <v>0</v>
      </c>
      <c r="Z6441" s="66">
        <v>0</v>
      </c>
      <c r="AA6441" s="6">
        <v>0</v>
      </c>
      <c r="AB6441" s="4">
        <f t="shared" si="996"/>
        <v>1137915.2199999997</v>
      </c>
      <c r="AC6441" s="6">
        <f t="shared" si="994"/>
        <v>68274.913199999981</v>
      </c>
      <c r="AD6441" s="6">
        <f t="shared" si="992"/>
        <v>1137915.2199999997</v>
      </c>
      <c r="AE6441" s="14">
        <v>0.06</v>
      </c>
      <c r="AF6441" s="6">
        <f t="shared" si="998"/>
        <v>68274.913199999981</v>
      </c>
      <c r="AG6441" s="14">
        <v>0</v>
      </c>
      <c r="AH6441" s="64">
        <f t="shared" si="993"/>
        <v>1137915.2199999997</v>
      </c>
      <c r="AJ6441" s="126" t="e">
        <v>#N/A</v>
      </c>
      <c r="AK6441" s="80">
        <f t="shared" si="997"/>
        <v>0</v>
      </c>
      <c r="AL6441" s="85"/>
      <c r="AM6441" s="85"/>
    </row>
    <row r="6442" spans="1:39" s="86" customFormat="1" ht="13.25" hidden="1" customHeight="1" x14ac:dyDescent="0.3">
      <c r="A6442" s="89" t="s">
        <v>3794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3936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47" t="str">
        <f t="shared" si="989"/>
        <v>巨量引擎-二类</v>
      </c>
      <c r="L6442" s="47" t="s">
        <v>35</v>
      </c>
      <c r="N6442" s="86" t="s">
        <v>3710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990"/>
        <v>957979.44000000006</v>
      </c>
      <c r="X6442" s="6">
        <f t="shared" si="991"/>
        <v>833664.07476635498</v>
      </c>
      <c r="Y6442" s="13">
        <f t="shared" si="995"/>
        <v>0</v>
      </c>
      <c r="Z6442" s="66">
        <v>0</v>
      </c>
      <c r="AA6442" s="6">
        <v>0</v>
      </c>
      <c r="AB6442" s="4">
        <f t="shared" si="996"/>
        <v>833664.07476635498</v>
      </c>
      <c r="AC6442" s="6">
        <f t="shared" si="994"/>
        <v>58356.485233644955</v>
      </c>
      <c r="AD6442" s="6">
        <f t="shared" si="992"/>
        <v>892020.55999999994</v>
      </c>
      <c r="AE6442" s="14">
        <v>0.06</v>
      </c>
      <c r="AF6442" s="6">
        <f t="shared" si="998"/>
        <v>53521.233599999992</v>
      </c>
      <c r="AG6442" s="14">
        <v>0</v>
      </c>
      <c r="AH6442" s="64">
        <f t="shared" si="993"/>
        <v>892020.55999999994</v>
      </c>
      <c r="AJ6442" s="126" t="e">
        <v>#N/A</v>
      </c>
      <c r="AK6442" s="80">
        <f t="shared" si="997"/>
        <v>0</v>
      </c>
      <c r="AL6442" s="85"/>
      <c r="AM6442" s="85"/>
    </row>
    <row r="6443" spans="1:39" s="86" customFormat="1" ht="13.25" hidden="1" customHeight="1" x14ac:dyDescent="0.3">
      <c r="A6443" s="89" t="s">
        <v>3794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47" t="str">
        <f t="shared" si="989"/>
        <v>巨量引擎-二类</v>
      </c>
      <c r="L6443" s="47" t="s">
        <v>35</v>
      </c>
      <c r="N6443" s="86" t="s">
        <v>3710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990"/>
        <v>2509331.3499999885</v>
      </c>
      <c r="X6443" s="6">
        <f t="shared" si="991"/>
        <v>5737714.6800000006</v>
      </c>
      <c r="Y6443" s="13">
        <f t="shared" si="995"/>
        <v>0</v>
      </c>
      <c r="Z6443" s="66">
        <v>0</v>
      </c>
      <c r="AA6443" s="6">
        <v>0</v>
      </c>
      <c r="AB6443" s="4">
        <f t="shared" si="996"/>
        <v>5737714.6800000006</v>
      </c>
      <c r="AC6443" s="6">
        <f t="shared" si="994"/>
        <v>344262.88080000004</v>
      </c>
      <c r="AD6443" s="6">
        <f t="shared" si="992"/>
        <v>5737714.6800000006</v>
      </c>
      <c r="AE6443" s="14">
        <v>0.06</v>
      </c>
      <c r="AF6443" s="6">
        <f t="shared" si="998"/>
        <v>344262.88080000004</v>
      </c>
      <c r="AG6443" s="14">
        <v>0</v>
      </c>
      <c r="AH6443" s="64">
        <f t="shared" si="993"/>
        <v>5737714.6800000006</v>
      </c>
      <c r="AJ6443" s="126" t="e">
        <v>#N/A</v>
      </c>
      <c r="AK6443" s="80">
        <f t="shared" si="997"/>
        <v>0</v>
      </c>
      <c r="AL6443" s="85"/>
      <c r="AM6443" s="85"/>
    </row>
    <row r="6444" spans="1:39" s="86" customFormat="1" ht="13.25" hidden="1" customHeight="1" x14ac:dyDescent="0.3">
      <c r="A6444" s="89" t="s">
        <v>3794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47" t="str">
        <f t="shared" si="989"/>
        <v>巨量引擎-二类</v>
      </c>
      <c r="L6444" s="47" t="s">
        <v>35</v>
      </c>
      <c r="N6444" s="86" t="s">
        <v>3710</v>
      </c>
      <c r="O6444" s="47" t="s">
        <v>45</v>
      </c>
      <c r="P6444" s="47" t="s">
        <v>41</v>
      </c>
      <c r="Q6444" s="14">
        <v>0</v>
      </c>
      <c r="R6444" s="143"/>
      <c r="S6444" s="47" t="s">
        <v>3937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990"/>
        <v>2889817.3200000003</v>
      </c>
      <c r="X6444" s="6">
        <f>V6444-8015.89</f>
        <v>609141.78999999992</v>
      </c>
      <c r="Y6444" s="13">
        <f t="shared" si="995"/>
        <v>0</v>
      </c>
      <c r="Z6444" s="66">
        <v>0</v>
      </c>
      <c r="AA6444" s="6">
        <v>0</v>
      </c>
      <c r="AB6444" s="4">
        <f t="shared" si="996"/>
        <v>609141.78999999992</v>
      </c>
      <c r="AC6444" s="6">
        <f t="shared" si="994"/>
        <v>8015.890000000014</v>
      </c>
      <c r="AD6444" s="6">
        <f t="shared" si="992"/>
        <v>617157.67999999993</v>
      </c>
      <c r="AE6444" s="14">
        <v>0.06</v>
      </c>
      <c r="AF6444" s="6">
        <f t="shared" si="998"/>
        <v>37029.460799999993</v>
      </c>
      <c r="AG6444" s="14">
        <v>0</v>
      </c>
      <c r="AH6444" s="64">
        <f t="shared" si="993"/>
        <v>617157.67999999993</v>
      </c>
      <c r="AJ6444" s="126" t="e">
        <v>#N/A</v>
      </c>
      <c r="AK6444" s="80">
        <f t="shared" si="997"/>
        <v>0</v>
      </c>
      <c r="AL6444" s="85"/>
      <c r="AM6444" s="85"/>
    </row>
    <row r="6445" spans="1:39" s="86" customFormat="1" ht="13.25" hidden="1" customHeight="1" x14ac:dyDescent="0.3">
      <c r="A6445" s="89" t="s">
        <v>3794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3755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47" t="str">
        <f t="shared" si="989"/>
        <v>巨量引擎-一类</v>
      </c>
      <c r="L6445" s="47" t="s">
        <v>35</v>
      </c>
      <c r="N6445" s="86" t="s">
        <v>3707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990"/>
        <v>555409.23</v>
      </c>
      <c r="X6445" s="6">
        <f t="shared" si="991"/>
        <v>1316050.8</v>
      </c>
      <c r="Y6445" s="13">
        <f t="shared" si="995"/>
        <v>0</v>
      </c>
      <c r="Z6445" s="66">
        <v>0</v>
      </c>
      <c r="AA6445" s="6">
        <v>0</v>
      </c>
      <c r="AB6445" s="4">
        <f t="shared" si="996"/>
        <v>1316050.8</v>
      </c>
      <c r="AC6445" s="6">
        <f t="shared" si="994"/>
        <v>0</v>
      </c>
      <c r="AD6445" s="6">
        <f t="shared" si="992"/>
        <v>1316050.8</v>
      </c>
      <c r="AE6445" s="14">
        <v>0.06</v>
      </c>
      <c r="AF6445" s="6">
        <f t="shared" si="998"/>
        <v>78963.047999999995</v>
      </c>
      <c r="AG6445" s="14">
        <v>0</v>
      </c>
      <c r="AH6445" s="64">
        <f t="shared" si="993"/>
        <v>1316050.8</v>
      </c>
      <c r="AJ6445" s="126" t="e">
        <v>#N/A</v>
      </c>
      <c r="AK6445" s="80">
        <f t="shared" si="997"/>
        <v>0</v>
      </c>
      <c r="AL6445" s="85"/>
      <c r="AM6445" s="85"/>
    </row>
    <row r="6446" spans="1:39" s="86" customFormat="1" ht="13.25" hidden="1" customHeight="1" x14ac:dyDescent="0.3">
      <c r="A6446" s="89" t="s">
        <v>3794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47" t="str">
        <f t="shared" si="989"/>
        <v>巨量引擎-一类</v>
      </c>
      <c r="L6446" s="47" t="s">
        <v>35</v>
      </c>
      <c r="N6446" s="86" t="s">
        <v>3707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990"/>
        <v>509397.14999999991</v>
      </c>
      <c r="X6446" s="6">
        <f t="shared" si="991"/>
        <v>804415.21568627446</v>
      </c>
      <c r="Y6446" s="13">
        <f t="shared" si="995"/>
        <v>0</v>
      </c>
      <c r="Z6446" s="66">
        <v>0</v>
      </c>
      <c r="AA6446" s="6">
        <v>0</v>
      </c>
      <c r="AB6446" s="4">
        <f t="shared" si="996"/>
        <v>804415.21568627446</v>
      </c>
      <c r="AC6446" s="6">
        <f t="shared" si="994"/>
        <v>16088.304313725559</v>
      </c>
      <c r="AD6446" s="6">
        <f t="shared" si="992"/>
        <v>820503.52</v>
      </c>
      <c r="AE6446" s="14">
        <v>0.06</v>
      </c>
      <c r="AF6446" s="6">
        <f t="shared" si="998"/>
        <v>49230.211199999998</v>
      </c>
      <c r="AG6446" s="14">
        <v>0</v>
      </c>
      <c r="AH6446" s="64">
        <f t="shared" si="993"/>
        <v>820503.52</v>
      </c>
      <c r="AJ6446" s="126" t="e">
        <v>#N/A</v>
      </c>
      <c r="AK6446" s="80">
        <f t="shared" si="997"/>
        <v>0</v>
      </c>
      <c r="AL6446" s="85"/>
      <c r="AM6446" s="85"/>
    </row>
    <row r="6447" spans="1:39" s="86" customFormat="1" ht="13.25" hidden="1" customHeight="1" x14ac:dyDescent="0.3">
      <c r="A6447" s="89" t="s">
        <v>3794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47" t="str">
        <f t="shared" si="989"/>
        <v>巨量引擎-二类</v>
      </c>
      <c r="L6447" s="47" t="s">
        <v>35</v>
      </c>
      <c r="N6447" s="86" t="s">
        <v>3710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990"/>
        <v>2795556.3200000003</v>
      </c>
      <c r="X6447" s="6">
        <f t="shared" si="991"/>
        <v>5958083.0500000007</v>
      </c>
      <c r="Y6447" s="13">
        <f t="shared" si="995"/>
        <v>0</v>
      </c>
      <c r="Z6447" s="66">
        <v>0</v>
      </c>
      <c r="AA6447" s="6">
        <v>0</v>
      </c>
      <c r="AB6447" s="4">
        <f t="shared" si="996"/>
        <v>5958083.0500000007</v>
      </c>
      <c r="AC6447" s="6">
        <f t="shared" si="994"/>
        <v>0</v>
      </c>
      <c r="AD6447" s="6">
        <f t="shared" si="992"/>
        <v>5958083.0500000007</v>
      </c>
      <c r="AE6447" s="14">
        <v>0.06</v>
      </c>
      <c r="AF6447" s="6">
        <f t="shared" si="998"/>
        <v>357484.98300000001</v>
      </c>
      <c r="AG6447" s="14">
        <v>0</v>
      </c>
      <c r="AH6447" s="64">
        <f t="shared" si="993"/>
        <v>5958083.0500000007</v>
      </c>
      <c r="AJ6447" s="126" t="e">
        <v>#N/A</v>
      </c>
      <c r="AK6447" s="80">
        <f t="shared" si="997"/>
        <v>0</v>
      </c>
      <c r="AL6447" s="85"/>
      <c r="AM6447" s="85"/>
    </row>
    <row r="6448" spans="1:39" s="86" customFormat="1" ht="13.25" hidden="1" customHeight="1" x14ac:dyDescent="0.3">
      <c r="A6448" s="89" t="s">
        <v>3794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47" t="str">
        <f t="shared" ref="K6448:K6511" si="999">N6448</f>
        <v>巨量引擎-三类</v>
      </c>
      <c r="L6448" s="47" t="s">
        <v>35</v>
      </c>
      <c r="N6448" s="86" t="s">
        <v>3712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00">T6448+U6448-V6448</f>
        <v>1050540.21</v>
      </c>
      <c r="X6448" s="6">
        <f t="shared" ref="X6448:X6511" si="1001">IF(P6448="折扣",V6448*Q6448,IF(P6448="返现",V6448,V6448/(1+Q6448)))</f>
        <v>748177.12745098036</v>
      </c>
      <c r="Y6448" s="13">
        <f t="shared" si="995"/>
        <v>0</v>
      </c>
      <c r="Z6448" s="66">
        <v>0</v>
      </c>
      <c r="AA6448" s="6">
        <v>0</v>
      </c>
      <c r="AB6448" s="4">
        <f t="shared" si="996"/>
        <v>748177.12745098036</v>
      </c>
      <c r="AC6448" s="6">
        <f t="shared" si="994"/>
        <v>14963.542549019563</v>
      </c>
      <c r="AD6448" s="6">
        <f t="shared" ref="AD6448:AD6511" si="1002">V6448</f>
        <v>763140.66999999993</v>
      </c>
      <c r="AE6448" s="14">
        <v>0.06</v>
      </c>
      <c r="AF6448" s="6">
        <f t="shared" si="998"/>
        <v>45788.440199999997</v>
      </c>
      <c r="AG6448" s="14">
        <v>0</v>
      </c>
      <c r="AH6448" s="64">
        <f t="shared" ref="AH6448:AH6511" si="1003">V6448</f>
        <v>763140.66999999993</v>
      </c>
      <c r="AJ6448" s="126" t="e">
        <v>#N/A</v>
      </c>
      <c r="AK6448" s="80">
        <f t="shared" si="997"/>
        <v>0</v>
      </c>
      <c r="AL6448" s="85"/>
      <c r="AM6448" s="85"/>
    </row>
    <row r="6449" spans="1:39" s="86" customFormat="1" ht="13.25" hidden="1" customHeight="1" x14ac:dyDescent="0.3">
      <c r="A6449" s="89" t="s">
        <v>3792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47" t="str">
        <f t="shared" si="999"/>
        <v>巨量引擎-三类</v>
      </c>
      <c r="L6449" s="47" t="s">
        <v>35</v>
      </c>
      <c r="N6449" s="86" t="s">
        <v>3712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00"/>
        <v>0</v>
      </c>
      <c r="X6449" s="6">
        <f t="shared" si="1001"/>
        <v>25490.196078431371</v>
      </c>
      <c r="Y6449" s="13">
        <f t="shared" si="995"/>
        <v>0</v>
      </c>
      <c r="Z6449" s="66">
        <v>0</v>
      </c>
      <c r="AA6449" s="6">
        <v>0</v>
      </c>
      <c r="AB6449" s="4">
        <f t="shared" si="996"/>
        <v>25490.196078431371</v>
      </c>
      <c r="AC6449" s="6">
        <f t="shared" si="994"/>
        <v>509.80392156862945</v>
      </c>
      <c r="AD6449" s="6">
        <f t="shared" si="1002"/>
        <v>26000</v>
      </c>
      <c r="AE6449" s="14">
        <v>0.06</v>
      </c>
      <c r="AF6449" s="6">
        <f t="shared" si="998"/>
        <v>1560</v>
      </c>
      <c r="AG6449" s="14">
        <v>0</v>
      </c>
      <c r="AH6449" s="64">
        <f t="shared" si="1003"/>
        <v>26000</v>
      </c>
      <c r="AJ6449" s="126" t="e">
        <v>#N/A</v>
      </c>
      <c r="AK6449" s="80">
        <f t="shared" si="997"/>
        <v>0</v>
      </c>
      <c r="AL6449" s="85"/>
      <c r="AM6449" s="85"/>
    </row>
    <row r="6450" spans="1:39" s="86" customFormat="1" ht="13.25" hidden="1" customHeight="1" x14ac:dyDescent="0.3">
      <c r="A6450" s="89" t="s">
        <v>3792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47" t="str">
        <f t="shared" si="999"/>
        <v>巨量引擎-二类</v>
      </c>
      <c r="L6450" s="47" t="s">
        <v>35</v>
      </c>
      <c r="N6450" s="86" t="s">
        <v>3710</v>
      </c>
      <c r="O6450" s="47" t="s">
        <v>45</v>
      </c>
      <c r="P6450" s="47" t="s">
        <v>46</v>
      </c>
      <c r="Q6450" s="14">
        <v>0.02</v>
      </c>
      <c r="R6450" s="143"/>
      <c r="S6450" s="47" t="s">
        <v>3938</v>
      </c>
      <c r="T6450" s="6">
        <v>0</v>
      </c>
      <c r="U6450" s="6">
        <v>447000</v>
      </c>
      <c r="V6450" s="6">
        <v>184.91</v>
      </c>
      <c r="W6450" s="6">
        <f t="shared" si="1000"/>
        <v>446815.09</v>
      </c>
      <c r="X6450" s="6">
        <f>(V6450-6000)/1.02</f>
        <v>-5701.0686274509808</v>
      </c>
      <c r="Y6450" s="13">
        <f t="shared" si="995"/>
        <v>0</v>
      </c>
      <c r="Z6450" s="66">
        <v>0</v>
      </c>
      <c r="AA6450" s="6">
        <v>0</v>
      </c>
      <c r="AB6450" s="4">
        <f t="shared" si="996"/>
        <v>-5701.0686274509808</v>
      </c>
      <c r="AC6450" s="6">
        <f t="shared" si="994"/>
        <v>5885.9786274509806</v>
      </c>
      <c r="AD6450" s="6">
        <f t="shared" si="1002"/>
        <v>184.91</v>
      </c>
      <c r="AE6450" s="14">
        <v>0.06</v>
      </c>
      <c r="AF6450" s="6">
        <f t="shared" si="998"/>
        <v>11.0946</v>
      </c>
      <c r="AG6450" s="14">
        <v>0</v>
      </c>
      <c r="AH6450" s="64">
        <f t="shared" si="1003"/>
        <v>184.91</v>
      </c>
      <c r="AJ6450" s="126" t="e">
        <v>#N/A</v>
      </c>
      <c r="AK6450" s="80">
        <f t="shared" si="997"/>
        <v>0</v>
      </c>
      <c r="AL6450" s="85"/>
      <c r="AM6450" s="85"/>
    </row>
    <row r="6451" spans="1:39" s="86" customFormat="1" ht="13.25" hidden="1" customHeight="1" x14ac:dyDescent="0.3">
      <c r="A6451" s="89" t="s">
        <v>3794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47" t="str">
        <f t="shared" si="999"/>
        <v>巨量引擎-二类</v>
      </c>
      <c r="L6451" s="47" t="s">
        <v>35</v>
      </c>
      <c r="N6451" s="86" t="s">
        <v>3710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00"/>
        <v>6605222.8599999752</v>
      </c>
      <c r="X6451" s="6">
        <f t="shared" si="1001"/>
        <v>387036.64356435637</v>
      </c>
      <c r="Y6451" s="13">
        <f t="shared" si="995"/>
        <v>0</v>
      </c>
      <c r="Z6451" s="66">
        <v>0</v>
      </c>
      <c r="AA6451" s="6">
        <v>0</v>
      </c>
      <c r="AB6451" s="4">
        <f t="shared" si="996"/>
        <v>387036.64356435637</v>
      </c>
      <c r="AC6451" s="6">
        <f t="shared" si="994"/>
        <v>3870.3664356435766</v>
      </c>
      <c r="AD6451" s="6">
        <f t="shared" si="1002"/>
        <v>390907.00999999995</v>
      </c>
      <c r="AE6451" s="14">
        <v>0.06</v>
      </c>
      <c r="AF6451" s="6">
        <f t="shared" si="998"/>
        <v>23454.420599999998</v>
      </c>
      <c r="AG6451" s="14">
        <v>0</v>
      </c>
      <c r="AH6451" s="64">
        <f t="shared" si="1003"/>
        <v>390907.00999999995</v>
      </c>
      <c r="AJ6451" s="126" t="e">
        <v>#N/A</v>
      </c>
      <c r="AK6451" s="80">
        <f t="shared" si="997"/>
        <v>0</v>
      </c>
      <c r="AL6451" s="85"/>
      <c r="AM6451" s="85"/>
    </row>
    <row r="6452" spans="1:39" s="86" customFormat="1" ht="13.25" hidden="1" customHeight="1" x14ac:dyDescent="0.3">
      <c r="A6452" s="89" t="s">
        <v>3792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999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00"/>
        <v>5949.5699999999833</v>
      </c>
      <c r="X6452" s="6">
        <f t="shared" si="1001"/>
        <v>8381.2500000000018</v>
      </c>
      <c r="Y6452" s="13">
        <f t="shared" si="995"/>
        <v>0</v>
      </c>
      <c r="Z6452" s="66">
        <v>0</v>
      </c>
      <c r="AA6452" s="6">
        <v>0</v>
      </c>
      <c r="AB6452" s="4">
        <f t="shared" si="996"/>
        <v>8381.2500000000018</v>
      </c>
      <c r="AC6452" s="6">
        <f t="shared" si="994"/>
        <v>0</v>
      </c>
      <c r="AD6452" s="6">
        <f t="shared" si="1002"/>
        <v>8381.2500000000018</v>
      </c>
      <c r="AE6452" s="14">
        <v>0.06</v>
      </c>
      <c r="AF6452" s="6">
        <f t="shared" si="998"/>
        <v>502.87500000000011</v>
      </c>
      <c r="AG6452" s="14">
        <v>0</v>
      </c>
      <c r="AH6452" s="64">
        <f t="shared" si="1003"/>
        <v>8381.2500000000018</v>
      </c>
      <c r="AJ6452" s="126" t="e">
        <v>#N/A</v>
      </c>
      <c r="AK6452" s="80">
        <f t="shared" si="997"/>
        <v>0</v>
      </c>
      <c r="AL6452" s="85"/>
      <c r="AM6452" s="85"/>
    </row>
    <row r="6453" spans="1:39" s="86" customFormat="1" ht="13.25" hidden="1" customHeight="1" x14ac:dyDescent="0.3">
      <c r="A6453" s="89" t="s">
        <v>3794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999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00"/>
        <v>1596310.9699999976</v>
      </c>
      <c r="X6453" s="6">
        <f t="shared" si="1001"/>
        <v>1083859.5728155335</v>
      </c>
      <c r="Y6453" s="13">
        <f t="shared" si="995"/>
        <v>0</v>
      </c>
      <c r="Z6453" s="66">
        <v>0</v>
      </c>
      <c r="AA6453" s="6">
        <v>0</v>
      </c>
      <c r="AB6453" s="4">
        <f t="shared" si="996"/>
        <v>1083859.5728155335</v>
      </c>
      <c r="AC6453" s="6">
        <f t="shared" si="994"/>
        <v>32515.787184466142</v>
      </c>
      <c r="AD6453" s="6">
        <f t="shared" si="1002"/>
        <v>1116375.3599999996</v>
      </c>
      <c r="AE6453" s="14">
        <v>0.06</v>
      </c>
      <c r="AF6453" s="6">
        <f t="shared" si="998"/>
        <v>66982.521599999978</v>
      </c>
      <c r="AG6453" s="14">
        <v>0</v>
      </c>
      <c r="AH6453" s="64">
        <f t="shared" si="1003"/>
        <v>1116375.3599999996</v>
      </c>
      <c r="AJ6453" s="126" t="e">
        <v>#N/A</v>
      </c>
      <c r="AK6453" s="80">
        <f t="shared" si="997"/>
        <v>0</v>
      </c>
      <c r="AL6453" s="85"/>
      <c r="AM6453" s="85"/>
    </row>
    <row r="6454" spans="1:39" s="86" customFormat="1" ht="13.25" hidden="1" customHeight="1" x14ac:dyDescent="0.3">
      <c r="A6454" s="89" t="s">
        <v>3794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999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00"/>
        <v>1.862645149230957E-9</v>
      </c>
      <c r="X6454" s="6">
        <f t="shared" si="1001"/>
        <v>0</v>
      </c>
      <c r="Y6454" s="13">
        <f t="shared" si="995"/>
        <v>0</v>
      </c>
      <c r="Z6454" s="66">
        <v>0</v>
      </c>
      <c r="AA6454" s="6">
        <v>0</v>
      </c>
      <c r="AB6454" s="4">
        <f t="shared" si="996"/>
        <v>0</v>
      </c>
      <c r="AC6454" s="6">
        <f t="shared" si="994"/>
        <v>0</v>
      </c>
      <c r="AD6454" s="6">
        <f t="shared" si="1002"/>
        <v>0</v>
      </c>
      <c r="AE6454" s="14">
        <v>0.06</v>
      </c>
      <c r="AF6454" s="6">
        <f t="shared" si="998"/>
        <v>0</v>
      </c>
      <c r="AG6454" s="14">
        <v>0</v>
      </c>
      <c r="AH6454" s="64">
        <f t="shared" si="1003"/>
        <v>0</v>
      </c>
      <c r="AJ6454" s="126" t="e">
        <v>#N/A</v>
      </c>
      <c r="AK6454" s="80">
        <f t="shared" si="997"/>
        <v>0</v>
      </c>
      <c r="AL6454" s="85"/>
      <c r="AM6454" s="85"/>
    </row>
    <row r="6455" spans="1:39" s="86" customFormat="1" ht="13.25" hidden="1" customHeight="1" x14ac:dyDescent="0.3">
      <c r="A6455" s="89" t="s">
        <v>3794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47" t="str">
        <f t="shared" si="999"/>
        <v>巨量引擎-三类</v>
      </c>
      <c r="L6455" s="47" t="s">
        <v>35</v>
      </c>
      <c r="N6455" s="86" t="s">
        <v>3939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01"/>
        <v>24821.77227722777</v>
      </c>
      <c r="Y6455" s="13">
        <f t="shared" si="995"/>
        <v>0</v>
      </c>
      <c r="Z6455" s="66">
        <v>0</v>
      </c>
      <c r="AA6455" s="6">
        <v>0</v>
      </c>
      <c r="AB6455" s="4">
        <f t="shared" si="996"/>
        <v>24821.77227722777</v>
      </c>
      <c r="AC6455" s="6">
        <f t="shared" si="994"/>
        <v>248.21772277227865</v>
      </c>
      <c r="AD6455" s="6">
        <f t="shared" si="1002"/>
        <v>25069.990000000049</v>
      </c>
      <c r="AE6455" s="14">
        <v>0.06</v>
      </c>
      <c r="AF6455" s="6">
        <f t="shared" si="998"/>
        <v>1504.1994000000029</v>
      </c>
      <c r="AG6455" s="14">
        <v>0</v>
      </c>
      <c r="AH6455" s="64">
        <f t="shared" si="1003"/>
        <v>25069.990000000049</v>
      </c>
      <c r="AJ6455" s="126" t="e">
        <v>#N/A</v>
      </c>
      <c r="AK6455" s="80">
        <f t="shared" si="997"/>
        <v>0</v>
      </c>
      <c r="AL6455" s="85"/>
      <c r="AM6455" s="85"/>
    </row>
    <row r="6456" spans="1:39" s="86" customFormat="1" ht="13.25" hidden="1" customHeight="1" x14ac:dyDescent="0.3">
      <c r="A6456" s="89" t="s">
        <v>3794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47" t="str">
        <f t="shared" si="999"/>
        <v>巨量引擎-三类</v>
      </c>
      <c r="L6456" s="47" t="s">
        <v>35</v>
      </c>
      <c r="N6456" s="86" t="s">
        <v>3940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00"/>
        <v>0</v>
      </c>
      <c r="X6456" s="6">
        <f t="shared" si="1001"/>
        <v>-25069.99</v>
      </c>
      <c r="Y6456" s="13">
        <f t="shared" si="995"/>
        <v>0</v>
      </c>
      <c r="Z6456" s="66">
        <v>0</v>
      </c>
      <c r="AA6456" s="6">
        <v>0</v>
      </c>
      <c r="AB6456" s="4">
        <f t="shared" si="996"/>
        <v>-25069.99</v>
      </c>
      <c r="AC6456" s="6">
        <f t="shared" si="994"/>
        <v>0</v>
      </c>
      <c r="AD6456" s="6">
        <f t="shared" si="1002"/>
        <v>-25069.99</v>
      </c>
      <c r="AE6456" s="14">
        <v>0.06</v>
      </c>
      <c r="AF6456" s="6">
        <f t="shared" si="998"/>
        <v>-1504.1994</v>
      </c>
      <c r="AG6456" s="14">
        <v>0</v>
      </c>
      <c r="AH6456" s="64">
        <f t="shared" si="1003"/>
        <v>-25069.99</v>
      </c>
      <c r="AJ6456" s="126" t="e">
        <v>#N/A</v>
      </c>
      <c r="AK6456" s="80">
        <f t="shared" si="997"/>
        <v>0</v>
      </c>
      <c r="AL6456" s="85"/>
      <c r="AM6456" s="85"/>
    </row>
    <row r="6457" spans="1:39" s="86" customFormat="1" ht="13.25" hidden="1" customHeight="1" x14ac:dyDescent="0.3">
      <c r="A6457" s="89" t="s">
        <v>3792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999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00"/>
        <v>0</v>
      </c>
      <c r="X6457" s="6">
        <f t="shared" si="1001"/>
        <v>0</v>
      </c>
      <c r="Y6457" s="13">
        <f t="shared" si="995"/>
        <v>0</v>
      </c>
      <c r="Z6457" s="66">
        <v>0</v>
      </c>
      <c r="AA6457" s="6">
        <v>0</v>
      </c>
      <c r="AB6457" s="4">
        <f t="shared" si="996"/>
        <v>0</v>
      </c>
      <c r="AC6457" s="6">
        <f t="shared" si="994"/>
        <v>0</v>
      </c>
      <c r="AD6457" s="6">
        <f t="shared" si="1002"/>
        <v>0</v>
      </c>
      <c r="AE6457" s="14">
        <v>0.06</v>
      </c>
      <c r="AF6457" s="6">
        <f t="shared" si="998"/>
        <v>0</v>
      </c>
      <c r="AG6457" s="14">
        <v>0</v>
      </c>
      <c r="AH6457" s="64">
        <f t="shared" si="1003"/>
        <v>0</v>
      </c>
      <c r="AJ6457" s="126" t="e">
        <v>#N/A</v>
      </c>
      <c r="AK6457" s="80">
        <f t="shared" si="997"/>
        <v>0</v>
      </c>
      <c r="AL6457" s="85"/>
      <c r="AM6457" s="85"/>
    </row>
    <row r="6458" spans="1:39" s="86" customFormat="1" ht="13.25" hidden="1" customHeight="1" x14ac:dyDescent="0.3">
      <c r="A6458" s="89" t="s">
        <v>3792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47" t="str">
        <f t="shared" si="999"/>
        <v>巨量引擎-一类</v>
      </c>
      <c r="L6458" s="47" t="s">
        <v>35</v>
      </c>
      <c r="N6458" s="86" t="s">
        <v>3707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00"/>
        <v>40224.160000000003</v>
      </c>
      <c r="X6458" s="6">
        <f t="shared" si="1001"/>
        <v>58603.76470588235</v>
      </c>
      <c r="Y6458" s="13">
        <f t="shared" si="995"/>
        <v>0</v>
      </c>
      <c r="Z6458" s="66">
        <v>0</v>
      </c>
      <c r="AA6458" s="6">
        <v>0</v>
      </c>
      <c r="AB6458" s="4">
        <f t="shared" si="996"/>
        <v>58603.76470588235</v>
      </c>
      <c r="AC6458" s="6">
        <f t="shared" si="994"/>
        <v>1172.075294117647</v>
      </c>
      <c r="AD6458" s="6">
        <f t="shared" si="1002"/>
        <v>59775.839999999997</v>
      </c>
      <c r="AE6458" s="14">
        <v>0.06</v>
      </c>
      <c r="AF6458" s="6">
        <f t="shared" si="998"/>
        <v>3586.5503999999996</v>
      </c>
      <c r="AG6458" s="14">
        <v>0</v>
      </c>
      <c r="AH6458" s="64">
        <f t="shared" si="1003"/>
        <v>59775.839999999997</v>
      </c>
      <c r="AJ6458" s="126" t="e">
        <v>#N/A</v>
      </c>
      <c r="AK6458" s="80">
        <f t="shared" si="997"/>
        <v>0</v>
      </c>
      <c r="AL6458" s="85"/>
      <c r="AM6458" s="85"/>
    </row>
    <row r="6459" spans="1:39" s="86" customFormat="1" ht="13.25" hidden="1" customHeight="1" x14ac:dyDescent="0.3">
      <c r="A6459" s="89" t="s">
        <v>3794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47" t="str">
        <f t="shared" si="999"/>
        <v>巨量引擎-一类平台/电商</v>
      </c>
      <c r="L6459" s="47" t="s">
        <v>35</v>
      </c>
      <c r="N6459" s="86" t="s">
        <v>3718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00"/>
        <v>2465362.629999999</v>
      </c>
      <c r="X6459" s="6">
        <f t="shared" si="1001"/>
        <v>4264637.370000001</v>
      </c>
      <c r="Y6459" s="13">
        <f t="shared" si="995"/>
        <v>0</v>
      </c>
      <c r="Z6459" s="66">
        <v>0</v>
      </c>
      <c r="AA6459" s="6">
        <v>0</v>
      </c>
      <c r="AB6459" s="4">
        <f t="shared" si="996"/>
        <v>4264637.370000001</v>
      </c>
      <c r="AC6459" s="6">
        <f t="shared" si="994"/>
        <v>0</v>
      </c>
      <c r="AD6459" s="6">
        <f t="shared" si="1002"/>
        <v>4264637.370000001</v>
      </c>
      <c r="AE6459" s="14">
        <v>0.06</v>
      </c>
      <c r="AF6459" s="6">
        <f t="shared" si="998"/>
        <v>255878.24220000007</v>
      </c>
      <c r="AG6459" s="14">
        <v>0</v>
      </c>
      <c r="AH6459" s="64">
        <f t="shared" si="1003"/>
        <v>4264637.370000001</v>
      </c>
      <c r="AJ6459" s="126" t="e">
        <v>#N/A</v>
      </c>
      <c r="AK6459" s="80">
        <f t="shared" si="997"/>
        <v>0</v>
      </c>
      <c r="AL6459" s="85"/>
      <c r="AM6459" s="85"/>
    </row>
    <row r="6460" spans="1:39" s="86" customFormat="1" ht="13.25" hidden="1" customHeight="1" x14ac:dyDescent="0.3">
      <c r="A6460" s="89" t="s">
        <v>3792</v>
      </c>
      <c r="B6460" s="86" t="s">
        <v>35</v>
      </c>
      <c r="C6460" s="86" t="s">
        <v>184</v>
      </c>
      <c r="D6460" s="86" t="s">
        <v>54</v>
      </c>
      <c r="E6460" s="86" t="s">
        <v>3941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999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00"/>
        <v>7838.7299999999814</v>
      </c>
      <c r="X6460" s="6">
        <f t="shared" si="1001"/>
        <v>0</v>
      </c>
      <c r="Y6460" s="13">
        <f t="shared" si="995"/>
        <v>0</v>
      </c>
      <c r="Z6460" s="66">
        <v>0</v>
      </c>
      <c r="AA6460" s="6">
        <v>0</v>
      </c>
      <c r="AB6460" s="4">
        <f t="shared" si="996"/>
        <v>0</v>
      </c>
      <c r="AC6460" s="6">
        <f t="shared" si="994"/>
        <v>0</v>
      </c>
      <c r="AD6460" s="6">
        <f t="shared" si="1002"/>
        <v>0</v>
      </c>
      <c r="AE6460" s="14">
        <v>0.06</v>
      </c>
      <c r="AF6460" s="6">
        <f t="shared" si="998"/>
        <v>0</v>
      </c>
      <c r="AG6460" s="14">
        <v>0</v>
      </c>
      <c r="AH6460" s="64">
        <f t="shared" si="1003"/>
        <v>0</v>
      </c>
      <c r="AJ6460" s="126" t="e">
        <v>#N/A</v>
      </c>
      <c r="AK6460" s="80">
        <f t="shared" si="997"/>
        <v>0</v>
      </c>
      <c r="AL6460" s="85"/>
      <c r="AM6460" s="85"/>
    </row>
    <row r="6461" spans="1:39" s="86" customFormat="1" ht="13.25" hidden="1" customHeight="1" x14ac:dyDescent="0.3">
      <c r="A6461" s="89" t="s">
        <v>3792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47" t="str">
        <f t="shared" si="999"/>
        <v>巨量引擎-二类</v>
      </c>
      <c r="L6461" s="47" t="s">
        <v>35</v>
      </c>
      <c r="N6461" s="86" t="s">
        <v>3710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00"/>
        <v>19255758.060000002</v>
      </c>
      <c r="X6461" s="6">
        <f t="shared" si="1001"/>
        <v>3913.0871212121215</v>
      </c>
      <c r="Y6461" s="13">
        <f t="shared" si="995"/>
        <v>0</v>
      </c>
      <c r="Z6461" s="66">
        <v>0</v>
      </c>
      <c r="AA6461" s="6">
        <v>0</v>
      </c>
      <c r="AB6461" s="4">
        <f t="shared" si="996"/>
        <v>3913.0871212121215</v>
      </c>
      <c r="AC6461" s="6">
        <f t="shared" si="994"/>
        <v>219.13287878787878</v>
      </c>
      <c r="AD6461" s="6">
        <f t="shared" si="1002"/>
        <v>4132.22</v>
      </c>
      <c r="AE6461" s="14">
        <v>0.06</v>
      </c>
      <c r="AF6461" s="6">
        <f t="shared" si="998"/>
        <v>247.9332</v>
      </c>
      <c r="AG6461" s="14">
        <v>0</v>
      </c>
      <c r="AH6461" s="64">
        <f t="shared" si="1003"/>
        <v>4132.22</v>
      </c>
      <c r="AJ6461" s="126" t="e">
        <v>#N/A</v>
      </c>
      <c r="AK6461" s="80">
        <f t="shared" si="997"/>
        <v>0</v>
      </c>
      <c r="AL6461" s="85"/>
      <c r="AM6461" s="85"/>
    </row>
    <row r="6462" spans="1:39" s="86" customFormat="1" ht="13.25" hidden="1" customHeight="1" x14ac:dyDescent="0.3">
      <c r="A6462" s="89" t="s">
        <v>3792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47" t="str">
        <f t="shared" si="999"/>
        <v>巨量引擎-一类平台/电商</v>
      </c>
      <c r="L6462" s="47" t="s">
        <v>35</v>
      </c>
      <c r="N6462" s="86" t="s">
        <v>3718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00"/>
        <v>4076015.1699999832</v>
      </c>
      <c r="X6462" s="6">
        <f t="shared" si="1001"/>
        <v>13524140.150000002</v>
      </c>
      <c r="Y6462" s="13">
        <f t="shared" si="995"/>
        <v>0</v>
      </c>
      <c r="Z6462" s="66">
        <v>0</v>
      </c>
      <c r="AA6462" s="6">
        <v>0</v>
      </c>
      <c r="AB6462" s="4">
        <f t="shared" si="996"/>
        <v>13524140.150000002</v>
      </c>
      <c r="AC6462" s="6">
        <f t="shared" ref="AC6462:AC6525" si="1004">IF(P6462="返现",X6462*Q6462,V6462-X6462)</f>
        <v>0</v>
      </c>
      <c r="AD6462" s="6">
        <f t="shared" si="1002"/>
        <v>13524140.150000002</v>
      </c>
      <c r="AE6462" s="14">
        <v>0.06</v>
      </c>
      <c r="AF6462" s="6">
        <f t="shared" si="998"/>
        <v>811448.4090000001</v>
      </c>
      <c r="AG6462" s="14">
        <v>0</v>
      </c>
      <c r="AH6462" s="64">
        <f t="shared" si="1003"/>
        <v>13524140.150000002</v>
      </c>
      <c r="AJ6462" s="126" t="e">
        <v>#N/A</v>
      </c>
      <c r="AK6462" s="80">
        <f t="shared" si="997"/>
        <v>0</v>
      </c>
      <c r="AL6462" s="85"/>
      <c r="AM6462" s="85"/>
    </row>
    <row r="6463" spans="1:39" s="86" customFormat="1" ht="13.25" hidden="1" customHeight="1" x14ac:dyDescent="0.3">
      <c r="A6463" s="89" t="s">
        <v>3794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47" t="str">
        <f t="shared" si="999"/>
        <v>巨量引擎-一类平台/电商</v>
      </c>
      <c r="L6463" s="47" t="s">
        <v>35</v>
      </c>
      <c r="N6463" s="86" t="s">
        <v>3718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00"/>
        <v>-1394875.01</v>
      </c>
      <c r="X6463" s="6">
        <f t="shared" si="1001"/>
        <v>1013373.51</v>
      </c>
      <c r="Y6463" s="13">
        <f t="shared" si="995"/>
        <v>0</v>
      </c>
      <c r="Z6463" s="66">
        <v>0</v>
      </c>
      <c r="AA6463" s="6">
        <v>0</v>
      </c>
      <c r="AB6463" s="4">
        <f t="shared" si="996"/>
        <v>1013373.51</v>
      </c>
      <c r="AC6463" s="6">
        <f t="shared" si="1004"/>
        <v>0</v>
      </c>
      <c r="AD6463" s="6">
        <f t="shared" si="1002"/>
        <v>1013373.51</v>
      </c>
      <c r="AE6463" s="14">
        <v>0.06</v>
      </c>
      <c r="AF6463" s="6">
        <f t="shared" si="998"/>
        <v>60802.410599999996</v>
      </c>
      <c r="AG6463" s="14">
        <v>0</v>
      </c>
      <c r="AH6463" s="64">
        <f t="shared" si="1003"/>
        <v>1013373.51</v>
      </c>
      <c r="AJ6463" s="126" t="e">
        <v>#N/A</v>
      </c>
      <c r="AK6463" s="80">
        <f t="shared" si="997"/>
        <v>0</v>
      </c>
      <c r="AL6463" s="85"/>
      <c r="AM6463" s="85"/>
    </row>
    <row r="6464" spans="1:39" s="86" customFormat="1" ht="13.25" hidden="1" customHeight="1" x14ac:dyDescent="0.3">
      <c r="A6464" s="89" t="s">
        <v>3794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47" t="str">
        <f t="shared" si="999"/>
        <v>巨量引擎-一类平台/电商</v>
      </c>
      <c r="L6464" s="47" t="s">
        <v>35</v>
      </c>
      <c r="N6464" s="86" t="s">
        <v>3718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00"/>
        <v>793786.09000000008</v>
      </c>
      <c r="X6464" s="6">
        <f t="shared" si="1001"/>
        <v>442666.12689393939</v>
      </c>
      <c r="Y6464" s="13">
        <f t="shared" si="995"/>
        <v>0</v>
      </c>
      <c r="Z6464" s="66">
        <v>0</v>
      </c>
      <c r="AA6464" s="6">
        <v>0</v>
      </c>
      <c r="AB6464" s="4">
        <f t="shared" si="996"/>
        <v>442666.12689393939</v>
      </c>
      <c r="AC6464" s="6">
        <f t="shared" si="1004"/>
        <v>24789.303106060601</v>
      </c>
      <c r="AD6464" s="6">
        <f t="shared" si="1002"/>
        <v>467455.43</v>
      </c>
      <c r="AE6464" s="14">
        <v>0.06</v>
      </c>
      <c r="AF6464" s="6">
        <f t="shared" si="998"/>
        <v>28047.325799999999</v>
      </c>
      <c r="AG6464" s="14">
        <v>0</v>
      </c>
      <c r="AH6464" s="64">
        <f t="shared" si="1003"/>
        <v>467455.43</v>
      </c>
      <c r="AJ6464" s="126" t="e">
        <v>#N/A</v>
      </c>
      <c r="AK6464" s="80">
        <f t="shared" si="997"/>
        <v>0</v>
      </c>
      <c r="AL6464" s="85"/>
      <c r="AM6464" s="85"/>
    </row>
    <row r="6465" spans="1:39" s="86" customFormat="1" ht="13.25" hidden="1" customHeight="1" x14ac:dyDescent="0.3">
      <c r="A6465" s="89" t="s">
        <v>3794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47" t="str">
        <f t="shared" si="999"/>
        <v>巨量引擎-一类</v>
      </c>
      <c r="L6465" s="47" t="s">
        <v>35</v>
      </c>
      <c r="N6465" s="86" t="s">
        <v>3707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00"/>
        <v>1166575.5100000007</v>
      </c>
      <c r="X6465" s="6">
        <f t="shared" si="1001"/>
        <v>2951794.96</v>
      </c>
      <c r="Y6465" s="13">
        <f t="shared" si="995"/>
        <v>0</v>
      </c>
      <c r="Z6465" s="66">
        <v>0</v>
      </c>
      <c r="AA6465" s="6">
        <v>0</v>
      </c>
      <c r="AB6465" s="4">
        <f t="shared" si="996"/>
        <v>2951794.96</v>
      </c>
      <c r="AC6465" s="6">
        <f t="shared" si="1004"/>
        <v>0</v>
      </c>
      <c r="AD6465" s="6">
        <f t="shared" si="1002"/>
        <v>2951794.96</v>
      </c>
      <c r="AE6465" s="14">
        <v>0.06</v>
      </c>
      <c r="AF6465" s="6">
        <f t="shared" si="998"/>
        <v>177107.69759999998</v>
      </c>
      <c r="AG6465" s="14">
        <v>0</v>
      </c>
      <c r="AH6465" s="64">
        <f t="shared" si="1003"/>
        <v>2951794.96</v>
      </c>
      <c r="AJ6465" s="126" t="e">
        <v>#N/A</v>
      </c>
      <c r="AK6465" s="80">
        <f t="shared" si="997"/>
        <v>0</v>
      </c>
      <c r="AL6465" s="85"/>
      <c r="AM6465" s="85"/>
    </row>
    <row r="6466" spans="1:39" s="86" customFormat="1" ht="13.25" hidden="1" customHeight="1" x14ac:dyDescent="0.3">
      <c r="A6466" s="89" t="s">
        <v>3792</v>
      </c>
      <c r="B6466" s="86" t="s">
        <v>35</v>
      </c>
      <c r="C6466" s="86" t="s">
        <v>184</v>
      </c>
      <c r="D6466" s="86" t="s">
        <v>54</v>
      </c>
      <c r="E6466" s="86" t="s">
        <v>3942</v>
      </c>
      <c r="F6466" s="86" t="s">
        <v>3942</v>
      </c>
      <c r="G6466" s="86" t="s">
        <v>3942</v>
      </c>
      <c r="H6466" s="144">
        <v>229</v>
      </c>
      <c r="I6466" s="86" t="s">
        <v>3356</v>
      </c>
      <c r="J6466" s="47" t="s">
        <v>3326</v>
      </c>
      <c r="K6466" s="47" t="str">
        <f t="shared" si="999"/>
        <v>巨量引擎-一类</v>
      </c>
      <c r="L6466" s="47" t="s">
        <v>35</v>
      </c>
      <c r="N6466" s="86" t="s">
        <v>3707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00"/>
        <v>254934.8</v>
      </c>
      <c r="X6466" s="6">
        <f t="shared" si="1001"/>
        <v>95065.200000000012</v>
      </c>
      <c r="Y6466" s="13">
        <f t="shared" si="995"/>
        <v>0</v>
      </c>
      <c r="Z6466" s="66">
        <v>0</v>
      </c>
      <c r="AA6466" s="6">
        <v>0</v>
      </c>
      <c r="AB6466" s="4">
        <f t="shared" si="996"/>
        <v>95065.200000000012</v>
      </c>
      <c r="AC6466" s="6">
        <f t="shared" si="1004"/>
        <v>0</v>
      </c>
      <c r="AD6466" s="6">
        <f t="shared" si="1002"/>
        <v>95065.200000000012</v>
      </c>
      <c r="AE6466" s="14">
        <v>0.06</v>
      </c>
      <c r="AF6466" s="6">
        <f t="shared" si="998"/>
        <v>5703.9120000000003</v>
      </c>
      <c r="AG6466" s="14">
        <v>0</v>
      </c>
      <c r="AH6466" s="64">
        <f t="shared" si="1003"/>
        <v>95065.200000000012</v>
      </c>
      <c r="AJ6466" s="126" t="e">
        <v>#N/A</v>
      </c>
      <c r="AK6466" s="80">
        <f t="shared" si="997"/>
        <v>0</v>
      </c>
      <c r="AL6466" s="85"/>
      <c r="AM6466" s="85"/>
    </row>
    <row r="6467" spans="1:39" s="86" customFormat="1" ht="13.25" hidden="1" customHeight="1" x14ac:dyDescent="0.3">
      <c r="A6467" s="89" t="s">
        <v>3792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47" t="str">
        <f t="shared" si="999"/>
        <v>巨量引擎-一类</v>
      </c>
      <c r="L6467" s="47" t="s">
        <v>35</v>
      </c>
      <c r="N6467" s="86" t="s">
        <v>3707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00"/>
        <v>94763.74</v>
      </c>
      <c r="X6467" s="6">
        <f t="shared" si="1001"/>
        <v>5236.26</v>
      </c>
      <c r="Y6467" s="13">
        <f t="shared" ref="Y6467:Y6530" si="1005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06">X6467+AA6467</f>
        <v>5236.26</v>
      </c>
      <c r="AC6467" s="6">
        <f t="shared" si="1004"/>
        <v>0</v>
      </c>
      <c r="AD6467" s="6">
        <f t="shared" si="1002"/>
        <v>5236.26</v>
      </c>
      <c r="AE6467" s="14">
        <v>0.06</v>
      </c>
      <c r="AF6467" s="6">
        <f t="shared" si="998"/>
        <v>314.17559999999997</v>
      </c>
      <c r="AG6467" s="14">
        <v>0</v>
      </c>
      <c r="AH6467" s="64">
        <f t="shared" si="1003"/>
        <v>5236.26</v>
      </c>
      <c r="AJ6467" s="126" t="e">
        <v>#N/A</v>
      </c>
      <c r="AK6467" s="80">
        <f t="shared" ref="AK6467:AK6530" si="1007">X6467+AA6467-AB6467</f>
        <v>0</v>
      </c>
      <c r="AL6467" s="85"/>
      <c r="AM6467" s="85"/>
    </row>
    <row r="6468" spans="1:39" s="86" customFormat="1" ht="13.25" hidden="1" customHeight="1" x14ac:dyDescent="0.3">
      <c r="A6468" s="89" t="s">
        <v>3792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47" t="str">
        <f t="shared" si="999"/>
        <v>巨量引擎-一类平台/电商</v>
      </c>
      <c r="L6468" s="47" t="s">
        <v>35</v>
      </c>
      <c r="N6468" s="86" t="s">
        <v>3718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00"/>
        <v>4603165.8499999978</v>
      </c>
      <c r="X6468" s="6">
        <f t="shared" si="1001"/>
        <v>13197589.759999998</v>
      </c>
      <c r="Y6468" s="13">
        <f t="shared" si="1005"/>
        <v>0</v>
      </c>
      <c r="Z6468" s="66">
        <v>0</v>
      </c>
      <c r="AA6468" s="6">
        <v>0</v>
      </c>
      <c r="AB6468" s="4">
        <f t="shared" si="1006"/>
        <v>13197589.759999998</v>
      </c>
      <c r="AC6468" s="6">
        <f t="shared" si="1004"/>
        <v>0</v>
      </c>
      <c r="AD6468" s="6">
        <f t="shared" si="1002"/>
        <v>13197589.759999998</v>
      </c>
      <c r="AE6468" s="14">
        <v>0.06</v>
      </c>
      <c r="AF6468" s="6">
        <f t="shared" si="998"/>
        <v>791855.3855999998</v>
      </c>
      <c r="AG6468" s="14">
        <v>0</v>
      </c>
      <c r="AH6468" s="64">
        <f t="shared" si="1003"/>
        <v>13197589.759999998</v>
      </c>
      <c r="AJ6468" s="126" t="e">
        <v>#N/A</v>
      </c>
      <c r="AK6468" s="80">
        <f t="shared" si="1007"/>
        <v>0</v>
      </c>
      <c r="AL6468" s="85"/>
      <c r="AM6468" s="85"/>
    </row>
    <row r="6469" spans="1:39" s="86" customFormat="1" ht="13.25" hidden="1" customHeight="1" x14ac:dyDescent="0.3">
      <c r="A6469" s="89" t="s">
        <v>3794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47" t="str">
        <f t="shared" si="999"/>
        <v>巨量引擎-一类平台/电商</v>
      </c>
      <c r="L6469" s="47" t="s">
        <v>35</v>
      </c>
      <c r="N6469" s="86" t="s">
        <v>3718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00"/>
        <v>-264033.85000000009</v>
      </c>
      <c r="X6469" s="6">
        <f t="shared" si="1001"/>
        <v>1493895.8399999999</v>
      </c>
      <c r="Y6469" s="13">
        <f t="shared" si="1005"/>
        <v>0</v>
      </c>
      <c r="Z6469" s="66">
        <v>0</v>
      </c>
      <c r="AA6469" s="6">
        <v>0</v>
      </c>
      <c r="AB6469" s="4">
        <f t="shared" si="1006"/>
        <v>1493895.8399999999</v>
      </c>
      <c r="AC6469" s="6">
        <f t="shared" si="1004"/>
        <v>0</v>
      </c>
      <c r="AD6469" s="6">
        <f t="shared" si="1002"/>
        <v>1493895.8399999999</v>
      </c>
      <c r="AE6469" s="14">
        <v>0.06</v>
      </c>
      <c r="AF6469" s="6">
        <f t="shared" si="998"/>
        <v>89633.75039999999</v>
      </c>
      <c r="AG6469" s="14">
        <v>0</v>
      </c>
      <c r="AH6469" s="64">
        <f t="shared" si="1003"/>
        <v>1493895.8399999999</v>
      </c>
      <c r="AJ6469" s="126" t="e">
        <v>#N/A</v>
      </c>
      <c r="AK6469" s="80">
        <f t="shared" si="1007"/>
        <v>0</v>
      </c>
      <c r="AL6469" s="85"/>
      <c r="AM6469" s="85"/>
    </row>
    <row r="6470" spans="1:39" s="86" customFormat="1" ht="13.25" hidden="1" customHeight="1" x14ac:dyDescent="0.3">
      <c r="A6470" s="89" t="s">
        <v>3794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999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00"/>
        <v>-3.2014213502407074E-10</v>
      </c>
      <c r="X6470" s="6">
        <f t="shared" si="1001"/>
        <v>0</v>
      </c>
      <c r="Y6470" s="13">
        <f t="shared" si="1005"/>
        <v>0</v>
      </c>
      <c r="Z6470" s="66">
        <v>0</v>
      </c>
      <c r="AA6470" s="6">
        <v>0</v>
      </c>
      <c r="AB6470" s="4">
        <f t="shared" si="1006"/>
        <v>0</v>
      </c>
      <c r="AC6470" s="6">
        <f t="shared" si="1004"/>
        <v>0</v>
      </c>
      <c r="AD6470" s="6">
        <f t="shared" si="1002"/>
        <v>0</v>
      </c>
      <c r="AE6470" s="14">
        <v>0.06</v>
      </c>
      <c r="AF6470" s="6">
        <f t="shared" si="998"/>
        <v>0</v>
      </c>
      <c r="AG6470" s="14">
        <v>0</v>
      </c>
      <c r="AH6470" s="64">
        <f t="shared" si="1003"/>
        <v>0</v>
      </c>
      <c r="AJ6470" s="126" t="e">
        <v>#N/A</v>
      </c>
      <c r="AK6470" s="80">
        <f t="shared" si="1007"/>
        <v>0</v>
      </c>
      <c r="AL6470" s="85"/>
      <c r="AM6470" s="85"/>
    </row>
    <row r="6471" spans="1:39" s="86" customFormat="1" ht="13.25" hidden="1" customHeight="1" x14ac:dyDescent="0.3">
      <c r="A6471" s="89" t="s">
        <v>3792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47" t="str">
        <f t="shared" si="999"/>
        <v>巨量引擎-三类</v>
      </c>
      <c r="L6471" s="47" t="s">
        <v>35</v>
      </c>
      <c r="N6471" s="86" t="s">
        <v>3712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00"/>
        <v>73744.810000000012</v>
      </c>
      <c r="X6471" s="6">
        <f t="shared" si="1001"/>
        <v>32881.789999999994</v>
      </c>
      <c r="Y6471" s="13">
        <f t="shared" si="1005"/>
        <v>0</v>
      </c>
      <c r="Z6471" s="66">
        <v>0</v>
      </c>
      <c r="AA6471" s="6">
        <v>0</v>
      </c>
      <c r="AB6471" s="4">
        <f t="shared" si="1006"/>
        <v>32881.789999999994</v>
      </c>
      <c r="AC6471" s="6">
        <f t="shared" si="1004"/>
        <v>0</v>
      </c>
      <c r="AD6471" s="6">
        <f t="shared" si="1002"/>
        <v>32881.789999999994</v>
      </c>
      <c r="AE6471" s="14">
        <v>0.06</v>
      </c>
      <c r="AF6471" s="6">
        <f t="shared" si="998"/>
        <v>1972.9073999999996</v>
      </c>
      <c r="AG6471" s="14">
        <v>0</v>
      </c>
      <c r="AH6471" s="64">
        <f t="shared" si="1003"/>
        <v>32881.789999999994</v>
      </c>
      <c r="AJ6471" s="126" t="e">
        <v>#N/A</v>
      </c>
      <c r="AK6471" s="80">
        <f t="shared" si="1007"/>
        <v>0</v>
      </c>
      <c r="AL6471" s="85"/>
      <c r="AM6471" s="85"/>
    </row>
    <row r="6472" spans="1:39" s="86" customFormat="1" ht="13.25" hidden="1" customHeight="1" x14ac:dyDescent="0.3">
      <c r="A6472" s="89" t="s">
        <v>3792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47" t="str">
        <f t="shared" si="999"/>
        <v>巨量引擎-三类</v>
      </c>
      <c r="L6472" s="47" t="s">
        <v>35</v>
      </c>
      <c r="N6472" s="86" t="s">
        <v>3712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00"/>
        <v>278540.10999999993</v>
      </c>
      <c r="X6472" s="6">
        <f t="shared" si="1001"/>
        <v>407090.97058823536</v>
      </c>
      <c r="Y6472" s="13">
        <f t="shared" si="1005"/>
        <v>0</v>
      </c>
      <c r="Z6472" s="66">
        <v>0</v>
      </c>
      <c r="AA6472" s="6">
        <v>0</v>
      </c>
      <c r="AB6472" s="4">
        <f t="shared" si="1006"/>
        <v>407090.97058823536</v>
      </c>
      <c r="AC6472" s="6">
        <f t="shared" si="1004"/>
        <v>8141.8194117647363</v>
      </c>
      <c r="AD6472" s="6">
        <f t="shared" si="1002"/>
        <v>415232.7900000001</v>
      </c>
      <c r="AE6472" s="14">
        <v>0.06</v>
      </c>
      <c r="AF6472" s="6">
        <f t="shared" si="998"/>
        <v>24913.967400000005</v>
      </c>
      <c r="AG6472" s="14">
        <v>0</v>
      </c>
      <c r="AH6472" s="64">
        <f t="shared" si="1003"/>
        <v>415232.7900000001</v>
      </c>
      <c r="AJ6472" s="126" t="e">
        <v>#N/A</v>
      </c>
      <c r="AK6472" s="80">
        <f t="shared" si="1007"/>
        <v>0</v>
      </c>
      <c r="AL6472" s="85"/>
      <c r="AM6472" s="85"/>
    </row>
    <row r="6473" spans="1:39" s="86" customFormat="1" ht="13.25" hidden="1" customHeight="1" x14ac:dyDescent="0.3">
      <c r="A6473" s="89" t="s">
        <v>3792</v>
      </c>
      <c r="B6473" s="86" t="s">
        <v>35</v>
      </c>
      <c r="C6473" s="86" t="s">
        <v>3857</v>
      </c>
      <c r="D6473" s="86" t="s">
        <v>3858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47" t="str">
        <f t="shared" si="999"/>
        <v>巨量引擎-三类</v>
      </c>
      <c r="L6473" s="47" t="s">
        <v>35</v>
      </c>
      <c r="N6473" s="86" t="s">
        <v>3712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00"/>
        <v>2402787.5199999996</v>
      </c>
      <c r="X6473" s="6">
        <f t="shared" si="1001"/>
        <v>1721829.7400000002</v>
      </c>
      <c r="Y6473" s="13">
        <f t="shared" si="1005"/>
        <v>0</v>
      </c>
      <c r="Z6473" s="66">
        <v>0</v>
      </c>
      <c r="AA6473" s="6">
        <v>0</v>
      </c>
      <c r="AB6473" s="4">
        <f t="shared" si="1006"/>
        <v>1721829.7400000002</v>
      </c>
      <c r="AC6473" s="6">
        <f t="shared" si="1004"/>
        <v>0</v>
      </c>
      <c r="AD6473" s="6">
        <f t="shared" si="1002"/>
        <v>1721829.7400000002</v>
      </c>
      <c r="AE6473" s="14">
        <v>0.06</v>
      </c>
      <c r="AF6473" s="6">
        <f t="shared" si="998"/>
        <v>103309.7844</v>
      </c>
      <c r="AG6473" s="14">
        <v>0</v>
      </c>
      <c r="AH6473" s="64">
        <f t="shared" si="1003"/>
        <v>1721829.7400000002</v>
      </c>
      <c r="AJ6473" s="126" t="e">
        <v>#N/A</v>
      </c>
      <c r="AK6473" s="80">
        <f t="shared" si="1007"/>
        <v>0</v>
      </c>
      <c r="AL6473" s="85"/>
      <c r="AM6473" s="85"/>
    </row>
    <row r="6474" spans="1:39" s="86" customFormat="1" ht="13.25" hidden="1" customHeight="1" x14ac:dyDescent="0.3">
      <c r="A6474" s="89" t="s">
        <v>3794</v>
      </c>
      <c r="B6474" s="86" t="s">
        <v>35</v>
      </c>
      <c r="C6474" s="86" t="s">
        <v>3857</v>
      </c>
      <c r="D6474" s="86" t="s">
        <v>3858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47" t="str">
        <f t="shared" si="999"/>
        <v>巨量引擎-三类</v>
      </c>
      <c r="L6474" s="47" t="s">
        <v>35</v>
      </c>
      <c r="N6474" s="86" t="s">
        <v>3712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00"/>
        <v>552963.26999999955</v>
      </c>
      <c r="X6474" s="6">
        <f t="shared" si="1001"/>
        <v>607823.64000000013</v>
      </c>
      <c r="Y6474" s="13">
        <f t="shared" si="1005"/>
        <v>0</v>
      </c>
      <c r="Z6474" s="66">
        <v>0</v>
      </c>
      <c r="AA6474" s="6">
        <v>0</v>
      </c>
      <c r="AB6474" s="4">
        <f t="shared" si="1006"/>
        <v>607823.64000000013</v>
      </c>
      <c r="AC6474" s="6">
        <f t="shared" si="1004"/>
        <v>0</v>
      </c>
      <c r="AD6474" s="6">
        <f t="shared" si="1002"/>
        <v>607823.64000000013</v>
      </c>
      <c r="AE6474" s="14">
        <v>0.06</v>
      </c>
      <c r="AF6474" s="6">
        <f t="shared" si="998"/>
        <v>36469.41840000001</v>
      </c>
      <c r="AG6474" s="14">
        <v>0</v>
      </c>
      <c r="AH6474" s="64">
        <f t="shared" si="1003"/>
        <v>607823.64000000013</v>
      </c>
      <c r="AJ6474" s="126" t="e">
        <v>#N/A</v>
      </c>
      <c r="AK6474" s="80">
        <f t="shared" si="1007"/>
        <v>0</v>
      </c>
      <c r="AL6474" s="85"/>
      <c r="AM6474" s="85"/>
    </row>
    <row r="6475" spans="1:39" s="86" customFormat="1" ht="13.25" hidden="1" customHeight="1" x14ac:dyDescent="0.3">
      <c r="A6475" s="89" t="s">
        <v>3792</v>
      </c>
      <c r="B6475" s="86" t="s">
        <v>35</v>
      </c>
      <c r="C6475" s="86" t="s">
        <v>3857</v>
      </c>
      <c r="D6475" s="86" t="s">
        <v>3858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47" t="str">
        <f t="shared" si="999"/>
        <v>巨量引擎-三类</v>
      </c>
      <c r="L6475" s="47" t="s">
        <v>35</v>
      </c>
      <c r="N6475" s="86" t="s">
        <v>3712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00"/>
        <v>64555.249999999942</v>
      </c>
      <c r="X6475" s="6">
        <f t="shared" si="1001"/>
        <v>400808.30000000005</v>
      </c>
      <c r="Y6475" s="13">
        <f t="shared" si="1005"/>
        <v>0</v>
      </c>
      <c r="Z6475" s="66">
        <v>0</v>
      </c>
      <c r="AA6475" s="6">
        <v>0</v>
      </c>
      <c r="AB6475" s="4">
        <f t="shared" si="1006"/>
        <v>400808.30000000005</v>
      </c>
      <c r="AC6475" s="6">
        <f t="shared" si="1004"/>
        <v>0</v>
      </c>
      <c r="AD6475" s="6">
        <f t="shared" si="1002"/>
        <v>400808.30000000005</v>
      </c>
      <c r="AE6475" s="14">
        <v>0.06</v>
      </c>
      <c r="AF6475" s="6">
        <f t="shared" si="998"/>
        <v>24048.498000000003</v>
      </c>
      <c r="AG6475" s="14">
        <v>0</v>
      </c>
      <c r="AH6475" s="64">
        <f t="shared" si="1003"/>
        <v>400808.30000000005</v>
      </c>
      <c r="AJ6475" s="126" t="e">
        <v>#N/A</v>
      </c>
      <c r="AK6475" s="80">
        <f t="shared" si="1007"/>
        <v>0</v>
      </c>
      <c r="AL6475" s="85"/>
      <c r="AM6475" s="85"/>
    </row>
    <row r="6476" spans="1:39" s="86" customFormat="1" ht="13.25" hidden="1" customHeight="1" x14ac:dyDescent="0.3">
      <c r="A6476" s="89" t="s">
        <v>3794</v>
      </c>
      <c r="B6476" s="86" t="s">
        <v>35</v>
      </c>
      <c r="C6476" s="86" t="s">
        <v>187</v>
      </c>
      <c r="D6476" s="86" t="s">
        <v>188</v>
      </c>
      <c r="E6476" s="86" t="s">
        <v>3943</v>
      </c>
      <c r="F6476" s="86" t="s">
        <v>3943</v>
      </c>
      <c r="G6476" s="86" t="s">
        <v>3943</v>
      </c>
      <c r="H6476" s="144">
        <v>229</v>
      </c>
      <c r="I6476" s="86" t="s">
        <v>3356</v>
      </c>
      <c r="J6476" s="47" t="s">
        <v>3326</v>
      </c>
      <c r="K6476" s="47" t="str">
        <f t="shared" si="999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00"/>
        <v>2915300.9100000337</v>
      </c>
      <c r="X6476" s="6">
        <f t="shared" si="1001"/>
        <v>31196826.04807689</v>
      </c>
      <c r="Y6476" s="13">
        <f t="shared" si="1005"/>
        <v>0</v>
      </c>
      <c r="Z6476" s="66">
        <v>0</v>
      </c>
      <c r="AA6476" s="6">
        <v>0</v>
      </c>
      <c r="AB6476" s="4">
        <f t="shared" si="1006"/>
        <v>31196826.04807689</v>
      </c>
      <c r="AC6476" s="6">
        <f t="shared" si="1004"/>
        <v>1247873.0419230759</v>
      </c>
      <c r="AD6476" s="6">
        <f t="shared" si="1002"/>
        <v>32444699.089999966</v>
      </c>
      <c r="AE6476" s="14">
        <v>0.06</v>
      </c>
      <c r="AF6476" s="6">
        <f t="shared" si="998"/>
        <v>1946681.945399998</v>
      </c>
      <c r="AG6476" s="14">
        <v>0</v>
      </c>
      <c r="AH6476" s="64">
        <f t="shared" si="1003"/>
        <v>32444699.089999966</v>
      </c>
      <c r="AJ6476" s="126" t="e">
        <v>#N/A</v>
      </c>
      <c r="AK6476" s="80">
        <f t="shared" si="1007"/>
        <v>0</v>
      </c>
      <c r="AL6476" s="85"/>
      <c r="AM6476" s="85"/>
    </row>
    <row r="6477" spans="1:39" s="86" customFormat="1" ht="13.25" hidden="1" customHeight="1" x14ac:dyDescent="0.3">
      <c r="A6477" s="89" t="s">
        <v>3794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999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00"/>
        <v>286019.2700000006</v>
      </c>
      <c r="X6477" s="6">
        <f t="shared" si="1001"/>
        <v>656040.45631067955</v>
      </c>
      <c r="Y6477" s="13">
        <f t="shared" si="1005"/>
        <v>0</v>
      </c>
      <c r="Z6477" s="66">
        <v>0</v>
      </c>
      <c r="AA6477" s="6">
        <v>0</v>
      </c>
      <c r="AB6477" s="4">
        <f t="shared" si="1006"/>
        <v>656040.45631067955</v>
      </c>
      <c r="AC6477" s="6">
        <f t="shared" si="1004"/>
        <v>19681.213689320371</v>
      </c>
      <c r="AD6477" s="6">
        <f t="shared" si="1002"/>
        <v>675721.66999999993</v>
      </c>
      <c r="AE6477" s="14">
        <v>0.06</v>
      </c>
      <c r="AF6477" s="6">
        <f t="shared" si="998"/>
        <v>40543.300199999991</v>
      </c>
      <c r="AG6477" s="14">
        <v>0</v>
      </c>
      <c r="AH6477" s="64">
        <f t="shared" si="1003"/>
        <v>675721.66999999993</v>
      </c>
      <c r="AJ6477" s="126" t="e">
        <v>#N/A</v>
      </c>
      <c r="AK6477" s="80">
        <f t="shared" si="1007"/>
        <v>0</v>
      </c>
      <c r="AL6477" s="85"/>
      <c r="AM6477" s="85"/>
    </row>
    <row r="6478" spans="1:39" s="86" customFormat="1" ht="13.25" hidden="1" customHeight="1" x14ac:dyDescent="0.3">
      <c r="A6478" s="89" t="s">
        <v>3792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999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01"/>
        <v>0</v>
      </c>
      <c r="Y6478" s="13">
        <f t="shared" si="1005"/>
        <v>0</v>
      </c>
      <c r="Z6478" s="66">
        <v>0</v>
      </c>
      <c r="AA6478" s="6">
        <v>0</v>
      </c>
      <c r="AB6478" s="4">
        <f t="shared" si="1006"/>
        <v>0</v>
      </c>
      <c r="AC6478" s="6">
        <f t="shared" si="1004"/>
        <v>0</v>
      </c>
      <c r="AD6478" s="6">
        <f t="shared" si="1002"/>
        <v>0</v>
      </c>
      <c r="AE6478" s="14">
        <v>0.06</v>
      </c>
      <c r="AF6478" s="6">
        <f t="shared" si="998"/>
        <v>0</v>
      </c>
      <c r="AG6478" s="14">
        <v>0</v>
      </c>
      <c r="AH6478" s="64">
        <f t="shared" si="1003"/>
        <v>0</v>
      </c>
      <c r="AJ6478" s="126" t="e">
        <v>#N/A</v>
      </c>
      <c r="AK6478" s="80">
        <f t="shared" si="1007"/>
        <v>0</v>
      </c>
      <c r="AL6478" s="85"/>
      <c r="AM6478" s="85"/>
    </row>
    <row r="6479" spans="1:39" s="86" customFormat="1" ht="13.25" hidden="1" customHeight="1" x14ac:dyDescent="0.3">
      <c r="A6479" s="89" t="s">
        <v>3794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999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3944</v>
      </c>
      <c r="T6479" s="6">
        <v>12231574.519999981</v>
      </c>
      <c r="U6479" s="6">
        <v>3000000</v>
      </c>
      <c r="V6479" s="6">
        <v>10196964.659999989</v>
      </c>
      <c r="W6479" s="6">
        <f t="shared" si="1000"/>
        <v>5034609.859999992</v>
      </c>
      <c r="X6479" s="6">
        <f>IF(P6479="折扣",V6479*Q6479,IF(P6479="返现",V6479,V6479/(1+Q6479)))+30837.61</f>
        <v>9650615.5911320634</v>
      </c>
      <c r="Y6479" s="13">
        <f t="shared" si="1005"/>
        <v>0</v>
      </c>
      <c r="Z6479" s="66">
        <v>0</v>
      </c>
      <c r="AA6479" s="6">
        <v>0</v>
      </c>
      <c r="AB6479" s="4">
        <f t="shared" si="1006"/>
        <v>9650615.5911320634</v>
      </c>
      <c r="AC6479" s="6">
        <f t="shared" si="1004"/>
        <v>546349.06886792555</v>
      </c>
      <c r="AD6479" s="6">
        <f t="shared" si="1002"/>
        <v>10196964.659999989</v>
      </c>
      <c r="AE6479" s="14">
        <v>0.06</v>
      </c>
      <c r="AF6479" s="6">
        <f t="shared" si="998"/>
        <v>611817.87959999929</v>
      </c>
      <c r="AG6479" s="14">
        <v>0</v>
      </c>
      <c r="AH6479" s="64">
        <f t="shared" si="1003"/>
        <v>10196964.659999989</v>
      </c>
      <c r="AJ6479" s="126" t="e">
        <v>#N/A</v>
      </c>
      <c r="AK6479" s="80">
        <f t="shared" si="1007"/>
        <v>0</v>
      </c>
      <c r="AL6479" s="85"/>
      <c r="AM6479" s="85"/>
    </row>
    <row r="6480" spans="1:39" s="86" customFormat="1" ht="13.25" hidden="1" customHeight="1" x14ac:dyDescent="0.3">
      <c r="A6480" s="89" t="s">
        <v>3794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999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00"/>
        <v>651375.5</v>
      </c>
      <c r="X6480" s="6">
        <f t="shared" si="1001"/>
        <v>1580962.807692308</v>
      </c>
      <c r="Y6480" s="13">
        <f t="shared" si="1005"/>
        <v>0</v>
      </c>
      <c r="Z6480" s="66">
        <v>0</v>
      </c>
      <c r="AA6480" s="6">
        <v>0</v>
      </c>
      <c r="AB6480" s="4">
        <f t="shared" si="1006"/>
        <v>1580962.807692308</v>
      </c>
      <c r="AC6480" s="6">
        <f t="shared" si="1004"/>
        <v>63238.512307692319</v>
      </c>
      <c r="AD6480" s="6">
        <f t="shared" si="1002"/>
        <v>1644201.3200000003</v>
      </c>
      <c r="AE6480" s="14">
        <v>0.06</v>
      </c>
      <c r="AF6480" s="6">
        <f t="shared" si="998"/>
        <v>98652.079200000007</v>
      </c>
      <c r="AG6480" s="14">
        <v>0</v>
      </c>
      <c r="AH6480" s="64">
        <f t="shared" si="1003"/>
        <v>1644201.3200000003</v>
      </c>
      <c r="AJ6480" s="126" t="e">
        <v>#N/A</v>
      </c>
      <c r="AK6480" s="80">
        <f t="shared" si="1007"/>
        <v>0</v>
      </c>
      <c r="AL6480" s="85"/>
      <c r="AM6480" s="85"/>
    </row>
    <row r="6481" spans="1:39" s="86" customFormat="1" ht="13.25" hidden="1" customHeight="1" x14ac:dyDescent="0.3">
      <c r="A6481" s="89" t="s">
        <v>3794</v>
      </c>
      <c r="B6481" s="86" t="s">
        <v>35</v>
      </c>
      <c r="C6481" s="86" t="s">
        <v>187</v>
      </c>
      <c r="D6481" s="86" t="s">
        <v>188</v>
      </c>
      <c r="E6481" s="86" t="s">
        <v>3945</v>
      </c>
      <c r="F6481" s="86" t="s">
        <v>3945</v>
      </c>
      <c r="G6481" s="86" t="s">
        <v>3945</v>
      </c>
      <c r="H6481" s="144">
        <v>229</v>
      </c>
      <c r="I6481" s="86" t="s">
        <v>3356</v>
      </c>
      <c r="J6481" s="47" t="s">
        <v>3326</v>
      </c>
      <c r="K6481" s="47" t="str">
        <f t="shared" si="999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00"/>
        <v>552977.54</v>
      </c>
      <c r="X6481" s="6">
        <f t="shared" si="1001"/>
        <v>661341.94339622639</v>
      </c>
      <c r="Y6481" s="13">
        <f t="shared" si="1005"/>
        <v>0</v>
      </c>
      <c r="Z6481" s="66">
        <v>0</v>
      </c>
      <c r="AA6481" s="6">
        <v>0</v>
      </c>
      <c r="AB6481" s="4">
        <f t="shared" si="1006"/>
        <v>661341.94339622639</v>
      </c>
      <c r="AC6481" s="6">
        <f t="shared" si="1004"/>
        <v>39680.516603773576</v>
      </c>
      <c r="AD6481" s="6">
        <f t="shared" si="1002"/>
        <v>701022.46</v>
      </c>
      <c r="AE6481" s="14">
        <v>0.06</v>
      </c>
      <c r="AF6481" s="6">
        <f t="shared" si="998"/>
        <v>42061.347599999994</v>
      </c>
      <c r="AG6481" s="14">
        <v>0</v>
      </c>
      <c r="AH6481" s="64">
        <f t="shared" si="1003"/>
        <v>701022.46</v>
      </c>
      <c r="AJ6481" s="126" t="e">
        <v>#N/A</v>
      </c>
      <c r="AK6481" s="80">
        <f t="shared" si="1007"/>
        <v>0</v>
      </c>
      <c r="AL6481" s="85"/>
      <c r="AM6481" s="85"/>
    </row>
    <row r="6482" spans="1:39" s="86" customFormat="1" ht="13.25" hidden="1" customHeight="1" x14ac:dyDescent="0.3">
      <c r="A6482" s="89" t="s">
        <v>3794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999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3946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00"/>
        <v>43.870000005721522</v>
      </c>
      <c r="X6482" s="6">
        <f>IF(P6482="折扣",V6482*Q6482,IF(P6482="返现",V6482,V6482/(1+Q6482)))+20958.54</f>
        <v>67673.481747572805</v>
      </c>
      <c r="Y6482" s="13">
        <f t="shared" si="1005"/>
        <v>19557.091747572813</v>
      </c>
      <c r="Z6482" s="66">
        <v>0</v>
      </c>
      <c r="AA6482" s="6">
        <v>0</v>
      </c>
      <c r="AB6482" s="4">
        <f t="shared" si="1006"/>
        <v>67673.481747572805</v>
      </c>
      <c r="AC6482" s="6">
        <f t="shared" si="1004"/>
        <v>-19557.091747572813</v>
      </c>
      <c r="AD6482" s="6">
        <f t="shared" si="1002"/>
        <v>48116.389999999992</v>
      </c>
      <c r="AE6482" s="14">
        <v>0.06</v>
      </c>
      <c r="AF6482" s="6">
        <f t="shared" si="998"/>
        <v>2886.9833999999996</v>
      </c>
      <c r="AG6482" s="14">
        <v>0</v>
      </c>
      <c r="AH6482" s="64">
        <f t="shared" si="1003"/>
        <v>48116.389999999992</v>
      </c>
      <c r="AJ6482" s="126" t="e">
        <v>#N/A</v>
      </c>
      <c r="AK6482" s="80">
        <f t="shared" si="1007"/>
        <v>0</v>
      </c>
      <c r="AL6482" s="85"/>
      <c r="AM6482" s="85"/>
    </row>
    <row r="6483" spans="1:39" s="86" customFormat="1" ht="13.25" hidden="1" customHeight="1" x14ac:dyDescent="0.3">
      <c r="A6483" s="89" t="s">
        <v>3794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999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00"/>
        <v>22538.559999999648</v>
      </c>
      <c r="X6483" s="6">
        <f t="shared" si="1001"/>
        <v>293060.27999999997</v>
      </c>
      <c r="Y6483" s="13">
        <f t="shared" si="1005"/>
        <v>0</v>
      </c>
      <c r="Z6483" s="66">
        <v>0</v>
      </c>
      <c r="AA6483" s="6">
        <v>0</v>
      </c>
      <c r="AB6483" s="4">
        <f t="shared" si="1006"/>
        <v>293060.27999999997</v>
      </c>
      <c r="AC6483" s="6">
        <f t="shared" si="1004"/>
        <v>0</v>
      </c>
      <c r="AD6483" s="6">
        <f t="shared" si="1002"/>
        <v>293060.27999999997</v>
      </c>
      <c r="AE6483" s="14">
        <v>0.06</v>
      </c>
      <c r="AF6483" s="6">
        <f t="shared" si="998"/>
        <v>17583.616799999996</v>
      </c>
      <c r="AG6483" s="14">
        <v>0</v>
      </c>
      <c r="AH6483" s="64">
        <f t="shared" si="1003"/>
        <v>293060.27999999997</v>
      </c>
      <c r="AJ6483" s="126" t="e">
        <v>#N/A</v>
      </c>
      <c r="AK6483" s="80">
        <f t="shared" si="1007"/>
        <v>0</v>
      </c>
      <c r="AL6483" s="85"/>
      <c r="AM6483" s="85"/>
    </row>
    <row r="6484" spans="1:39" s="86" customFormat="1" ht="13.25" hidden="1" customHeight="1" x14ac:dyDescent="0.3">
      <c r="A6484" s="89" t="s">
        <v>3792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999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3947</v>
      </c>
      <c r="T6484" s="6">
        <v>935253.32999999076</v>
      </c>
      <c r="U6484" s="6">
        <v>-878459.08</v>
      </c>
      <c r="V6484" s="6">
        <v>35353.979999999996</v>
      </c>
      <c r="W6484" s="6">
        <f t="shared" si="1000"/>
        <v>21440.269999990807</v>
      </c>
      <c r="X6484" s="6">
        <f>IF(P6484="折扣",V6484*Q6484,IF(P6484="返现",V6484,V6484/(1+Q6484)))+159463.29</f>
        <v>194124.05470588236</v>
      </c>
      <c r="Y6484" s="13">
        <f t="shared" si="1005"/>
        <v>158770.07470588235</v>
      </c>
      <c r="Z6484" s="66">
        <v>0</v>
      </c>
      <c r="AA6484" s="6">
        <v>0</v>
      </c>
      <c r="AB6484" s="4">
        <f t="shared" si="1006"/>
        <v>194124.05470588236</v>
      </c>
      <c r="AC6484" s="6">
        <f t="shared" si="1004"/>
        <v>-158770.07470588235</v>
      </c>
      <c r="AD6484" s="6">
        <f t="shared" si="1002"/>
        <v>35353.979999999996</v>
      </c>
      <c r="AE6484" s="14">
        <v>0.06</v>
      </c>
      <c r="AF6484" s="6">
        <f t="shared" si="998"/>
        <v>2121.2387999999996</v>
      </c>
      <c r="AG6484" s="14">
        <v>0</v>
      </c>
      <c r="AH6484" s="64">
        <f t="shared" si="1003"/>
        <v>35353.979999999996</v>
      </c>
      <c r="AJ6484" s="126" t="e">
        <v>#N/A</v>
      </c>
      <c r="AK6484" s="80">
        <f t="shared" si="1007"/>
        <v>0</v>
      </c>
      <c r="AL6484" s="85"/>
      <c r="AM6484" s="85"/>
    </row>
    <row r="6485" spans="1:39" s="86" customFormat="1" ht="13.25" hidden="1" customHeight="1" x14ac:dyDescent="0.3">
      <c r="A6485" s="89" t="s">
        <v>3792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999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3948</v>
      </c>
      <c r="T6485" s="6">
        <v>1547118.4000000115</v>
      </c>
      <c r="U6485" s="6">
        <v>3396157.37</v>
      </c>
      <c r="V6485" s="6">
        <v>3512783.3199999994</v>
      </c>
      <c r="W6485" s="6">
        <f t="shared" si="1000"/>
        <v>1430492.4500000123</v>
      </c>
      <c r="X6485" s="6">
        <f>IF(P6485="折扣",V6485*Q6485,IF(P6485="返现",V6485,V6485/(1+Q6485)))+87.45</f>
        <v>3377763.7192307687</v>
      </c>
      <c r="Y6485" s="13">
        <f t="shared" si="1005"/>
        <v>0</v>
      </c>
      <c r="Z6485" s="66">
        <v>0</v>
      </c>
      <c r="AA6485" s="6">
        <v>0</v>
      </c>
      <c r="AB6485" s="4">
        <f t="shared" si="1006"/>
        <v>3377763.7192307687</v>
      </c>
      <c r="AC6485" s="6">
        <f t="shared" si="1004"/>
        <v>135019.60076923063</v>
      </c>
      <c r="AD6485" s="6">
        <f t="shared" si="1002"/>
        <v>3512783.3199999994</v>
      </c>
      <c r="AE6485" s="14">
        <v>0.06</v>
      </c>
      <c r="AF6485" s="6">
        <f t="shared" si="998"/>
        <v>210766.99919999996</v>
      </c>
      <c r="AG6485" s="14">
        <v>0</v>
      </c>
      <c r="AH6485" s="64">
        <f t="shared" si="1003"/>
        <v>3512783.3199999994</v>
      </c>
      <c r="AJ6485" s="126" t="e">
        <v>#N/A</v>
      </c>
      <c r="AK6485" s="80">
        <f t="shared" si="1007"/>
        <v>0</v>
      </c>
      <c r="AL6485" s="85"/>
      <c r="AM6485" s="85"/>
    </row>
    <row r="6486" spans="1:39" s="86" customFormat="1" ht="13.25" hidden="1" customHeight="1" x14ac:dyDescent="0.3">
      <c r="A6486" s="89" t="s">
        <v>3792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999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00"/>
        <v>0</v>
      </c>
      <c r="X6486" s="6">
        <f t="shared" si="1001"/>
        <v>-1870627.8099999994</v>
      </c>
      <c r="Y6486" s="13">
        <f t="shared" si="1005"/>
        <v>0</v>
      </c>
      <c r="Z6486" s="66">
        <v>0</v>
      </c>
      <c r="AA6486" s="6">
        <v>0</v>
      </c>
      <c r="AB6486" s="4">
        <f t="shared" si="1006"/>
        <v>-1870627.8099999994</v>
      </c>
      <c r="AC6486" s="6">
        <f t="shared" si="1004"/>
        <v>0</v>
      </c>
      <c r="AD6486" s="6">
        <f t="shared" si="1002"/>
        <v>-1870627.8099999994</v>
      </c>
      <c r="AE6486" s="14">
        <v>0.06</v>
      </c>
      <c r="AF6486" s="6">
        <f t="shared" si="998"/>
        <v>-112237.66859999996</v>
      </c>
      <c r="AG6486" s="14">
        <v>0</v>
      </c>
      <c r="AH6486" s="64">
        <f t="shared" si="1003"/>
        <v>-1870627.8099999994</v>
      </c>
      <c r="AJ6486" s="126" t="e">
        <v>#N/A</v>
      </c>
      <c r="AK6486" s="80">
        <f t="shared" si="1007"/>
        <v>0</v>
      </c>
      <c r="AL6486" s="85"/>
      <c r="AM6486" s="85"/>
    </row>
    <row r="6487" spans="1:39" s="86" customFormat="1" ht="13.25" hidden="1" customHeight="1" x14ac:dyDescent="0.3">
      <c r="A6487" s="89" t="s">
        <v>3794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999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00"/>
        <v>256800.93999999994</v>
      </c>
      <c r="X6487" s="6">
        <f t="shared" si="1001"/>
        <v>658418.281553398</v>
      </c>
      <c r="Y6487" s="13">
        <f t="shared" si="1005"/>
        <v>0</v>
      </c>
      <c r="Z6487" s="66">
        <v>0</v>
      </c>
      <c r="AA6487" s="6">
        <v>0</v>
      </c>
      <c r="AB6487" s="4">
        <f t="shared" si="1006"/>
        <v>658418.281553398</v>
      </c>
      <c r="AC6487" s="6">
        <f t="shared" si="1004"/>
        <v>19752.548446601955</v>
      </c>
      <c r="AD6487" s="6">
        <f t="shared" si="1002"/>
        <v>678170.83</v>
      </c>
      <c r="AE6487" s="14">
        <v>0.06</v>
      </c>
      <c r="AF6487" s="6">
        <f t="shared" si="998"/>
        <v>40690.249799999998</v>
      </c>
      <c r="AG6487" s="14">
        <v>0</v>
      </c>
      <c r="AH6487" s="64">
        <f t="shared" si="1003"/>
        <v>678170.83</v>
      </c>
      <c r="AJ6487" s="126" t="e">
        <v>#N/A</v>
      </c>
      <c r="AK6487" s="80">
        <f t="shared" si="1007"/>
        <v>0</v>
      </c>
      <c r="AL6487" s="85"/>
      <c r="AM6487" s="85"/>
    </row>
    <row r="6488" spans="1:39" s="86" customFormat="1" ht="13.25" hidden="1" customHeight="1" x14ac:dyDescent="0.3">
      <c r="A6488" s="89" t="s">
        <v>3794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999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00"/>
        <v>0</v>
      </c>
      <c r="X6488" s="6">
        <f t="shared" si="1001"/>
        <v>-678170.83</v>
      </c>
      <c r="Y6488" s="13">
        <f t="shared" si="1005"/>
        <v>0</v>
      </c>
      <c r="Z6488" s="66">
        <v>0</v>
      </c>
      <c r="AA6488" s="6">
        <v>0</v>
      </c>
      <c r="AB6488" s="4">
        <f t="shared" si="1006"/>
        <v>-678170.83</v>
      </c>
      <c r="AC6488" s="6">
        <f t="shared" si="1004"/>
        <v>0</v>
      </c>
      <c r="AD6488" s="6">
        <f t="shared" si="1002"/>
        <v>-678170.83</v>
      </c>
      <c r="AE6488" s="14">
        <v>0.06</v>
      </c>
      <c r="AF6488" s="6">
        <f t="shared" si="998"/>
        <v>-40690.249799999998</v>
      </c>
      <c r="AG6488" s="14">
        <v>0</v>
      </c>
      <c r="AH6488" s="64">
        <f t="shared" si="1003"/>
        <v>-678170.83</v>
      </c>
      <c r="AJ6488" s="126" t="e">
        <v>#N/A</v>
      </c>
      <c r="AK6488" s="80">
        <f t="shared" si="1007"/>
        <v>0</v>
      </c>
      <c r="AL6488" s="85"/>
      <c r="AM6488" s="85"/>
    </row>
    <row r="6489" spans="1:39" s="86" customFormat="1" ht="13.25" hidden="1" customHeight="1" x14ac:dyDescent="0.3">
      <c r="A6489" s="89" t="s">
        <v>3794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999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01"/>
        <v>149999.99999998388</v>
      </c>
      <c r="Y6489" s="13">
        <f t="shared" si="1005"/>
        <v>0</v>
      </c>
      <c r="Z6489" s="66">
        <v>0</v>
      </c>
      <c r="AA6489" s="6">
        <v>0</v>
      </c>
      <c r="AB6489" s="4">
        <f t="shared" si="1006"/>
        <v>149999.99999998388</v>
      </c>
      <c r="AC6489" s="6">
        <f t="shared" si="1004"/>
        <v>5999.9999999993597</v>
      </c>
      <c r="AD6489" s="6">
        <f t="shared" si="1002"/>
        <v>155999.99999998324</v>
      </c>
      <c r="AE6489" s="14">
        <v>0.06</v>
      </c>
      <c r="AF6489" s="6">
        <f t="shared" si="998"/>
        <v>9359.9999999989941</v>
      </c>
      <c r="AG6489" s="14">
        <v>0</v>
      </c>
      <c r="AH6489" s="64">
        <f t="shared" si="1003"/>
        <v>155999.99999998324</v>
      </c>
      <c r="AJ6489" s="126" t="e">
        <v>#N/A</v>
      </c>
      <c r="AK6489" s="80">
        <f t="shared" si="1007"/>
        <v>0</v>
      </c>
      <c r="AL6489" s="85"/>
      <c r="AM6489" s="85"/>
    </row>
    <row r="6490" spans="1:39" s="86" customFormat="1" ht="13.25" hidden="1" customHeight="1" x14ac:dyDescent="0.3">
      <c r="A6490" s="89" t="s">
        <v>3794</v>
      </c>
      <c r="B6490" s="86" t="s">
        <v>35</v>
      </c>
      <c r="C6490" s="86" t="s">
        <v>187</v>
      </c>
      <c r="D6490" s="86" t="s">
        <v>188</v>
      </c>
      <c r="E6490" s="86" t="s">
        <v>3949</v>
      </c>
      <c r="F6490" s="86" t="s">
        <v>3949</v>
      </c>
      <c r="G6490" s="86" t="s">
        <v>3949</v>
      </c>
      <c r="H6490" s="144">
        <v>229</v>
      </c>
      <c r="I6490" s="86" t="s">
        <v>3356</v>
      </c>
      <c r="J6490" s="47" t="s">
        <v>3326</v>
      </c>
      <c r="K6490" s="47" t="str">
        <f t="shared" si="999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00"/>
        <v>4206.679999999993</v>
      </c>
      <c r="X6490" s="6">
        <f t="shared" si="1001"/>
        <v>95793.32</v>
      </c>
      <c r="Y6490" s="13">
        <f t="shared" si="1005"/>
        <v>0</v>
      </c>
      <c r="Z6490" s="66">
        <v>0</v>
      </c>
      <c r="AA6490" s="6">
        <v>0</v>
      </c>
      <c r="AB6490" s="4">
        <f t="shared" si="1006"/>
        <v>95793.32</v>
      </c>
      <c r="AC6490" s="6">
        <f t="shared" si="1004"/>
        <v>0</v>
      </c>
      <c r="AD6490" s="6">
        <f t="shared" si="1002"/>
        <v>95793.32</v>
      </c>
      <c r="AE6490" s="14">
        <v>0.06</v>
      </c>
      <c r="AF6490" s="6">
        <f t="shared" si="998"/>
        <v>5747.5992000000006</v>
      </c>
      <c r="AG6490" s="14">
        <v>0</v>
      </c>
      <c r="AH6490" s="64">
        <f t="shared" si="1003"/>
        <v>95793.32</v>
      </c>
      <c r="AJ6490" s="126" t="e">
        <v>#N/A</v>
      </c>
      <c r="AK6490" s="80">
        <f t="shared" si="1007"/>
        <v>0</v>
      </c>
      <c r="AL6490" s="85"/>
      <c r="AM6490" s="85"/>
    </row>
    <row r="6491" spans="1:39" s="86" customFormat="1" ht="13.25" hidden="1" customHeight="1" x14ac:dyDescent="0.3">
      <c r="A6491" s="89" t="s">
        <v>3794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999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3950</v>
      </c>
      <c r="T6491" s="6">
        <v>294632.21999999986</v>
      </c>
      <c r="U6491" s="6">
        <v>3594170.16</v>
      </c>
      <c r="V6491" s="6">
        <v>3351066.089999998</v>
      </c>
      <c r="W6491" s="6">
        <f t="shared" si="1000"/>
        <v>537736.2900000019</v>
      </c>
      <c r="X6491" s="6">
        <f>IF(P6491="折扣",V6491*Q6491,IF(P6491="返现",V6491,V6491/(1+Q6491)))+5368.78</f>
        <v>3258831.0033009686</v>
      </c>
      <c r="Y6491" s="13">
        <f t="shared" si="1005"/>
        <v>0</v>
      </c>
      <c r="Z6491" s="66">
        <v>0</v>
      </c>
      <c r="AA6491" s="6">
        <v>0</v>
      </c>
      <c r="AB6491" s="4">
        <f t="shared" si="1006"/>
        <v>3258831.0033009686</v>
      </c>
      <c r="AC6491" s="6">
        <f t="shared" si="1004"/>
        <v>92235.086699029431</v>
      </c>
      <c r="AD6491" s="6">
        <f t="shared" si="1002"/>
        <v>3351066.089999998</v>
      </c>
      <c r="AE6491" s="14">
        <v>0.06</v>
      </c>
      <c r="AF6491" s="6">
        <f t="shared" si="998"/>
        <v>201063.96539999987</v>
      </c>
      <c r="AG6491" s="14">
        <v>0</v>
      </c>
      <c r="AH6491" s="64">
        <f t="shared" si="1003"/>
        <v>3351066.089999998</v>
      </c>
      <c r="AJ6491" s="126" t="e">
        <v>#N/A</v>
      </c>
      <c r="AK6491" s="80">
        <f t="shared" si="1007"/>
        <v>0</v>
      </c>
      <c r="AL6491" s="85"/>
      <c r="AM6491" s="85"/>
    </row>
    <row r="6492" spans="1:39" s="86" customFormat="1" ht="13.25" hidden="1" customHeight="1" x14ac:dyDescent="0.3">
      <c r="A6492" s="89" t="s">
        <v>3792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999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00"/>
        <v>0</v>
      </c>
      <c r="X6492" s="6">
        <f t="shared" si="1001"/>
        <v>272675.7087378641</v>
      </c>
      <c r="Y6492" s="13">
        <f t="shared" si="1005"/>
        <v>0</v>
      </c>
      <c r="Z6492" s="66">
        <v>0</v>
      </c>
      <c r="AA6492" s="6">
        <v>0</v>
      </c>
      <c r="AB6492" s="4">
        <f t="shared" si="1006"/>
        <v>272675.7087378641</v>
      </c>
      <c r="AC6492" s="6">
        <f t="shared" si="1004"/>
        <v>8180.2712621359387</v>
      </c>
      <c r="AD6492" s="6">
        <f t="shared" si="1002"/>
        <v>280855.98000000004</v>
      </c>
      <c r="AE6492" s="14">
        <v>0.06</v>
      </c>
      <c r="AF6492" s="6">
        <f t="shared" si="998"/>
        <v>16851.358800000002</v>
      </c>
      <c r="AG6492" s="14">
        <v>0</v>
      </c>
      <c r="AH6492" s="64">
        <f t="shared" si="1003"/>
        <v>280855.98000000004</v>
      </c>
      <c r="AJ6492" s="126" t="e">
        <v>#N/A</v>
      </c>
      <c r="AK6492" s="80">
        <f t="shared" si="1007"/>
        <v>0</v>
      </c>
      <c r="AL6492" s="85"/>
      <c r="AM6492" s="85"/>
    </row>
    <row r="6493" spans="1:39" s="86" customFormat="1" ht="13.25" hidden="1" customHeight="1" x14ac:dyDescent="0.3">
      <c r="A6493" s="89" t="s">
        <v>3794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999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00"/>
        <v>1202339.54</v>
      </c>
      <c r="X6493" s="6">
        <f t="shared" si="1001"/>
        <v>841815.99038461526</v>
      </c>
      <c r="Y6493" s="13">
        <f t="shared" si="1005"/>
        <v>0</v>
      </c>
      <c r="Z6493" s="66">
        <v>0</v>
      </c>
      <c r="AA6493" s="6">
        <v>0</v>
      </c>
      <c r="AB6493" s="4">
        <f t="shared" si="1006"/>
        <v>841815.99038461526</v>
      </c>
      <c r="AC6493" s="6">
        <f t="shared" si="1004"/>
        <v>33672.639615384629</v>
      </c>
      <c r="AD6493" s="6">
        <f t="shared" si="1002"/>
        <v>875488.62999999989</v>
      </c>
      <c r="AE6493" s="14">
        <v>0.06</v>
      </c>
      <c r="AF6493" s="6">
        <f t="shared" si="998"/>
        <v>52529.31779999999</v>
      </c>
      <c r="AG6493" s="14">
        <v>0</v>
      </c>
      <c r="AH6493" s="64">
        <f t="shared" si="1003"/>
        <v>875488.62999999989</v>
      </c>
      <c r="AJ6493" s="126" t="e">
        <v>#N/A</v>
      </c>
      <c r="AK6493" s="80">
        <f t="shared" si="1007"/>
        <v>0</v>
      </c>
      <c r="AL6493" s="85"/>
      <c r="AM6493" s="85"/>
    </row>
    <row r="6494" spans="1:39" s="86" customFormat="1" ht="13.25" hidden="1" customHeight="1" x14ac:dyDescent="0.3">
      <c r="A6494" s="89" t="s">
        <v>3792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999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00"/>
        <v>0</v>
      </c>
      <c r="X6494" s="6">
        <f t="shared" si="1001"/>
        <v>-800419.24999999988</v>
      </c>
      <c r="Y6494" s="13">
        <f t="shared" si="1005"/>
        <v>32016.770000000019</v>
      </c>
      <c r="Z6494" s="66">
        <v>0</v>
      </c>
      <c r="AA6494" s="6">
        <v>0</v>
      </c>
      <c r="AB6494" s="4">
        <f t="shared" si="1006"/>
        <v>-800419.24999999988</v>
      </c>
      <c r="AC6494" s="6">
        <f t="shared" si="1004"/>
        <v>-32016.770000000019</v>
      </c>
      <c r="AD6494" s="6">
        <f t="shared" si="1002"/>
        <v>-832436.0199999999</v>
      </c>
      <c r="AE6494" s="14">
        <v>0.06</v>
      </c>
      <c r="AF6494" s="6">
        <f t="shared" si="998"/>
        <v>-49946.161199999995</v>
      </c>
      <c r="AG6494" s="14">
        <v>0</v>
      </c>
      <c r="AH6494" s="64">
        <f t="shared" si="1003"/>
        <v>-832436.0199999999</v>
      </c>
      <c r="AJ6494" s="126" t="e">
        <v>#N/A</v>
      </c>
      <c r="AK6494" s="80">
        <f t="shared" si="1007"/>
        <v>0</v>
      </c>
      <c r="AL6494" s="85"/>
      <c r="AM6494" s="85"/>
    </row>
    <row r="6495" spans="1:39" s="86" customFormat="1" ht="13.25" hidden="1" customHeight="1" x14ac:dyDescent="0.3">
      <c r="A6495" s="89" t="s">
        <v>3792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999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3951</v>
      </c>
      <c r="T6495" s="6">
        <v>329816.90999999782</v>
      </c>
      <c r="U6495" s="6">
        <v>3288589.56</v>
      </c>
      <c r="V6495" s="6">
        <v>3138867.25</v>
      </c>
      <c r="W6495" s="6">
        <f t="shared" si="1000"/>
        <v>479539.21999999788</v>
      </c>
      <c r="X6495" s="6">
        <f>IF(P6495="折扣",V6495*Q6495,IF(P6495="返现",V6495,V6495/(1+Q6495)))+43148.4</f>
        <v>3061289.9865384614</v>
      </c>
      <c r="Y6495" s="13">
        <f t="shared" si="1005"/>
        <v>0</v>
      </c>
      <c r="Z6495" s="66">
        <v>0</v>
      </c>
      <c r="AA6495" s="6">
        <v>0</v>
      </c>
      <c r="AB6495" s="4">
        <f t="shared" si="1006"/>
        <v>3061289.9865384614</v>
      </c>
      <c r="AC6495" s="6">
        <f t="shared" si="1004"/>
        <v>77577.26346153859</v>
      </c>
      <c r="AD6495" s="6">
        <f t="shared" si="1002"/>
        <v>3138867.25</v>
      </c>
      <c r="AE6495" s="14">
        <v>0.06</v>
      </c>
      <c r="AF6495" s="6">
        <f t="shared" si="998"/>
        <v>188332.035</v>
      </c>
      <c r="AG6495" s="14">
        <v>0</v>
      </c>
      <c r="AH6495" s="64">
        <f t="shared" si="1003"/>
        <v>3138867.25</v>
      </c>
      <c r="AJ6495" s="126" t="e">
        <v>#N/A</v>
      </c>
      <c r="AK6495" s="80">
        <f t="shared" si="1007"/>
        <v>0</v>
      </c>
      <c r="AL6495" s="85"/>
      <c r="AM6495" s="85"/>
    </row>
    <row r="6496" spans="1:39" s="86" customFormat="1" ht="13.25" hidden="1" customHeight="1" x14ac:dyDescent="0.3">
      <c r="A6496" s="89" t="s">
        <v>3792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999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00"/>
        <v>125673.95000000007</v>
      </c>
      <c r="X6496" s="6">
        <f t="shared" si="1001"/>
        <v>431439.66981132067</v>
      </c>
      <c r="Y6496" s="13">
        <f t="shared" si="1005"/>
        <v>0</v>
      </c>
      <c r="Z6496" s="66">
        <v>0</v>
      </c>
      <c r="AA6496" s="6">
        <v>0</v>
      </c>
      <c r="AB6496" s="4">
        <f t="shared" si="1006"/>
        <v>431439.66981132067</v>
      </c>
      <c r="AC6496" s="6">
        <f t="shared" si="1004"/>
        <v>25886.380188679264</v>
      </c>
      <c r="AD6496" s="6">
        <f t="shared" si="1002"/>
        <v>457326.04999999993</v>
      </c>
      <c r="AE6496" s="14">
        <v>0.06</v>
      </c>
      <c r="AF6496" s="6">
        <f t="shared" si="998"/>
        <v>27439.562999999995</v>
      </c>
      <c r="AG6496" s="14">
        <v>0</v>
      </c>
      <c r="AH6496" s="64">
        <f t="shared" si="1003"/>
        <v>457326.04999999993</v>
      </c>
      <c r="AJ6496" s="126" t="e">
        <v>#N/A</v>
      </c>
      <c r="AK6496" s="80">
        <f t="shared" si="1007"/>
        <v>0</v>
      </c>
      <c r="AL6496" s="85"/>
      <c r="AM6496" s="85"/>
    </row>
    <row r="6497" spans="1:39" s="86" customFormat="1" ht="13.25" hidden="1" customHeight="1" x14ac:dyDescent="0.3">
      <c r="A6497" s="89" t="s">
        <v>3794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999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00"/>
        <v>23.09999999977299</v>
      </c>
      <c r="X6497" s="6">
        <f t="shared" si="1001"/>
        <v>0</v>
      </c>
      <c r="Y6497" s="13">
        <f t="shared" si="1005"/>
        <v>0</v>
      </c>
      <c r="Z6497" s="66">
        <v>0</v>
      </c>
      <c r="AA6497" s="6">
        <v>0</v>
      </c>
      <c r="AB6497" s="4">
        <f t="shared" si="1006"/>
        <v>0</v>
      </c>
      <c r="AC6497" s="6">
        <f t="shared" si="1004"/>
        <v>0</v>
      </c>
      <c r="AD6497" s="6">
        <f t="shared" si="1002"/>
        <v>0</v>
      </c>
      <c r="AE6497" s="14">
        <v>0.06</v>
      </c>
      <c r="AF6497" s="6">
        <f t="shared" si="998"/>
        <v>0</v>
      </c>
      <c r="AG6497" s="14">
        <v>0</v>
      </c>
      <c r="AH6497" s="64">
        <f t="shared" si="1003"/>
        <v>0</v>
      </c>
      <c r="AJ6497" s="126" t="e">
        <v>#N/A</v>
      </c>
      <c r="AK6497" s="80">
        <f t="shared" si="1007"/>
        <v>0</v>
      </c>
      <c r="AL6497" s="85"/>
      <c r="AM6497" s="85"/>
    </row>
    <row r="6498" spans="1:39" s="86" customFormat="1" ht="13.25" hidden="1" customHeight="1" x14ac:dyDescent="0.3">
      <c r="A6498" s="89" t="s">
        <v>3792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999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00"/>
        <v>7960.1499999999942</v>
      </c>
      <c r="X6498" s="6">
        <f t="shared" si="1001"/>
        <v>20250.760000000009</v>
      </c>
      <c r="Y6498" s="13">
        <f t="shared" si="1005"/>
        <v>0</v>
      </c>
      <c r="Z6498" s="66">
        <v>0</v>
      </c>
      <c r="AA6498" s="6">
        <v>0</v>
      </c>
      <c r="AB6498" s="4">
        <f t="shared" si="1006"/>
        <v>20250.760000000009</v>
      </c>
      <c r="AC6498" s="6">
        <f t="shared" si="1004"/>
        <v>0</v>
      </c>
      <c r="AD6498" s="6">
        <f t="shared" si="1002"/>
        <v>20250.760000000009</v>
      </c>
      <c r="AE6498" s="14">
        <v>0.06</v>
      </c>
      <c r="AF6498" s="6">
        <f t="shared" si="998"/>
        <v>1215.0456000000006</v>
      </c>
      <c r="AG6498" s="14">
        <v>0</v>
      </c>
      <c r="AH6498" s="64">
        <f t="shared" si="1003"/>
        <v>20250.760000000009</v>
      </c>
      <c r="AJ6498" s="126" t="e">
        <v>#N/A</v>
      </c>
      <c r="AK6498" s="80">
        <f t="shared" si="1007"/>
        <v>0</v>
      </c>
      <c r="AL6498" s="85"/>
      <c r="AM6498" s="85"/>
    </row>
    <row r="6499" spans="1:39" s="86" customFormat="1" ht="13.25" hidden="1" customHeight="1" x14ac:dyDescent="0.3">
      <c r="A6499" s="89" t="s">
        <v>3794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999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3952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00"/>
        <v>458416.9899999972</v>
      </c>
      <c r="X6499" s="6">
        <f>IF(P6499="折扣",V6499*Q6499,IF(P6499="返现",V6499,V6499/(1+Q6499)))+4997.17</f>
        <v>1161585.9969230765</v>
      </c>
      <c r="Y6499" s="13">
        <f t="shared" si="1005"/>
        <v>0</v>
      </c>
      <c r="Z6499" s="66">
        <v>0</v>
      </c>
      <c r="AA6499" s="6">
        <v>0</v>
      </c>
      <c r="AB6499" s="4">
        <f t="shared" si="1006"/>
        <v>1161585.9969230765</v>
      </c>
      <c r="AC6499" s="6">
        <f t="shared" si="1004"/>
        <v>41266.383076923201</v>
      </c>
      <c r="AD6499" s="6">
        <f t="shared" si="1002"/>
        <v>1202852.3799999997</v>
      </c>
      <c r="AE6499" s="14">
        <v>0.06</v>
      </c>
      <c r="AF6499" s="6">
        <f t="shared" si="998"/>
        <v>72171.142799999972</v>
      </c>
      <c r="AG6499" s="14">
        <v>0</v>
      </c>
      <c r="AH6499" s="64">
        <f t="shared" si="1003"/>
        <v>1202852.3799999997</v>
      </c>
      <c r="AJ6499" s="126" t="e">
        <v>#N/A</v>
      </c>
      <c r="AK6499" s="80">
        <f t="shared" si="1007"/>
        <v>0</v>
      </c>
      <c r="AL6499" s="85"/>
      <c r="AM6499" s="85"/>
    </row>
    <row r="6500" spans="1:39" s="86" customFormat="1" ht="13.25" hidden="1" customHeight="1" x14ac:dyDescent="0.3">
      <c r="A6500" s="89" t="s">
        <v>3794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47" t="str">
        <f t="shared" si="999"/>
        <v>巨量引擎-一类</v>
      </c>
      <c r="L6500" s="47" t="s">
        <v>35</v>
      </c>
      <c r="N6500" s="86" t="s">
        <v>3707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00"/>
        <v>353334.06000000006</v>
      </c>
      <c r="X6500" s="6">
        <f t="shared" si="1001"/>
        <v>47436.773584905655</v>
      </c>
      <c r="Y6500" s="13">
        <f t="shared" si="1005"/>
        <v>0</v>
      </c>
      <c r="Z6500" s="66">
        <v>0</v>
      </c>
      <c r="AA6500" s="6">
        <v>0</v>
      </c>
      <c r="AB6500" s="4">
        <f t="shared" si="1006"/>
        <v>47436.773584905655</v>
      </c>
      <c r="AC6500" s="6">
        <f t="shared" si="1004"/>
        <v>2846.2064150943406</v>
      </c>
      <c r="AD6500" s="6">
        <f t="shared" si="1002"/>
        <v>50282.979999999996</v>
      </c>
      <c r="AE6500" s="14">
        <v>0.06</v>
      </c>
      <c r="AF6500" s="6">
        <f t="shared" ref="AF6500:AF6563" si="1008">AD6500*AE6500</f>
        <v>3016.9787999999999</v>
      </c>
      <c r="AG6500" s="14">
        <v>0</v>
      </c>
      <c r="AH6500" s="64">
        <f t="shared" si="1003"/>
        <v>50282.979999999996</v>
      </c>
      <c r="AJ6500" s="126" t="e">
        <v>#N/A</v>
      </c>
      <c r="AK6500" s="80">
        <f t="shared" si="1007"/>
        <v>0</v>
      </c>
      <c r="AL6500" s="85"/>
      <c r="AM6500" s="85"/>
    </row>
    <row r="6501" spans="1:39" s="86" customFormat="1" ht="13.25" hidden="1" customHeight="1" x14ac:dyDescent="0.3">
      <c r="A6501" s="89" t="s">
        <v>3794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999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00"/>
        <v>1032265.8000000003</v>
      </c>
      <c r="X6501" s="6">
        <f t="shared" si="1001"/>
        <v>1603590.5769230765</v>
      </c>
      <c r="Y6501" s="13">
        <f t="shared" si="1005"/>
        <v>0</v>
      </c>
      <c r="Z6501" s="66">
        <v>0</v>
      </c>
      <c r="AA6501" s="6">
        <v>0</v>
      </c>
      <c r="AB6501" s="4">
        <f t="shared" si="1006"/>
        <v>1603590.5769230765</v>
      </c>
      <c r="AC6501" s="6">
        <f t="shared" si="1004"/>
        <v>64143.623076923192</v>
      </c>
      <c r="AD6501" s="6">
        <f t="shared" si="1002"/>
        <v>1667734.1999999997</v>
      </c>
      <c r="AE6501" s="14">
        <v>0.06</v>
      </c>
      <c r="AF6501" s="6">
        <f t="shared" si="1008"/>
        <v>100064.05199999998</v>
      </c>
      <c r="AG6501" s="14">
        <v>0</v>
      </c>
      <c r="AH6501" s="64">
        <f t="shared" si="1003"/>
        <v>1667734.1999999997</v>
      </c>
      <c r="AJ6501" s="126" t="e">
        <v>#N/A</v>
      </c>
      <c r="AK6501" s="80">
        <f t="shared" si="1007"/>
        <v>0</v>
      </c>
      <c r="AL6501" s="85"/>
      <c r="AM6501" s="85"/>
    </row>
    <row r="6502" spans="1:39" s="86" customFormat="1" ht="13.25" hidden="1" customHeight="1" x14ac:dyDescent="0.3">
      <c r="A6502" s="89" t="s">
        <v>3794</v>
      </c>
      <c r="B6502" s="86" t="s">
        <v>35</v>
      </c>
      <c r="C6502" s="86" t="s">
        <v>3857</v>
      </c>
      <c r="D6502" s="86" t="s">
        <v>3858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47" t="str">
        <f t="shared" si="999"/>
        <v>巨量引擎-三类</v>
      </c>
      <c r="L6502" s="47" t="s">
        <v>35</v>
      </c>
      <c r="N6502" s="86" t="s">
        <v>3712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00"/>
        <v>125942.20000000014</v>
      </c>
      <c r="X6502" s="6">
        <f t="shared" si="1001"/>
        <v>115711.31999999999</v>
      </c>
      <c r="Y6502" s="13">
        <f t="shared" si="1005"/>
        <v>0</v>
      </c>
      <c r="Z6502" s="14">
        <v>0</v>
      </c>
      <c r="AA6502" s="6">
        <v>0</v>
      </c>
      <c r="AB6502" s="4">
        <f t="shared" si="1006"/>
        <v>115711.31999999999</v>
      </c>
      <c r="AC6502" s="6">
        <f t="shared" si="1004"/>
        <v>0</v>
      </c>
      <c r="AD6502" s="6">
        <f t="shared" si="1002"/>
        <v>115711.31999999999</v>
      </c>
      <c r="AE6502" s="14">
        <v>0.06</v>
      </c>
      <c r="AF6502" s="6">
        <f t="shared" si="1008"/>
        <v>6942.6791999999996</v>
      </c>
      <c r="AG6502" s="14">
        <v>0</v>
      </c>
      <c r="AH6502" s="64">
        <f t="shared" si="1003"/>
        <v>115711.31999999999</v>
      </c>
      <c r="AJ6502" s="126" t="e">
        <v>#N/A</v>
      </c>
      <c r="AK6502" s="80">
        <f t="shared" si="1007"/>
        <v>0</v>
      </c>
      <c r="AL6502" s="85"/>
      <c r="AM6502" s="85"/>
    </row>
    <row r="6503" spans="1:39" s="86" customFormat="1" ht="13.25" hidden="1" customHeight="1" x14ac:dyDescent="0.3">
      <c r="A6503" s="89" t="s">
        <v>3794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999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00"/>
        <v>35194.040000004694</v>
      </c>
      <c r="X6503" s="6">
        <f t="shared" si="1001"/>
        <v>0</v>
      </c>
      <c r="Y6503" s="13">
        <f t="shared" si="1005"/>
        <v>0</v>
      </c>
      <c r="Z6503" s="14">
        <v>0</v>
      </c>
      <c r="AA6503" s="6">
        <v>0</v>
      </c>
      <c r="AB6503" s="4">
        <f t="shared" si="1006"/>
        <v>0</v>
      </c>
      <c r="AC6503" s="6">
        <f t="shared" si="1004"/>
        <v>0</v>
      </c>
      <c r="AD6503" s="6">
        <f t="shared" si="1002"/>
        <v>0</v>
      </c>
      <c r="AE6503" s="14">
        <v>0.06</v>
      </c>
      <c r="AF6503" s="6">
        <f t="shared" si="1008"/>
        <v>0</v>
      </c>
      <c r="AG6503" s="14">
        <v>0</v>
      </c>
      <c r="AH6503" s="64">
        <f t="shared" si="1003"/>
        <v>0</v>
      </c>
      <c r="AJ6503" s="126" t="e">
        <v>#N/A</v>
      </c>
      <c r="AK6503" s="80">
        <f t="shared" si="1007"/>
        <v>0</v>
      </c>
      <c r="AL6503" s="85"/>
      <c r="AM6503" s="85"/>
    </row>
    <row r="6504" spans="1:39" s="86" customFormat="1" ht="13.25" hidden="1" customHeight="1" x14ac:dyDescent="0.3">
      <c r="A6504" s="89" t="s">
        <v>3792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999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00"/>
        <v>8775.6799999996874</v>
      </c>
      <c r="X6504" s="6">
        <f t="shared" si="1001"/>
        <v>0</v>
      </c>
      <c r="Y6504" s="13">
        <f t="shared" si="1005"/>
        <v>0</v>
      </c>
      <c r="Z6504" s="14">
        <v>0</v>
      </c>
      <c r="AA6504" s="6">
        <v>0</v>
      </c>
      <c r="AB6504" s="4">
        <f t="shared" si="1006"/>
        <v>0</v>
      </c>
      <c r="AC6504" s="6">
        <f t="shared" si="1004"/>
        <v>0</v>
      </c>
      <c r="AD6504" s="6">
        <f t="shared" si="1002"/>
        <v>0</v>
      </c>
      <c r="AE6504" s="14">
        <v>0.06</v>
      </c>
      <c r="AF6504" s="6">
        <f t="shared" si="1008"/>
        <v>0</v>
      </c>
      <c r="AG6504" s="14">
        <v>0</v>
      </c>
      <c r="AH6504" s="64">
        <f t="shared" si="1003"/>
        <v>0</v>
      </c>
      <c r="AJ6504" s="126" t="e">
        <v>#N/A</v>
      </c>
      <c r="AK6504" s="80">
        <f t="shared" si="1007"/>
        <v>0</v>
      </c>
      <c r="AL6504" s="85"/>
      <c r="AM6504" s="85"/>
    </row>
    <row r="6505" spans="1:39" s="86" customFormat="1" ht="13.25" hidden="1" customHeight="1" x14ac:dyDescent="0.3">
      <c r="A6505" s="89" t="s">
        <v>3794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47" t="str">
        <f t="shared" si="999"/>
        <v>巨量引擎-一类</v>
      </c>
      <c r="L6505" s="47" t="s">
        <v>35</v>
      </c>
      <c r="N6505" s="86" t="s">
        <v>3707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00"/>
        <v>92310.64</v>
      </c>
      <c r="X6505" s="6">
        <f t="shared" si="1001"/>
        <v>34008.58</v>
      </c>
      <c r="Y6505" s="13">
        <f t="shared" si="1005"/>
        <v>0</v>
      </c>
      <c r="Z6505" s="14">
        <v>0</v>
      </c>
      <c r="AA6505" s="6">
        <v>0</v>
      </c>
      <c r="AB6505" s="4">
        <f t="shared" si="1006"/>
        <v>34008.58</v>
      </c>
      <c r="AC6505" s="6">
        <f t="shared" si="1004"/>
        <v>0</v>
      </c>
      <c r="AD6505" s="6">
        <f t="shared" si="1002"/>
        <v>34008.58</v>
      </c>
      <c r="AE6505" s="14">
        <v>0.06</v>
      </c>
      <c r="AF6505" s="6">
        <f t="shared" si="1008"/>
        <v>2040.5147999999999</v>
      </c>
      <c r="AG6505" s="14">
        <v>0</v>
      </c>
      <c r="AH6505" s="64">
        <f t="shared" si="1003"/>
        <v>34008.58</v>
      </c>
      <c r="AJ6505" s="126" t="e">
        <v>#N/A</v>
      </c>
      <c r="AK6505" s="80">
        <f t="shared" si="1007"/>
        <v>0</v>
      </c>
      <c r="AL6505" s="85"/>
      <c r="AM6505" s="85"/>
    </row>
    <row r="6506" spans="1:39" s="86" customFormat="1" ht="13.25" hidden="1" customHeight="1" x14ac:dyDescent="0.3">
      <c r="A6506" s="89" t="s">
        <v>3794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999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00"/>
        <v>2641.6100000001898</v>
      </c>
      <c r="X6506" s="6">
        <f t="shared" si="1001"/>
        <v>0</v>
      </c>
      <c r="Y6506" s="13">
        <f t="shared" si="1005"/>
        <v>0</v>
      </c>
      <c r="Z6506" s="14">
        <v>0</v>
      </c>
      <c r="AA6506" s="6">
        <v>0</v>
      </c>
      <c r="AB6506" s="4">
        <f t="shared" si="1006"/>
        <v>0</v>
      </c>
      <c r="AC6506" s="6">
        <f t="shared" si="1004"/>
        <v>0</v>
      </c>
      <c r="AD6506" s="6">
        <f t="shared" si="1002"/>
        <v>0</v>
      </c>
      <c r="AE6506" s="14">
        <v>0.06</v>
      </c>
      <c r="AF6506" s="6">
        <f t="shared" si="1008"/>
        <v>0</v>
      </c>
      <c r="AG6506" s="14">
        <v>0</v>
      </c>
      <c r="AH6506" s="64">
        <f t="shared" si="1003"/>
        <v>0</v>
      </c>
      <c r="AJ6506" s="126" t="e">
        <v>#N/A</v>
      </c>
      <c r="AK6506" s="80">
        <f t="shared" si="1007"/>
        <v>0</v>
      </c>
      <c r="AL6506" s="85"/>
      <c r="AM6506" s="85"/>
    </row>
    <row r="6507" spans="1:39" s="86" customFormat="1" ht="13.25" hidden="1" customHeight="1" x14ac:dyDescent="0.3">
      <c r="A6507" s="89" t="s">
        <v>3794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47" t="str">
        <f t="shared" si="999"/>
        <v>巨量引擎-二类</v>
      </c>
      <c r="L6507" s="47" t="s">
        <v>35</v>
      </c>
      <c r="N6507" s="86" t="s">
        <v>3710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00"/>
        <v>2040681.1799999923</v>
      </c>
      <c r="X6507" s="6">
        <f t="shared" si="1001"/>
        <v>0</v>
      </c>
      <c r="Y6507" s="13">
        <f t="shared" si="1005"/>
        <v>0</v>
      </c>
      <c r="Z6507" s="14">
        <v>0</v>
      </c>
      <c r="AA6507" s="6">
        <v>0</v>
      </c>
      <c r="AB6507" s="4">
        <f t="shared" si="1006"/>
        <v>0</v>
      </c>
      <c r="AC6507" s="6">
        <f t="shared" si="1004"/>
        <v>0</v>
      </c>
      <c r="AD6507" s="6">
        <f t="shared" si="1002"/>
        <v>0</v>
      </c>
      <c r="AE6507" s="14">
        <v>0.06</v>
      </c>
      <c r="AF6507" s="6">
        <f t="shared" si="1008"/>
        <v>0</v>
      </c>
      <c r="AG6507" s="14">
        <v>0</v>
      </c>
      <c r="AH6507" s="64">
        <f t="shared" si="1003"/>
        <v>0</v>
      </c>
      <c r="AJ6507" s="126" t="e">
        <v>#N/A</v>
      </c>
      <c r="AK6507" s="80">
        <f t="shared" si="1007"/>
        <v>0</v>
      </c>
      <c r="AL6507" s="85"/>
      <c r="AM6507" s="85"/>
    </row>
    <row r="6508" spans="1:39" s="86" customFormat="1" ht="13.25" hidden="1" customHeight="1" x14ac:dyDescent="0.3">
      <c r="A6508" s="89" t="s">
        <v>3794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999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00"/>
        <v>298869.83999999997</v>
      </c>
      <c r="X6508" s="6">
        <f t="shared" si="1001"/>
        <v>0</v>
      </c>
      <c r="Y6508" s="13">
        <f t="shared" si="1005"/>
        <v>0</v>
      </c>
      <c r="Z6508" s="14">
        <v>0</v>
      </c>
      <c r="AA6508" s="6">
        <v>0</v>
      </c>
      <c r="AB6508" s="4">
        <f t="shared" si="1006"/>
        <v>0</v>
      </c>
      <c r="AC6508" s="6">
        <f t="shared" si="1004"/>
        <v>0</v>
      </c>
      <c r="AD6508" s="6">
        <f t="shared" si="1002"/>
        <v>0</v>
      </c>
      <c r="AE6508" s="14">
        <v>0.06</v>
      </c>
      <c r="AF6508" s="6">
        <f t="shared" si="1008"/>
        <v>0</v>
      </c>
      <c r="AG6508" s="14">
        <v>0</v>
      </c>
      <c r="AH6508" s="64">
        <f t="shared" si="1003"/>
        <v>0</v>
      </c>
      <c r="AJ6508" s="126" t="e">
        <v>#N/A</v>
      </c>
      <c r="AK6508" s="80">
        <f t="shared" si="1007"/>
        <v>0</v>
      </c>
      <c r="AL6508" s="85"/>
      <c r="AM6508" s="85"/>
    </row>
    <row r="6509" spans="1:39" s="86" customFormat="1" ht="13.25" hidden="1" customHeight="1" x14ac:dyDescent="0.3">
      <c r="A6509" s="89" t="s">
        <v>3794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999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00"/>
        <v>500999.69999999925</v>
      </c>
      <c r="X6509" s="6">
        <f t="shared" si="1001"/>
        <v>239954.4615384615</v>
      </c>
      <c r="Y6509" s="13">
        <f t="shared" si="1005"/>
        <v>0</v>
      </c>
      <c r="Z6509" s="14">
        <v>0</v>
      </c>
      <c r="AA6509" s="6">
        <v>0</v>
      </c>
      <c r="AB6509" s="4">
        <f t="shared" si="1006"/>
        <v>239954.4615384615</v>
      </c>
      <c r="AC6509" s="6">
        <f t="shared" si="1004"/>
        <v>9598.1784615384822</v>
      </c>
      <c r="AD6509" s="6">
        <f t="shared" si="1002"/>
        <v>249552.63999999998</v>
      </c>
      <c r="AE6509" s="14">
        <v>0.06</v>
      </c>
      <c r="AF6509" s="6">
        <f t="shared" si="1008"/>
        <v>14973.158399999998</v>
      </c>
      <c r="AG6509" s="14">
        <v>0</v>
      </c>
      <c r="AH6509" s="64">
        <f t="shared" si="1003"/>
        <v>249552.63999999998</v>
      </c>
      <c r="AJ6509" s="126" t="e">
        <v>#N/A</v>
      </c>
      <c r="AK6509" s="80">
        <f t="shared" si="1007"/>
        <v>0</v>
      </c>
      <c r="AL6509" s="85"/>
      <c r="AM6509" s="85"/>
    </row>
    <row r="6510" spans="1:39" s="86" customFormat="1" ht="13.25" hidden="1" customHeight="1" x14ac:dyDescent="0.3">
      <c r="A6510" s="89" t="s">
        <v>3794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999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00"/>
        <v>0</v>
      </c>
      <c r="X6510" s="6">
        <f t="shared" si="1001"/>
        <v>-15278.339999999982</v>
      </c>
      <c r="Y6510" s="13">
        <f t="shared" si="1005"/>
        <v>0</v>
      </c>
      <c r="Z6510" s="14">
        <v>0</v>
      </c>
      <c r="AA6510" s="6">
        <v>0</v>
      </c>
      <c r="AB6510" s="4">
        <f t="shared" si="1006"/>
        <v>-15278.339999999982</v>
      </c>
      <c r="AC6510" s="6">
        <f t="shared" si="1004"/>
        <v>0</v>
      </c>
      <c r="AD6510" s="6">
        <f t="shared" si="1002"/>
        <v>-15278.339999999982</v>
      </c>
      <c r="AE6510" s="14">
        <v>0.06</v>
      </c>
      <c r="AF6510" s="6">
        <f t="shared" si="1008"/>
        <v>-916.70039999999892</v>
      </c>
      <c r="AG6510" s="14">
        <v>0</v>
      </c>
      <c r="AH6510" s="64">
        <f t="shared" si="1003"/>
        <v>-15278.339999999982</v>
      </c>
      <c r="AJ6510" s="126" t="e">
        <v>#N/A</v>
      </c>
      <c r="AK6510" s="80">
        <f t="shared" si="1007"/>
        <v>0</v>
      </c>
      <c r="AL6510" s="85"/>
      <c r="AM6510" s="85"/>
    </row>
    <row r="6511" spans="1:39" s="86" customFormat="1" ht="13.25" hidden="1" customHeight="1" x14ac:dyDescent="0.3">
      <c r="A6511" s="89" t="s">
        <v>3794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999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01"/>
        <v>1326222.0800000168</v>
      </c>
      <c r="Y6511" s="13">
        <f t="shared" si="1005"/>
        <v>0</v>
      </c>
      <c r="Z6511" s="14">
        <v>0</v>
      </c>
      <c r="AA6511" s="6">
        <v>0</v>
      </c>
      <c r="AB6511" s="4">
        <f t="shared" si="1006"/>
        <v>1326222.0800000168</v>
      </c>
      <c r="AC6511" s="6">
        <f t="shared" si="1004"/>
        <v>0</v>
      </c>
      <c r="AD6511" s="6">
        <f t="shared" si="1002"/>
        <v>1326222.0800000168</v>
      </c>
      <c r="AE6511" s="14">
        <v>0.06</v>
      </c>
      <c r="AF6511" s="6">
        <f t="shared" si="1008"/>
        <v>79573.324800001006</v>
      </c>
      <c r="AG6511" s="14">
        <v>0</v>
      </c>
      <c r="AH6511" s="64">
        <f t="shared" si="1003"/>
        <v>1326222.0800000168</v>
      </c>
      <c r="AJ6511" s="126" t="e">
        <v>#N/A</v>
      </c>
      <c r="AK6511" s="80">
        <f t="shared" si="1007"/>
        <v>0</v>
      </c>
      <c r="AL6511" s="85"/>
      <c r="AM6511" s="85"/>
    </row>
    <row r="6512" spans="1:39" s="86" customFormat="1" ht="13.25" hidden="1" customHeight="1" x14ac:dyDescent="0.3">
      <c r="A6512" s="89" t="s">
        <v>3792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09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10">T6512+U6512-V6512</f>
        <v>202719.79999999993</v>
      </c>
      <c r="X6512" s="6">
        <f t="shared" ref="X6512:X6575" si="1011">IF(P6512="折扣",V6512*Q6512,IF(P6512="返现",V6512,V6512/(1+Q6512)))</f>
        <v>107333.29245283017</v>
      </c>
      <c r="Y6512" s="13">
        <f t="shared" si="1005"/>
        <v>0</v>
      </c>
      <c r="Z6512" s="14">
        <v>0</v>
      </c>
      <c r="AA6512" s="6">
        <v>0</v>
      </c>
      <c r="AB6512" s="4">
        <f t="shared" si="1006"/>
        <v>107333.29245283017</v>
      </c>
      <c r="AC6512" s="6">
        <f t="shared" si="1004"/>
        <v>6439.9975471698126</v>
      </c>
      <c r="AD6512" s="6">
        <f t="shared" ref="AD6512:AD6575" si="1012">V6512</f>
        <v>113773.28999999998</v>
      </c>
      <c r="AE6512" s="14">
        <v>0.06</v>
      </c>
      <c r="AF6512" s="6">
        <f t="shared" si="1008"/>
        <v>6826.3973999999989</v>
      </c>
      <c r="AG6512" s="14">
        <v>0</v>
      </c>
      <c r="AH6512" s="64">
        <f t="shared" ref="AH6512:AH6575" si="1013">V6512</f>
        <v>113773.28999999998</v>
      </c>
      <c r="AJ6512" s="126" t="e">
        <v>#N/A</v>
      </c>
      <c r="AK6512" s="80">
        <f t="shared" si="1007"/>
        <v>0</v>
      </c>
      <c r="AL6512" s="85"/>
      <c r="AM6512" s="85"/>
    </row>
    <row r="6513" spans="1:39" s="86" customFormat="1" ht="13.25" hidden="1" customHeight="1" x14ac:dyDescent="0.3">
      <c r="A6513" s="89" t="s">
        <v>3794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09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10"/>
        <v>5300</v>
      </c>
      <c r="X6513" s="6">
        <f t="shared" si="1011"/>
        <v>0</v>
      </c>
      <c r="Y6513" s="13">
        <f t="shared" si="1005"/>
        <v>0</v>
      </c>
      <c r="Z6513" s="14">
        <v>0</v>
      </c>
      <c r="AA6513" s="6">
        <v>0</v>
      </c>
      <c r="AB6513" s="4">
        <f t="shared" si="1006"/>
        <v>0</v>
      </c>
      <c r="AC6513" s="6">
        <f t="shared" si="1004"/>
        <v>0</v>
      </c>
      <c r="AD6513" s="6">
        <f t="shared" si="1012"/>
        <v>0</v>
      </c>
      <c r="AE6513" s="14">
        <v>0.06</v>
      </c>
      <c r="AF6513" s="6">
        <f t="shared" si="1008"/>
        <v>0</v>
      </c>
      <c r="AG6513" s="14">
        <v>0</v>
      </c>
      <c r="AH6513" s="64">
        <f t="shared" si="1013"/>
        <v>0</v>
      </c>
      <c r="AJ6513" s="126" t="e">
        <v>#N/A</v>
      </c>
      <c r="AK6513" s="80">
        <f t="shared" si="1007"/>
        <v>0</v>
      </c>
      <c r="AL6513" s="85"/>
      <c r="AM6513" s="85"/>
    </row>
    <row r="6514" spans="1:39" s="86" customFormat="1" ht="13.25" hidden="1" customHeight="1" x14ac:dyDescent="0.3">
      <c r="A6514" s="89" t="s">
        <v>3792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3953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09"/>
        <v>巨量引擎-游戏</v>
      </c>
      <c r="L6514" s="47" t="s">
        <v>35</v>
      </c>
      <c r="N6514" s="86" t="s">
        <v>3283</v>
      </c>
      <c r="O6514" s="47" t="s">
        <v>3954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10"/>
        <v>76892.570000000007</v>
      </c>
      <c r="X6514" s="6">
        <f t="shared" si="1011"/>
        <v>16230.990291262136</v>
      </c>
      <c r="Y6514" s="13">
        <f t="shared" si="1005"/>
        <v>0</v>
      </c>
      <c r="Z6514" s="14">
        <v>0</v>
      </c>
      <c r="AA6514" s="6">
        <v>0</v>
      </c>
      <c r="AB6514" s="4">
        <f t="shared" si="1006"/>
        <v>16230.990291262136</v>
      </c>
      <c r="AC6514" s="6">
        <f t="shared" si="1004"/>
        <v>486.92970873786544</v>
      </c>
      <c r="AD6514" s="6">
        <f t="shared" si="1012"/>
        <v>16717.920000000002</v>
      </c>
      <c r="AE6514" s="14">
        <v>0.06</v>
      </c>
      <c r="AF6514" s="6">
        <f t="shared" si="1008"/>
        <v>1003.0752000000001</v>
      </c>
      <c r="AG6514" s="14">
        <v>0</v>
      </c>
      <c r="AH6514" s="64">
        <f t="shared" si="1013"/>
        <v>16717.920000000002</v>
      </c>
      <c r="AJ6514" s="126" t="e">
        <v>#N/A</v>
      </c>
      <c r="AK6514" s="80">
        <f t="shared" si="1007"/>
        <v>0</v>
      </c>
      <c r="AL6514" s="85"/>
      <c r="AM6514" s="85"/>
    </row>
    <row r="6515" spans="1:39" s="86" customFormat="1" ht="13.25" hidden="1" customHeight="1" x14ac:dyDescent="0.3">
      <c r="A6515" s="89" t="s">
        <v>3794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09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10"/>
        <v>587.92999999993481</v>
      </c>
      <c r="X6515" s="6">
        <f t="shared" si="1011"/>
        <v>0</v>
      </c>
      <c r="Y6515" s="13">
        <f t="shared" si="1005"/>
        <v>0</v>
      </c>
      <c r="Z6515" s="14">
        <v>0</v>
      </c>
      <c r="AA6515" s="6">
        <v>0</v>
      </c>
      <c r="AB6515" s="4">
        <f t="shared" si="1006"/>
        <v>0</v>
      </c>
      <c r="AC6515" s="6">
        <f t="shared" si="1004"/>
        <v>0</v>
      </c>
      <c r="AD6515" s="6">
        <f t="shared" si="1012"/>
        <v>0</v>
      </c>
      <c r="AE6515" s="14">
        <v>0.06</v>
      </c>
      <c r="AF6515" s="6">
        <f t="shared" si="1008"/>
        <v>0</v>
      </c>
      <c r="AG6515" s="14">
        <v>0</v>
      </c>
      <c r="AH6515" s="64">
        <f t="shared" si="1013"/>
        <v>0</v>
      </c>
      <c r="AJ6515" s="126" t="e">
        <v>#N/A</v>
      </c>
      <c r="AK6515" s="80">
        <f t="shared" si="1007"/>
        <v>0</v>
      </c>
      <c r="AL6515" s="85"/>
      <c r="AM6515" s="85"/>
    </row>
    <row r="6516" spans="1:39" s="86" customFormat="1" ht="13.25" hidden="1" customHeight="1" x14ac:dyDescent="0.3">
      <c r="A6516" s="89" t="s">
        <v>3794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09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10"/>
        <v>3774.0399999991059</v>
      </c>
      <c r="X6516" s="6">
        <f t="shared" si="1011"/>
        <v>0</v>
      </c>
      <c r="Y6516" s="13">
        <f t="shared" si="1005"/>
        <v>0</v>
      </c>
      <c r="Z6516" s="14">
        <v>0</v>
      </c>
      <c r="AA6516" s="6">
        <v>0</v>
      </c>
      <c r="AB6516" s="4">
        <f t="shared" si="1006"/>
        <v>0</v>
      </c>
      <c r="AC6516" s="6">
        <f t="shared" si="1004"/>
        <v>0</v>
      </c>
      <c r="AD6516" s="6">
        <f t="shared" si="1012"/>
        <v>0</v>
      </c>
      <c r="AE6516" s="14">
        <v>0.06</v>
      </c>
      <c r="AF6516" s="6">
        <f t="shared" si="1008"/>
        <v>0</v>
      </c>
      <c r="AG6516" s="14">
        <v>0</v>
      </c>
      <c r="AH6516" s="64">
        <f t="shared" si="1013"/>
        <v>0</v>
      </c>
      <c r="AJ6516" s="126" t="e">
        <v>#N/A</v>
      </c>
      <c r="AK6516" s="80">
        <f t="shared" si="1007"/>
        <v>0</v>
      </c>
      <c r="AL6516" s="85"/>
      <c r="AM6516" s="85"/>
    </row>
    <row r="6517" spans="1:39" s="86" customFormat="1" ht="13.25" hidden="1" customHeight="1" x14ac:dyDescent="0.3">
      <c r="A6517" s="89" t="s">
        <v>3792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47" t="str">
        <f t="shared" si="1009"/>
        <v>巨量引擎-一类</v>
      </c>
      <c r="L6517" s="47" t="s">
        <v>35</v>
      </c>
      <c r="N6517" s="86" t="s">
        <v>3955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10"/>
        <v>0</v>
      </c>
      <c r="X6517" s="6">
        <f t="shared" si="1011"/>
        <v>40989.475728155339</v>
      </c>
      <c r="Y6517" s="13">
        <f t="shared" si="1005"/>
        <v>0</v>
      </c>
      <c r="Z6517" s="14">
        <v>0</v>
      </c>
      <c r="AA6517" s="6">
        <v>0</v>
      </c>
      <c r="AB6517" s="4">
        <f t="shared" si="1006"/>
        <v>40989.475728155339</v>
      </c>
      <c r="AC6517" s="6">
        <f t="shared" si="1004"/>
        <v>1229.6842718446642</v>
      </c>
      <c r="AD6517" s="6">
        <f t="shared" si="1012"/>
        <v>42219.16</v>
      </c>
      <c r="AE6517" s="14">
        <v>0.06</v>
      </c>
      <c r="AF6517" s="6">
        <f t="shared" si="1008"/>
        <v>2533.1496000000002</v>
      </c>
      <c r="AG6517" s="14">
        <v>0</v>
      </c>
      <c r="AH6517" s="64">
        <f t="shared" si="1013"/>
        <v>42219.16</v>
      </c>
      <c r="AJ6517" s="126" t="e">
        <v>#N/A</v>
      </c>
      <c r="AK6517" s="80">
        <f t="shared" si="1007"/>
        <v>0</v>
      </c>
      <c r="AL6517" s="85"/>
      <c r="AM6517" s="85"/>
    </row>
    <row r="6518" spans="1:39" s="86" customFormat="1" ht="13.25" hidden="1" customHeight="1" x14ac:dyDescent="0.3">
      <c r="A6518" s="89" t="s">
        <v>3794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09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10"/>
        <v>8000000</v>
      </c>
      <c r="X6518" s="6">
        <f t="shared" si="1011"/>
        <v>0</v>
      </c>
      <c r="Y6518" s="13">
        <f t="shared" si="1005"/>
        <v>0</v>
      </c>
      <c r="Z6518" s="14">
        <v>0</v>
      </c>
      <c r="AA6518" s="6">
        <v>0</v>
      </c>
      <c r="AB6518" s="4">
        <f t="shared" si="1006"/>
        <v>0</v>
      </c>
      <c r="AC6518" s="6">
        <f t="shared" si="1004"/>
        <v>0</v>
      </c>
      <c r="AD6518" s="6">
        <f t="shared" si="1012"/>
        <v>0</v>
      </c>
      <c r="AE6518" s="14">
        <v>0.06</v>
      </c>
      <c r="AF6518" s="6">
        <f t="shared" si="1008"/>
        <v>0</v>
      </c>
      <c r="AG6518" s="14">
        <v>0</v>
      </c>
      <c r="AH6518" s="64">
        <f t="shared" si="1013"/>
        <v>0</v>
      </c>
      <c r="AJ6518" s="126" t="e">
        <v>#N/A</v>
      </c>
      <c r="AK6518" s="80">
        <f t="shared" si="1007"/>
        <v>0</v>
      </c>
      <c r="AL6518" s="85"/>
      <c r="AM6518" s="85"/>
    </row>
    <row r="6519" spans="1:39" s="86" customFormat="1" ht="13.25" hidden="1" customHeight="1" x14ac:dyDescent="0.3">
      <c r="A6519" s="89" t="s">
        <v>3794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09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10"/>
        <v>415008.24999999919</v>
      </c>
      <c r="X6519" s="6">
        <f t="shared" si="1011"/>
        <v>31074.809999999998</v>
      </c>
      <c r="Y6519" s="13">
        <f t="shared" si="1005"/>
        <v>0</v>
      </c>
      <c r="Z6519" s="14">
        <v>0</v>
      </c>
      <c r="AA6519" s="6">
        <v>0</v>
      </c>
      <c r="AB6519" s="4">
        <f t="shared" si="1006"/>
        <v>31074.809999999998</v>
      </c>
      <c r="AC6519" s="6">
        <f t="shared" si="1004"/>
        <v>0</v>
      </c>
      <c r="AD6519" s="6">
        <f t="shared" si="1012"/>
        <v>31074.809999999998</v>
      </c>
      <c r="AE6519" s="14">
        <v>0.06</v>
      </c>
      <c r="AF6519" s="6">
        <f t="shared" si="1008"/>
        <v>1864.4885999999997</v>
      </c>
      <c r="AG6519" s="14">
        <v>0</v>
      </c>
      <c r="AH6519" s="64">
        <f t="shared" si="1013"/>
        <v>31074.809999999998</v>
      </c>
      <c r="AJ6519" s="126" t="e">
        <v>#N/A</v>
      </c>
      <c r="AK6519" s="80">
        <f t="shared" si="1007"/>
        <v>0</v>
      </c>
      <c r="AL6519" s="85"/>
      <c r="AM6519" s="85"/>
    </row>
    <row r="6520" spans="1:39" s="86" customFormat="1" ht="13.25" hidden="1" customHeight="1" x14ac:dyDescent="0.3">
      <c r="A6520" s="89" t="s">
        <v>3792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09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10"/>
        <v>1.0000005891924957E-2</v>
      </c>
      <c r="X6520" s="6">
        <f t="shared" si="1011"/>
        <v>22910.69</v>
      </c>
      <c r="Y6520" s="13">
        <f t="shared" si="1005"/>
        <v>0</v>
      </c>
      <c r="Z6520" s="14">
        <v>0</v>
      </c>
      <c r="AA6520" s="6">
        <v>0</v>
      </c>
      <c r="AB6520" s="4">
        <f t="shared" si="1006"/>
        <v>22910.69</v>
      </c>
      <c r="AC6520" s="6">
        <f t="shared" si="1004"/>
        <v>0</v>
      </c>
      <c r="AD6520" s="6">
        <f t="shared" si="1012"/>
        <v>22910.69</v>
      </c>
      <c r="AE6520" s="14">
        <v>0.06</v>
      </c>
      <c r="AF6520" s="6">
        <f t="shared" si="1008"/>
        <v>1374.6414</v>
      </c>
      <c r="AG6520" s="14">
        <v>0</v>
      </c>
      <c r="AH6520" s="64">
        <f t="shared" si="1013"/>
        <v>22910.69</v>
      </c>
      <c r="AJ6520" s="126" t="s">
        <v>4218</v>
      </c>
      <c r="AK6520" s="80">
        <f t="shared" si="1007"/>
        <v>0</v>
      </c>
      <c r="AL6520" s="150"/>
      <c r="AM6520" s="85"/>
    </row>
    <row r="6521" spans="1:39" s="86" customFormat="1" ht="13.25" hidden="1" customHeight="1" x14ac:dyDescent="0.3">
      <c r="A6521" s="89" t="s">
        <v>3794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09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10"/>
        <v>239115.36000000007</v>
      </c>
      <c r="X6521" s="6">
        <f t="shared" si="1011"/>
        <v>18624.23</v>
      </c>
      <c r="Y6521" s="13">
        <f t="shared" si="1005"/>
        <v>0</v>
      </c>
      <c r="Z6521" s="14">
        <v>0</v>
      </c>
      <c r="AA6521" s="6">
        <v>0</v>
      </c>
      <c r="AB6521" s="4">
        <f t="shared" si="1006"/>
        <v>18624.23</v>
      </c>
      <c r="AC6521" s="6">
        <f t="shared" si="1004"/>
        <v>0</v>
      </c>
      <c r="AD6521" s="6">
        <f t="shared" si="1012"/>
        <v>18624.23</v>
      </c>
      <c r="AE6521" s="14">
        <v>0.06</v>
      </c>
      <c r="AF6521" s="6">
        <f t="shared" si="1008"/>
        <v>1117.4538</v>
      </c>
      <c r="AG6521" s="14">
        <v>0</v>
      </c>
      <c r="AH6521" s="64">
        <f t="shared" si="1013"/>
        <v>18624.23</v>
      </c>
      <c r="AJ6521" s="126" t="e">
        <v>#N/A</v>
      </c>
      <c r="AK6521" s="80">
        <f t="shared" si="1007"/>
        <v>0</v>
      </c>
      <c r="AL6521" s="85"/>
      <c r="AM6521" s="85"/>
    </row>
    <row r="6522" spans="1:39" s="86" customFormat="1" ht="13.25" hidden="1" customHeight="1" x14ac:dyDescent="0.3">
      <c r="A6522" s="89" t="s">
        <v>3794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09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10"/>
        <v>9989.83</v>
      </c>
      <c r="X6522" s="6">
        <f t="shared" si="1011"/>
        <v>0</v>
      </c>
      <c r="Y6522" s="13">
        <f t="shared" si="1005"/>
        <v>0</v>
      </c>
      <c r="Z6522" s="14">
        <v>0</v>
      </c>
      <c r="AA6522" s="6">
        <v>0</v>
      </c>
      <c r="AB6522" s="4">
        <f t="shared" si="1006"/>
        <v>0</v>
      </c>
      <c r="AC6522" s="6">
        <f t="shared" si="1004"/>
        <v>0</v>
      </c>
      <c r="AD6522" s="6">
        <f t="shared" si="1012"/>
        <v>0</v>
      </c>
      <c r="AE6522" s="14">
        <v>0.06</v>
      </c>
      <c r="AF6522" s="6">
        <f t="shared" si="1008"/>
        <v>0</v>
      </c>
      <c r="AG6522" s="14">
        <v>0</v>
      </c>
      <c r="AH6522" s="64">
        <f t="shared" si="1013"/>
        <v>0</v>
      </c>
      <c r="AJ6522" s="126" t="e">
        <v>#N/A</v>
      </c>
      <c r="AK6522" s="80">
        <f t="shared" si="1007"/>
        <v>0</v>
      </c>
      <c r="AL6522" s="85"/>
      <c r="AM6522" s="85"/>
    </row>
    <row r="6523" spans="1:39" s="86" customFormat="1" ht="13.25" hidden="1" customHeight="1" x14ac:dyDescent="0.3">
      <c r="A6523" s="89" t="s">
        <v>3792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47" t="str">
        <f t="shared" si="1009"/>
        <v>巨量引擎-三类</v>
      </c>
      <c r="L6523" s="47" t="s">
        <v>35</v>
      </c>
      <c r="N6523" s="86" t="s">
        <v>3712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10"/>
        <v>-871.09000000011292</v>
      </c>
      <c r="X6523" s="6">
        <f t="shared" si="1011"/>
        <v>0</v>
      </c>
      <c r="Y6523" s="13">
        <f t="shared" si="1005"/>
        <v>0</v>
      </c>
      <c r="Z6523" s="14">
        <v>0</v>
      </c>
      <c r="AA6523" s="6">
        <v>0</v>
      </c>
      <c r="AB6523" s="4">
        <f t="shared" si="1006"/>
        <v>0</v>
      </c>
      <c r="AC6523" s="6">
        <f t="shared" si="1004"/>
        <v>0</v>
      </c>
      <c r="AD6523" s="6">
        <f t="shared" si="1012"/>
        <v>0</v>
      </c>
      <c r="AE6523" s="14">
        <v>0.06</v>
      </c>
      <c r="AF6523" s="6">
        <f t="shared" si="1008"/>
        <v>0</v>
      </c>
      <c r="AG6523" s="14">
        <v>0</v>
      </c>
      <c r="AH6523" s="64">
        <f t="shared" si="1013"/>
        <v>0</v>
      </c>
      <c r="AJ6523" s="126" t="e">
        <v>#N/A</v>
      </c>
      <c r="AK6523" s="80">
        <f t="shared" si="1007"/>
        <v>0</v>
      </c>
      <c r="AL6523" s="85"/>
      <c r="AM6523" s="85"/>
    </row>
    <row r="6524" spans="1:39" s="86" customFormat="1" ht="13.25" hidden="1" customHeight="1" x14ac:dyDescent="0.3">
      <c r="A6524" s="89" t="s">
        <v>3794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09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10"/>
        <v>3.5100000000020373</v>
      </c>
      <c r="X6524" s="6">
        <f t="shared" si="1011"/>
        <v>0</v>
      </c>
      <c r="Y6524" s="13">
        <f t="shared" si="1005"/>
        <v>0</v>
      </c>
      <c r="Z6524" s="14">
        <v>0</v>
      </c>
      <c r="AA6524" s="6">
        <v>0</v>
      </c>
      <c r="AB6524" s="4">
        <f t="shared" si="1006"/>
        <v>0</v>
      </c>
      <c r="AC6524" s="6">
        <f t="shared" si="1004"/>
        <v>0</v>
      </c>
      <c r="AD6524" s="6">
        <f t="shared" si="1012"/>
        <v>0</v>
      </c>
      <c r="AE6524" s="14">
        <v>0.06</v>
      </c>
      <c r="AF6524" s="6">
        <f t="shared" si="1008"/>
        <v>0</v>
      </c>
      <c r="AG6524" s="14">
        <v>0</v>
      </c>
      <c r="AH6524" s="64">
        <f t="shared" si="1013"/>
        <v>0</v>
      </c>
      <c r="AJ6524" s="126" t="e">
        <v>#N/A</v>
      </c>
      <c r="AK6524" s="80">
        <f t="shared" si="1007"/>
        <v>0</v>
      </c>
      <c r="AL6524" s="85"/>
      <c r="AM6524" s="85"/>
    </row>
    <row r="6525" spans="1:39" s="86" customFormat="1" ht="13.25" hidden="1" customHeight="1" x14ac:dyDescent="0.3">
      <c r="A6525" s="89" t="s">
        <v>3792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09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10"/>
        <v>382494.92000000039</v>
      </c>
      <c r="X6525" s="6">
        <f t="shared" si="1011"/>
        <v>0</v>
      </c>
      <c r="Y6525" s="13">
        <f t="shared" si="1005"/>
        <v>0</v>
      </c>
      <c r="Z6525" s="14">
        <v>0</v>
      </c>
      <c r="AA6525" s="6">
        <v>0</v>
      </c>
      <c r="AB6525" s="4">
        <f t="shared" si="1006"/>
        <v>0</v>
      </c>
      <c r="AC6525" s="6">
        <f t="shared" si="1004"/>
        <v>0</v>
      </c>
      <c r="AD6525" s="6">
        <f t="shared" si="1012"/>
        <v>0</v>
      </c>
      <c r="AE6525" s="14">
        <v>0.06</v>
      </c>
      <c r="AF6525" s="6">
        <f t="shared" si="1008"/>
        <v>0</v>
      </c>
      <c r="AG6525" s="14">
        <v>0</v>
      </c>
      <c r="AH6525" s="64">
        <f t="shared" si="1013"/>
        <v>0</v>
      </c>
      <c r="AJ6525" s="126" t="e">
        <v>#N/A</v>
      </c>
      <c r="AK6525" s="80">
        <f t="shared" si="1007"/>
        <v>0</v>
      </c>
      <c r="AL6525" s="85"/>
      <c r="AM6525" s="85"/>
    </row>
    <row r="6526" spans="1:39" s="86" customFormat="1" ht="13.25" hidden="1" customHeight="1" x14ac:dyDescent="0.3">
      <c r="A6526" s="89" t="s">
        <v>3794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09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10"/>
        <v>31406.659999999996</v>
      </c>
      <c r="X6526" s="6">
        <f t="shared" si="1011"/>
        <v>0</v>
      </c>
      <c r="Y6526" s="13">
        <f t="shared" si="1005"/>
        <v>0</v>
      </c>
      <c r="Z6526" s="14">
        <v>0</v>
      </c>
      <c r="AA6526" s="6">
        <v>0</v>
      </c>
      <c r="AB6526" s="4">
        <f t="shared" si="1006"/>
        <v>0</v>
      </c>
      <c r="AC6526" s="6">
        <f t="shared" ref="AC6526:AC6589" si="1014">IF(P6526="返现",X6526*Q6526,V6526-X6526)</f>
        <v>0</v>
      </c>
      <c r="AD6526" s="6">
        <f t="shared" si="1012"/>
        <v>0</v>
      </c>
      <c r="AE6526" s="14">
        <v>0.06</v>
      </c>
      <c r="AF6526" s="6">
        <f t="shared" si="1008"/>
        <v>0</v>
      </c>
      <c r="AG6526" s="14">
        <v>0</v>
      </c>
      <c r="AH6526" s="64">
        <f t="shared" si="1013"/>
        <v>0</v>
      </c>
      <c r="AJ6526" s="126" t="e">
        <v>#N/A</v>
      </c>
      <c r="AK6526" s="80">
        <f t="shared" si="1007"/>
        <v>0</v>
      </c>
      <c r="AL6526" s="85"/>
      <c r="AM6526" s="85"/>
    </row>
    <row r="6527" spans="1:39" s="86" customFormat="1" ht="13.25" hidden="1" customHeight="1" x14ac:dyDescent="0.3">
      <c r="A6527" s="89" t="s">
        <v>3794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09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10"/>
        <v>15439.349999999999</v>
      </c>
      <c r="X6527" s="6">
        <f t="shared" si="1011"/>
        <v>0</v>
      </c>
      <c r="Y6527" s="13">
        <f t="shared" si="1005"/>
        <v>0</v>
      </c>
      <c r="Z6527" s="14">
        <v>0</v>
      </c>
      <c r="AA6527" s="6">
        <v>0</v>
      </c>
      <c r="AB6527" s="4">
        <f t="shared" si="1006"/>
        <v>0</v>
      </c>
      <c r="AC6527" s="6">
        <f t="shared" si="1014"/>
        <v>0</v>
      </c>
      <c r="AD6527" s="6">
        <f t="shared" si="1012"/>
        <v>0</v>
      </c>
      <c r="AE6527" s="14">
        <v>0.06</v>
      </c>
      <c r="AF6527" s="6">
        <f t="shared" si="1008"/>
        <v>0</v>
      </c>
      <c r="AG6527" s="14">
        <v>0</v>
      </c>
      <c r="AH6527" s="64">
        <f t="shared" si="1013"/>
        <v>0</v>
      </c>
      <c r="AJ6527" s="126" t="e">
        <v>#N/A</v>
      </c>
      <c r="AK6527" s="80">
        <f t="shared" si="1007"/>
        <v>0</v>
      </c>
      <c r="AL6527" s="85"/>
      <c r="AM6527" s="85"/>
    </row>
    <row r="6528" spans="1:39" s="86" customFormat="1" ht="13.25" hidden="1" customHeight="1" x14ac:dyDescent="0.3">
      <c r="A6528" s="89" t="s">
        <v>3794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09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10"/>
        <v>50000</v>
      </c>
      <c r="X6528" s="6">
        <f t="shared" si="1011"/>
        <v>0</v>
      </c>
      <c r="Y6528" s="13">
        <f t="shared" si="1005"/>
        <v>0</v>
      </c>
      <c r="Z6528" s="14">
        <v>0</v>
      </c>
      <c r="AA6528" s="6">
        <v>0</v>
      </c>
      <c r="AB6528" s="4">
        <f t="shared" si="1006"/>
        <v>0</v>
      </c>
      <c r="AC6528" s="6">
        <f t="shared" si="1014"/>
        <v>0</v>
      </c>
      <c r="AD6528" s="6">
        <f t="shared" si="1012"/>
        <v>0</v>
      </c>
      <c r="AE6528" s="14">
        <v>0.06</v>
      </c>
      <c r="AF6528" s="6">
        <f t="shared" si="1008"/>
        <v>0</v>
      </c>
      <c r="AG6528" s="14">
        <v>0</v>
      </c>
      <c r="AH6528" s="64">
        <f t="shared" si="1013"/>
        <v>0</v>
      </c>
      <c r="AJ6528" s="126" t="e">
        <v>#N/A</v>
      </c>
      <c r="AK6528" s="80">
        <f t="shared" si="1007"/>
        <v>0</v>
      </c>
      <c r="AL6528" s="85"/>
      <c r="AM6528" s="85"/>
    </row>
    <row r="6529" spans="1:39" s="86" customFormat="1" ht="13.25" hidden="1" customHeight="1" x14ac:dyDescent="0.3">
      <c r="A6529" s="89" t="s">
        <v>3792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10"/>
        <v>626655.07999999996</v>
      </c>
      <c r="X6529" s="6">
        <f t="shared" si="1011"/>
        <v>0</v>
      </c>
      <c r="Y6529" s="13">
        <f t="shared" si="1005"/>
        <v>0</v>
      </c>
      <c r="Z6529" s="14">
        <v>0</v>
      </c>
      <c r="AA6529" s="6">
        <v>0</v>
      </c>
      <c r="AB6529" s="4">
        <f t="shared" si="1006"/>
        <v>0</v>
      </c>
      <c r="AC6529" s="6">
        <f t="shared" si="1014"/>
        <v>0</v>
      </c>
      <c r="AD6529" s="6">
        <f t="shared" si="1012"/>
        <v>0</v>
      </c>
      <c r="AE6529" s="14">
        <v>0.06</v>
      </c>
      <c r="AF6529" s="6">
        <f t="shared" si="1008"/>
        <v>0</v>
      </c>
      <c r="AG6529" s="14">
        <v>0</v>
      </c>
      <c r="AH6529" s="64">
        <f t="shared" si="1013"/>
        <v>0</v>
      </c>
      <c r="AJ6529" s="126" t="e">
        <v>#N/A</v>
      </c>
      <c r="AK6529" s="80">
        <f t="shared" si="1007"/>
        <v>0</v>
      </c>
      <c r="AL6529" s="85"/>
      <c r="AM6529" s="85"/>
    </row>
    <row r="6530" spans="1:39" s="86" customFormat="1" ht="13.25" hidden="1" customHeight="1" x14ac:dyDescent="0.3">
      <c r="A6530" s="89" t="s">
        <v>3794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09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10"/>
        <v>39679.579999999427</v>
      </c>
      <c r="X6530" s="6">
        <f t="shared" si="1011"/>
        <v>14978.764705882335</v>
      </c>
      <c r="Y6530" s="13">
        <f t="shared" si="1005"/>
        <v>0</v>
      </c>
      <c r="Z6530" s="14">
        <v>0</v>
      </c>
      <c r="AA6530" s="6">
        <v>0</v>
      </c>
      <c r="AB6530" s="4">
        <f t="shared" si="1006"/>
        <v>14978.764705882335</v>
      </c>
      <c r="AC6530" s="6">
        <f t="shared" si="1014"/>
        <v>299.57529411764699</v>
      </c>
      <c r="AD6530" s="6">
        <f t="shared" si="1012"/>
        <v>15278.339999999982</v>
      </c>
      <c r="AE6530" s="14">
        <v>0.06</v>
      </c>
      <c r="AF6530" s="6">
        <f t="shared" si="1008"/>
        <v>916.70039999999892</v>
      </c>
      <c r="AG6530" s="14">
        <v>0</v>
      </c>
      <c r="AH6530" s="64">
        <f t="shared" si="1013"/>
        <v>15278.339999999982</v>
      </c>
      <c r="AJ6530" s="126" t="e">
        <v>#N/A</v>
      </c>
      <c r="AK6530" s="80">
        <f t="shared" si="1007"/>
        <v>0</v>
      </c>
      <c r="AL6530" s="85"/>
      <c r="AM6530" s="85"/>
    </row>
    <row r="6531" spans="1:39" s="86" customFormat="1" ht="13.25" hidden="1" customHeight="1" x14ac:dyDescent="0.3">
      <c r="A6531" s="89" t="s">
        <v>3792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09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10"/>
        <v>363421.39999999932</v>
      </c>
      <c r="X6531" s="6">
        <f t="shared" si="1011"/>
        <v>123118.89622641509</v>
      </c>
      <c r="Y6531" s="13">
        <f t="shared" ref="Y6531:Y6594" si="1015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016">X6531+AA6531</f>
        <v>123118.89622641509</v>
      </c>
      <c r="AC6531" s="6">
        <f t="shared" si="1014"/>
        <v>7387.1337735849083</v>
      </c>
      <c r="AD6531" s="6">
        <f t="shared" si="1012"/>
        <v>130506.03</v>
      </c>
      <c r="AE6531" s="14">
        <v>0.06</v>
      </c>
      <c r="AF6531" s="6">
        <f t="shared" si="1008"/>
        <v>7830.3617999999997</v>
      </c>
      <c r="AG6531" s="14">
        <v>0</v>
      </c>
      <c r="AH6531" s="64">
        <f t="shared" si="1013"/>
        <v>130506.03</v>
      </c>
      <c r="AJ6531" s="126" t="e">
        <v>#N/A</v>
      </c>
      <c r="AK6531" s="80">
        <f t="shared" ref="AK6531:AK6594" si="1017">X6531+AA6531-AB6531</f>
        <v>0</v>
      </c>
      <c r="AL6531" s="85"/>
      <c r="AM6531" s="85"/>
    </row>
    <row r="6532" spans="1:39" s="86" customFormat="1" ht="13.25" hidden="1" customHeight="1" x14ac:dyDescent="0.3">
      <c r="A6532" s="89" t="s">
        <v>3794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09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10"/>
        <v>17954.019999999953</v>
      </c>
      <c r="X6532" s="6">
        <f t="shared" si="1011"/>
        <v>3931.6116504854363</v>
      </c>
      <c r="Y6532" s="13">
        <f t="shared" si="1015"/>
        <v>0</v>
      </c>
      <c r="Z6532" s="14">
        <v>0</v>
      </c>
      <c r="AA6532" s="6">
        <v>0</v>
      </c>
      <c r="AB6532" s="4">
        <f t="shared" si="1016"/>
        <v>3931.6116504854363</v>
      </c>
      <c r="AC6532" s="6">
        <f t="shared" si="1014"/>
        <v>117.94834951456323</v>
      </c>
      <c r="AD6532" s="6">
        <f t="shared" si="1012"/>
        <v>4049.5599999999995</v>
      </c>
      <c r="AE6532" s="14">
        <v>0.06</v>
      </c>
      <c r="AF6532" s="6">
        <f t="shared" si="1008"/>
        <v>242.97359999999995</v>
      </c>
      <c r="AG6532" s="14">
        <v>0</v>
      </c>
      <c r="AH6532" s="64">
        <f t="shared" si="1013"/>
        <v>4049.5599999999995</v>
      </c>
      <c r="AJ6532" s="126" t="e">
        <v>#N/A</v>
      </c>
      <c r="AK6532" s="80">
        <f t="shared" si="1017"/>
        <v>0</v>
      </c>
      <c r="AL6532" s="85"/>
      <c r="AM6532" s="85"/>
    </row>
    <row r="6533" spans="1:39" s="86" customFormat="1" ht="13.25" hidden="1" customHeight="1" x14ac:dyDescent="0.3">
      <c r="A6533" s="89" t="s">
        <v>3794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47" t="str">
        <f t="shared" si="1009"/>
        <v>巨量引擎-三类</v>
      </c>
      <c r="L6533" s="47" t="s">
        <v>35</v>
      </c>
      <c r="N6533" s="86" t="s">
        <v>3712</v>
      </c>
      <c r="O6533" s="47" t="s">
        <v>45</v>
      </c>
      <c r="P6533" s="47" t="s">
        <v>46</v>
      </c>
      <c r="Q6533" s="14">
        <v>0.06</v>
      </c>
      <c r="R6533" s="143"/>
      <c r="S6533" s="47"/>
      <c r="T6533" s="6">
        <v>1275.9200000000019</v>
      </c>
      <c r="U6533" s="6"/>
      <c r="V6533" s="6">
        <v>34573.500000000007</v>
      </c>
      <c r="W6533" s="6">
        <f t="shared" si="1010"/>
        <v>-33297.58</v>
      </c>
      <c r="X6533" s="6">
        <f t="shared" si="1011"/>
        <v>32616.50943396227</v>
      </c>
      <c r="Y6533" s="13">
        <f t="shared" si="1015"/>
        <v>0</v>
      </c>
      <c r="Z6533" s="14">
        <v>0</v>
      </c>
      <c r="AA6533" s="6">
        <v>0</v>
      </c>
      <c r="AB6533" s="4">
        <f t="shared" si="1016"/>
        <v>32616.50943396227</v>
      </c>
      <c r="AC6533" s="6">
        <f t="shared" si="1014"/>
        <v>1956.9905660377372</v>
      </c>
      <c r="AD6533" s="6">
        <f t="shared" si="1012"/>
        <v>34573.500000000007</v>
      </c>
      <c r="AE6533" s="14">
        <v>0.06</v>
      </c>
      <c r="AF6533" s="6">
        <f t="shared" si="1008"/>
        <v>2074.4100000000003</v>
      </c>
      <c r="AG6533" s="14">
        <v>0</v>
      </c>
      <c r="AH6533" s="64">
        <f t="shared" si="1013"/>
        <v>34573.500000000007</v>
      </c>
      <c r="AJ6533" s="126" t="e">
        <v>#N/A</v>
      </c>
      <c r="AK6533" s="80">
        <f t="shared" si="1017"/>
        <v>0</v>
      </c>
      <c r="AL6533" s="85"/>
      <c r="AM6533" s="85"/>
    </row>
    <row r="6534" spans="1:39" s="86" customFormat="1" ht="13.25" hidden="1" customHeight="1" x14ac:dyDescent="0.3">
      <c r="A6534" s="89" t="s">
        <v>3794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10"/>
        <v>13934.639999999985</v>
      </c>
      <c r="X6534" s="6">
        <f t="shared" si="1011"/>
        <v>0</v>
      </c>
      <c r="Y6534" s="13">
        <f t="shared" si="1015"/>
        <v>0</v>
      </c>
      <c r="Z6534" s="14">
        <v>0</v>
      </c>
      <c r="AA6534" s="6">
        <v>0</v>
      </c>
      <c r="AB6534" s="4">
        <f t="shared" si="1016"/>
        <v>0</v>
      </c>
      <c r="AC6534" s="6">
        <f t="shared" si="1014"/>
        <v>0</v>
      </c>
      <c r="AD6534" s="6">
        <f t="shared" si="1012"/>
        <v>0</v>
      </c>
      <c r="AE6534" s="14">
        <v>0.06</v>
      </c>
      <c r="AF6534" s="6">
        <f t="shared" si="1008"/>
        <v>0</v>
      </c>
      <c r="AG6534" s="14">
        <v>0</v>
      </c>
      <c r="AH6534" s="64">
        <f t="shared" si="1013"/>
        <v>0</v>
      </c>
      <c r="AJ6534" s="126" t="e">
        <v>#N/A</v>
      </c>
      <c r="AK6534" s="80">
        <f t="shared" si="1017"/>
        <v>0</v>
      </c>
      <c r="AL6534" s="85"/>
      <c r="AM6534" s="85"/>
    </row>
    <row r="6535" spans="1:39" s="86" customFormat="1" ht="13.25" hidden="1" customHeight="1" x14ac:dyDescent="0.3">
      <c r="A6535" s="89" t="s">
        <v>3794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10"/>
        <v>278207.93000000005</v>
      </c>
      <c r="X6535" s="6">
        <f t="shared" si="1011"/>
        <v>0</v>
      </c>
      <c r="Y6535" s="13">
        <f t="shared" si="1015"/>
        <v>0</v>
      </c>
      <c r="Z6535" s="14">
        <v>0</v>
      </c>
      <c r="AA6535" s="6">
        <v>0</v>
      </c>
      <c r="AB6535" s="4">
        <f t="shared" si="1016"/>
        <v>0</v>
      </c>
      <c r="AC6535" s="6">
        <f t="shared" si="1014"/>
        <v>0</v>
      </c>
      <c r="AD6535" s="6">
        <f t="shared" si="1012"/>
        <v>0</v>
      </c>
      <c r="AE6535" s="14">
        <v>0.06</v>
      </c>
      <c r="AF6535" s="6">
        <f t="shared" si="1008"/>
        <v>0</v>
      </c>
      <c r="AG6535" s="14">
        <v>0</v>
      </c>
      <c r="AH6535" s="64">
        <f t="shared" si="1013"/>
        <v>0</v>
      </c>
      <c r="AJ6535" s="126" t="e">
        <v>#N/A</v>
      </c>
      <c r="AK6535" s="80">
        <f t="shared" si="1017"/>
        <v>0</v>
      </c>
      <c r="AL6535" s="85"/>
      <c r="AM6535" s="85"/>
    </row>
    <row r="6536" spans="1:39" s="86" customFormat="1" ht="13.25" hidden="1" customHeight="1" x14ac:dyDescent="0.3">
      <c r="A6536" s="89" t="s">
        <v>3794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10"/>
        <v>45.889999999984866</v>
      </c>
      <c r="X6536" s="6">
        <f t="shared" si="1011"/>
        <v>0</v>
      </c>
      <c r="Y6536" s="13">
        <f t="shared" si="1015"/>
        <v>0</v>
      </c>
      <c r="Z6536" s="14">
        <v>0</v>
      </c>
      <c r="AA6536" s="6">
        <v>0</v>
      </c>
      <c r="AB6536" s="4">
        <f t="shared" si="1016"/>
        <v>0</v>
      </c>
      <c r="AC6536" s="6">
        <f t="shared" si="1014"/>
        <v>0</v>
      </c>
      <c r="AD6536" s="6">
        <f t="shared" si="1012"/>
        <v>0</v>
      </c>
      <c r="AE6536" s="14">
        <v>0.06</v>
      </c>
      <c r="AF6536" s="6">
        <f t="shared" si="1008"/>
        <v>0</v>
      </c>
      <c r="AG6536" s="14">
        <v>0</v>
      </c>
      <c r="AH6536" s="64">
        <f t="shared" si="1013"/>
        <v>0</v>
      </c>
      <c r="AJ6536" s="126" t="e">
        <v>#N/A</v>
      </c>
      <c r="AK6536" s="80">
        <f t="shared" si="1017"/>
        <v>0</v>
      </c>
      <c r="AL6536" s="85"/>
      <c r="AM6536" s="85"/>
    </row>
    <row r="6537" spans="1:39" s="86" customFormat="1" ht="13.25" hidden="1" customHeight="1" x14ac:dyDescent="0.3">
      <c r="A6537" s="89" t="s">
        <v>3794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09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10"/>
        <v>991.68000000002212</v>
      </c>
      <c r="X6537" s="6">
        <f t="shared" si="1011"/>
        <v>0</v>
      </c>
      <c r="Y6537" s="13">
        <f t="shared" si="1015"/>
        <v>0</v>
      </c>
      <c r="Z6537" s="14">
        <v>0</v>
      </c>
      <c r="AA6537" s="6">
        <v>0</v>
      </c>
      <c r="AB6537" s="4">
        <f t="shared" si="1016"/>
        <v>0</v>
      </c>
      <c r="AC6537" s="6">
        <f t="shared" si="1014"/>
        <v>0</v>
      </c>
      <c r="AD6537" s="6">
        <f t="shared" si="1012"/>
        <v>0</v>
      </c>
      <c r="AE6537" s="14">
        <v>0.06</v>
      </c>
      <c r="AF6537" s="6">
        <f t="shared" si="1008"/>
        <v>0</v>
      </c>
      <c r="AG6537" s="14">
        <v>0</v>
      </c>
      <c r="AH6537" s="64">
        <f t="shared" si="1013"/>
        <v>0</v>
      </c>
      <c r="AJ6537" s="126" t="e">
        <v>#N/A</v>
      </c>
      <c r="AK6537" s="80">
        <f t="shared" si="1017"/>
        <v>0</v>
      </c>
      <c r="AL6537" s="85"/>
      <c r="AM6537" s="85"/>
    </row>
    <row r="6538" spans="1:39" s="86" customFormat="1" ht="13.25" hidden="1" customHeight="1" x14ac:dyDescent="0.3">
      <c r="A6538" s="89" t="s">
        <v>3794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10"/>
        <v>11077.229999999978</v>
      </c>
      <c r="X6538" s="6">
        <f t="shared" si="1011"/>
        <v>0</v>
      </c>
      <c r="Y6538" s="13">
        <f t="shared" si="1015"/>
        <v>0</v>
      </c>
      <c r="Z6538" s="14">
        <v>0</v>
      </c>
      <c r="AA6538" s="6">
        <v>0</v>
      </c>
      <c r="AB6538" s="4">
        <f t="shared" si="1016"/>
        <v>0</v>
      </c>
      <c r="AC6538" s="6">
        <f t="shared" si="1014"/>
        <v>0</v>
      </c>
      <c r="AD6538" s="6">
        <f t="shared" si="1012"/>
        <v>0</v>
      </c>
      <c r="AE6538" s="14">
        <v>0.06</v>
      </c>
      <c r="AF6538" s="6">
        <f t="shared" si="1008"/>
        <v>0</v>
      </c>
      <c r="AG6538" s="14">
        <v>0</v>
      </c>
      <c r="AH6538" s="64">
        <f t="shared" si="1013"/>
        <v>0</v>
      </c>
      <c r="AJ6538" s="126" t="e">
        <v>#N/A</v>
      </c>
      <c r="AK6538" s="80">
        <f t="shared" si="1017"/>
        <v>0</v>
      </c>
      <c r="AL6538" s="85"/>
      <c r="AM6538" s="85"/>
    </row>
    <row r="6539" spans="1:39" s="86" customFormat="1" ht="13.25" hidden="1" customHeight="1" x14ac:dyDescent="0.3">
      <c r="A6539" s="89" t="s">
        <v>3794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10"/>
        <v>42453.569999999694</v>
      </c>
      <c r="X6539" s="6">
        <f t="shared" si="1011"/>
        <v>0</v>
      </c>
      <c r="Y6539" s="13">
        <f t="shared" si="1015"/>
        <v>0</v>
      </c>
      <c r="Z6539" s="14">
        <v>0</v>
      </c>
      <c r="AA6539" s="6">
        <v>0</v>
      </c>
      <c r="AB6539" s="4">
        <f t="shared" si="1016"/>
        <v>0</v>
      </c>
      <c r="AC6539" s="6">
        <f t="shared" si="1014"/>
        <v>0</v>
      </c>
      <c r="AD6539" s="6">
        <f t="shared" si="1012"/>
        <v>0</v>
      </c>
      <c r="AE6539" s="14">
        <v>0.06</v>
      </c>
      <c r="AF6539" s="6">
        <f t="shared" si="1008"/>
        <v>0</v>
      </c>
      <c r="AG6539" s="14">
        <v>0</v>
      </c>
      <c r="AH6539" s="64">
        <f t="shared" si="1013"/>
        <v>0</v>
      </c>
      <c r="AJ6539" s="126" t="e">
        <v>#N/A</v>
      </c>
      <c r="AK6539" s="80">
        <f t="shared" si="1017"/>
        <v>0</v>
      </c>
      <c r="AL6539" s="85"/>
      <c r="AM6539" s="85"/>
    </row>
    <row r="6540" spans="1:39" s="86" customFormat="1" ht="13.25" hidden="1" customHeight="1" x14ac:dyDescent="0.3">
      <c r="A6540" s="89" t="s">
        <v>3794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47" t="str">
        <f t="shared" si="1009"/>
        <v>巨量引擎-一类</v>
      </c>
      <c r="L6540" s="47" t="s">
        <v>35</v>
      </c>
      <c r="N6540" s="86" t="s">
        <v>3707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10"/>
        <v>1093782.2599999995</v>
      </c>
      <c r="X6540" s="6">
        <f t="shared" si="1011"/>
        <v>0</v>
      </c>
      <c r="Y6540" s="13">
        <f t="shared" si="1015"/>
        <v>0</v>
      </c>
      <c r="Z6540" s="14">
        <v>0</v>
      </c>
      <c r="AA6540" s="6">
        <v>0</v>
      </c>
      <c r="AB6540" s="4">
        <f t="shared" si="1016"/>
        <v>0</v>
      </c>
      <c r="AC6540" s="6">
        <f t="shared" si="1014"/>
        <v>0</v>
      </c>
      <c r="AD6540" s="6">
        <f t="shared" si="1012"/>
        <v>0</v>
      </c>
      <c r="AE6540" s="14">
        <v>0.06</v>
      </c>
      <c r="AF6540" s="6">
        <f t="shared" si="1008"/>
        <v>0</v>
      </c>
      <c r="AG6540" s="14">
        <v>0</v>
      </c>
      <c r="AH6540" s="64">
        <f t="shared" si="1013"/>
        <v>0</v>
      </c>
      <c r="AJ6540" s="126" t="e">
        <v>#N/A</v>
      </c>
      <c r="AK6540" s="80">
        <f t="shared" si="1017"/>
        <v>0</v>
      </c>
      <c r="AL6540" s="85"/>
      <c r="AM6540" s="85"/>
    </row>
    <row r="6541" spans="1:39" s="86" customFormat="1" ht="13.25" hidden="1" customHeight="1" x14ac:dyDescent="0.3">
      <c r="A6541" s="89" t="s">
        <v>3794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10"/>
        <v>36436.51</v>
      </c>
      <c r="X6541" s="6">
        <f t="shared" si="1011"/>
        <v>0</v>
      </c>
      <c r="Y6541" s="13">
        <f t="shared" si="1015"/>
        <v>0</v>
      </c>
      <c r="Z6541" s="14">
        <v>0</v>
      </c>
      <c r="AA6541" s="6">
        <v>0</v>
      </c>
      <c r="AB6541" s="4">
        <f t="shared" si="1016"/>
        <v>0</v>
      </c>
      <c r="AC6541" s="6">
        <f t="shared" si="1014"/>
        <v>0</v>
      </c>
      <c r="AD6541" s="6">
        <f t="shared" si="1012"/>
        <v>0</v>
      </c>
      <c r="AE6541" s="14">
        <v>0.06</v>
      </c>
      <c r="AF6541" s="6">
        <f t="shared" si="1008"/>
        <v>0</v>
      </c>
      <c r="AG6541" s="14">
        <v>0</v>
      </c>
      <c r="AH6541" s="64">
        <f t="shared" si="1013"/>
        <v>0</v>
      </c>
      <c r="AJ6541" s="126" t="e">
        <v>#N/A</v>
      </c>
      <c r="AK6541" s="80">
        <f t="shared" si="1017"/>
        <v>0</v>
      </c>
      <c r="AL6541" s="85"/>
      <c r="AM6541" s="85"/>
    </row>
    <row r="6542" spans="1:39" s="86" customFormat="1" ht="13.25" hidden="1" customHeight="1" x14ac:dyDescent="0.3">
      <c r="A6542" s="89" t="s">
        <v>3794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10"/>
        <v>48801.06</v>
      </c>
      <c r="X6542" s="6">
        <f t="shared" si="1011"/>
        <v>0</v>
      </c>
      <c r="Y6542" s="13">
        <f t="shared" si="1015"/>
        <v>0</v>
      </c>
      <c r="Z6542" s="14">
        <v>0</v>
      </c>
      <c r="AA6542" s="6">
        <v>0</v>
      </c>
      <c r="AB6542" s="4">
        <f t="shared" si="1016"/>
        <v>0</v>
      </c>
      <c r="AC6542" s="6">
        <f t="shared" si="1014"/>
        <v>0</v>
      </c>
      <c r="AD6542" s="6">
        <f t="shared" si="1012"/>
        <v>0</v>
      </c>
      <c r="AE6542" s="14">
        <v>0.06</v>
      </c>
      <c r="AF6542" s="6">
        <f t="shared" si="1008"/>
        <v>0</v>
      </c>
      <c r="AG6542" s="14">
        <v>0</v>
      </c>
      <c r="AH6542" s="64">
        <f t="shared" si="1013"/>
        <v>0</v>
      </c>
      <c r="AJ6542" s="126" t="e">
        <v>#N/A</v>
      </c>
      <c r="AK6542" s="80">
        <f t="shared" si="1017"/>
        <v>0</v>
      </c>
      <c r="AL6542" s="85"/>
      <c r="AM6542" s="85"/>
    </row>
    <row r="6543" spans="1:39" s="86" customFormat="1" ht="13.25" hidden="1" customHeight="1" x14ac:dyDescent="0.3">
      <c r="A6543" s="89" t="s">
        <v>3794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10"/>
        <v>190115.95</v>
      </c>
      <c r="X6543" s="6">
        <f t="shared" si="1011"/>
        <v>0</v>
      </c>
      <c r="Y6543" s="13">
        <f t="shared" si="1015"/>
        <v>0</v>
      </c>
      <c r="Z6543" s="14">
        <v>0</v>
      </c>
      <c r="AA6543" s="6">
        <v>0</v>
      </c>
      <c r="AB6543" s="4">
        <f t="shared" si="1016"/>
        <v>0</v>
      </c>
      <c r="AC6543" s="6">
        <f t="shared" si="1014"/>
        <v>0</v>
      </c>
      <c r="AD6543" s="6">
        <f t="shared" si="1012"/>
        <v>0</v>
      </c>
      <c r="AE6543" s="14">
        <v>0.06</v>
      </c>
      <c r="AF6543" s="6">
        <f t="shared" si="1008"/>
        <v>0</v>
      </c>
      <c r="AG6543" s="14">
        <v>0</v>
      </c>
      <c r="AH6543" s="64">
        <f t="shared" si="1013"/>
        <v>0</v>
      </c>
      <c r="AJ6543" s="126" t="e">
        <v>#N/A</v>
      </c>
      <c r="AK6543" s="80">
        <f t="shared" si="1017"/>
        <v>0</v>
      </c>
      <c r="AL6543" s="85"/>
      <c r="AM6543" s="85"/>
    </row>
    <row r="6544" spans="1:39" s="86" customFormat="1" ht="13.25" hidden="1" customHeight="1" x14ac:dyDescent="0.3">
      <c r="A6544" s="89" t="s">
        <v>3794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10"/>
        <v>17494.22</v>
      </c>
      <c r="X6544" s="6">
        <f t="shared" si="1011"/>
        <v>0</v>
      </c>
      <c r="Y6544" s="13">
        <f t="shared" si="1015"/>
        <v>0</v>
      </c>
      <c r="Z6544" s="14">
        <v>0</v>
      </c>
      <c r="AA6544" s="6">
        <v>0</v>
      </c>
      <c r="AB6544" s="4">
        <f t="shared" si="1016"/>
        <v>0</v>
      </c>
      <c r="AC6544" s="6">
        <f t="shared" si="1014"/>
        <v>0</v>
      </c>
      <c r="AD6544" s="6">
        <f t="shared" si="1012"/>
        <v>0</v>
      </c>
      <c r="AE6544" s="14">
        <v>0.06</v>
      </c>
      <c r="AF6544" s="6">
        <f t="shared" si="1008"/>
        <v>0</v>
      </c>
      <c r="AG6544" s="14">
        <v>0</v>
      </c>
      <c r="AH6544" s="64">
        <f t="shared" si="1013"/>
        <v>0</v>
      </c>
      <c r="AJ6544" s="126" t="e">
        <v>#N/A</v>
      </c>
      <c r="AK6544" s="80">
        <f t="shared" si="1017"/>
        <v>0</v>
      </c>
      <c r="AL6544" s="85"/>
      <c r="AM6544" s="85"/>
    </row>
    <row r="6545" spans="1:39" s="86" customFormat="1" ht="13.25" hidden="1" customHeight="1" x14ac:dyDescent="0.3">
      <c r="A6545" s="89" t="s">
        <v>3794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09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10"/>
        <v>60.99999999976626</v>
      </c>
      <c r="X6545" s="6">
        <f t="shared" si="1011"/>
        <v>0</v>
      </c>
      <c r="Y6545" s="13">
        <f t="shared" si="1015"/>
        <v>0</v>
      </c>
      <c r="Z6545" s="14">
        <v>0</v>
      </c>
      <c r="AA6545" s="6">
        <v>0</v>
      </c>
      <c r="AB6545" s="4">
        <f t="shared" si="1016"/>
        <v>0</v>
      </c>
      <c r="AC6545" s="6">
        <f t="shared" si="1014"/>
        <v>0</v>
      </c>
      <c r="AD6545" s="6">
        <f t="shared" si="1012"/>
        <v>0</v>
      </c>
      <c r="AE6545" s="14">
        <v>0.06</v>
      </c>
      <c r="AF6545" s="6">
        <f t="shared" si="1008"/>
        <v>0</v>
      </c>
      <c r="AG6545" s="14">
        <v>0</v>
      </c>
      <c r="AH6545" s="64">
        <f t="shared" si="1013"/>
        <v>0</v>
      </c>
      <c r="AJ6545" s="126" t="e">
        <v>#N/A</v>
      </c>
      <c r="AK6545" s="80">
        <f t="shared" si="1017"/>
        <v>0</v>
      </c>
      <c r="AL6545" s="85"/>
      <c r="AM6545" s="85"/>
    </row>
    <row r="6546" spans="1:39" s="86" customFormat="1" ht="13.25" hidden="1" customHeight="1" x14ac:dyDescent="0.3">
      <c r="A6546" s="89" t="s">
        <v>3794</v>
      </c>
      <c r="B6546" s="86" t="s">
        <v>35</v>
      </c>
      <c r="C6546" s="86" t="s">
        <v>3857</v>
      </c>
      <c r="D6546" s="86" t="s">
        <v>3858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10"/>
        <v>917.43000000001666</v>
      </c>
      <c r="X6546" s="6">
        <f t="shared" si="1011"/>
        <v>0</v>
      </c>
      <c r="Y6546" s="13">
        <f t="shared" si="1015"/>
        <v>0</v>
      </c>
      <c r="Z6546" s="14">
        <v>0</v>
      </c>
      <c r="AA6546" s="6">
        <v>0</v>
      </c>
      <c r="AB6546" s="4">
        <f t="shared" si="1016"/>
        <v>0</v>
      </c>
      <c r="AC6546" s="6">
        <f t="shared" si="1014"/>
        <v>0</v>
      </c>
      <c r="AD6546" s="6">
        <f t="shared" si="1012"/>
        <v>0</v>
      </c>
      <c r="AE6546" s="14">
        <v>0.06</v>
      </c>
      <c r="AF6546" s="6">
        <f t="shared" si="1008"/>
        <v>0</v>
      </c>
      <c r="AG6546" s="14">
        <v>0</v>
      </c>
      <c r="AH6546" s="64">
        <f t="shared" si="1013"/>
        <v>0</v>
      </c>
      <c r="AJ6546" s="126" t="e">
        <v>#N/A</v>
      </c>
      <c r="AK6546" s="80">
        <f t="shared" si="1017"/>
        <v>0</v>
      </c>
      <c r="AL6546" s="85"/>
      <c r="AM6546" s="85"/>
    </row>
    <row r="6547" spans="1:39" s="86" customFormat="1" ht="13.25" hidden="1" customHeight="1" x14ac:dyDescent="0.3">
      <c r="A6547" s="89" t="s">
        <v>3794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09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10"/>
        <v>21239.69999999979</v>
      </c>
      <c r="X6547" s="6">
        <f t="shared" si="1011"/>
        <v>0</v>
      </c>
      <c r="Y6547" s="13">
        <f t="shared" si="1015"/>
        <v>0</v>
      </c>
      <c r="Z6547" s="14">
        <v>0</v>
      </c>
      <c r="AA6547" s="6">
        <v>0</v>
      </c>
      <c r="AB6547" s="4">
        <f t="shared" si="1016"/>
        <v>0</v>
      </c>
      <c r="AC6547" s="6">
        <f t="shared" si="1014"/>
        <v>0</v>
      </c>
      <c r="AD6547" s="6">
        <f t="shared" si="1012"/>
        <v>0</v>
      </c>
      <c r="AE6547" s="14">
        <v>0.06</v>
      </c>
      <c r="AF6547" s="6">
        <f t="shared" si="1008"/>
        <v>0</v>
      </c>
      <c r="AG6547" s="14">
        <v>0</v>
      </c>
      <c r="AH6547" s="64">
        <f t="shared" si="1013"/>
        <v>0</v>
      </c>
      <c r="AJ6547" s="126" t="e">
        <v>#N/A</v>
      </c>
      <c r="AK6547" s="80">
        <f t="shared" si="1017"/>
        <v>0</v>
      </c>
      <c r="AL6547" s="85"/>
      <c r="AM6547" s="85"/>
    </row>
    <row r="6548" spans="1:39" s="86" customFormat="1" ht="13.25" hidden="1" customHeight="1" x14ac:dyDescent="0.3">
      <c r="A6548" s="89" t="s">
        <v>3794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09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10"/>
        <v>1864.210000000021</v>
      </c>
      <c r="X6548" s="6">
        <f t="shared" si="1011"/>
        <v>0</v>
      </c>
      <c r="Y6548" s="13">
        <f t="shared" si="1015"/>
        <v>0</v>
      </c>
      <c r="Z6548" s="14">
        <v>0</v>
      </c>
      <c r="AA6548" s="6">
        <v>0</v>
      </c>
      <c r="AB6548" s="4">
        <f t="shared" si="1016"/>
        <v>0</v>
      </c>
      <c r="AC6548" s="6">
        <f t="shared" si="1014"/>
        <v>0</v>
      </c>
      <c r="AD6548" s="6">
        <f t="shared" si="1012"/>
        <v>0</v>
      </c>
      <c r="AE6548" s="14">
        <v>0.06</v>
      </c>
      <c r="AF6548" s="6">
        <f t="shared" si="1008"/>
        <v>0</v>
      </c>
      <c r="AG6548" s="14">
        <v>0</v>
      </c>
      <c r="AH6548" s="64">
        <f t="shared" si="1013"/>
        <v>0</v>
      </c>
      <c r="AJ6548" s="126" t="e">
        <v>#N/A</v>
      </c>
      <c r="AK6548" s="80">
        <f t="shared" si="1017"/>
        <v>0</v>
      </c>
      <c r="AL6548" s="85"/>
      <c r="AM6548" s="85"/>
    </row>
    <row r="6549" spans="1:39" s="86" customFormat="1" ht="13.25" hidden="1" customHeight="1" x14ac:dyDescent="0.3">
      <c r="A6549" s="89" t="s">
        <v>3792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09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10"/>
        <v>11757.100000000022</v>
      </c>
      <c r="X6549" s="6">
        <f t="shared" si="1011"/>
        <v>0</v>
      </c>
      <c r="Y6549" s="13">
        <f t="shared" si="1015"/>
        <v>0</v>
      </c>
      <c r="Z6549" s="14">
        <v>0</v>
      </c>
      <c r="AA6549" s="6">
        <v>0</v>
      </c>
      <c r="AB6549" s="4">
        <f t="shared" si="1016"/>
        <v>0</v>
      </c>
      <c r="AC6549" s="6">
        <f t="shared" si="1014"/>
        <v>0</v>
      </c>
      <c r="AD6549" s="6">
        <f t="shared" si="1012"/>
        <v>0</v>
      </c>
      <c r="AE6549" s="14">
        <v>0.06</v>
      </c>
      <c r="AF6549" s="6">
        <f t="shared" si="1008"/>
        <v>0</v>
      </c>
      <c r="AG6549" s="14">
        <v>0</v>
      </c>
      <c r="AH6549" s="64">
        <f t="shared" si="1013"/>
        <v>0</v>
      </c>
      <c r="AJ6549" s="126" t="e">
        <v>#N/A</v>
      </c>
      <c r="AK6549" s="80">
        <f t="shared" si="1017"/>
        <v>0</v>
      </c>
      <c r="AL6549" s="85"/>
      <c r="AM6549" s="85"/>
    </row>
    <row r="6550" spans="1:39" s="86" customFormat="1" ht="13.25" hidden="1" customHeight="1" x14ac:dyDescent="0.3">
      <c r="A6550" s="89" t="s">
        <v>3794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09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10"/>
        <v>19827.220000000005</v>
      </c>
      <c r="X6550" s="6">
        <f t="shared" si="1011"/>
        <v>0</v>
      </c>
      <c r="Y6550" s="13">
        <f t="shared" si="1015"/>
        <v>0</v>
      </c>
      <c r="Z6550" s="14">
        <v>0</v>
      </c>
      <c r="AA6550" s="6">
        <v>0</v>
      </c>
      <c r="AB6550" s="4">
        <f t="shared" si="1016"/>
        <v>0</v>
      </c>
      <c r="AC6550" s="6">
        <f t="shared" si="1014"/>
        <v>0</v>
      </c>
      <c r="AD6550" s="6">
        <f t="shared" si="1012"/>
        <v>0</v>
      </c>
      <c r="AE6550" s="14">
        <v>0.06</v>
      </c>
      <c r="AF6550" s="6">
        <f t="shared" si="1008"/>
        <v>0</v>
      </c>
      <c r="AG6550" s="14">
        <v>0</v>
      </c>
      <c r="AH6550" s="64">
        <f t="shared" si="1013"/>
        <v>0</v>
      </c>
      <c r="AJ6550" s="126" t="e">
        <v>#N/A</v>
      </c>
      <c r="AK6550" s="80">
        <f t="shared" si="1017"/>
        <v>0</v>
      </c>
      <c r="AL6550" s="85"/>
      <c r="AM6550" s="85"/>
    </row>
    <row r="6551" spans="1:39" s="86" customFormat="1" ht="13.25" hidden="1" customHeight="1" x14ac:dyDescent="0.3">
      <c r="A6551" s="89" t="s">
        <v>3794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10"/>
        <v>8919.66</v>
      </c>
      <c r="X6551" s="6">
        <f t="shared" si="1011"/>
        <v>0</v>
      </c>
      <c r="Y6551" s="13">
        <f t="shared" si="1015"/>
        <v>0</v>
      </c>
      <c r="Z6551" s="14">
        <v>0</v>
      </c>
      <c r="AA6551" s="6">
        <v>0</v>
      </c>
      <c r="AB6551" s="4">
        <f t="shared" si="1016"/>
        <v>0</v>
      </c>
      <c r="AC6551" s="6">
        <f t="shared" si="1014"/>
        <v>0</v>
      </c>
      <c r="AD6551" s="6">
        <f t="shared" si="1012"/>
        <v>0</v>
      </c>
      <c r="AE6551" s="14">
        <v>0.06</v>
      </c>
      <c r="AF6551" s="6">
        <f t="shared" si="1008"/>
        <v>0</v>
      </c>
      <c r="AG6551" s="14">
        <v>0</v>
      </c>
      <c r="AH6551" s="64">
        <f t="shared" si="1013"/>
        <v>0</v>
      </c>
      <c r="AJ6551" s="126" t="e">
        <v>#N/A</v>
      </c>
      <c r="AK6551" s="80">
        <f t="shared" si="1017"/>
        <v>0</v>
      </c>
      <c r="AL6551" s="85"/>
      <c r="AM6551" s="85"/>
    </row>
    <row r="6552" spans="1:39" s="86" customFormat="1" ht="13.25" hidden="1" customHeight="1" x14ac:dyDescent="0.3">
      <c r="A6552" s="89" t="s">
        <v>3794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09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10"/>
        <v>6840.6500000000015</v>
      </c>
      <c r="X6552" s="6">
        <f t="shared" si="1011"/>
        <v>0</v>
      </c>
      <c r="Y6552" s="13">
        <f t="shared" si="1015"/>
        <v>0</v>
      </c>
      <c r="Z6552" s="14">
        <v>0</v>
      </c>
      <c r="AA6552" s="6">
        <v>0</v>
      </c>
      <c r="AB6552" s="4">
        <f t="shared" si="1016"/>
        <v>0</v>
      </c>
      <c r="AC6552" s="6">
        <f t="shared" si="1014"/>
        <v>0</v>
      </c>
      <c r="AD6552" s="6">
        <f t="shared" si="1012"/>
        <v>0</v>
      </c>
      <c r="AE6552" s="14">
        <v>0.06</v>
      </c>
      <c r="AF6552" s="6">
        <f t="shared" si="1008"/>
        <v>0</v>
      </c>
      <c r="AG6552" s="14">
        <v>0</v>
      </c>
      <c r="AH6552" s="64">
        <f t="shared" si="1013"/>
        <v>0</v>
      </c>
      <c r="AJ6552" s="126" t="e">
        <v>#N/A</v>
      </c>
      <c r="AK6552" s="80">
        <f t="shared" si="1017"/>
        <v>0</v>
      </c>
      <c r="AL6552" s="85"/>
      <c r="AM6552" s="85"/>
    </row>
    <row r="6553" spans="1:39" s="86" customFormat="1" ht="13.25" hidden="1" customHeight="1" x14ac:dyDescent="0.3">
      <c r="A6553" s="89" t="s">
        <v>3792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10"/>
        <v>52722.929999999978</v>
      </c>
      <c r="X6553" s="6">
        <f t="shared" si="1011"/>
        <v>0</v>
      </c>
      <c r="Y6553" s="13">
        <f t="shared" si="1015"/>
        <v>0</v>
      </c>
      <c r="Z6553" s="14">
        <v>0</v>
      </c>
      <c r="AA6553" s="6">
        <v>0</v>
      </c>
      <c r="AB6553" s="4">
        <f t="shared" si="1016"/>
        <v>0</v>
      </c>
      <c r="AC6553" s="6">
        <f t="shared" si="1014"/>
        <v>0</v>
      </c>
      <c r="AD6553" s="6">
        <f t="shared" si="1012"/>
        <v>0</v>
      </c>
      <c r="AE6553" s="14">
        <v>0.06</v>
      </c>
      <c r="AF6553" s="6">
        <f t="shared" si="1008"/>
        <v>0</v>
      </c>
      <c r="AG6553" s="14">
        <v>0</v>
      </c>
      <c r="AH6553" s="64">
        <f t="shared" si="1013"/>
        <v>0</v>
      </c>
      <c r="AJ6553" s="126" t="e">
        <v>#N/A</v>
      </c>
      <c r="AK6553" s="80">
        <f t="shared" si="1017"/>
        <v>0</v>
      </c>
      <c r="AL6553" s="85"/>
      <c r="AM6553" s="85"/>
    </row>
    <row r="6554" spans="1:39" s="86" customFormat="1" ht="13.25" hidden="1" customHeight="1" x14ac:dyDescent="0.3">
      <c r="A6554" s="89" t="s">
        <v>3794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09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10"/>
        <v>3138.33</v>
      </c>
      <c r="X6554" s="6">
        <f t="shared" si="1011"/>
        <v>0</v>
      </c>
      <c r="Y6554" s="13">
        <f t="shared" si="1015"/>
        <v>0</v>
      </c>
      <c r="Z6554" s="14">
        <v>0</v>
      </c>
      <c r="AA6554" s="6">
        <v>0</v>
      </c>
      <c r="AB6554" s="4">
        <f t="shared" si="1016"/>
        <v>0</v>
      </c>
      <c r="AC6554" s="6">
        <f t="shared" si="1014"/>
        <v>0</v>
      </c>
      <c r="AD6554" s="6">
        <f t="shared" si="1012"/>
        <v>0</v>
      </c>
      <c r="AE6554" s="14">
        <v>0.06</v>
      </c>
      <c r="AF6554" s="6">
        <f t="shared" si="1008"/>
        <v>0</v>
      </c>
      <c r="AG6554" s="14">
        <v>0</v>
      </c>
      <c r="AH6554" s="64">
        <f t="shared" si="1013"/>
        <v>0</v>
      </c>
      <c r="AJ6554" s="126" t="e">
        <v>#N/A</v>
      </c>
      <c r="AK6554" s="80">
        <f t="shared" si="1017"/>
        <v>0</v>
      </c>
      <c r="AL6554" s="85"/>
      <c r="AM6554" s="85"/>
    </row>
    <row r="6555" spans="1:39" s="86" customFormat="1" ht="13.25" hidden="1" customHeight="1" x14ac:dyDescent="0.3">
      <c r="A6555" s="89" t="s">
        <v>3794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10"/>
        <v>0.1000000000349246</v>
      </c>
      <c r="X6555" s="6">
        <f t="shared" si="1011"/>
        <v>0</v>
      </c>
      <c r="Y6555" s="13">
        <f t="shared" si="1015"/>
        <v>0</v>
      </c>
      <c r="Z6555" s="14">
        <v>0</v>
      </c>
      <c r="AA6555" s="6">
        <v>0</v>
      </c>
      <c r="AB6555" s="4">
        <f t="shared" si="1016"/>
        <v>0</v>
      </c>
      <c r="AC6555" s="6">
        <f t="shared" si="1014"/>
        <v>0</v>
      </c>
      <c r="AD6555" s="6">
        <f t="shared" si="1012"/>
        <v>0</v>
      </c>
      <c r="AE6555" s="14">
        <v>0.06</v>
      </c>
      <c r="AF6555" s="6">
        <f t="shared" si="1008"/>
        <v>0</v>
      </c>
      <c r="AG6555" s="14">
        <v>0</v>
      </c>
      <c r="AH6555" s="64">
        <f t="shared" si="1013"/>
        <v>0</v>
      </c>
      <c r="AJ6555" s="126" t="e">
        <v>#N/A</v>
      </c>
      <c r="AK6555" s="80">
        <f t="shared" si="1017"/>
        <v>0</v>
      </c>
      <c r="AL6555" s="85"/>
      <c r="AM6555" s="85"/>
    </row>
    <row r="6556" spans="1:39" s="86" customFormat="1" ht="13.25" hidden="1" customHeight="1" x14ac:dyDescent="0.3">
      <c r="A6556" s="89" t="s">
        <v>3794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10"/>
        <v>468.08000000000175</v>
      </c>
      <c r="X6556" s="6">
        <f t="shared" si="1011"/>
        <v>0</v>
      </c>
      <c r="Y6556" s="13">
        <f t="shared" si="1015"/>
        <v>0</v>
      </c>
      <c r="Z6556" s="14">
        <v>0</v>
      </c>
      <c r="AA6556" s="6">
        <v>0</v>
      </c>
      <c r="AB6556" s="4"/>
      <c r="AC6556" s="6">
        <f t="shared" si="1014"/>
        <v>0</v>
      </c>
      <c r="AD6556" s="6">
        <f t="shared" si="1012"/>
        <v>0</v>
      </c>
      <c r="AE6556" s="14">
        <v>0.06</v>
      </c>
      <c r="AF6556" s="6">
        <f t="shared" si="1008"/>
        <v>0</v>
      </c>
      <c r="AG6556" s="14">
        <v>0</v>
      </c>
      <c r="AH6556" s="64">
        <f t="shared" si="1013"/>
        <v>0</v>
      </c>
      <c r="AJ6556" s="126">
        <v>95</v>
      </c>
      <c r="AK6556" s="80">
        <f t="shared" si="1017"/>
        <v>0</v>
      </c>
      <c r="AL6556" s="85"/>
      <c r="AM6556" s="85"/>
    </row>
    <row r="6557" spans="1:39" s="86" customFormat="1" ht="13.25" hidden="1" customHeight="1" x14ac:dyDescent="0.3">
      <c r="A6557" s="89" t="s">
        <v>3792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47" t="str">
        <f t="shared" si="1009"/>
        <v>巨量引擎-三类</v>
      </c>
      <c r="L6557" s="47" t="s">
        <v>35</v>
      </c>
      <c r="N6557" s="86" t="s">
        <v>3712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10"/>
        <v>2.0008883439004421E-11</v>
      </c>
      <c r="X6557" s="6">
        <f t="shared" si="1011"/>
        <v>16146.759999999998</v>
      </c>
      <c r="Y6557" s="13">
        <f t="shared" si="1015"/>
        <v>0</v>
      </c>
      <c r="Z6557" s="14">
        <v>0</v>
      </c>
      <c r="AA6557" s="6">
        <v>0</v>
      </c>
      <c r="AB6557" s="4">
        <f t="shared" si="1016"/>
        <v>16146.759999999998</v>
      </c>
      <c r="AC6557" s="6">
        <f t="shared" si="1014"/>
        <v>0</v>
      </c>
      <c r="AD6557" s="6">
        <f t="shared" si="1012"/>
        <v>16146.759999999998</v>
      </c>
      <c r="AE6557" s="14">
        <v>0.06</v>
      </c>
      <c r="AF6557" s="6">
        <f t="shared" si="1008"/>
        <v>968.80559999999991</v>
      </c>
      <c r="AG6557" s="14">
        <v>0</v>
      </c>
      <c r="AH6557" s="64">
        <f t="shared" si="1013"/>
        <v>16146.759999999998</v>
      </c>
      <c r="AJ6557" s="126" t="e">
        <v>#N/A</v>
      </c>
      <c r="AK6557" s="80">
        <f t="shared" si="1017"/>
        <v>0</v>
      </c>
      <c r="AL6557" s="85"/>
      <c r="AM6557" s="85"/>
    </row>
    <row r="6558" spans="1:39" s="86" customFormat="1" ht="13.25" hidden="1" customHeight="1" x14ac:dyDescent="0.3">
      <c r="A6558" s="89" t="s">
        <v>3794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09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10"/>
        <v>25609.800000000287</v>
      </c>
      <c r="X6558" s="6">
        <f t="shared" si="1011"/>
        <v>0</v>
      </c>
      <c r="Y6558" s="13">
        <f t="shared" si="1015"/>
        <v>0</v>
      </c>
      <c r="Z6558" s="14">
        <v>0</v>
      </c>
      <c r="AA6558" s="6">
        <v>0</v>
      </c>
      <c r="AB6558" s="4">
        <f t="shared" si="1016"/>
        <v>0</v>
      </c>
      <c r="AC6558" s="6">
        <f t="shared" si="1014"/>
        <v>0</v>
      </c>
      <c r="AD6558" s="6">
        <f t="shared" si="1012"/>
        <v>0</v>
      </c>
      <c r="AE6558" s="14">
        <v>0.06</v>
      </c>
      <c r="AF6558" s="6">
        <f t="shared" si="1008"/>
        <v>0</v>
      </c>
      <c r="AG6558" s="14">
        <v>0</v>
      </c>
      <c r="AH6558" s="64">
        <f t="shared" si="1013"/>
        <v>0</v>
      </c>
      <c r="AJ6558" s="126" t="e">
        <v>#N/A</v>
      </c>
      <c r="AK6558" s="80">
        <f t="shared" si="1017"/>
        <v>0</v>
      </c>
      <c r="AL6558" s="85"/>
      <c r="AM6558" s="85"/>
    </row>
    <row r="6559" spans="1:39" s="86" customFormat="1" ht="13.25" hidden="1" customHeight="1" x14ac:dyDescent="0.3">
      <c r="A6559" s="89" t="s">
        <v>3794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10"/>
        <v>6946.6599999999698</v>
      </c>
      <c r="X6559" s="6">
        <f t="shared" si="1011"/>
        <v>0</v>
      </c>
      <c r="Y6559" s="13">
        <f t="shared" si="1015"/>
        <v>0</v>
      </c>
      <c r="Z6559" s="14">
        <v>0</v>
      </c>
      <c r="AA6559" s="6">
        <v>0</v>
      </c>
      <c r="AB6559" s="4">
        <f t="shared" si="1016"/>
        <v>0</v>
      </c>
      <c r="AC6559" s="6">
        <f t="shared" si="1014"/>
        <v>0</v>
      </c>
      <c r="AD6559" s="6">
        <f t="shared" si="1012"/>
        <v>0</v>
      </c>
      <c r="AE6559" s="14">
        <v>0.06</v>
      </c>
      <c r="AF6559" s="6">
        <f t="shared" si="1008"/>
        <v>0</v>
      </c>
      <c r="AG6559" s="14">
        <v>0</v>
      </c>
      <c r="AH6559" s="64">
        <f t="shared" si="1013"/>
        <v>0</v>
      </c>
      <c r="AJ6559" s="126" t="e">
        <v>#N/A</v>
      </c>
      <c r="AK6559" s="80">
        <f t="shared" si="1017"/>
        <v>0</v>
      </c>
      <c r="AL6559" s="85"/>
      <c r="AM6559" s="85"/>
    </row>
    <row r="6560" spans="1:39" s="86" customFormat="1" ht="13.25" hidden="1" customHeight="1" x14ac:dyDescent="0.3">
      <c r="A6560" s="89" t="s">
        <v>3794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10"/>
        <v>53361.72</v>
      </c>
      <c r="X6560" s="6">
        <f t="shared" si="1011"/>
        <v>0</v>
      </c>
      <c r="Y6560" s="13">
        <f t="shared" si="1015"/>
        <v>0</v>
      </c>
      <c r="Z6560" s="14">
        <v>0</v>
      </c>
      <c r="AA6560" s="6">
        <v>0</v>
      </c>
      <c r="AB6560" s="4">
        <f t="shared" si="1016"/>
        <v>0</v>
      </c>
      <c r="AC6560" s="6">
        <f t="shared" si="1014"/>
        <v>0</v>
      </c>
      <c r="AD6560" s="6">
        <f t="shared" si="1012"/>
        <v>0</v>
      </c>
      <c r="AE6560" s="14">
        <v>0.06</v>
      </c>
      <c r="AF6560" s="6">
        <f t="shared" si="1008"/>
        <v>0</v>
      </c>
      <c r="AG6560" s="14">
        <v>0</v>
      </c>
      <c r="AH6560" s="64">
        <f t="shared" si="1013"/>
        <v>0</v>
      </c>
      <c r="AJ6560" s="126" t="e">
        <v>#N/A</v>
      </c>
      <c r="AK6560" s="80">
        <f t="shared" si="1017"/>
        <v>0</v>
      </c>
      <c r="AL6560" s="85"/>
      <c r="AM6560" s="85"/>
    </row>
    <row r="6561" spans="1:39" s="86" customFormat="1" ht="13.25" hidden="1" customHeight="1" x14ac:dyDescent="0.3">
      <c r="A6561" s="89" t="s">
        <v>3794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10"/>
        <v>1889.01999999999</v>
      </c>
      <c r="X6561" s="6">
        <f t="shared" si="1011"/>
        <v>0</v>
      </c>
      <c r="Y6561" s="13">
        <f t="shared" si="1015"/>
        <v>0</v>
      </c>
      <c r="Z6561" s="14">
        <v>0</v>
      </c>
      <c r="AA6561" s="6">
        <v>0</v>
      </c>
      <c r="AB6561" s="4">
        <f t="shared" si="1016"/>
        <v>0</v>
      </c>
      <c r="AC6561" s="6">
        <f t="shared" si="1014"/>
        <v>0</v>
      </c>
      <c r="AD6561" s="6">
        <f t="shared" si="1012"/>
        <v>0</v>
      </c>
      <c r="AE6561" s="14">
        <v>0.06</v>
      </c>
      <c r="AF6561" s="6">
        <f t="shared" si="1008"/>
        <v>0</v>
      </c>
      <c r="AG6561" s="14">
        <v>0</v>
      </c>
      <c r="AH6561" s="64">
        <f t="shared" si="1013"/>
        <v>0</v>
      </c>
      <c r="AJ6561" s="126" t="e">
        <v>#N/A</v>
      </c>
      <c r="AK6561" s="80">
        <f t="shared" si="1017"/>
        <v>0</v>
      </c>
      <c r="AL6561" s="85"/>
      <c r="AM6561" s="85"/>
    </row>
    <row r="6562" spans="1:39" s="86" customFormat="1" ht="13.25" hidden="1" customHeight="1" x14ac:dyDescent="0.3">
      <c r="A6562" s="89" t="s">
        <v>3792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10"/>
        <v>11492.549999999996</v>
      </c>
      <c r="X6562" s="6">
        <f t="shared" si="1011"/>
        <v>0</v>
      </c>
      <c r="Y6562" s="13">
        <f t="shared" si="1015"/>
        <v>0</v>
      </c>
      <c r="Z6562" s="14">
        <v>0</v>
      </c>
      <c r="AA6562" s="6">
        <v>0</v>
      </c>
      <c r="AB6562" s="4">
        <f t="shared" si="1016"/>
        <v>0</v>
      </c>
      <c r="AC6562" s="6">
        <f t="shared" si="1014"/>
        <v>0</v>
      </c>
      <c r="AD6562" s="6">
        <f t="shared" si="1012"/>
        <v>0</v>
      </c>
      <c r="AE6562" s="14">
        <v>0.06</v>
      </c>
      <c r="AF6562" s="6">
        <f t="shared" si="1008"/>
        <v>0</v>
      </c>
      <c r="AG6562" s="14">
        <v>0</v>
      </c>
      <c r="AH6562" s="64">
        <f t="shared" si="1013"/>
        <v>0</v>
      </c>
      <c r="AJ6562" s="126" t="e">
        <v>#N/A</v>
      </c>
      <c r="AK6562" s="80">
        <f t="shared" si="1017"/>
        <v>0</v>
      </c>
      <c r="AL6562" s="85"/>
      <c r="AM6562" s="85"/>
    </row>
    <row r="6563" spans="1:39" s="86" customFormat="1" ht="13.25" hidden="1" customHeight="1" x14ac:dyDescent="0.3">
      <c r="A6563" s="89" t="s">
        <v>3794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10"/>
        <v>0.60999999998603005</v>
      </c>
      <c r="X6563" s="6">
        <f t="shared" si="1011"/>
        <v>0</v>
      </c>
      <c r="Y6563" s="13">
        <f t="shared" si="1015"/>
        <v>0</v>
      </c>
      <c r="Z6563" s="14">
        <v>0</v>
      </c>
      <c r="AA6563" s="6">
        <v>0</v>
      </c>
      <c r="AB6563" s="4">
        <f t="shared" si="1016"/>
        <v>0</v>
      </c>
      <c r="AC6563" s="6">
        <f t="shared" si="1014"/>
        <v>0</v>
      </c>
      <c r="AD6563" s="6">
        <f t="shared" si="1012"/>
        <v>0</v>
      </c>
      <c r="AE6563" s="14">
        <v>0.06</v>
      </c>
      <c r="AF6563" s="6">
        <f t="shared" si="1008"/>
        <v>0</v>
      </c>
      <c r="AG6563" s="14">
        <v>0</v>
      </c>
      <c r="AH6563" s="64">
        <f t="shared" si="1013"/>
        <v>0</v>
      </c>
      <c r="AJ6563" s="126" t="e">
        <v>#N/A</v>
      </c>
      <c r="AK6563" s="80">
        <f t="shared" si="1017"/>
        <v>0</v>
      </c>
      <c r="AL6563" s="85"/>
      <c r="AM6563" s="85"/>
    </row>
    <row r="6564" spans="1:39" s="86" customFormat="1" ht="13.25" hidden="1" customHeight="1" x14ac:dyDescent="0.3">
      <c r="A6564" s="89" t="s">
        <v>3792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10"/>
        <v>46636.04</v>
      </c>
      <c r="X6564" s="6">
        <f t="shared" si="1011"/>
        <v>0</v>
      </c>
      <c r="Y6564" s="13">
        <f t="shared" si="1015"/>
        <v>0</v>
      </c>
      <c r="Z6564" s="14">
        <v>0</v>
      </c>
      <c r="AA6564" s="6">
        <v>0</v>
      </c>
      <c r="AB6564" s="4">
        <f t="shared" si="1016"/>
        <v>0</v>
      </c>
      <c r="AC6564" s="6">
        <f t="shared" si="1014"/>
        <v>0</v>
      </c>
      <c r="AD6564" s="6">
        <f t="shared" si="1012"/>
        <v>0</v>
      </c>
      <c r="AE6564" s="14">
        <v>0.06</v>
      </c>
      <c r="AF6564" s="6">
        <f t="shared" ref="AF6564:AF6627" si="1018">AD6564*AE6564</f>
        <v>0</v>
      </c>
      <c r="AG6564" s="14">
        <v>0</v>
      </c>
      <c r="AH6564" s="64">
        <f t="shared" si="1013"/>
        <v>0</v>
      </c>
      <c r="AJ6564" s="126" t="e">
        <v>#N/A</v>
      </c>
      <c r="AK6564" s="80">
        <f t="shared" si="1017"/>
        <v>0</v>
      </c>
      <c r="AL6564" s="85"/>
      <c r="AM6564" s="85"/>
    </row>
    <row r="6565" spans="1:39" s="86" customFormat="1" ht="13.25" hidden="1" customHeight="1" x14ac:dyDescent="0.3">
      <c r="A6565" s="89" t="s">
        <v>3794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10"/>
        <v>21919.17</v>
      </c>
      <c r="X6565" s="6">
        <f t="shared" si="1011"/>
        <v>0</v>
      </c>
      <c r="Y6565" s="13">
        <f t="shared" si="1015"/>
        <v>0</v>
      </c>
      <c r="Z6565" s="14">
        <v>0</v>
      </c>
      <c r="AA6565" s="6">
        <v>0</v>
      </c>
      <c r="AB6565" s="4">
        <f t="shared" si="1016"/>
        <v>0</v>
      </c>
      <c r="AC6565" s="6">
        <f t="shared" si="1014"/>
        <v>0</v>
      </c>
      <c r="AD6565" s="6">
        <f t="shared" si="1012"/>
        <v>0</v>
      </c>
      <c r="AE6565" s="14">
        <v>0.06</v>
      </c>
      <c r="AF6565" s="6">
        <f t="shared" si="1018"/>
        <v>0</v>
      </c>
      <c r="AG6565" s="14">
        <v>0</v>
      </c>
      <c r="AH6565" s="64">
        <f t="shared" si="1013"/>
        <v>0</v>
      </c>
      <c r="AJ6565" s="126" t="e">
        <v>#N/A</v>
      </c>
      <c r="AK6565" s="80">
        <f t="shared" si="1017"/>
        <v>0</v>
      </c>
      <c r="AL6565" s="85"/>
      <c r="AM6565" s="85"/>
    </row>
    <row r="6566" spans="1:39" s="86" customFormat="1" ht="13.25" hidden="1" customHeight="1" x14ac:dyDescent="0.3">
      <c r="A6566" s="89" t="s">
        <v>3794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10"/>
        <v>18345.28</v>
      </c>
      <c r="X6566" s="6">
        <f t="shared" si="1011"/>
        <v>0</v>
      </c>
      <c r="Y6566" s="13">
        <f t="shared" si="1015"/>
        <v>0</v>
      </c>
      <c r="Z6566" s="14">
        <v>0</v>
      </c>
      <c r="AA6566" s="6">
        <v>0</v>
      </c>
      <c r="AB6566" s="4">
        <f t="shared" si="1016"/>
        <v>0</v>
      </c>
      <c r="AC6566" s="6">
        <f t="shared" si="1014"/>
        <v>0</v>
      </c>
      <c r="AD6566" s="6">
        <f t="shared" si="1012"/>
        <v>0</v>
      </c>
      <c r="AE6566" s="14">
        <v>0.06</v>
      </c>
      <c r="AF6566" s="6">
        <f t="shared" si="1018"/>
        <v>0</v>
      </c>
      <c r="AG6566" s="14">
        <v>0</v>
      </c>
      <c r="AH6566" s="64">
        <f t="shared" si="1013"/>
        <v>0</v>
      </c>
      <c r="AJ6566" s="126" t="e">
        <v>#N/A</v>
      </c>
      <c r="AK6566" s="80">
        <f t="shared" si="1017"/>
        <v>0</v>
      </c>
      <c r="AL6566" s="85"/>
      <c r="AM6566" s="85"/>
    </row>
    <row r="6567" spans="1:39" s="86" customFormat="1" ht="13.25" hidden="1" customHeight="1" x14ac:dyDescent="0.3">
      <c r="A6567" s="89" t="s">
        <v>3794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10"/>
        <v>68719.03</v>
      </c>
      <c r="X6567" s="6">
        <f t="shared" si="1011"/>
        <v>0</v>
      </c>
      <c r="Y6567" s="13">
        <f t="shared" si="1015"/>
        <v>0</v>
      </c>
      <c r="Z6567" s="14">
        <v>0</v>
      </c>
      <c r="AA6567" s="6">
        <v>0</v>
      </c>
      <c r="AB6567" s="4">
        <f t="shared" si="1016"/>
        <v>0</v>
      </c>
      <c r="AC6567" s="6">
        <f t="shared" si="1014"/>
        <v>0</v>
      </c>
      <c r="AD6567" s="6">
        <f t="shared" si="1012"/>
        <v>0</v>
      </c>
      <c r="AE6567" s="14">
        <v>0.06</v>
      </c>
      <c r="AF6567" s="6">
        <f t="shared" si="1018"/>
        <v>0</v>
      </c>
      <c r="AG6567" s="14">
        <v>0</v>
      </c>
      <c r="AH6567" s="64">
        <f t="shared" si="1013"/>
        <v>0</v>
      </c>
      <c r="AJ6567" s="126" t="e">
        <v>#N/A</v>
      </c>
      <c r="AK6567" s="80">
        <f t="shared" si="1017"/>
        <v>0</v>
      </c>
      <c r="AL6567" s="85"/>
      <c r="AM6567" s="85"/>
    </row>
    <row r="6568" spans="1:39" s="86" customFormat="1" ht="13.25" hidden="1" customHeight="1" x14ac:dyDescent="0.3">
      <c r="A6568" s="89" t="s">
        <v>3794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10"/>
        <v>1035.29</v>
      </c>
      <c r="X6568" s="6">
        <f t="shared" si="1011"/>
        <v>0</v>
      </c>
      <c r="Y6568" s="13">
        <f t="shared" si="1015"/>
        <v>0</v>
      </c>
      <c r="Z6568" s="14">
        <v>0</v>
      </c>
      <c r="AA6568" s="6">
        <v>0</v>
      </c>
      <c r="AB6568" s="4"/>
      <c r="AC6568" s="6">
        <f t="shared" si="1014"/>
        <v>0</v>
      </c>
      <c r="AD6568" s="6">
        <f t="shared" si="1012"/>
        <v>0</v>
      </c>
      <c r="AE6568" s="14">
        <v>0.06</v>
      </c>
      <c r="AF6568" s="6">
        <f t="shared" si="1018"/>
        <v>0</v>
      </c>
      <c r="AG6568" s="14">
        <v>0</v>
      </c>
      <c r="AH6568" s="64">
        <f t="shared" si="1013"/>
        <v>0</v>
      </c>
      <c r="AJ6568" s="126">
        <v>47</v>
      </c>
      <c r="AK6568" s="80">
        <f t="shared" si="1017"/>
        <v>0</v>
      </c>
      <c r="AL6568" s="85"/>
      <c r="AM6568" s="85"/>
    </row>
    <row r="6569" spans="1:39" s="86" customFormat="1" ht="13.25" hidden="1" customHeight="1" x14ac:dyDescent="0.3">
      <c r="A6569" s="89" t="s">
        <v>3792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10"/>
        <v>3723.67</v>
      </c>
      <c r="X6569" s="6">
        <f t="shared" si="1011"/>
        <v>0</v>
      </c>
      <c r="Y6569" s="13">
        <f t="shared" si="1015"/>
        <v>0</v>
      </c>
      <c r="Z6569" s="14">
        <v>0</v>
      </c>
      <c r="AA6569" s="6">
        <v>0</v>
      </c>
      <c r="AB6569" s="4"/>
      <c r="AC6569" s="6">
        <f t="shared" si="1014"/>
        <v>0</v>
      </c>
      <c r="AD6569" s="6">
        <f t="shared" si="1012"/>
        <v>0</v>
      </c>
      <c r="AE6569" s="14">
        <v>0.06</v>
      </c>
      <c r="AF6569" s="6">
        <f t="shared" si="1018"/>
        <v>0</v>
      </c>
      <c r="AG6569" s="14">
        <v>0</v>
      </c>
      <c r="AH6569" s="64">
        <f t="shared" si="1013"/>
        <v>0</v>
      </c>
      <c r="AJ6569" s="126">
        <v>48</v>
      </c>
      <c r="AK6569" s="80">
        <f t="shared" si="1017"/>
        <v>0</v>
      </c>
      <c r="AL6569" s="85"/>
      <c r="AM6569" s="85"/>
    </row>
    <row r="6570" spans="1:39" s="86" customFormat="1" ht="13.25" hidden="1" customHeight="1" x14ac:dyDescent="0.3">
      <c r="A6570" s="89" t="s">
        <v>3792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10"/>
        <v>9</v>
      </c>
      <c r="X6570" s="6">
        <f t="shared" si="1011"/>
        <v>0</v>
      </c>
      <c r="Y6570" s="13">
        <f t="shared" si="1015"/>
        <v>0</v>
      </c>
      <c r="Z6570" s="14">
        <v>0</v>
      </c>
      <c r="AA6570" s="6">
        <v>0</v>
      </c>
      <c r="AB6570" s="4">
        <f t="shared" si="1016"/>
        <v>0</v>
      </c>
      <c r="AC6570" s="6">
        <f t="shared" si="1014"/>
        <v>0</v>
      </c>
      <c r="AD6570" s="6">
        <f t="shared" si="1012"/>
        <v>0</v>
      </c>
      <c r="AE6570" s="14">
        <v>0.06</v>
      </c>
      <c r="AF6570" s="6">
        <f t="shared" si="1018"/>
        <v>0</v>
      </c>
      <c r="AG6570" s="14">
        <v>0</v>
      </c>
      <c r="AH6570" s="64">
        <f t="shared" si="1013"/>
        <v>0</v>
      </c>
      <c r="AJ6570" s="126" t="e">
        <v>#N/A</v>
      </c>
      <c r="AK6570" s="80">
        <f t="shared" si="1017"/>
        <v>0</v>
      </c>
      <c r="AL6570" s="85"/>
      <c r="AM6570" s="85"/>
    </row>
    <row r="6571" spans="1:39" s="86" customFormat="1" ht="13.25" hidden="1" customHeight="1" x14ac:dyDescent="0.3">
      <c r="A6571" s="89" t="s">
        <v>3792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09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10"/>
        <v>16683.620000000104</v>
      </c>
      <c r="X6571" s="6">
        <f t="shared" si="1011"/>
        <v>13936.446601941743</v>
      </c>
      <c r="Y6571" s="13">
        <f t="shared" si="1015"/>
        <v>0</v>
      </c>
      <c r="Z6571" s="14">
        <v>0</v>
      </c>
      <c r="AA6571" s="6">
        <v>0</v>
      </c>
      <c r="AB6571" s="4">
        <f t="shared" si="1016"/>
        <v>13936.446601941743</v>
      </c>
      <c r="AC6571" s="6">
        <f t="shared" si="1014"/>
        <v>418.09339805825221</v>
      </c>
      <c r="AD6571" s="6">
        <f t="shared" si="1012"/>
        <v>14354.539999999995</v>
      </c>
      <c r="AE6571" s="14">
        <v>0.06</v>
      </c>
      <c r="AF6571" s="6">
        <f t="shared" si="1018"/>
        <v>861.27239999999972</v>
      </c>
      <c r="AG6571" s="14">
        <v>0</v>
      </c>
      <c r="AH6571" s="64">
        <f t="shared" si="1013"/>
        <v>14354.539999999995</v>
      </c>
      <c r="AJ6571" s="126" t="e">
        <v>#N/A</v>
      </c>
      <c r="AK6571" s="80">
        <f t="shared" si="1017"/>
        <v>0</v>
      </c>
      <c r="AL6571" s="85"/>
      <c r="AM6571" s="85"/>
    </row>
    <row r="6572" spans="1:39" s="86" customFormat="1" ht="13.25" hidden="1" customHeight="1" x14ac:dyDescent="0.3">
      <c r="A6572" s="89" t="s">
        <v>3794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09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10"/>
        <v>1049.2</v>
      </c>
      <c r="X6572" s="6">
        <f t="shared" si="1011"/>
        <v>0</v>
      </c>
      <c r="Y6572" s="13">
        <f t="shared" si="1015"/>
        <v>0</v>
      </c>
      <c r="Z6572" s="14">
        <v>0</v>
      </c>
      <c r="AA6572" s="6">
        <v>0</v>
      </c>
      <c r="AB6572" s="4">
        <f t="shared" si="1016"/>
        <v>0</v>
      </c>
      <c r="AC6572" s="6">
        <f t="shared" si="1014"/>
        <v>0</v>
      </c>
      <c r="AD6572" s="6">
        <f t="shared" si="1012"/>
        <v>0</v>
      </c>
      <c r="AE6572" s="14">
        <v>0.06</v>
      </c>
      <c r="AF6572" s="6">
        <f t="shared" si="1018"/>
        <v>0</v>
      </c>
      <c r="AG6572" s="14">
        <v>0</v>
      </c>
      <c r="AH6572" s="64">
        <f t="shared" si="1013"/>
        <v>0</v>
      </c>
      <c r="AJ6572" s="126" t="e">
        <v>#N/A</v>
      </c>
      <c r="AK6572" s="80">
        <f t="shared" si="1017"/>
        <v>0</v>
      </c>
      <c r="AL6572" s="85"/>
      <c r="AM6572" s="85"/>
    </row>
    <row r="6573" spans="1:39" s="86" customFormat="1" ht="13.25" hidden="1" customHeight="1" x14ac:dyDescent="0.3">
      <c r="A6573" s="89" t="s">
        <v>3792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09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10"/>
        <v>1446.59</v>
      </c>
      <c r="X6573" s="6">
        <f t="shared" si="1011"/>
        <v>0</v>
      </c>
      <c r="Y6573" s="13">
        <f t="shared" si="1015"/>
        <v>0</v>
      </c>
      <c r="Z6573" s="14">
        <v>0</v>
      </c>
      <c r="AA6573" s="6">
        <v>0</v>
      </c>
      <c r="AB6573" s="4">
        <f t="shared" si="1016"/>
        <v>0</v>
      </c>
      <c r="AC6573" s="6">
        <f t="shared" si="1014"/>
        <v>0</v>
      </c>
      <c r="AD6573" s="6">
        <f t="shared" si="1012"/>
        <v>0</v>
      </c>
      <c r="AE6573" s="14">
        <v>0.06</v>
      </c>
      <c r="AF6573" s="6">
        <f t="shared" si="1018"/>
        <v>0</v>
      </c>
      <c r="AG6573" s="14">
        <v>0</v>
      </c>
      <c r="AH6573" s="64">
        <f t="shared" si="1013"/>
        <v>0</v>
      </c>
      <c r="AJ6573" s="126" t="e">
        <v>#N/A</v>
      </c>
      <c r="AK6573" s="80">
        <f t="shared" si="1017"/>
        <v>0</v>
      </c>
      <c r="AL6573" s="85"/>
      <c r="AM6573" s="85"/>
    </row>
    <row r="6574" spans="1:39" s="86" customFormat="1" ht="13.25" hidden="1" customHeight="1" x14ac:dyDescent="0.3">
      <c r="A6574" s="89" t="s">
        <v>3794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09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10"/>
        <v>6538.7999999999929</v>
      </c>
      <c r="X6574" s="6">
        <f t="shared" si="1011"/>
        <v>465.34615384615381</v>
      </c>
      <c r="Y6574" s="13">
        <f t="shared" si="1015"/>
        <v>0</v>
      </c>
      <c r="Z6574" s="14">
        <v>0</v>
      </c>
      <c r="AA6574" s="6">
        <v>0</v>
      </c>
      <c r="AB6574" s="4">
        <f t="shared" si="1016"/>
        <v>465.34615384615381</v>
      </c>
      <c r="AC6574" s="6">
        <f t="shared" si="1014"/>
        <v>18.613846153846168</v>
      </c>
      <c r="AD6574" s="6">
        <f t="shared" si="1012"/>
        <v>483.96</v>
      </c>
      <c r="AE6574" s="14">
        <v>0.06</v>
      </c>
      <c r="AF6574" s="6">
        <f t="shared" si="1018"/>
        <v>29.037599999999998</v>
      </c>
      <c r="AG6574" s="14">
        <v>0</v>
      </c>
      <c r="AH6574" s="64">
        <f t="shared" si="1013"/>
        <v>483.96</v>
      </c>
      <c r="AJ6574" s="126" t="e">
        <v>#N/A</v>
      </c>
      <c r="AK6574" s="80">
        <f t="shared" si="1017"/>
        <v>0</v>
      </c>
      <c r="AL6574" s="85"/>
      <c r="AM6574" s="85"/>
    </row>
    <row r="6575" spans="1:39" s="86" customFormat="1" ht="13.25" hidden="1" customHeight="1" x14ac:dyDescent="0.3">
      <c r="A6575" s="89" t="s">
        <v>3794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10"/>
        <v>78.56</v>
      </c>
      <c r="X6575" s="6">
        <f t="shared" si="1011"/>
        <v>0</v>
      </c>
      <c r="Y6575" s="13">
        <f t="shared" si="1015"/>
        <v>0</v>
      </c>
      <c r="Z6575" s="14">
        <v>0</v>
      </c>
      <c r="AA6575" s="6">
        <v>0</v>
      </c>
      <c r="AB6575" s="4">
        <f t="shared" si="1016"/>
        <v>0</v>
      </c>
      <c r="AC6575" s="6">
        <f t="shared" si="1014"/>
        <v>0</v>
      </c>
      <c r="AD6575" s="6">
        <f t="shared" si="1012"/>
        <v>0</v>
      </c>
      <c r="AE6575" s="14">
        <v>0.06</v>
      </c>
      <c r="AF6575" s="6">
        <f t="shared" si="1018"/>
        <v>0</v>
      </c>
      <c r="AG6575" s="14">
        <v>0</v>
      </c>
      <c r="AH6575" s="64">
        <f t="shared" si="1013"/>
        <v>0</v>
      </c>
      <c r="AJ6575" s="126" t="e">
        <v>#N/A</v>
      </c>
      <c r="AK6575" s="80">
        <f t="shared" si="1017"/>
        <v>0</v>
      </c>
      <c r="AL6575" s="85"/>
      <c r="AM6575" s="85"/>
    </row>
    <row r="6576" spans="1:39" s="86" customFormat="1" ht="13.25" hidden="1" customHeight="1" x14ac:dyDescent="0.3">
      <c r="A6576" s="89" t="s">
        <v>3792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39" si="1019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020">T6576+U6576-V6576</f>
        <v>-5.8207660913467407E-11</v>
      </c>
      <c r="X6576" s="6">
        <f t="shared" ref="X6576:X6639" si="1021">IF(P6576="折扣",V6576*Q6576,IF(P6576="返现",V6576,V6576/(1+Q6576)))</f>
        <v>0</v>
      </c>
      <c r="Y6576" s="13">
        <f t="shared" si="1015"/>
        <v>0</v>
      </c>
      <c r="Z6576" s="14">
        <v>0</v>
      </c>
      <c r="AA6576" s="6">
        <v>0</v>
      </c>
      <c r="AB6576" s="4">
        <f t="shared" si="1016"/>
        <v>0</v>
      </c>
      <c r="AC6576" s="6">
        <f t="shared" si="1014"/>
        <v>0</v>
      </c>
      <c r="AD6576" s="6">
        <f t="shared" ref="AD6576:AD6639" si="1022">V6576</f>
        <v>0</v>
      </c>
      <c r="AE6576" s="14">
        <v>0.06</v>
      </c>
      <c r="AF6576" s="6">
        <f t="shared" si="1018"/>
        <v>0</v>
      </c>
      <c r="AG6576" s="14">
        <v>0</v>
      </c>
      <c r="AH6576" s="64">
        <f t="shared" ref="AH6576:AH6639" si="1023">V6576</f>
        <v>0</v>
      </c>
      <c r="AJ6576" s="126" t="e">
        <v>#N/A</v>
      </c>
      <c r="AK6576" s="80">
        <f t="shared" si="1017"/>
        <v>0</v>
      </c>
      <c r="AL6576" s="85"/>
      <c r="AM6576" s="85"/>
    </row>
    <row r="6577" spans="1:39" s="86" customFormat="1" ht="13.25" hidden="1" customHeight="1" x14ac:dyDescent="0.3">
      <c r="A6577" s="89" t="s">
        <v>3794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019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020"/>
        <v>29636.910000000003</v>
      </c>
      <c r="X6577" s="6">
        <f t="shared" si="1021"/>
        <v>0</v>
      </c>
      <c r="Y6577" s="13">
        <f t="shared" si="1015"/>
        <v>0</v>
      </c>
      <c r="Z6577" s="14">
        <v>0</v>
      </c>
      <c r="AA6577" s="6">
        <v>0</v>
      </c>
      <c r="AB6577" s="4">
        <f t="shared" si="1016"/>
        <v>0</v>
      </c>
      <c r="AC6577" s="6">
        <f t="shared" si="1014"/>
        <v>0</v>
      </c>
      <c r="AD6577" s="6">
        <f t="shared" si="1022"/>
        <v>0</v>
      </c>
      <c r="AE6577" s="14">
        <v>0.06</v>
      </c>
      <c r="AF6577" s="6">
        <f t="shared" si="1018"/>
        <v>0</v>
      </c>
      <c r="AG6577" s="14">
        <v>0</v>
      </c>
      <c r="AH6577" s="64">
        <f t="shared" si="1023"/>
        <v>0</v>
      </c>
      <c r="AJ6577" s="126" t="e">
        <v>#N/A</v>
      </c>
      <c r="AK6577" s="80">
        <f t="shared" si="1017"/>
        <v>0</v>
      </c>
      <c r="AL6577" s="85"/>
      <c r="AM6577" s="85"/>
    </row>
    <row r="6578" spans="1:39" s="86" customFormat="1" ht="13.25" hidden="1" customHeight="1" x14ac:dyDescent="0.3">
      <c r="A6578" s="89" t="s">
        <v>3792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019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020"/>
        <v>37367.300000000003</v>
      </c>
      <c r="X6578" s="6">
        <f t="shared" si="1021"/>
        <v>0</v>
      </c>
      <c r="Y6578" s="13">
        <f t="shared" si="1015"/>
        <v>0</v>
      </c>
      <c r="Z6578" s="14">
        <v>0</v>
      </c>
      <c r="AA6578" s="6">
        <v>0</v>
      </c>
      <c r="AB6578" s="4">
        <f t="shared" si="1016"/>
        <v>0</v>
      </c>
      <c r="AC6578" s="6">
        <f t="shared" si="1014"/>
        <v>0</v>
      </c>
      <c r="AD6578" s="6">
        <f t="shared" si="1022"/>
        <v>0</v>
      </c>
      <c r="AE6578" s="14">
        <v>0.06</v>
      </c>
      <c r="AF6578" s="6">
        <f t="shared" si="1018"/>
        <v>0</v>
      </c>
      <c r="AG6578" s="14">
        <v>0</v>
      </c>
      <c r="AH6578" s="64">
        <f t="shared" si="1023"/>
        <v>0</v>
      </c>
      <c r="AJ6578" s="126" t="e">
        <v>#N/A</v>
      </c>
      <c r="AK6578" s="80">
        <f t="shared" si="1017"/>
        <v>0</v>
      </c>
      <c r="AL6578" s="85"/>
      <c r="AM6578" s="85"/>
    </row>
    <row r="6579" spans="1:39" s="86" customFormat="1" ht="13.25" hidden="1" customHeight="1" x14ac:dyDescent="0.3">
      <c r="A6579" s="89" t="s">
        <v>3794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019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020"/>
        <v>200343.84000000043</v>
      </c>
      <c r="X6579" s="6">
        <f t="shared" si="1021"/>
        <v>129890.51</v>
      </c>
      <c r="Y6579" s="13">
        <f t="shared" si="1015"/>
        <v>0</v>
      </c>
      <c r="Z6579" s="14">
        <v>0</v>
      </c>
      <c r="AA6579" s="6">
        <v>0</v>
      </c>
      <c r="AB6579" s="4">
        <f t="shared" si="1016"/>
        <v>129890.51</v>
      </c>
      <c r="AC6579" s="6">
        <f t="shared" si="1014"/>
        <v>7793.4305999999997</v>
      </c>
      <c r="AD6579" s="6">
        <f t="shared" si="1022"/>
        <v>129890.51</v>
      </c>
      <c r="AE6579" s="14">
        <v>0.06</v>
      </c>
      <c r="AF6579" s="6">
        <f t="shared" si="1018"/>
        <v>7793.4305999999997</v>
      </c>
      <c r="AG6579" s="14">
        <v>0</v>
      </c>
      <c r="AH6579" s="64">
        <f t="shared" si="1023"/>
        <v>129890.51</v>
      </c>
      <c r="AJ6579" s="126" t="e">
        <v>#N/A</v>
      </c>
      <c r="AK6579" s="80">
        <f t="shared" si="1017"/>
        <v>0</v>
      </c>
      <c r="AL6579" s="85"/>
      <c r="AM6579" s="85"/>
    </row>
    <row r="6580" spans="1:39" s="86" customFormat="1" ht="13.25" hidden="1" customHeight="1" x14ac:dyDescent="0.3">
      <c r="A6580" s="89" t="s">
        <v>3794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47" t="str">
        <f t="shared" si="1019"/>
        <v>巨量引擎-二类</v>
      </c>
      <c r="L6580" s="47" t="s">
        <v>35</v>
      </c>
      <c r="N6580" s="86" t="s">
        <v>3710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020"/>
        <v>-1764597.65</v>
      </c>
      <c r="X6580" s="6">
        <f t="shared" si="1021"/>
        <v>310535.74000000005</v>
      </c>
      <c r="Y6580" s="13">
        <f t="shared" si="1015"/>
        <v>0</v>
      </c>
      <c r="Z6580" s="14">
        <v>0</v>
      </c>
      <c r="AA6580" s="6">
        <v>0</v>
      </c>
      <c r="AB6580" s="4">
        <f t="shared" si="1016"/>
        <v>310535.74000000005</v>
      </c>
      <c r="AC6580" s="6">
        <f t="shared" si="1014"/>
        <v>0</v>
      </c>
      <c r="AD6580" s="6">
        <f t="shared" si="1022"/>
        <v>310535.74000000005</v>
      </c>
      <c r="AE6580" s="14">
        <v>0.06</v>
      </c>
      <c r="AF6580" s="6">
        <f t="shared" si="1018"/>
        <v>18632.144400000001</v>
      </c>
      <c r="AG6580" s="14">
        <v>0</v>
      </c>
      <c r="AH6580" s="64">
        <f t="shared" si="1023"/>
        <v>310535.74000000005</v>
      </c>
      <c r="AJ6580" s="126" t="e">
        <v>#N/A</v>
      </c>
      <c r="AK6580" s="80">
        <f t="shared" si="1017"/>
        <v>0</v>
      </c>
      <c r="AL6580" s="85"/>
      <c r="AM6580" s="85"/>
    </row>
    <row r="6581" spans="1:39" s="86" customFormat="1" ht="13.25" hidden="1" customHeight="1" x14ac:dyDescent="0.3">
      <c r="A6581" s="89" t="s">
        <v>3794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019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020"/>
        <v>-33.549999999999997</v>
      </c>
      <c r="X6581" s="6">
        <f t="shared" si="1021"/>
        <v>0</v>
      </c>
      <c r="Y6581" s="13">
        <f t="shared" si="1015"/>
        <v>0</v>
      </c>
      <c r="Z6581" s="14">
        <v>0</v>
      </c>
      <c r="AA6581" s="6">
        <v>0</v>
      </c>
      <c r="AB6581" s="4">
        <f t="shared" si="1016"/>
        <v>0</v>
      </c>
      <c r="AC6581" s="6">
        <f t="shared" si="1014"/>
        <v>0</v>
      </c>
      <c r="AD6581" s="6">
        <f t="shared" si="1022"/>
        <v>0</v>
      </c>
      <c r="AE6581" s="14">
        <v>0.06</v>
      </c>
      <c r="AF6581" s="6">
        <f t="shared" si="1018"/>
        <v>0</v>
      </c>
      <c r="AG6581" s="14">
        <v>0</v>
      </c>
      <c r="AH6581" s="64">
        <f t="shared" si="1023"/>
        <v>0</v>
      </c>
      <c r="AJ6581" s="126" t="e">
        <v>#N/A</v>
      </c>
      <c r="AK6581" s="80">
        <f t="shared" si="1017"/>
        <v>0</v>
      </c>
      <c r="AL6581" s="85"/>
      <c r="AM6581" s="85"/>
    </row>
    <row r="6582" spans="1:39" s="86" customFormat="1" ht="13.25" hidden="1" customHeight="1" x14ac:dyDescent="0.3">
      <c r="A6582" s="89" t="s">
        <v>3792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019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020"/>
        <v>2.3759000013087643</v>
      </c>
      <c r="X6582" s="6">
        <f t="shared" si="1021"/>
        <v>0</v>
      </c>
      <c r="Y6582" s="13">
        <f t="shared" si="1015"/>
        <v>0</v>
      </c>
      <c r="Z6582" s="14">
        <v>0</v>
      </c>
      <c r="AA6582" s="6">
        <v>0</v>
      </c>
      <c r="AB6582" s="4">
        <f t="shared" si="1016"/>
        <v>0</v>
      </c>
      <c r="AC6582" s="6">
        <f t="shared" si="1014"/>
        <v>0</v>
      </c>
      <c r="AD6582" s="6">
        <f t="shared" si="1022"/>
        <v>0</v>
      </c>
      <c r="AE6582" s="14">
        <v>0.06</v>
      </c>
      <c r="AF6582" s="6">
        <f t="shared" si="1018"/>
        <v>0</v>
      </c>
      <c r="AG6582" s="14">
        <v>0</v>
      </c>
      <c r="AH6582" s="64">
        <f t="shared" si="1023"/>
        <v>0</v>
      </c>
      <c r="AJ6582" s="126" t="e">
        <v>#N/A</v>
      </c>
      <c r="AK6582" s="80">
        <f t="shared" si="1017"/>
        <v>0</v>
      </c>
      <c r="AL6582" s="85"/>
      <c r="AM6582" s="85"/>
    </row>
    <row r="6583" spans="1:39" s="86" customFormat="1" ht="13.25" hidden="1" customHeight="1" x14ac:dyDescent="0.3">
      <c r="A6583" s="89" t="s">
        <v>3792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47" t="str">
        <f t="shared" si="1019"/>
        <v>巨量引擎-一类平台/电商</v>
      </c>
      <c r="L6583" s="47" t="s">
        <v>35</v>
      </c>
      <c r="N6583" s="86" t="s">
        <v>3718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021"/>
        <v>0</v>
      </c>
      <c r="Y6583" s="13">
        <f t="shared" si="1015"/>
        <v>0</v>
      </c>
      <c r="Z6583" s="14">
        <v>0</v>
      </c>
      <c r="AA6583" s="6">
        <v>0</v>
      </c>
      <c r="AB6583" s="4">
        <f t="shared" si="1016"/>
        <v>0</v>
      </c>
      <c r="AC6583" s="6">
        <f t="shared" si="1014"/>
        <v>0</v>
      </c>
      <c r="AD6583" s="6">
        <f t="shared" si="1022"/>
        <v>0</v>
      </c>
      <c r="AE6583" s="14">
        <v>0.06</v>
      </c>
      <c r="AF6583" s="6">
        <f t="shared" si="1018"/>
        <v>0</v>
      </c>
      <c r="AG6583" s="14">
        <v>0</v>
      </c>
      <c r="AH6583" s="64">
        <f t="shared" si="1023"/>
        <v>0</v>
      </c>
      <c r="AJ6583" s="126" t="e">
        <v>#N/A</v>
      </c>
      <c r="AK6583" s="80">
        <f t="shared" si="1017"/>
        <v>0</v>
      </c>
      <c r="AL6583" s="85"/>
      <c r="AM6583" s="85"/>
    </row>
    <row r="6584" spans="1:39" s="86" customFormat="1" ht="13.25" hidden="1" customHeight="1" x14ac:dyDescent="0.3">
      <c r="A6584" s="89" t="s">
        <v>3794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019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020"/>
        <v>4131.2300000003597</v>
      </c>
      <c r="X6584" s="6">
        <f t="shared" si="1021"/>
        <v>0</v>
      </c>
      <c r="Y6584" s="13">
        <f t="shared" si="1015"/>
        <v>0</v>
      </c>
      <c r="Z6584" s="14">
        <v>0</v>
      </c>
      <c r="AA6584" s="6">
        <v>0</v>
      </c>
      <c r="AB6584" s="4">
        <f t="shared" si="1016"/>
        <v>0</v>
      </c>
      <c r="AC6584" s="6">
        <f t="shared" si="1014"/>
        <v>0</v>
      </c>
      <c r="AD6584" s="6">
        <f t="shared" si="1022"/>
        <v>0</v>
      </c>
      <c r="AE6584" s="14">
        <v>0.06</v>
      </c>
      <c r="AF6584" s="6">
        <f t="shared" si="1018"/>
        <v>0</v>
      </c>
      <c r="AG6584" s="14">
        <v>0</v>
      </c>
      <c r="AH6584" s="64">
        <f t="shared" si="1023"/>
        <v>0</v>
      </c>
      <c r="AJ6584" s="126" t="e">
        <v>#N/A</v>
      </c>
      <c r="AK6584" s="80">
        <f t="shared" si="1017"/>
        <v>0</v>
      </c>
      <c r="AL6584" s="85"/>
      <c r="AM6584" s="85"/>
    </row>
    <row r="6585" spans="1:39" s="86" customFormat="1" ht="13.25" hidden="1" customHeight="1" x14ac:dyDescent="0.3">
      <c r="A6585" s="89" t="s">
        <v>3794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019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020"/>
        <v>-1.8500000000494765</v>
      </c>
      <c r="X6585" s="6">
        <f t="shared" si="1021"/>
        <v>0</v>
      </c>
      <c r="Y6585" s="13">
        <f t="shared" si="1015"/>
        <v>0</v>
      </c>
      <c r="Z6585" s="14">
        <v>0</v>
      </c>
      <c r="AA6585" s="6">
        <v>0</v>
      </c>
      <c r="AB6585" s="4">
        <f t="shared" si="1016"/>
        <v>0</v>
      </c>
      <c r="AC6585" s="6">
        <f t="shared" si="1014"/>
        <v>0</v>
      </c>
      <c r="AD6585" s="6">
        <f t="shared" si="1022"/>
        <v>0</v>
      </c>
      <c r="AE6585" s="14">
        <v>0.06</v>
      </c>
      <c r="AF6585" s="6">
        <f t="shared" si="1018"/>
        <v>0</v>
      </c>
      <c r="AG6585" s="14">
        <v>0</v>
      </c>
      <c r="AH6585" s="64">
        <f t="shared" si="1023"/>
        <v>0</v>
      </c>
      <c r="AJ6585" s="126" t="e">
        <v>#N/A</v>
      </c>
      <c r="AK6585" s="80">
        <f t="shared" si="1017"/>
        <v>0</v>
      </c>
      <c r="AL6585" s="85"/>
      <c r="AM6585" s="85"/>
    </row>
    <row r="6586" spans="1:39" s="86" customFormat="1" ht="13.25" hidden="1" customHeight="1" x14ac:dyDescent="0.3">
      <c r="A6586" s="89" t="s">
        <v>3794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019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020"/>
        <v>474506.33999988285</v>
      </c>
      <c r="X6586" s="6">
        <f t="shared" si="1021"/>
        <v>537371.16666666663</v>
      </c>
      <c r="Y6586" s="13">
        <f t="shared" si="1015"/>
        <v>0</v>
      </c>
      <c r="Z6586" s="14">
        <v>0</v>
      </c>
      <c r="AA6586" s="6">
        <v>0</v>
      </c>
      <c r="AB6586" s="4">
        <f t="shared" si="1016"/>
        <v>537371.16666666663</v>
      </c>
      <c r="AC6586" s="6">
        <f t="shared" si="1014"/>
        <v>10747.42333333334</v>
      </c>
      <c r="AD6586" s="6">
        <f t="shared" si="1022"/>
        <v>548118.59</v>
      </c>
      <c r="AE6586" s="14">
        <v>0.06</v>
      </c>
      <c r="AF6586" s="6">
        <f t="shared" si="1018"/>
        <v>32887.115399999995</v>
      </c>
      <c r="AG6586" s="14">
        <v>0</v>
      </c>
      <c r="AH6586" s="64">
        <f t="shared" si="1023"/>
        <v>548118.59</v>
      </c>
      <c r="AJ6586" s="126" t="e">
        <v>#N/A</v>
      </c>
      <c r="AK6586" s="80">
        <f t="shared" si="1017"/>
        <v>0</v>
      </c>
      <c r="AL6586" s="85"/>
      <c r="AM6586" s="85"/>
    </row>
    <row r="6587" spans="1:39" s="86" customFormat="1" ht="13.25" hidden="1" customHeight="1" x14ac:dyDescent="0.3">
      <c r="A6587" s="89" t="s">
        <v>3794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020"/>
        <v>172252.86999999997</v>
      </c>
      <c r="X6587" s="6">
        <f t="shared" si="1021"/>
        <v>0</v>
      </c>
      <c r="Y6587" s="13">
        <f t="shared" si="1015"/>
        <v>0</v>
      </c>
      <c r="Z6587" s="14">
        <v>0</v>
      </c>
      <c r="AA6587" s="6">
        <v>0</v>
      </c>
      <c r="AB6587" s="4">
        <f t="shared" si="1016"/>
        <v>0</v>
      </c>
      <c r="AC6587" s="6">
        <f t="shared" si="1014"/>
        <v>0</v>
      </c>
      <c r="AD6587" s="6">
        <f t="shared" si="1022"/>
        <v>0</v>
      </c>
      <c r="AE6587" s="14">
        <v>0.06</v>
      </c>
      <c r="AF6587" s="6">
        <f t="shared" si="1018"/>
        <v>0</v>
      </c>
      <c r="AG6587" s="14">
        <v>0</v>
      </c>
      <c r="AH6587" s="64">
        <f t="shared" si="1023"/>
        <v>0</v>
      </c>
      <c r="AJ6587" s="126" t="e">
        <v>#N/A</v>
      </c>
      <c r="AK6587" s="80">
        <f t="shared" si="1017"/>
        <v>0</v>
      </c>
      <c r="AL6587" s="85"/>
      <c r="AM6587" s="85"/>
    </row>
    <row r="6588" spans="1:39" s="86" customFormat="1" ht="13.25" hidden="1" customHeight="1" x14ac:dyDescent="0.3">
      <c r="A6588" s="89" t="s">
        <v>3794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47" t="str">
        <f t="shared" si="1019"/>
        <v>巨量引擎-三类</v>
      </c>
      <c r="L6588" s="47" t="s">
        <v>35</v>
      </c>
      <c r="N6588" s="86" t="s">
        <v>3712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020"/>
        <v>-134019.45999999996</v>
      </c>
      <c r="X6588" s="6">
        <f t="shared" si="1021"/>
        <v>84961.609999999986</v>
      </c>
      <c r="Y6588" s="13">
        <f t="shared" si="1015"/>
        <v>0</v>
      </c>
      <c r="Z6588" s="14">
        <v>0</v>
      </c>
      <c r="AA6588" s="6">
        <v>0</v>
      </c>
      <c r="AB6588" s="4">
        <f t="shared" si="1016"/>
        <v>84961.609999999986</v>
      </c>
      <c r="AC6588" s="6">
        <f t="shared" si="1014"/>
        <v>0</v>
      </c>
      <c r="AD6588" s="6">
        <f t="shared" si="1022"/>
        <v>84961.609999999986</v>
      </c>
      <c r="AE6588" s="14">
        <v>0.06</v>
      </c>
      <c r="AF6588" s="6">
        <f t="shared" si="1018"/>
        <v>5097.6965999999993</v>
      </c>
      <c r="AG6588" s="14">
        <v>0</v>
      </c>
      <c r="AH6588" s="64">
        <f t="shared" si="1023"/>
        <v>84961.609999999986</v>
      </c>
      <c r="AJ6588" s="126" t="e">
        <v>#N/A</v>
      </c>
      <c r="AK6588" s="80">
        <f t="shared" si="1017"/>
        <v>0</v>
      </c>
      <c r="AL6588" s="85"/>
      <c r="AM6588" s="85"/>
    </row>
    <row r="6589" spans="1:39" s="86" customFormat="1" ht="13.25" hidden="1" customHeight="1" x14ac:dyDescent="0.3">
      <c r="A6589" s="89" t="s">
        <v>3792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019"/>
        <v>巨量引擎-游戏</v>
      </c>
      <c r="L6589" s="47" t="s">
        <v>35</v>
      </c>
      <c r="N6589" s="86" t="s">
        <v>3283</v>
      </c>
      <c r="O6589" s="47" t="s">
        <v>3956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020"/>
        <v>-37386.879999999997</v>
      </c>
      <c r="X6589" s="6">
        <f t="shared" si="1021"/>
        <v>6933.2699999999995</v>
      </c>
      <c r="Y6589" s="13">
        <f t="shared" si="1015"/>
        <v>0</v>
      </c>
      <c r="Z6589" s="14">
        <v>0</v>
      </c>
      <c r="AA6589" s="6">
        <v>0</v>
      </c>
      <c r="AB6589" s="4">
        <f t="shared" si="1016"/>
        <v>6933.2699999999995</v>
      </c>
      <c r="AC6589" s="6">
        <f t="shared" si="1014"/>
        <v>0</v>
      </c>
      <c r="AD6589" s="6">
        <f t="shared" si="1022"/>
        <v>6933.2699999999995</v>
      </c>
      <c r="AE6589" s="14">
        <v>0.06</v>
      </c>
      <c r="AF6589" s="6">
        <f t="shared" si="1018"/>
        <v>415.99619999999993</v>
      </c>
      <c r="AG6589" s="14">
        <v>0</v>
      </c>
      <c r="AH6589" s="64">
        <f t="shared" si="1023"/>
        <v>6933.2699999999995</v>
      </c>
      <c r="AJ6589" s="126" t="e">
        <v>#N/A</v>
      </c>
      <c r="AK6589" s="80">
        <f t="shared" si="1017"/>
        <v>0</v>
      </c>
      <c r="AL6589" s="85"/>
      <c r="AM6589" s="85"/>
    </row>
    <row r="6590" spans="1:39" s="86" customFormat="1" ht="13.25" hidden="1" customHeight="1" x14ac:dyDescent="0.3">
      <c r="A6590" s="89" t="s">
        <v>3794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47" t="str">
        <f t="shared" si="1019"/>
        <v>巨量引擎-三类</v>
      </c>
      <c r="L6590" s="47" t="s">
        <v>35</v>
      </c>
      <c r="N6590" s="86" t="s">
        <v>3712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020"/>
        <v>-257.02</v>
      </c>
      <c r="X6590" s="6">
        <f t="shared" si="1021"/>
        <v>13.08</v>
      </c>
      <c r="Y6590" s="13">
        <f t="shared" si="1015"/>
        <v>0</v>
      </c>
      <c r="Z6590" s="14">
        <v>0</v>
      </c>
      <c r="AA6590" s="6">
        <v>0</v>
      </c>
      <c r="AB6590" s="4">
        <f t="shared" si="1016"/>
        <v>13.08</v>
      </c>
      <c r="AC6590" s="6">
        <f t="shared" ref="AC6590:AC6653" si="1024">IF(P6590="返现",X6590*Q6590,V6590-X6590)</f>
        <v>0</v>
      </c>
      <c r="AD6590" s="6">
        <f t="shared" si="1022"/>
        <v>13.08</v>
      </c>
      <c r="AE6590" s="14">
        <v>0.06</v>
      </c>
      <c r="AF6590" s="6">
        <f t="shared" si="1018"/>
        <v>0.78479999999999994</v>
      </c>
      <c r="AG6590" s="14">
        <v>0</v>
      </c>
      <c r="AH6590" s="64">
        <f t="shared" si="1023"/>
        <v>13.08</v>
      </c>
      <c r="AJ6590" s="126" t="e">
        <v>#N/A</v>
      </c>
      <c r="AK6590" s="80">
        <f t="shared" si="1017"/>
        <v>0</v>
      </c>
      <c r="AL6590" s="85"/>
      <c r="AM6590" s="85"/>
    </row>
    <row r="6591" spans="1:39" s="86" customFormat="1" ht="13.25" hidden="1" customHeight="1" x14ac:dyDescent="0.3">
      <c r="A6591" s="89" t="s">
        <v>3794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47" t="str">
        <f t="shared" si="1019"/>
        <v>巨量引擎-一类平台/电商</v>
      </c>
      <c r="L6591" s="47" t="s">
        <v>35</v>
      </c>
      <c r="N6591" s="86" t="s">
        <v>3718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020"/>
        <v>-5739.6100000000006</v>
      </c>
      <c r="X6591" s="6">
        <f t="shared" si="1021"/>
        <v>1352.5757575757575</v>
      </c>
      <c r="Y6591" s="13">
        <f t="shared" si="1015"/>
        <v>0</v>
      </c>
      <c r="Z6591" s="14">
        <v>0</v>
      </c>
      <c r="AA6591" s="6">
        <v>0</v>
      </c>
      <c r="AB6591" s="4">
        <f t="shared" si="1016"/>
        <v>1352.5757575757575</v>
      </c>
      <c r="AC6591" s="6">
        <f t="shared" si="1024"/>
        <v>75.744242424242429</v>
      </c>
      <c r="AD6591" s="6">
        <f t="shared" si="1022"/>
        <v>1428.32</v>
      </c>
      <c r="AE6591" s="14">
        <v>0.06</v>
      </c>
      <c r="AF6591" s="6">
        <f t="shared" si="1018"/>
        <v>85.69919999999999</v>
      </c>
      <c r="AG6591" s="14">
        <v>0</v>
      </c>
      <c r="AH6591" s="64">
        <f t="shared" si="1023"/>
        <v>1428.32</v>
      </c>
      <c r="AJ6591" s="126" t="e">
        <v>#N/A</v>
      </c>
      <c r="AK6591" s="80">
        <f t="shared" si="1017"/>
        <v>0</v>
      </c>
      <c r="AL6591" s="85"/>
      <c r="AM6591" s="85"/>
    </row>
    <row r="6592" spans="1:39" s="86" customFormat="1" ht="13.25" hidden="1" customHeight="1" x14ac:dyDescent="0.3">
      <c r="A6592" s="89" t="s">
        <v>3794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019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020"/>
        <v>711777.02000000014</v>
      </c>
      <c r="X6592" s="6">
        <f t="shared" si="1021"/>
        <v>94623.113207547169</v>
      </c>
      <c r="Y6592" s="13">
        <f t="shared" si="1015"/>
        <v>0</v>
      </c>
      <c r="Z6592" s="14">
        <v>0</v>
      </c>
      <c r="AA6592" s="6">
        <v>0</v>
      </c>
      <c r="AB6592" s="4">
        <f t="shared" si="1016"/>
        <v>94623.113207547169</v>
      </c>
      <c r="AC6592" s="6">
        <f t="shared" si="1024"/>
        <v>5677.3867924528313</v>
      </c>
      <c r="AD6592" s="6">
        <f t="shared" si="1022"/>
        <v>100300.5</v>
      </c>
      <c r="AE6592" s="14">
        <v>0.06</v>
      </c>
      <c r="AF6592" s="6">
        <f t="shared" si="1018"/>
        <v>6018.03</v>
      </c>
      <c r="AG6592" s="14">
        <v>0</v>
      </c>
      <c r="AH6592" s="64">
        <f t="shared" si="1023"/>
        <v>100300.5</v>
      </c>
      <c r="AJ6592" s="126" t="e">
        <v>#N/A</v>
      </c>
      <c r="AK6592" s="80">
        <f t="shared" si="1017"/>
        <v>0</v>
      </c>
      <c r="AL6592" s="85"/>
      <c r="AM6592" s="85"/>
    </row>
    <row r="6593" spans="1:39" s="86" customFormat="1" ht="13.25" hidden="1" customHeight="1" x14ac:dyDescent="0.3">
      <c r="A6593" s="89" t="s">
        <v>3794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3957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019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020"/>
        <v>-1909.8899999999996</v>
      </c>
      <c r="X6593" s="6">
        <f t="shared" si="1021"/>
        <v>1801.7830188679241</v>
      </c>
      <c r="Y6593" s="13">
        <f t="shared" si="1015"/>
        <v>0</v>
      </c>
      <c r="Z6593" s="14">
        <v>0</v>
      </c>
      <c r="AA6593" s="6">
        <v>0</v>
      </c>
      <c r="AB6593" s="4">
        <f t="shared" si="1016"/>
        <v>1801.7830188679241</v>
      </c>
      <c r="AC6593" s="6">
        <f t="shared" si="1024"/>
        <v>108.10698113207559</v>
      </c>
      <c r="AD6593" s="6">
        <f t="shared" si="1022"/>
        <v>1909.8899999999996</v>
      </c>
      <c r="AE6593" s="14">
        <v>0.06</v>
      </c>
      <c r="AF6593" s="6">
        <f t="shared" si="1018"/>
        <v>114.59339999999997</v>
      </c>
      <c r="AG6593" s="14">
        <v>0</v>
      </c>
      <c r="AH6593" s="64">
        <f t="shared" si="1023"/>
        <v>1909.8899999999996</v>
      </c>
      <c r="AJ6593" s="126" t="e">
        <v>#N/A</v>
      </c>
      <c r="AK6593" s="80">
        <f t="shared" si="1017"/>
        <v>0</v>
      </c>
      <c r="AL6593" s="85"/>
      <c r="AM6593" s="85"/>
    </row>
    <row r="6594" spans="1:39" s="86" customFormat="1" ht="13.25" hidden="1" customHeight="1" x14ac:dyDescent="0.3">
      <c r="A6594" s="89" t="s">
        <v>3794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020"/>
        <v>-0.13</v>
      </c>
      <c r="X6594" s="6">
        <f t="shared" si="1021"/>
        <v>0</v>
      </c>
      <c r="Y6594" s="13">
        <f t="shared" si="1015"/>
        <v>0</v>
      </c>
      <c r="Z6594" s="14">
        <v>0</v>
      </c>
      <c r="AA6594" s="6">
        <v>0</v>
      </c>
      <c r="AB6594" s="4">
        <f t="shared" si="1016"/>
        <v>0</v>
      </c>
      <c r="AC6594" s="6">
        <f t="shared" si="1024"/>
        <v>0</v>
      </c>
      <c r="AD6594" s="6">
        <f t="shared" si="1022"/>
        <v>0</v>
      </c>
      <c r="AE6594" s="14">
        <v>0.06</v>
      </c>
      <c r="AF6594" s="6">
        <f t="shared" si="1018"/>
        <v>0</v>
      </c>
      <c r="AG6594" s="14">
        <v>0</v>
      </c>
      <c r="AH6594" s="64">
        <f t="shared" si="1023"/>
        <v>0</v>
      </c>
      <c r="AJ6594" s="126" t="e">
        <v>#N/A</v>
      </c>
      <c r="AK6594" s="80">
        <f t="shared" si="1017"/>
        <v>0</v>
      </c>
      <c r="AL6594" s="85"/>
      <c r="AM6594" s="85"/>
    </row>
    <row r="6595" spans="1:39" s="86" customFormat="1" ht="13.25" hidden="1" customHeight="1" x14ac:dyDescent="0.3">
      <c r="A6595" s="89" t="s">
        <v>3792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47" t="str">
        <f t="shared" si="1019"/>
        <v>巨量引擎-二类</v>
      </c>
      <c r="L6595" s="47" t="s">
        <v>35</v>
      </c>
      <c r="N6595" s="86" t="s">
        <v>3710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020"/>
        <v>-48866.80000000001</v>
      </c>
      <c r="X6595" s="6">
        <f t="shared" si="1021"/>
        <v>2079.14</v>
      </c>
      <c r="Y6595" s="13">
        <f t="shared" ref="Y6595:Y6658" si="1025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026">X6595+AA6595</f>
        <v>2079.14</v>
      </c>
      <c r="AC6595" s="6">
        <f t="shared" si="1024"/>
        <v>0</v>
      </c>
      <c r="AD6595" s="6">
        <f t="shared" si="1022"/>
        <v>2079.14</v>
      </c>
      <c r="AE6595" s="14">
        <v>0.06</v>
      </c>
      <c r="AF6595" s="6">
        <f t="shared" si="1018"/>
        <v>124.74839999999999</v>
      </c>
      <c r="AG6595" s="14">
        <v>0</v>
      </c>
      <c r="AH6595" s="64">
        <f t="shared" si="1023"/>
        <v>2079.14</v>
      </c>
      <c r="AJ6595" s="126" t="e">
        <v>#N/A</v>
      </c>
      <c r="AK6595" s="80">
        <f t="shared" ref="AK6595:AK6658" si="1027">X6595+AA6595-AB6595</f>
        <v>0</v>
      </c>
      <c r="AL6595" s="85"/>
      <c r="AM6595" s="85"/>
    </row>
    <row r="6596" spans="1:39" s="86" customFormat="1" ht="13.25" hidden="1" customHeight="1" x14ac:dyDescent="0.3">
      <c r="A6596" s="89" t="s">
        <v>3792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47" t="str">
        <f t="shared" si="1019"/>
        <v>巨量引擎-二类</v>
      </c>
      <c r="L6596" s="47" t="s">
        <v>35</v>
      </c>
      <c r="N6596" s="86" t="s">
        <v>3710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020"/>
        <v>-525148.29999999993</v>
      </c>
      <c r="X6596" s="6">
        <f t="shared" si="1021"/>
        <v>31874.999999999996</v>
      </c>
      <c r="Y6596" s="13">
        <f t="shared" si="1025"/>
        <v>0</v>
      </c>
      <c r="Z6596" s="14">
        <v>0</v>
      </c>
      <c r="AA6596" s="6">
        <v>0</v>
      </c>
      <c r="AB6596" s="4">
        <f t="shared" si="1026"/>
        <v>31874.999999999996</v>
      </c>
      <c r="AC6596" s="6">
        <f t="shared" si="1024"/>
        <v>1912.4999999999998</v>
      </c>
      <c r="AD6596" s="6">
        <f t="shared" si="1022"/>
        <v>31874.999999999996</v>
      </c>
      <c r="AE6596" s="14">
        <v>0.06</v>
      </c>
      <c r="AF6596" s="6">
        <f t="shared" si="1018"/>
        <v>1912.4999999999998</v>
      </c>
      <c r="AG6596" s="14">
        <v>0</v>
      </c>
      <c r="AH6596" s="64">
        <f t="shared" si="1023"/>
        <v>31874.999999999996</v>
      </c>
      <c r="AJ6596" s="126" t="e">
        <v>#N/A</v>
      </c>
      <c r="AK6596" s="80">
        <f t="shared" si="1027"/>
        <v>0</v>
      </c>
      <c r="AL6596" s="85"/>
      <c r="AM6596" s="85"/>
    </row>
    <row r="6597" spans="1:39" s="86" customFormat="1" ht="13.25" hidden="1" customHeight="1" x14ac:dyDescent="0.3">
      <c r="A6597" s="89" t="s">
        <v>3794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47" t="str">
        <f t="shared" si="1019"/>
        <v>巨量引擎-二类</v>
      </c>
      <c r="L6597" s="47" t="s">
        <v>35</v>
      </c>
      <c r="N6597" s="86" t="s">
        <v>3710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020"/>
        <v>-298485.25</v>
      </c>
      <c r="X6597" s="6">
        <f t="shared" si="1021"/>
        <v>13782.159999999998</v>
      </c>
      <c r="Y6597" s="13">
        <f t="shared" si="1025"/>
        <v>0</v>
      </c>
      <c r="Z6597" s="14">
        <v>0</v>
      </c>
      <c r="AA6597" s="6">
        <v>0</v>
      </c>
      <c r="AB6597" s="4">
        <f t="shared" si="1026"/>
        <v>13782.159999999998</v>
      </c>
      <c r="AC6597" s="6">
        <f t="shared" si="1024"/>
        <v>826.92959999999982</v>
      </c>
      <c r="AD6597" s="6">
        <f t="shared" si="1022"/>
        <v>13782.159999999998</v>
      </c>
      <c r="AE6597" s="14">
        <v>0.06</v>
      </c>
      <c r="AF6597" s="6">
        <f t="shared" si="1018"/>
        <v>826.92959999999982</v>
      </c>
      <c r="AG6597" s="14">
        <v>0</v>
      </c>
      <c r="AH6597" s="64">
        <f t="shared" si="1023"/>
        <v>13782.159999999998</v>
      </c>
      <c r="AJ6597" s="126" t="e">
        <v>#N/A</v>
      </c>
      <c r="AK6597" s="80">
        <f t="shared" si="1027"/>
        <v>0</v>
      </c>
      <c r="AL6597" s="85"/>
      <c r="AM6597" s="85"/>
    </row>
    <row r="6598" spans="1:39" s="86" customFormat="1" ht="13.25" hidden="1" customHeight="1" x14ac:dyDescent="0.3">
      <c r="A6598" s="89" t="s">
        <v>3794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020"/>
        <v>-1204.8900000000001</v>
      </c>
      <c r="X6598" s="6">
        <f t="shared" si="1021"/>
        <v>0</v>
      </c>
      <c r="Y6598" s="13">
        <f t="shared" si="1025"/>
        <v>0</v>
      </c>
      <c r="Z6598" s="14">
        <v>0</v>
      </c>
      <c r="AA6598" s="6">
        <v>0</v>
      </c>
      <c r="AB6598" s="4">
        <f t="shared" si="1026"/>
        <v>0</v>
      </c>
      <c r="AC6598" s="6">
        <f t="shared" si="1024"/>
        <v>0</v>
      </c>
      <c r="AD6598" s="6">
        <f t="shared" si="1022"/>
        <v>0</v>
      </c>
      <c r="AE6598" s="14">
        <v>0.06</v>
      </c>
      <c r="AF6598" s="6">
        <f t="shared" si="1018"/>
        <v>0</v>
      </c>
      <c r="AG6598" s="14">
        <v>0</v>
      </c>
      <c r="AH6598" s="64">
        <f t="shared" si="1023"/>
        <v>0</v>
      </c>
      <c r="AJ6598" s="126" t="e">
        <v>#N/A</v>
      </c>
      <c r="AK6598" s="80">
        <f t="shared" si="1027"/>
        <v>0</v>
      </c>
      <c r="AL6598" s="85"/>
      <c r="AM6598" s="85"/>
    </row>
    <row r="6599" spans="1:39" s="86" customFormat="1" ht="13.25" hidden="1" customHeight="1" x14ac:dyDescent="0.3">
      <c r="A6599" s="89" t="s">
        <v>3794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019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020"/>
        <v>-1388.95</v>
      </c>
      <c r="X6599" s="6">
        <f t="shared" si="1021"/>
        <v>1297.8446601941746</v>
      </c>
      <c r="Y6599" s="13">
        <f t="shared" si="1025"/>
        <v>0</v>
      </c>
      <c r="Z6599" s="14">
        <v>0</v>
      </c>
      <c r="AA6599" s="6">
        <v>0</v>
      </c>
      <c r="AB6599" s="4">
        <f t="shared" si="1026"/>
        <v>1297.8446601941746</v>
      </c>
      <c r="AC6599" s="6">
        <f t="shared" si="1024"/>
        <v>38.935339805825379</v>
      </c>
      <c r="AD6599" s="6">
        <f t="shared" si="1022"/>
        <v>1336.78</v>
      </c>
      <c r="AE6599" s="14">
        <v>0.06</v>
      </c>
      <c r="AF6599" s="6">
        <f t="shared" si="1018"/>
        <v>80.206800000000001</v>
      </c>
      <c r="AG6599" s="14">
        <v>0</v>
      </c>
      <c r="AH6599" s="64">
        <f t="shared" si="1023"/>
        <v>1336.78</v>
      </c>
      <c r="AJ6599" s="126" t="e">
        <v>#N/A</v>
      </c>
      <c r="AK6599" s="80">
        <f t="shared" si="1027"/>
        <v>0</v>
      </c>
      <c r="AL6599" s="85"/>
      <c r="AM6599" s="85"/>
    </row>
    <row r="6600" spans="1:39" s="86" customFormat="1" ht="13.25" hidden="1" customHeight="1" x14ac:dyDescent="0.3">
      <c r="A6600" s="89" t="s">
        <v>3794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019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020"/>
        <v>-37624.36</v>
      </c>
      <c r="X6600" s="6">
        <f t="shared" si="1021"/>
        <v>0</v>
      </c>
      <c r="Y6600" s="13">
        <f t="shared" si="1025"/>
        <v>0</v>
      </c>
      <c r="Z6600" s="14">
        <v>0</v>
      </c>
      <c r="AA6600" s="6">
        <v>0</v>
      </c>
      <c r="AB6600" s="4">
        <f t="shared" si="1026"/>
        <v>0</v>
      </c>
      <c r="AC6600" s="6">
        <f t="shared" si="1024"/>
        <v>0</v>
      </c>
      <c r="AD6600" s="6">
        <f t="shared" si="1022"/>
        <v>0</v>
      </c>
      <c r="AE6600" s="14">
        <v>0.06</v>
      </c>
      <c r="AF6600" s="6">
        <f t="shared" si="1018"/>
        <v>0</v>
      </c>
      <c r="AG6600" s="14">
        <v>0</v>
      </c>
      <c r="AH6600" s="64">
        <f t="shared" si="1023"/>
        <v>0</v>
      </c>
      <c r="AJ6600" s="126" t="e">
        <v>#N/A</v>
      </c>
      <c r="AK6600" s="80">
        <f t="shared" si="1027"/>
        <v>0</v>
      </c>
      <c r="AL6600" s="85"/>
      <c r="AM6600" s="85"/>
    </row>
    <row r="6601" spans="1:39" s="86" customFormat="1" ht="13.25" hidden="1" customHeight="1" x14ac:dyDescent="0.3">
      <c r="A6601" s="89" t="s">
        <v>3794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019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020"/>
        <v>-23.1</v>
      </c>
      <c r="X6601" s="6">
        <f t="shared" si="1021"/>
        <v>0</v>
      </c>
      <c r="Y6601" s="13">
        <f t="shared" si="1025"/>
        <v>0</v>
      </c>
      <c r="Z6601" s="14">
        <v>0</v>
      </c>
      <c r="AA6601" s="6">
        <v>0</v>
      </c>
      <c r="AB6601" s="4">
        <f t="shared" si="1026"/>
        <v>0</v>
      </c>
      <c r="AC6601" s="6">
        <f t="shared" si="1024"/>
        <v>0</v>
      </c>
      <c r="AD6601" s="6">
        <f t="shared" si="1022"/>
        <v>0</v>
      </c>
      <c r="AE6601" s="14">
        <v>0.06</v>
      </c>
      <c r="AF6601" s="6">
        <f t="shared" si="1018"/>
        <v>0</v>
      </c>
      <c r="AG6601" s="14">
        <v>0</v>
      </c>
      <c r="AH6601" s="64">
        <f t="shared" si="1023"/>
        <v>0</v>
      </c>
      <c r="AJ6601" s="126" t="e">
        <v>#N/A</v>
      </c>
      <c r="AK6601" s="80">
        <f t="shared" si="1027"/>
        <v>0</v>
      </c>
      <c r="AL6601" s="85"/>
      <c r="AM6601" s="85"/>
    </row>
    <row r="6602" spans="1:39" s="86" customFormat="1" ht="13.25" hidden="1" customHeight="1" x14ac:dyDescent="0.3">
      <c r="A6602" s="89" t="s">
        <v>3792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019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020"/>
        <v>-17954.02</v>
      </c>
      <c r="X6602" s="6">
        <f t="shared" si="1021"/>
        <v>0</v>
      </c>
      <c r="Y6602" s="13">
        <f t="shared" si="1025"/>
        <v>0</v>
      </c>
      <c r="Z6602" s="14">
        <v>0</v>
      </c>
      <c r="AA6602" s="6">
        <v>0</v>
      </c>
      <c r="AB6602" s="4">
        <f t="shared" si="1026"/>
        <v>0</v>
      </c>
      <c r="AC6602" s="6">
        <f t="shared" si="1024"/>
        <v>0</v>
      </c>
      <c r="AD6602" s="6">
        <f t="shared" si="1022"/>
        <v>0</v>
      </c>
      <c r="AE6602" s="14">
        <v>0.06</v>
      </c>
      <c r="AF6602" s="6">
        <f t="shared" si="1018"/>
        <v>0</v>
      </c>
      <c r="AG6602" s="14">
        <v>0</v>
      </c>
      <c r="AH6602" s="64">
        <f t="shared" si="1023"/>
        <v>0</v>
      </c>
      <c r="AJ6602" s="126" t="e">
        <v>#N/A</v>
      </c>
      <c r="AK6602" s="80">
        <f t="shared" si="1027"/>
        <v>0</v>
      </c>
      <c r="AL6602" s="85"/>
      <c r="AM6602" s="85"/>
    </row>
    <row r="6603" spans="1:39" s="86" customFormat="1" ht="13.25" hidden="1" customHeight="1" x14ac:dyDescent="0.3">
      <c r="A6603" s="89" t="s">
        <v>3794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019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020"/>
        <v>-6588.7800000000007</v>
      </c>
      <c r="X6603" s="6">
        <f t="shared" si="1021"/>
        <v>3806.066037735849</v>
      </c>
      <c r="Y6603" s="13">
        <f t="shared" si="1025"/>
        <v>0</v>
      </c>
      <c r="Z6603" s="14">
        <v>0</v>
      </c>
      <c r="AA6603" s="6">
        <v>0</v>
      </c>
      <c r="AB6603" s="4">
        <f t="shared" si="1026"/>
        <v>3806.066037735849</v>
      </c>
      <c r="AC6603" s="6">
        <f t="shared" si="1024"/>
        <v>228.36396226415127</v>
      </c>
      <c r="AD6603" s="6">
        <f t="shared" si="1022"/>
        <v>4034.4300000000003</v>
      </c>
      <c r="AE6603" s="14">
        <v>0.06</v>
      </c>
      <c r="AF6603" s="6">
        <f t="shared" si="1018"/>
        <v>242.0658</v>
      </c>
      <c r="AG6603" s="14">
        <v>0</v>
      </c>
      <c r="AH6603" s="64">
        <f t="shared" si="1023"/>
        <v>4034.4300000000003</v>
      </c>
      <c r="AJ6603" s="126" t="e">
        <v>#N/A</v>
      </c>
      <c r="AK6603" s="80">
        <f t="shared" si="1027"/>
        <v>0</v>
      </c>
      <c r="AL6603" s="85"/>
      <c r="AM6603" s="85"/>
    </row>
    <row r="6604" spans="1:39" s="86" customFormat="1" ht="13.25" hidden="1" customHeight="1" x14ac:dyDescent="0.3">
      <c r="A6604" s="89" t="s">
        <v>3794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019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020"/>
        <v>-13606.380000000001</v>
      </c>
      <c r="X6604" s="6">
        <f t="shared" si="1021"/>
        <v>904.85576923076917</v>
      </c>
      <c r="Y6604" s="13">
        <f t="shared" si="1025"/>
        <v>0</v>
      </c>
      <c r="Z6604" s="14">
        <v>0</v>
      </c>
      <c r="AA6604" s="6">
        <v>0</v>
      </c>
      <c r="AB6604" s="4">
        <f t="shared" si="1026"/>
        <v>904.85576923076917</v>
      </c>
      <c r="AC6604" s="6">
        <f t="shared" si="1024"/>
        <v>36.194230769230785</v>
      </c>
      <c r="AD6604" s="6">
        <f t="shared" si="1022"/>
        <v>941.05</v>
      </c>
      <c r="AE6604" s="14">
        <v>0.06</v>
      </c>
      <c r="AF6604" s="6">
        <f t="shared" si="1018"/>
        <v>56.462999999999994</v>
      </c>
      <c r="AG6604" s="14">
        <v>0</v>
      </c>
      <c r="AH6604" s="64">
        <f t="shared" si="1023"/>
        <v>941.05</v>
      </c>
      <c r="AJ6604" s="126" t="e">
        <v>#N/A</v>
      </c>
      <c r="AK6604" s="80">
        <f t="shared" si="1027"/>
        <v>0</v>
      </c>
      <c r="AL6604" s="85"/>
      <c r="AM6604" s="85"/>
    </row>
    <row r="6605" spans="1:39" s="86" customFormat="1" ht="13.25" hidden="1" customHeight="1" x14ac:dyDescent="0.3">
      <c r="A6605" s="89" t="s">
        <v>3792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019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020"/>
        <v>-10334.340000000002</v>
      </c>
      <c r="X6605" s="6">
        <f t="shared" si="1021"/>
        <v>0</v>
      </c>
      <c r="Y6605" s="13">
        <f t="shared" si="1025"/>
        <v>0</v>
      </c>
      <c r="Z6605" s="14">
        <v>0</v>
      </c>
      <c r="AA6605" s="6">
        <v>0</v>
      </c>
      <c r="AB6605" s="4">
        <f t="shared" si="1026"/>
        <v>0</v>
      </c>
      <c r="AC6605" s="6">
        <f t="shared" si="1024"/>
        <v>0</v>
      </c>
      <c r="AD6605" s="6">
        <f t="shared" si="1022"/>
        <v>0</v>
      </c>
      <c r="AE6605" s="14">
        <v>0.06</v>
      </c>
      <c r="AF6605" s="6">
        <f t="shared" si="1018"/>
        <v>0</v>
      </c>
      <c r="AG6605" s="14">
        <v>0</v>
      </c>
      <c r="AH6605" s="64">
        <f t="shared" si="1023"/>
        <v>0</v>
      </c>
      <c r="AJ6605" s="126" t="e">
        <v>#N/A</v>
      </c>
      <c r="AK6605" s="80">
        <f t="shared" si="1027"/>
        <v>0</v>
      </c>
      <c r="AL6605" s="85"/>
      <c r="AM6605" s="85"/>
    </row>
    <row r="6606" spans="1:39" s="86" customFormat="1" ht="13.25" hidden="1" customHeight="1" x14ac:dyDescent="0.3">
      <c r="A6606" s="89" t="s">
        <v>3794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47" t="str">
        <f t="shared" si="1019"/>
        <v>巨量引擎-三类</v>
      </c>
      <c r="L6606" s="47" t="s">
        <v>35</v>
      </c>
      <c r="N6606" s="86" t="s">
        <v>3712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020"/>
        <v>-7319.28</v>
      </c>
      <c r="X6606" s="6">
        <f t="shared" si="1021"/>
        <v>4606.49</v>
      </c>
      <c r="Y6606" s="13">
        <f t="shared" si="1025"/>
        <v>0</v>
      </c>
      <c r="Z6606" s="14">
        <v>0</v>
      </c>
      <c r="AA6606" s="6">
        <v>0</v>
      </c>
      <c r="AB6606" s="4">
        <f t="shared" si="1026"/>
        <v>4606.49</v>
      </c>
      <c r="AC6606" s="6">
        <f t="shared" si="1024"/>
        <v>0</v>
      </c>
      <c r="AD6606" s="6">
        <f t="shared" si="1022"/>
        <v>4606.49</v>
      </c>
      <c r="AE6606" s="14">
        <v>0.06</v>
      </c>
      <c r="AF6606" s="6">
        <f t="shared" si="1018"/>
        <v>276.38939999999997</v>
      </c>
      <c r="AG6606" s="14">
        <v>0</v>
      </c>
      <c r="AH6606" s="64">
        <f t="shared" si="1023"/>
        <v>4606.49</v>
      </c>
      <c r="AJ6606" s="126" t="e">
        <v>#N/A</v>
      </c>
      <c r="AK6606" s="80">
        <f t="shared" si="1027"/>
        <v>0</v>
      </c>
      <c r="AL6606" s="85"/>
      <c r="AM6606" s="85"/>
    </row>
    <row r="6607" spans="1:39" s="86" customFormat="1" ht="13.25" hidden="1" customHeight="1" x14ac:dyDescent="0.3">
      <c r="A6607" s="89" t="s">
        <v>3794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020"/>
        <v>-2641.61</v>
      </c>
      <c r="X6607" s="6">
        <f t="shared" si="1021"/>
        <v>0</v>
      </c>
      <c r="Y6607" s="13">
        <f t="shared" si="1025"/>
        <v>0</v>
      </c>
      <c r="Z6607" s="14">
        <v>0</v>
      </c>
      <c r="AA6607" s="6">
        <v>0</v>
      </c>
      <c r="AB6607" s="4">
        <f t="shared" si="1026"/>
        <v>0</v>
      </c>
      <c r="AC6607" s="6">
        <f t="shared" si="1024"/>
        <v>0</v>
      </c>
      <c r="AD6607" s="6">
        <f t="shared" si="1022"/>
        <v>0</v>
      </c>
      <c r="AE6607" s="14">
        <v>0.06</v>
      </c>
      <c r="AF6607" s="6">
        <f t="shared" si="1018"/>
        <v>0</v>
      </c>
      <c r="AG6607" s="14">
        <v>0</v>
      </c>
      <c r="AH6607" s="64">
        <f t="shared" si="1023"/>
        <v>0</v>
      </c>
      <c r="AJ6607" s="126" t="e">
        <v>#N/A</v>
      </c>
      <c r="AK6607" s="80">
        <f t="shared" si="1027"/>
        <v>0</v>
      </c>
      <c r="AL6607" s="85"/>
      <c r="AM6607" s="85"/>
    </row>
    <row r="6608" spans="1:39" s="86" customFormat="1" ht="13.25" hidden="1" customHeight="1" x14ac:dyDescent="0.3">
      <c r="A6608" s="89" t="s">
        <v>3792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47" t="str">
        <f t="shared" si="1019"/>
        <v>巨量引擎-二类</v>
      </c>
      <c r="L6608" s="47" t="s">
        <v>35</v>
      </c>
      <c r="N6608" s="86" t="s">
        <v>3710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020"/>
        <v>-96471.509999999966</v>
      </c>
      <c r="X6608" s="6">
        <f t="shared" si="1021"/>
        <v>91410.861386138582</v>
      </c>
      <c r="Y6608" s="13">
        <f t="shared" si="1025"/>
        <v>0</v>
      </c>
      <c r="Z6608" s="14">
        <v>0</v>
      </c>
      <c r="AA6608" s="6">
        <v>0</v>
      </c>
      <c r="AB6608" s="4">
        <f t="shared" si="1026"/>
        <v>91410.861386138582</v>
      </c>
      <c r="AC6608" s="6">
        <f t="shared" si="1024"/>
        <v>914.10861386139004</v>
      </c>
      <c r="AD6608" s="6">
        <f t="shared" si="1022"/>
        <v>92324.969999999972</v>
      </c>
      <c r="AE6608" s="14">
        <v>0.06</v>
      </c>
      <c r="AF6608" s="6">
        <f t="shared" si="1018"/>
        <v>5539.4981999999982</v>
      </c>
      <c r="AG6608" s="14">
        <v>0</v>
      </c>
      <c r="AH6608" s="64">
        <f t="shared" si="1023"/>
        <v>92324.969999999972</v>
      </c>
      <c r="AJ6608" s="126" t="e">
        <v>#N/A</v>
      </c>
      <c r="AK6608" s="80">
        <f t="shared" si="1027"/>
        <v>0</v>
      </c>
      <c r="AL6608" s="85"/>
      <c r="AM6608" s="85"/>
    </row>
    <row r="6609" spans="1:39" s="86" customFormat="1" ht="13.25" hidden="1" customHeight="1" x14ac:dyDescent="0.3">
      <c r="A6609" s="89" t="s">
        <v>3794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47" t="str">
        <f t="shared" si="1019"/>
        <v>巨量引擎-一类</v>
      </c>
      <c r="L6609" s="47" t="s">
        <v>35</v>
      </c>
      <c r="N6609" s="86" t="s">
        <v>3707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020"/>
        <v>-280.29000000000008</v>
      </c>
      <c r="X6609" s="6">
        <f t="shared" si="1021"/>
        <v>150.44000000000003</v>
      </c>
      <c r="Y6609" s="13">
        <f t="shared" si="1025"/>
        <v>0</v>
      </c>
      <c r="Z6609" s="14">
        <v>0</v>
      </c>
      <c r="AA6609" s="6">
        <v>0</v>
      </c>
      <c r="AB6609" s="4">
        <f t="shared" si="1026"/>
        <v>150.44000000000003</v>
      </c>
      <c r="AC6609" s="6">
        <f t="shared" si="1024"/>
        <v>0</v>
      </c>
      <c r="AD6609" s="6">
        <f t="shared" si="1022"/>
        <v>150.44000000000003</v>
      </c>
      <c r="AE6609" s="14">
        <v>0.06</v>
      </c>
      <c r="AF6609" s="6">
        <f t="shared" si="1018"/>
        <v>9.0264000000000006</v>
      </c>
      <c r="AG6609" s="14">
        <v>0</v>
      </c>
      <c r="AH6609" s="64">
        <f t="shared" si="1023"/>
        <v>150.44000000000003</v>
      </c>
      <c r="AJ6609" s="126" t="e">
        <v>#N/A</v>
      </c>
      <c r="AK6609" s="80">
        <f t="shared" si="1027"/>
        <v>0</v>
      </c>
      <c r="AL6609" s="85"/>
      <c r="AM6609" s="85"/>
    </row>
    <row r="6610" spans="1:39" s="86" customFormat="1" ht="13.25" hidden="1" customHeight="1" x14ac:dyDescent="0.3">
      <c r="A6610" s="89" t="s">
        <v>3794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019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020"/>
        <v>10000</v>
      </c>
      <c r="X6610" s="6">
        <f t="shared" si="1021"/>
        <v>0</v>
      </c>
      <c r="Y6610" s="13">
        <f t="shared" si="1025"/>
        <v>0</v>
      </c>
      <c r="Z6610" s="14">
        <v>0</v>
      </c>
      <c r="AA6610" s="6">
        <v>0</v>
      </c>
      <c r="AB6610" s="4">
        <f t="shared" si="1026"/>
        <v>0</v>
      </c>
      <c r="AC6610" s="6">
        <f t="shared" si="1024"/>
        <v>0</v>
      </c>
      <c r="AD6610" s="6">
        <f t="shared" si="1022"/>
        <v>0</v>
      </c>
      <c r="AE6610" s="14">
        <v>0.06</v>
      </c>
      <c r="AF6610" s="6">
        <f t="shared" si="1018"/>
        <v>0</v>
      </c>
      <c r="AG6610" s="14">
        <v>0</v>
      </c>
      <c r="AH6610" s="64">
        <f t="shared" si="1023"/>
        <v>0</v>
      </c>
      <c r="AJ6610" s="126" t="e">
        <v>#N/A</v>
      </c>
      <c r="AK6610" s="80">
        <f t="shared" si="1027"/>
        <v>0</v>
      </c>
      <c r="AL6610" s="85"/>
      <c r="AM6610" s="85"/>
    </row>
    <row r="6611" spans="1:39" s="86" customFormat="1" ht="13.25" hidden="1" customHeight="1" x14ac:dyDescent="0.3">
      <c r="A6611" s="89" t="s">
        <v>3794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47" t="str">
        <f t="shared" si="1019"/>
        <v>巨量引擎-三类</v>
      </c>
      <c r="L6611" s="47" t="s">
        <v>35</v>
      </c>
      <c r="N6611" s="86" t="s">
        <v>3712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020"/>
        <v>-20658.030000000002</v>
      </c>
      <c r="X6611" s="6">
        <f t="shared" si="1021"/>
        <v>1683.21</v>
      </c>
      <c r="Y6611" s="13">
        <f t="shared" si="1025"/>
        <v>0</v>
      </c>
      <c r="Z6611" s="14">
        <v>0</v>
      </c>
      <c r="AA6611" s="6">
        <v>0</v>
      </c>
      <c r="AB6611" s="4">
        <f t="shared" si="1026"/>
        <v>1683.21</v>
      </c>
      <c r="AC6611" s="6">
        <f t="shared" si="1024"/>
        <v>100.9926</v>
      </c>
      <c r="AD6611" s="6">
        <f t="shared" si="1022"/>
        <v>1683.21</v>
      </c>
      <c r="AE6611" s="14">
        <v>0.06</v>
      </c>
      <c r="AF6611" s="6">
        <f t="shared" si="1018"/>
        <v>100.9926</v>
      </c>
      <c r="AG6611" s="14">
        <v>0</v>
      </c>
      <c r="AH6611" s="64">
        <f t="shared" si="1023"/>
        <v>1683.21</v>
      </c>
      <c r="AJ6611" s="126" t="e">
        <v>#N/A</v>
      </c>
      <c r="AK6611" s="80">
        <f t="shared" si="1027"/>
        <v>0</v>
      </c>
      <c r="AL6611" s="85"/>
      <c r="AM6611" s="85"/>
    </row>
    <row r="6612" spans="1:39" s="86" customFormat="1" ht="13.25" hidden="1" customHeight="1" x14ac:dyDescent="0.3">
      <c r="A6612" s="89" t="s">
        <v>3794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47" t="str">
        <f t="shared" si="1019"/>
        <v>巨量引擎-二类</v>
      </c>
      <c r="L6612" s="47" t="s">
        <v>35</v>
      </c>
      <c r="N6612" s="86" t="s">
        <v>3710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020"/>
        <v>-475337.52</v>
      </c>
      <c r="X6612" s="6">
        <f t="shared" si="1021"/>
        <v>80935.799999999988</v>
      </c>
      <c r="Y6612" s="13">
        <f t="shared" si="1025"/>
        <v>0</v>
      </c>
      <c r="Z6612" s="14">
        <v>0</v>
      </c>
      <c r="AA6612" s="6">
        <v>0</v>
      </c>
      <c r="AB6612" s="4">
        <f t="shared" si="1026"/>
        <v>80935.799999999988</v>
      </c>
      <c r="AC6612" s="6">
        <f t="shared" si="1024"/>
        <v>4856.1479999999992</v>
      </c>
      <c r="AD6612" s="6">
        <f t="shared" si="1022"/>
        <v>80935.799999999988</v>
      </c>
      <c r="AE6612" s="14">
        <v>0.06</v>
      </c>
      <c r="AF6612" s="6">
        <f t="shared" si="1018"/>
        <v>4856.1479999999992</v>
      </c>
      <c r="AG6612" s="14">
        <v>0</v>
      </c>
      <c r="AH6612" s="64">
        <f t="shared" si="1023"/>
        <v>80935.799999999988</v>
      </c>
      <c r="AJ6612" s="126" t="e">
        <v>#N/A</v>
      </c>
      <c r="AK6612" s="80">
        <f t="shared" si="1027"/>
        <v>0</v>
      </c>
      <c r="AL6612" s="85"/>
      <c r="AM6612" s="85"/>
    </row>
    <row r="6613" spans="1:39" s="86" customFormat="1" ht="13.25" hidden="1" customHeight="1" x14ac:dyDescent="0.3">
      <c r="A6613" s="89" t="s">
        <v>3792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019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020"/>
        <v>-15072.36</v>
      </c>
      <c r="X6613" s="6">
        <f t="shared" si="1021"/>
        <v>922.65</v>
      </c>
      <c r="Y6613" s="13">
        <f t="shared" si="1025"/>
        <v>0</v>
      </c>
      <c r="Z6613" s="14">
        <v>0</v>
      </c>
      <c r="AA6613" s="6">
        <v>0</v>
      </c>
      <c r="AB6613" s="4">
        <f t="shared" si="1026"/>
        <v>922.65</v>
      </c>
      <c r="AC6613" s="6">
        <f t="shared" si="1024"/>
        <v>55.358999999999995</v>
      </c>
      <c r="AD6613" s="6">
        <f t="shared" si="1022"/>
        <v>922.65</v>
      </c>
      <c r="AE6613" s="14">
        <v>0.06</v>
      </c>
      <c r="AF6613" s="6">
        <f t="shared" si="1018"/>
        <v>55.358999999999995</v>
      </c>
      <c r="AG6613" s="14">
        <v>0</v>
      </c>
      <c r="AH6613" s="64">
        <f t="shared" si="1023"/>
        <v>922.65</v>
      </c>
      <c r="AJ6613" s="126" t="e">
        <v>#N/A</v>
      </c>
      <c r="AK6613" s="80">
        <f t="shared" si="1027"/>
        <v>0</v>
      </c>
      <c r="AL6613" s="85"/>
      <c r="AM6613" s="85"/>
    </row>
    <row r="6614" spans="1:39" s="86" customFormat="1" ht="13.25" hidden="1" customHeight="1" x14ac:dyDescent="0.3">
      <c r="A6614" s="89" t="s">
        <v>3794</v>
      </c>
      <c r="B6614" s="86" t="s">
        <v>35</v>
      </c>
      <c r="C6614" s="86" t="s">
        <v>59</v>
      </c>
      <c r="D6614" s="86" t="s">
        <v>60</v>
      </c>
      <c r="E6614" s="86" t="s">
        <v>3958</v>
      </c>
      <c r="F6614" s="86" t="s">
        <v>3959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019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020"/>
        <v>-5979.16</v>
      </c>
      <c r="X6614" s="6">
        <f t="shared" si="1021"/>
        <v>5979.16</v>
      </c>
      <c r="Y6614" s="13">
        <f t="shared" si="1025"/>
        <v>0</v>
      </c>
      <c r="Z6614" s="14">
        <v>0</v>
      </c>
      <c r="AA6614" s="6">
        <v>0</v>
      </c>
      <c r="AB6614" s="4">
        <f t="shared" si="1026"/>
        <v>5979.16</v>
      </c>
      <c r="AC6614" s="6">
        <f t="shared" si="1024"/>
        <v>358.74959999999999</v>
      </c>
      <c r="AD6614" s="6">
        <f t="shared" si="1022"/>
        <v>5979.16</v>
      </c>
      <c r="AE6614" s="14">
        <v>0.06</v>
      </c>
      <c r="AF6614" s="6">
        <f t="shared" si="1018"/>
        <v>358.74959999999999</v>
      </c>
      <c r="AG6614" s="14">
        <v>0</v>
      </c>
      <c r="AH6614" s="64">
        <f t="shared" si="1023"/>
        <v>5979.16</v>
      </c>
      <c r="AJ6614" s="126" t="e">
        <v>#N/A</v>
      </c>
      <c r="AK6614" s="80">
        <f t="shared" si="1027"/>
        <v>0</v>
      </c>
      <c r="AL6614" s="85"/>
      <c r="AM6614" s="85"/>
    </row>
    <row r="6615" spans="1:39" s="86" customFormat="1" ht="13.25" hidden="1" customHeight="1" x14ac:dyDescent="0.3">
      <c r="A6615" s="89" t="s">
        <v>3794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019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020"/>
        <v>-1834.0799999999997</v>
      </c>
      <c r="X6615" s="6">
        <f t="shared" si="1021"/>
        <v>0.5490196078431373</v>
      </c>
      <c r="Y6615" s="13">
        <f t="shared" si="1025"/>
        <v>0</v>
      </c>
      <c r="Z6615" s="14">
        <v>0</v>
      </c>
      <c r="AA6615" s="6">
        <v>0</v>
      </c>
      <c r="AB6615" s="4">
        <f t="shared" si="1026"/>
        <v>0.5490196078431373</v>
      </c>
      <c r="AC6615" s="6">
        <f t="shared" si="1024"/>
        <v>1.098039215686275E-2</v>
      </c>
      <c r="AD6615" s="6">
        <f t="shared" si="1022"/>
        <v>0.56000000000000005</v>
      </c>
      <c r="AE6615" s="14">
        <v>0.06</v>
      </c>
      <c r="AF6615" s="6">
        <f t="shared" si="1018"/>
        <v>3.3600000000000005E-2</v>
      </c>
      <c r="AG6615" s="14">
        <v>0</v>
      </c>
      <c r="AH6615" s="64">
        <f t="shared" si="1023"/>
        <v>0.56000000000000005</v>
      </c>
      <c r="AJ6615" s="126" t="e">
        <v>#N/A</v>
      </c>
      <c r="AK6615" s="80">
        <f t="shared" si="1027"/>
        <v>0</v>
      </c>
      <c r="AL6615" s="85"/>
      <c r="AM6615" s="85"/>
    </row>
    <row r="6616" spans="1:39" s="86" customFormat="1" ht="13.25" hidden="1" customHeight="1" x14ac:dyDescent="0.3">
      <c r="A6616" s="89" t="s">
        <v>3794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019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020"/>
        <v>-236.93999999999997</v>
      </c>
      <c r="X6616" s="6">
        <f t="shared" si="1021"/>
        <v>0</v>
      </c>
      <c r="Y6616" s="13">
        <f t="shared" si="1025"/>
        <v>0</v>
      </c>
      <c r="Z6616" s="14">
        <v>0</v>
      </c>
      <c r="AA6616" s="6">
        <v>0</v>
      </c>
      <c r="AB6616" s="4">
        <f t="shared" si="1026"/>
        <v>0</v>
      </c>
      <c r="AC6616" s="6">
        <f t="shared" si="1024"/>
        <v>0</v>
      </c>
      <c r="AD6616" s="6">
        <f t="shared" si="1022"/>
        <v>0</v>
      </c>
      <c r="AE6616" s="14">
        <v>0.06</v>
      </c>
      <c r="AF6616" s="6">
        <f t="shared" si="1018"/>
        <v>0</v>
      </c>
      <c r="AG6616" s="14">
        <v>0</v>
      </c>
      <c r="AH6616" s="64">
        <f t="shared" si="1023"/>
        <v>0</v>
      </c>
      <c r="AJ6616" s="126" t="e">
        <v>#N/A</v>
      </c>
      <c r="AK6616" s="80">
        <f t="shared" si="1027"/>
        <v>0</v>
      </c>
      <c r="AL6616" s="85"/>
      <c r="AM6616" s="85"/>
    </row>
    <row r="6617" spans="1:39" s="86" customFormat="1" ht="13.25" hidden="1" customHeight="1" x14ac:dyDescent="0.3">
      <c r="A6617" s="89" t="s">
        <v>3794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019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3960</v>
      </c>
      <c r="T6617" s="6">
        <v>11989696.459999986</v>
      </c>
      <c r="U6617" s="6">
        <v>11537709.02</v>
      </c>
      <c r="V6617" s="6">
        <v>19698012.24000001</v>
      </c>
      <c r="W6617" s="6">
        <f t="shared" si="1020"/>
        <v>3829393.239999976</v>
      </c>
      <c r="X6617" s="6">
        <f>IF(P6617="折扣",V6617*Q6617,IF(P6617="返现",V6617,V6617/(1+Q6617)))+2147.64</f>
        <v>18942544.024615392</v>
      </c>
      <c r="Y6617" s="13">
        <f t="shared" si="1025"/>
        <v>0</v>
      </c>
      <c r="Z6617" s="14">
        <v>0</v>
      </c>
      <c r="AA6617" s="6">
        <v>0</v>
      </c>
      <c r="AB6617" s="4">
        <f t="shared" si="1026"/>
        <v>18942544.024615392</v>
      </c>
      <c r="AC6617" s="6">
        <f t="shared" si="1024"/>
        <v>755468.21538461745</v>
      </c>
      <c r="AD6617" s="6">
        <f t="shared" si="1022"/>
        <v>19698012.24000001</v>
      </c>
      <c r="AE6617" s="14">
        <v>0.06</v>
      </c>
      <c r="AF6617" s="6">
        <f t="shared" si="1018"/>
        <v>1181880.7344000004</v>
      </c>
      <c r="AG6617" s="14">
        <v>0</v>
      </c>
      <c r="AH6617" s="64">
        <f t="shared" si="1023"/>
        <v>19698012.24000001</v>
      </c>
      <c r="AJ6617" s="126" t="e">
        <v>#N/A</v>
      </c>
      <c r="AK6617" s="80">
        <f t="shared" si="1027"/>
        <v>0</v>
      </c>
      <c r="AL6617" s="85"/>
      <c r="AM6617" s="85"/>
    </row>
    <row r="6618" spans="1:39" s="86" customFormat="1" ht="13.25" hidden="1" customHeight="1" x14ac:dyDescent="0.3">
      <c r="A6618" s="89" t="s">
        <v>3794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019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020"/>
        <v>-190829.39000000004</v>
      </c>
      <c r="X6618" s="6">
        <f t="shared" si="1021"/>
        <v>112402.64423076925</v>
      </c>
      <c r="Y6618" s="13">
        <f t="shared" si="1025"/>
        <v>0</v>
      </c>
      <c r="Z6618" s="14">
        <v>0</v>
      </c>
      <c r="AA6618" s="6">
        <v>0</v>
      </c>
      <c r="AB6618" s="4">
        <f t="shared" si="1026"/>
        <v>112402.64423076925</v>
      </c>
      <c r="AC6618" s="6">
        <f t="shared" si="1024"/>
        <v>4496.1057692307804</v>
      </c>
      <c r="AD6618" s="6">
        <f t="shared" si="1022"/>
        <v>116898.75000000003</v>
      </c>
      <c r="AE6618" s="14">
        <v>0.06</v>
      </c>
      <c r="AF6618" s="6">
        <f t="shared" si="1018"/>
        <v>7013.9250000000011</v>
      </c>
      <c r="AG6618" s="14">
        <v>0</v>
      </c>
      <c r="AH6618" s="64">
        <f t="shared" si="1023"/>
        <v>116898.75000000003</v>
      </c>
      <c r="AJ6618" s="126" t="e">
        <v>#N/A</v>
      </c>
      <c r="AK6618" s="80">
        <f t="shared" si="1027"/>
        <v>0</v>
      </c>
      <c r="AL6618" s="85"/>
      <c r="AM6618" s="85"/>
    </row>
    <row r="6619" spans="1:39" s="86" customFormat="1" ht="13.25" hidden="1" customHeight="1" x14ac:dyDescent="0.3">
      <c r="A6619" s="89" t="s">
        <v>3792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019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020"/>
        <v>23057.789999998509</v>
      </c>
      <c r="X6619" s="6">
        <f t="shared" si="1021"/>
        <v>44552.86</v>
      </c>
      <c r="Y6619" s="13">
        <f t="shared" si="1025"/>
        <v>0</v>
      </c>
      <c r="Z6619" s="14">
        <v>0</v>
      </c>
      <c r="AA6619" s="6">
        <v>0</v>
      </c>
      <c r="AB6619" s="4">
        <f t="shared" si="1026"/>
        <v>44552.86</v>
      </c>
      <c r="AC6619" s="6">
        <f t="shared" si="1024"/>
        <v>2673.1716000000001</v>
      </c>
      <c r="AD6619" s="6">
        <f t="shared" si="1022"/>
        <v>44552.86</v>
      </c>
      <c r="AE6619" s="14">
        <v>0.06</v>
      </c>
      <c r="AF6619" s="6">
        <f t="shared" si="1018"/>
        <v>2673.1716000000001</v>
      </c>
      <c r="AG6619" s="14">
        <v>0</v>
      </c>
      <c r="AH6619" s="64">
        <f t="shared" si="1023"/>
        <v>44552.86</v>
      </c>
      <c r="AJ6619" s="126" t="e">
        <v>#N/A</v>
      </c>
      <c r="AK6619" s="80">
        <f t="shared" si="1027"/>
        <v>0</v>
      </c>
      <c r="AL6619" s="85"/>
      <c r="AM6619" s="85"/>
    </row>
    <row r="6620" spans="1:39" s="86" customFormat="1" ht="13.25" hidden="1" customHeight="1" x14ac:dyDescent="0.3">
      <c r="A6620" s="89" t="s">
        <v>3794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3961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019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020"/>
        <v>-29546.82</v>
      </c>
      <c r="X6620" s="6">
        <f t="shared" si="1021"/>
        <v>21661.34</v>
      </c>
      <c r="Y6620" s="13">
        <f t="shared" si="1025"/>
        <v>0</v>
      </c>
      <c r="Z6620" s="14">
        <v>0</v>
      </c>
      <c r="AA6620" s="6">
        <v>0</v>
      </c>
      <c r="AB6620" s="4">
        <f t="shared" si="1026"/>
        <v>21661.34</v>
      </c>
      <c r="AC6620" s="6">
        <f t="shared" si="1024"/>
        <v>1299.6804</v>
      </c>
      <c r="AD6620" s="6">
        <f t="shared" si="1022"/>
        <v>21661.34</v>
      </c>
      <c r="AE6620" s="14">
        <v>0.06</v>
      </c>
      <c r="AF6620" s="6">
        <f t="shared" si="1018"/>
        <v>1299.6804</v>
      </c>
      <c r="AG6620" s="14">
        <v>0</v>
      </c>
      <c r="AH6620" s="64">
        <f t="shared" si="1023"/>
        <v>21661.34</v>
      </c>
      <c r="AJ6620" s="126" t="e">
        <v>#N/A</v>
      </c>
      <c r="AK6620" s="80">
        <f t="shared" si="1027"/>
        <v>0</v>
      </c>
      <c r="AL6620" s="85"/>
      <c r="AM6620" s="85"/>
    </row>
    <row r="6621" spans="1:39" s="86" customFormat="1" ht="13.25" hidden="1" customHeight="1" x14ac:dyDescent="0.3">
      <c r="A6621" s="89" t="s">
        <v>3792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019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020"/>
        <v>-16198.679999999998</v>
      </c>
      <c r="X6621" s="6">
        <f t="shared" si="1021"/>
        <v>2614.1415094339618</v>
      </c>
      <c r="Y6621" s="13">
        <f t="shared" si="1025"/>
        <v>0</v>
      </c>
      <c r="Z6621" s="14">
        <v>0</v>
      </c>
      <c r="AA6621" s="6">
        <v>0</v>
      </c>
      <c r="AB6621" s="4">
        <f t="shared" si="1026"/>
        <v>2614.1415094339618</v>
      </c>
      <c r="AC6621" s="6">
        <f t="shared" si="1024"/>
        <v>156.84849056603798</v>
      </c>
      <c r="AD6621" s="6">
        <f t="shared" si="1022"/>
        <v>2770.99</v>
      </c>
      <c r="AE6621" s="14">
        <v>0.06</v>
      </c>
      <c r="AF6621" s="6">
        <f t="shared" si="1018"/>
        <v>166.25939999999997</v>
      </c>
      <c r="AG6621" s="14">
        <v>0</v>
      </c>
      <c r="AH6621" s="64">
        <f t="shared" si="1023"/>
        <v>2770.99</v>
      </c>
      <c r="AJ6621" s="126" t="e">
        <v>#N/A</v>
      </c>
      <c r="AK6621" s="80">
        <f t="shared" si="1027"/>
        <v>0</v>
      </c>
      <c r="AL6621" s="85"/>
      <c r="AM6621" s="85"/>
    </row>
    <row r="6622" spans="1:39" s="86" customFormat="1" ht="13.25" hidden="1" customHeight="1" x14ac:dyDescent="0.3">
      <c r="A6622" s="89" t="s">
        <v>3792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019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3962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020"/>
        <v>610000</v>
      </c>
      <c r="X6622" s="6">
        <f t="shared" si="1021"/>
        <v>0</v>
      </c>
      <c r="Y6622" s="13">
        <f t="shared" si="1025"/>
        <v>0</v>
      </c>
      <c r="Z6622" s="14">
        <v>0</v>
      </c>
      <c r="AA6622" s="6">
        <v>0</v>
      </c>
      <c r="AB6622" s="4">
        <f t="shared" si="1026"/>
        <v>0</v>
      </c>
      <c r="AC6622" s="6">
        <f t="shared" si="1024"/>
        <v>0</v>
      </c>
      <c r="AD6622" s="6">
        <f t="shared" si="1022"/>
        <v>0</v>
      </c>
      <c r="AE6622" s="14">
        <v>0.06</v>
      </c>
      <c r="AF6622" s="6">
        <f t="shared" si="1018"/>
        <v>0</v>
      </c>
      <c r="AG6622" s="14">
        <v>0</v>
      </c>
      <c r="AH6622" s="64">
        <f t="shared" si="1023"/>
        <v>0</v>
      </c>
      <c r="AJ6622" s="126" t="e">
        <v>#N/A</v>
      </c>
      <c r="AK6622" s="80">
        <f t="shared" si="1027"/>
        <v>0</v>
      </c>
      <c r="AL6622" s="85"/>
      <c r="AM6622" s="85"/>
    </row>
    <row r="6623" spans="1:39" s="86" customFormat="1" ht="13.25" hidden="1" customHeight="1" x14ac:dyDescent="0.3">
      <c r="A6623" s="89" t="s">
        <v>3794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019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020"/>
        <v>344018.7500000007</v>
      </c>
      <c r="X6623" s="6">
        <f t="shared" si="1021"/>
        <v>230904.52830188681</v>
      </c>
      <c r="Y6623" s="13">
        <f t="shared" si="1025"/>
        <v>0</v>
      </c>
      <c r="Z6623" s="14">
        <v>0</v>
      </c>
      <c r="AA6623" s="6">
        <v>0</v>
      </c>
      <c r="AB6623" s="4">
        <f t="shared" si="1026"/>
        <v>230904.52830188681</v>
      </c>
      <c r="AC6623" s="6">
        <f t="shared" si="1024"/>
        <v>13854.271698113211</v>
      </c>
      <c r="AD6623" s="6">
        <f t="shared" si="1022"/>
        <v>244758.80000000002</v>
      </c>
      <c r="AE6623" s="14">
        <v>0.06</v>
      </c>
      <c r="AF6623" s="6">
        <f t="shared" si="1018"/>
        <v>14685.528</v>
      </c>
      <c r="AG6623" s="14">
        <v>0</v>
      </c>
      <c r="AH6623" s="64">
        <f t="shared" si="1023"/>
        <v>244758.80000000002</v>
      </c>
      <c r="AJ6623" s="126" t="e">
        <v>#N/A</v>
      </c>
      <c r="AK6623" s="80">
        <f t="shared" si="1027"/>
        <v>0</v>
      </c>
      <c r="AL6623" s="85"/>
      <c r="AM6623" s="85"/>
    </row>
    <row r="6624" spans="1:39" s="86" customFormat="1" ht="13.25" hidden="1" customHeight="1" x14ac:dyDescent="0.3">
      <c r="A6624" s="89" t="s">
        <v>3794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019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020"/>
        <v>-177755.78999999998</v>
      </c>
      <c r="X6624" s="6">
        <f t="shared" si="1021"/>
        <v>8276.0188679245257</v>
      </c>
      <c r="Y6624" s="13">
        <f t="shared" si="1025"/>
        <v>0</v>
      </c>
      <c r="Z6624" s="14">
        <v>0</v>
      </c>
      <c r="AA6624" s="6">
        <v>0</v>
      </c>
      <c r="AB6624" s="4">
        <f t="shared" si="1026"/>
        <v>8276.0188679245257</v>
      </c>
      <c r="AC6624" s="6">
        <f t="shared" si="1024"/>
        <v>496.56113207547241</v>
      </c>
      <c r="AD6624" s="6">
        <f t="shared" si="1022"/>
        <v>8772.5799999999981</v>
      </c>
      <c r="AE6624" s="14">
        <v>0.06</v>
      </c>
      <c r="AF6624" s="6">
        <f t="shared" si="1018"/>
        <v>526.35479999999984</v>
      </c>
      <c r="AG6624" s="14">
        <v>0</v>
      </c>
      <c r="AH6624" s="64">
        <f t="shared" si="1023"/>
        <v>8772.5799999999981</v>
      </c>
      <c r="AJ6624" s="126" t="e">
        <v>#N/A</v>
      </c>
      <c r="AK6624" s="80">
        <f t="shared" si="1027"/>
        <v>0</v>
      </c>
      <c r="AL6624" s="85"/>
      <c r="AM6624" s="85"/>
    </row>
    <row r="6625" spans="1:39" s="86" customFormat="1" ht="13.25" hidden="1" customHeight="1" x14ac:dyDescent="0.3">
      <c r="A6625" s="89" t="s">
        <v>3792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47" t="str">
        <f t="shared" si="1019"/>
        <v>巨量引擎-二类</v>
      </c>
      <c r="L6625" s="47" t="s">
        <v>35</v>
      </c>
      <c r="N6625" s="86" t="s">
        <v>3710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020"/>
        <v>-62339.72</v>
      </c>
      <c r="X6625" s="6">
        <f t="shared" si="1021"/>
        <v>3189.4900000000002</v>
      </c>
      <c r="Y6625" s="13">
        <f t="shared" si="1025"/>
        <v>0</v>
      </c>
      <c r="Z6625" s="14">
        <v>0</v>
      </c>
      <c r="AA6625" s="6">
        <v>0</v>
      </c>
      <c r="AB6625" s="4">
        <f t="shared" si="1026"/>
        <v>3189.4900000000002</v>
      </c>
      <c r="AC6625" s="6">
        <f t="shared" si="1024"/>
        <v>191.36940000000001</v>
      </c>
      <c r="AD6625" s="6">
        <f t="shared" si="1022"/>
        <v>3189.4900000000002</v>
      </c>
      <c r="AE6625" s="14">
        <v>0.06</v>
      </c>
      <c r="AF6625" s="6">
        <f t="shared" si="1018"/>
        <v>191.36940000000001</v>
      </c>
      <c r="AG6625" s="14">
        <v>0</v>
      </c>
      <c r="AH6625" s="64">
        <f t="shared" si="1023"/>
        <v>3189.4900000000002</v>
      </c>
      <c r="AJ6625" s="126" t="e">
        <v>#N/A</v>
      </c>
      <c r="AK6625" s="80">
        <f t="shared" si="1027"/>
        <v>0</v>
      </c>
      <c r="AL6625" s="85"/>
      <c r="AM6625" s="85"/>
    </row>
    <row r="6626" spans="1:39" s="86" customFormat="1" ht="13.25" hidden="1" customHeight="1" x14ac:dyDescent="0.3">
      <c r="A6626" s="89" t="s">
        <v>3794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47" t="str">
        <f t="shared" si="1019"/>
        <v>巨量引擎-一类</v>
      </c>
      <c r="L6626" s="47" t="s">
        <v>35</v>
      </c>
      <c r="N6626" s="86" t="s">
        <v>3707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020"/>
        <v>-809445.01000000024</v>
      </c>
      <c r="X6626" s="6">
        <f t="shared" si="1021"/>
        <v>545423.9700000002</v>
      </c>
      <c r="Y6626" s="13">
        <f t="shared" si="1025"/>
        <v>0</v>
      </c>
      <c r="Z6626" s="14">
        <v>0</v>
      </c>
      <c r="AA6626" s="6">
        <v>0</v>
      </c>
      <c r="AB6626" s="4">
        <f t="shared" si="1026"/>
        <v>545423.9700000002</v>
      </c>
      <c r="AC6626" s="6">
        <f t="shared" si="1024"/>
        <v>32725.438200000011</v>
      </c>
      <c r="AD6626" s="6">
        <f t="shared" si="1022"/>
        <v>545423.9700000002</v>
      </c>
      <c r="AE6626" s="14">
        <v>0.06</v>
      </c>
      <c r="AF6626" s="6">
        <f t="shared" si="1018"/>
        <v>32725.438200000011</v>
      </c>
      <c r="AG6626" s="14">
        <v>0</v>
      </c>
      <c r="AH6626" s="64">
        <f t="shared" si="1023"/>
        <v>545423.9700000002</v>
      </c>
      <c r="AJ6626" s="126" t="e">
        <v>#N/A</v>
      </c>
      <c r="AK6626" s="80">
        <f t="shared" si="1027"/>
        <v>0</v>
      </c>
      <c r="AL6626" s="85"/>
      <c r="AM6626" s="85"/>
    </row>
    <row r="6627" spans="1:39" s="86" customFormat="1" ht="13.25" hidden="1" customHeight="1" x14ac:dyDescent="0.3">
      <c r="A6627" s="89" t="s">
        <v>3794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47" t="str">
        <f t="shared" si="1019"/>
        <v>巨量引擎-一类</v>
      </c>
      <c r="L6627" s="47" t="s">
        <v>35</v>
      </c>
      <c r="N6627" s="86" t="s">
        <v>3707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020"/>
        <v>-161496.78</v>
      </c>
      <c r="X6627" s="6">
        <f t="shared" si="1021"/>
        <v>120743.73000000001</v>
      </c>
      <c r="Y6627" s="13">
        <f t="shared" si="1025"/>
        <v>0</v>
      </c>
      <c r="Z6627" s="14">
        <v>0</v>
      </c>
      <c r="AA6627" s="6">
        <v>0</v>
      </c>
      <c r="AB6627" s="4">
        <f t="shared" si="1026"/>
        <v>120743.73000000001</v>
      </c>
      <c r="AC6627" s="6">
        <f t="shared" si="1024"/>
        <v>7244.6238000000003</v>
      </c>
      <c r="AD6627" s="6">
        <f t="shared" si="1022"/>
        <v>120743.73000000001</v>
      </c>
      <c r="AE6627" s="14">
        <v>0.06</v>
      </c>
      <c r="AF6627" s="6">
        <f t="shared" si="1018"/>
        <v>7244.6238000000003</v>
      </c>
      <c r="AG6627" s="14">
        <v>0</v>
      </c>
      <c r="AH6627" s="64">
        <f t="shared" si="1023"/>
        <v>120743.73000000001</v>
      </c>
      <c r="AJ6627" s="126" t="e">
        <v>#N/A</v>
      </c>
      <c r="AK6627" s="80">
        <f t="shared" si="1027"/>
        <v>0</v>
      </c>
      <c r="AL6627" s="85"/>
      <c r="AM6627" s="85"/>
    </row>
    <row r="6628" spans="1:39" s="86" customFormat="1" ht="13.25" hidden="1" customHeight="1" x14ac:dyDescent="0.3">
      <c r="A6628" s="89" t="s">
        <v>3794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47" t="str">
        <f t="shared" si="1019"/>
        <v>巨量引擎-二类</v>
      </c>
      <c r="L6628" s="47" t="s">
        <v>35</v>
      </c>
      <c r="N6628" s="86" t="s">
        <v>3926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020"/>
        <v>-37905.58</v>
      </c>
      <c r="X6628" s="6">
        <f t="shared" si="1021"/>
        <v>6955.9238095238079</v>
      </c>
      <c r="Y6628" s="13">
        <f t="shared" si="1025"/>
        <v>0</v>
      </c>
      <c r="Z6628" s="14">
        <v>0</v>
      </c>
      <c r="AA6628" s="6">
        <v>0</v>
      </c>
      <c r="AB6628" s="4">
        <f t="shared" si="1026"/>
        <v>6955.9238095238079</v>
      </c>
      <c r="AC6628" s="6">
        <f t="shared" si="1024"/>
        <v>347.79619047619053</v>
      </c>
      <c r="AD6628" s="6">
        <f t="shared" si="1022"/>
        <v>7303.7199999999984</v>
      </c>
      <c r="AE6628" s="14">
        <v>0.06</v>
      </c>
      <c r="AF6628" s="6">
        <f t="shared" ref="AF6628:AF6691" si="1028">AD6628*AE6628</f>
        <v>438.22319999999991</v>
      </c>
      <c r="AG6628" s="14">
        <v>0</v>
      </c>
      <c r="AH6628" s="64">
        <f t="shared" si="1023"/>
        <v>7303.7199999999984</v>
      </c>
      <c r="AJ6628" s="126" t="e">
        <v>#N/A</v>
      </c>
      <c r="AK6628" s="80">
        <f t="shared" si="1027"/>
        <v>0</v>
      </c>
      <c r="AL6628" s="85"/>
      <c r="AM6628" s="85"/>
    </row>
    <row r="6629" spans="1:39" s="86" customFormat="1" ht="13.25" hidden="1" customHeight="1" x14ac:dyDescent="0.3">
      <c r="A6629" s="89" t="s">
        <v>3794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020"/>
        <v>-37.769999999999996</v>
      </c>
      <c r="X6629" s="6">
        <f t="shared" si="1021"/>
        <v>0</v>
      </c>
      <c r="Y6629" s="13">
        <f t="shared" si="1025"/>
        <v>0</v>
      </c>
      <c r="Z6629" s="14">
        <v>0</v>
      </c>
      <c r="AA6629" s="6">
        <v>0</v>
      </c>
      <c r="AB6629" s="4">
        <f t="shared" si="1026"/>
        <v>0</v>
      </c>
      <c r="AC6629" s="6">
        <f t="shared" si="1024"/>
        <v>0</v>
      </c>
      <c r="AD6629" s="6">
        <f t="shared" si="1022"/>
        <v>0</v>
      </c>
      <c r="AE6629" s="14">
        <v>0.06</v>
      </c>
      <c r="AF6629" s="6">
        <f t="shared" si="1028"/>
        <v>0</v>
      </c>
      <c r="AG6629" s="14">
        <v>0</v>
      </c>
      <c r="AH6629" s="64">
        <f t="shared" si="1023"/>
        <v>0</v>
      </c>
      <c r="AJ6629" s="126" t="e">
        <v>#N/A</v>
      </c>
      <c r="AK6629" s="80">
        <f t="shared" si="1027"/>
        <v>0</v>
      </c>
      <c r="AL6629" s="85"/>
      <c r="AM6629" s="85"/>
    </row>
    <row r="6630" spans="1:39" s="86" customFormat="1" ht="13.25" hidden="1" customHeight="1" x14ac:dyDescent="0.3">
      <c r="A6630" s="89" t="s">
        <v>3794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020"/>
        <v>-7838.73</v>
      </c>
      <c r="X6630" s="6">
        <f t="shared" si="1021"/>
        <v>0</v>
      </c>
      <c r="Y6630" s="13">
        <f t="shared" si="1025"/>
        <v>0</v>
      </c>
      <c r="Z6630" s="14">
        <v>0</v>
      </c>
      <c r="AA6630" s="6">
        <v>0</v>
      </c>
      <c r="AB6630" s="4">
        <f t="shared" si="1026"/>
        <v>0</v>
      </c>
      <c r="AC6630" s="6">
        <f t="shared" si="1024"/>
        <v>0</v>
      </c>
      <c r="AD6630" s="6">
        <f t="shared" si="1022"/>
        <v>0</v>
      </c>
      <c r="AE6630" s="14">
        <v>0.06</v>
      </c>
      <c r="AF6630" s="6">
        <f t="shared" si="1028"/>
        <v>0</v>
      </c>
      <c r="AG6630" s="14">
        <v>0</v>
      </c>
      <c r="AH6630" s="64">
        <f t="shared" si="1023"/>
        <v>0</v>
      </c>
      <c r="AJ6630" s="126" t="e">
        <v>#N/A</v>
      </c>
      <c r="AK6630" s="80">
        <f t="shared" si="1027"/>
        <v>0</v>
      </c>
      <c r="AL6630" s="85"/>
      <c r="AM6630" s="85"/>
    </row>
    <row r="6631" spans="1:39" s="86" customFormat="1" ht="13.25" hidden="1" customHeight="1" x14ac:dyDescent="0.3">
      <c r="A6631" s="89" t="s">
        <v>3794</v>
      </c>
      <c r="B6631" s="86" t="s">
        <v>35</v>
      </c>
      <c r="C6631" s="86" t="s">
        <v>3857</v>
      </c>
      <c r="D6631" s="86" t="s">
        <v>3858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47" t="str">
        <f t="shared" si="1019"/>
        <v>巨量引擎-三类</v>
      </c>
      <c r="L6631" s="47" t="s">
        <v>35</v>
      </c>
      <c r="N6631" s="86" t="s">
        <v>3712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020"/>
        <v>-69563.679999999993</v>
      </c>
      <c r="X6631" s="6">
        <f t="shared" si="1021"/>
        <v>62823.21</v>
      </c>
      <c r="Y6631" s="13">
        <f t="shared" si="1025"/>
        <v>0</v>
      </c>
      <c r="Z6631" s="14">
        <v>0</v>
      </c>
      <c r="AA6631" s="6">
        <v>0</v>
      </c>
      <c r="AB6631" s="4">
        <f t="shared" si="1026"/>
        <v>62823.21</v>
      </c>
      <c r="AC6631" s="6">
        <f t="shared" si="1024"/>
        <v>0</v>
      </c>
      <c r="AD6631" s="6">
        <f t="shared" si="1022"/>
        <v>62823.21</v>
      </c>
      <c r="AE6631" s="14">
        <v>0.06</v>
      </c>
      <c r="AF6631" s="6">
        <f t="shared" si="1028"/>
        <v>3769.3925999999997</v>
      </c>
      <c r="AG6631" s="14">
        <v>0</v>
      </c>
      <c r="AH6631" s="64">
        <f t="shared" si="1023"/>
        <v>62823.21</v>
      </c>
      <c r="AJ6631" s="126" t="e">
        <v>#N/A</v>
      </c>
      <c r="AK6631" s="80">
        <f t="shared" si="1027"/>
        <v>0</v>
      </c>
      <c r="AL6631" s="85"/>
      <c r="AM6631" s="85"/>
    </row>
    <row r="6632" spans="1:39" s="86" customFormat="1" ht="13.25" hidden="1" customHeight="1" x14ac:dyDescent="0.3">
      <c r="A6632" s="89" t="s">
        <v>3794</v>
      </c>
      <c r="B6632" s="86" t="s">
        <v>35</v>
      </c>
      <c r="C6632" s="86" t="s">
        <v>3857</v>
      </c>
      <c r="D6632" s="86" t="s">
        <v>3858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47" t="str">
        <f t="shared" si="1019"/>
        <v>巨量引擎-三类</v>
      </c>
      <c r="L6632" s="47" t="s">
        <v>35</v>
      </c>
      <c r="N6632" s="86" t="s">
        <v>3712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020"/>
        <v>-114.08000000000001</v>
      </c>
      <c r="X6632" s="6">
        <f t="shared" si="1021"/>
        <v>7.8</v>
      </c>
      <c r="Y6632" s="13">
        <f t="shared" si="1025"/>
        <v>0</v>
      </c>
      <c r="Z6632" s="14">
        <v>0</v>
      </c>
      <c r="AA6632" s="6">
        <v>0</v>
      </c>
      <c r="AB6632" s="4">
        <f t="shared" si="1026"/>
        <v>7.8</v>
      </c>
      <c r="AC6632" s="6">
        <f t="shared" si="1024"/>
        <v>0</v>
      </c>
      <c r="AD6632" s="6">
        <f t="shared" si="1022"/>
        <v>7.8</v>
      </c>
      <c r="AE6632" s="14">
        <v>0.06</v>
      </c>
      <c r="AF6632" s="6">
        <f t="shared" si="1028"/>
        <v>0.46799999999999997</v>
      </c>
      <c r="AG6632" s="14">
        <v>0</v>
      </c>
      <c r="AH6632" s="64">
        <f t="shared" si="1023"/>
        <v>7.8</v>
      </c>
      <c r="AJ6632" s="126" t="e">
        <v>#N/A</v>
      </c>
      <c r="AK6632" s="80">
        <f t="shared" si="1027"/>
        <v>0</v>
      </c>
      <c r="AL6632" s="85"/>
      <c r="AM6632" s="85"/>
    </row>
    <row r="6633" spans="1:39" s="86" customFormat="1" ht="13.25" hidden="1" customHeight="1" x14ac:dyDescent="0.3">
      <c r="A6633" s="89" t="s">
        <v>3794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47" t="str">
        <f t="shared" si="1019"/>
        <v>巨量引擎-三类</v>
      </c>
      <c r="L6633" s="47" t="s">
        <v>35</v>
      </c>
      <c r="N6633" s="86" t="s">
        <v>3712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020"/>
        <v>-509.46999999999997</v>
      </c>
      <c r="X6633" s="6">
        <f t="shared" si="1021"/>
        <v>230.14150943396226</v>
      </c>
      <c r="Y6633" s="13">
        <f t="shared" si="1025"/>
        <v>0</v>
      </c>
      <c r="Z6633" s="14">
        <v>0</v>
      </c>
      <c r="AA6633" s="6">
        <v>0</v>
      </c>
      <c r="AB6633" s="4">
        <f t="shared" si="1026"/>
        <v>230.14150943396226</v>
      </c>
      <c r="AC6633" s="6">
        <f t="shared" si="1024"/>
        <v>13.808490566037733</v>
      </c>
      <c r="AD6633" s="6">
        <f t="shared" si="1022"/>
        <v>243.95</v>
      </c>
      <c r="AE6633" s="14">
        <v>0.06</v>
      </c>
      <c r="AF6633" s="6">
        <f t="shared" si="1028"/>
        <v>14.636999999999999</v>
      </c>
      <c r="AG6633" s="14">
        <v>0</v>
      </c>
      <c r="AH6633" s="64">
        <f t="shared" si="1023"/>
        <v>243.95</v>
      </c>
      <c r="AJ6633" s="126" t="e">
        <v>#N/A</v>
      </c>
      <c r="AK6633" s="80">
        <f t="shared" si="1027"/>
        <v>0</v>
      </c>
      <c r="AL6633" s="85"/>
      <c r="AM6633" s="85"/>
    </row>
    <row r="6634" spans="1:39" s="86" customFormat="1" ht="13.25" hidden="1" customHeight="1" x14ac:dyDescent="0.3">
      <c r="A6634" s="89" t="s">
        <v>3794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47" t="str">
        <f t="shared" si="1019"/>
        <v>巨量引擎-一类</v>
      </c>
      <c r="L6634" s="47" t="s">
        <v>35</v>
      </c>
      <c r="N6634" s="86" t="s">
        <v>3707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021"/>
        <v>0</v>
      </c>
      <c r="Y6634" s="13">
        <f t="shared" si="1025"/>
        <v>0</v>
      </c>
      <c r="Z6634" s="14">
        <v>0</v>
      </c>
      <c r="AA6634" s="6">
        <v>0</v>
      </c>
      <c r="AB6634" s="4">
        <f t="shared" si="1026"/>
        <v>0</v>
      </c>
      <c r="AC6634" s="6">
        <f t="shared" si="1024"/>
        <v>0</v>
      </c>
      <c r="AD6634" s="6">
        <f t="shared" si="1022"/>
        <v>0</v>
      </c>
      <c r="AE6634" s="14">
        <v>0.06</v>
      </c>
      <c r="AF6634" s="6">
        <f t="shared" si="1028"/>
        <v>0</v>
      </c>
      <c r="AG6634" s="14">
        <v>0</v>
      </c>
      <c r="AH6634" s="64">
        <f t="shared" si="1023"/>
        <v>0</v>
      </c>
      <c r="AJ6634" s="126" t="e">
        <v>#N/A</v>
      </c>
      <c r="AK6634" s="80">
        <f t="shared" si="1027"/>
        <v>0</v>
      </c>
      <c r="AL6634" s="85"/>
      <c r="AM6634" s="85"/>
    </row>
    <row r="6635" spans="1:39" s="86" customFormat="1" ht="13.25" hidden="1" customHeight="1" x14ac:dyDescent="0.3">
      <c r="A6635" s="89" t="s">
        <v>3792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47" t="str">
        <f t="shared" si="1019"/>
        <v>巨量引擎-二类</v>
      </c>
      <c r="L6635" s="47" t="s">
        <v>35</v>
      </c>
      <c r="N6635" s="86" t="s">
        <v>3710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020"/>
        <v>-909.05999999999972</v>
      </c>
      <c r="X6635" s="6">
        <f t="shared" si="1021"/>
        <v>281.39622641509425</v>
      </c>
      <c r="Y6635" s="13">
        <f t="shared" si="1025"/>
        <v>0</v>
      </c>
      <c r="Z6635" s="14">
        <v>0</v>
      </c>
      <c r="AA6635" s="6">
        <v>0</v>
      </c>
      <c r="AB6635" s="4">
        <f t="shared" si="1026"/>
        <v>281.39622641509425</v>
      </c>
      <c r="AC6635" s="6">
        <f t="shared" si="1024"/>
        <v>16.883773584905668</v>
      </c>
      <c r="AD6635" s="6">
        <f t="shared" si="1022"/>
        <v>298.27999999999992</v>
      </c>
      <c r="AE6635" s="14">
        <v>0.06</v>
      </c>
      <c r="AF6635" s="6">
        <f t="shared" si="1028"/>
        <v>17.896799999999995</v>
      </c>
      <c r="AG6635" s="14">
        <v>0</v>
      </c>
      <c r="AH6635" s="64">
        <f t="shared" si="1023"/>
        <v>298.27999999999992</v>
      </c>
      <c r="AJ6635" s="126" t="e">
        <v>#N/A</v>
      </c>
      <c r="AK6635" s="80">
        <f t="shared" si="1027"/>
        <v>0</v>
      </c>
      <c r="AL6635" s="85"/>
      <c r="AM6635" s="85"/>
    </row>
    <row r="6636" spans="1:39" s="86" customFormat="1" ht="13.25" customHeight="1" x14ac:dyDescent="0.3">
      <c r="A6636" s="89" t="s">
        <v>3794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47" t="str">
        <f t="shared" si="1019"/>
        <v>巨量引擎-二类</v>
      </c>
      <c r="L6636" s="47" t="s">
        <v>35</v>
      </c>
      <c r="N6636" s="86" t="s">
        <v>3710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020"/>
        <v>-10238.34</v>
      </c>
      <c r="X6636" s="6">
        <f>V6636/(1+1%)</f>
        <v>2855.0693069306931</v>
      </c>
      <c r="Y6636" s="13">
        <f t="shared" si="1025"/>
        <v>0</v>
      </c>
      <c r="Z6636" s="14">
        <v>0</v>
      </c>
      <c r="AA6636" s="6">
        <v>0</v>
      </c>
      <c r="AB6636" s="4">
        <f t="shared" si="1026"/>
        <v>2855.0693069306931</v>
      </c>
      <c r="AC6636" s="6">
        <f t="shared" si="1024"/>
        <v>28.550693069306817</v>
      </c>
      <c r="AD6636" s="6">
        <f t="shared" si="1022"/>
        <v>2883.62</v>
      </c>
      <c r="AE6636" s="14">
        <v>0.06</v>
      </c>
      <c r="AF6636" s="6">
        <f t="shared" si="1028"/>
        <v>173.01719999999997</v>
      </c>
      <c r="AG6636" s="14">
        <v>0</v>
      </c>
      <c r="AH6636" s="64">
        <f t="shared" si="1023"/>
        <v>2883.62</v>
      </c>
      <c r="AJ6636" s="126" t="e">
        <v>#N/A</v>
      </c>
      <c r="AK6636" s="80">
        <f t="shared" si="1027"/>
        <v>0</v>
      </c>
      <c r="AL6636" s="85"/>
      <c r="AM6636" s="85"/>
    </row>
    <row r="6637" spans="1:39" s="86" customFormat="1" ht="13.25" hidden="1" customHeight="1" x14ac:dyDescent="0.3">
      <c r="A6637" s="89" t="s">
        <v>3794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47" t="str">
        <f t="shared" si="1019"/>
        <v>巨量引擎-一类</v>
      </c>
      <c r="L6637" s="47" t="s">
        <v>35</v>
      </c>
      <c r="N6637" s="86" t="s">
        <v>3707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020"/>
        <v>-4327.78</v>
      </c>
      <c r="X6637" s="6">
        <f t="shared" si="1021"/>
        <v>1002.9064039408869</v>
      </c>
      <c r="Y6637" s="13">
        <f t="shared" si="1025"/>
        <v>0</v>
      </c>
      <c r="Z6637" s="14">
        <v>0</v>
      </c>
      <c r="AA6637" s="6">
        <v>0</v>
      </c>
      <c r="AB6637" s="4">
        <f t="shared" si="1026"/>
        <v>1002.9064039408869</v>
      </c>
      <c r="AC6637" s="6">
        <f t="shared" si="1024"/>
        <v>15.043596059113156</v>
      </c>
      <c r="AD6637" s="6">
        <f t="shared" si="1022"/>
        <v>1017.95</v>
      </c>
      <c r="AE6637" s="14">
        <v>0.06</v>
      </c>
      <c r="AF6637" s="6">
        <f t="shared" si="1028"/>
        <v>61.076999999999998</v>
      </c>
      <c r="AG6637" s="14">
        <v>0</v>
      </c>
      <c r="AH6637" s="64">
        <f t="shared" si="1023"/>
        <v>1017.95</v>
      </c>
      <c r="AJ6637" s="126" t="e">
        <v>#N/A</v>
      </c>
      <c r="AK6637" s="80">
        <f t="shared" si="1027"/>
        <v>0</v>
      </c>
      <c r="AL6637" s="85"/>
      <c r="AM6637" s="85"/>
    </row>
    <row r="6638" spans="1:39" s="86" customFormat="1" ht="13.25" hidden="1" customHeight="1" x14ac:dyDescent="0.3">
      <c r="A6638" s="89" t="s">
        <v>3794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47" t="str">
        <f t="shared" si="1019"/>
        <v>巨量引擎-三类</v>
      </c>
      <c r="L6638" s="47" t="s">
        <v>35</v>
      </c>
      <c r="N6638" s="86" t="s">
        <v>3712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020"/>
        <v>-1565.6700000000003</v>
      </c>
      <c r="X6638" s="6">
        <f t="shared" si="1021"/>
        <v>1516.4500000000003</v>
      </c>
      <c r="Y6638" s="13">
        <f t="shared" si="1025"/>
        <v>0</v>
      </c>
      <c r="Z6638" s="14">
        <v>0</v>
      </c>
      <c r="AA6638" s="6">
        <v>0</v>
      </c>
      <c r="AB6638" s="4">
        <f t="shared" si="1026"/>
        <v>1516.4500000000003</v>
      </c>
      <c r="AC6638" s="6">
        <f t="shared" si="1024"/>
        <v>0</v>
      </c>
      <c r="AD6638" s="6">
        <f t="shared" si="1022"/>
        <v>1516.4500000000003</v>
      </c>
      <c r="AE6638" s="14">
        <v>0.06</v>
      </c>
      <c r="AF6638" s="6">
        <f t="shared" si="1028"/>
        <v>90.987000000000009</v>
      </c>
      <c r="AG6638" s="14">
        <v>0</v>
      </c>
      <c r="AH6638" s="64">
        <f t="shared" si="1023"/>
        <v>1516.4500000000003</v>
      </c>
      <c r="AJ6638" s="126" t="e">
        <v>#N/A</v>
      </c>
      <c r="AK6638" s="80">
        <f t="shared" si="1027"/>
        <v>0</v>
      </c>
      <c r="AL6638" s="85"/>
      <c r="AM6638" s="85"/>
    </row>
    <row r="6639" spans="1:39" s="86" customFormat="1" ht="13.25" hidden="1" customHeight="1" x14ac:dyDescent="0.3">
      <c r="A6639" s="89" t="s">
        <v>3792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47" t="str">
        <f t="shared" si="1019"/>
        <v>巨量引擎-一类</v>
      </c>
      <c r="L6639" s="47" t="s">
        <v>35</v>
      </c>
      <c r="N6639" s="86" t="s">
        <v>3707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020"/>
        <v>-53779.590000000004</v>
      </c>
      <c r="X6639" s="6">
        <f t="shared" si="1021"/>
        <v>10.620000000000001</v>
      </c>
      <c r="Y6639" s="13">
        <f t="shared" si="1025"/>
        <v>0</v>
      </c>
      <c r="Z6639" s="14">
        <v>0</v>
      </c>
      <c r="AA6639" s="6">
        <v>0</v>
      </c>
      <c r="AB6639" s="4">
        <f t="shared" si="1026"/>
        <v>10.620000000000001</v>
      </c>
      <c r="AC6639" s="6">
        <f t="shared" si="1024"/>
        <v>0</v>
      </c>
      <c r="AD6639" s="6">
        <f t="shared" si="1022"/>
        <v>10.620000000000001</v>
      </c>
      <c r="AE6639" s="14">
        <v>0.06</v>
      </c>
      <c r="AF6639" s="6">
        <f t="shared" si="1028"/>
        <v>0.63719999999999999</v>
      </c>
      <c r="AG6639" s="14">
        <v>0</v>
      </c>
      <c r="AH6639" s="64">
        <f t="shared" si="1023"/>
        <v>10.620000000000001</v>
      </c>
      <c r="AJ6639" s="126" t="e">
        <v>#N/A</v>
      </c>
      <c r="AK6639" s="80">
        <f t="shared" si="1027"/>
        <v>0</v>
      </c>
      <c r="AL6639" s="85"/>
      <c r="AM6639" s="85"/>
    </row>
    <row r="6640" spans="1:39" s="86" customFormat="1" ht="13.25" hidden="1" customHeight="1" x14ac:dyDescent="0.3">
      <c r="A6640" s="89" t="s">
        <v>3794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029">T6640+U6640-V6640</f>
        <v>-1.98</v>
      </c>
      <c r="X6640" s="6">
        <f t="shared" ref="X6640:X6703" si="1030">IF(P6640="折扣",V6640*Q6640,IF(P6640="返现",V6640,V6640/(1+Q6640)))</f>
        <v>0</v>
      </c>
      <c r="Y6640" s="13">
        <f t="shared" si="1025"/>
        <v>0</v>
      </c>
      <c r="Z6640" s="14">
        <v>0</v>
      </c>
      <c r="AA6640" s="6">
        <v>0</v>
      </c>
      <c r="AB6640" s="4">
        <f t="shared" si="1026"/>
        <v>0</v>
      </c>
      <c r="AC6640" s="6">
        <f t="shared" si="1024"/>
        <v>0</v>
      </c>
      <c r="AD6640" s="6">
        <f t="shared" ref="AD6640:AD6703" si="1031">V6640</f>
        <v>0</v>
      </c>
      <c r="AE6640" s="14">
        <v>0.06</v>
      </c>
      <c r="AF6640" s="6">
        <f t="shared" si="1028"/>
        <v>0</v>
      </c>
      <c r="AG6640" s="14">
        <v>0</v>
      </c>
      <c r="AH6640" s="64">
        <f t="shared" ref="AH6640:AH6703" si="1032">V6640</f>
        <v>0</v>
      </c>
      <c r="AJ6640" s="126" t="e">
        <v>#N/A</v>
      </c>
      <c r="AK6640" s="80">
        <f t="shared" si="1027"/>
        <v>0</v>
      </c>
      <c r="AL6640" s="85"/>
      <c r="AM6640" s="85"/>
    </row>
    <row r="6641" spans="1:39" s="86" customFormat="1" ht="13.25" hidden="1" customHeight="1" x14ac:dyDescent="0.3">
      <c r="A6641" s="89" t="s">
        <v>3794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47" t="str">
        <f t="shared" ref="K6641:K6703" si="1033">N6641</f>
        <v>巨量引擎-三类</v>
      </c>
      <c r="L6641" s="47" t="s">
        <v>35</v>
      </c>
      <c r="N6641" s="86" t="s">
        <v>3712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029"/>
        <v>-1418.6599999999999</v>
      </c>
      <c r="X6641" s="6">
        <f t="shared" si="1030"/>
        <v>1343.4199999999998</v>
      </c>
      <c r="Y6641" s="13">
        <f t="shared" si="1025"/>
        <v>0</v>
      </c>
      <c r="Z6641" s="14">
        <v>0</v>
      </c>
      <c r="AA6641" s="6">
        <v>0</v>
      </c>
      <c r="AB6641" s="4">
        <f t="shared" si="1026"/>
        <v>1343.4199999999998</v>
      </c>
      <c r="AC6641" s="6">
        <f t="shared" si="1024"/>
        <v>0</v>
      </c>
      <c r="AD6641" s="6">
        <f t="shared" si="1031"/>
        <v>1343.4199999999998</v>
      </c>
      <c r="AE6641" s="14">
        <v>0.06</v>
      </c>
      <c r="AF6641" s="6">
        <f t="shared" si="1028"/>
        <v>80.605199999999982</v>
      </c>
      <c r="AG6641" s="14">
        <v>0</v>
      </c>
      <c r="AH6641" s="64">
        <f t="shared" si="1032"/>
        <v>1343.4199999999998</v>
      </c>
      <c r="AJ6641" s="126" t="e">
        <v>#N/A</v>
      </c>
      <c r="AK6641" s="80">
        <f t="shared" si="1027"/>
        <v>0</v>
      </c>
      <c r="AL6641" s="85"/>
      <c r="AM6641" s="85"/>
    </row>
    <row r="6642" spans="1:39" s="86" customFormat="1" ht="13.25" hidden="1" customHeight="1" x14ac:dyDescent="0.3">
      <c r="A6642" s="89" t="s">
        <v>3794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029"/>
        <v>-238.92999999999998</v>
      </c>
      <c r="X6642" s="6">
        <f t="shared" si="1030"/>
        <v>0</v>
      </c>
      <c r="Y6642" s="13">
        <f t="shared" si="1025"/>
        <v>0</v>
      </c>
      <c r="Z6642" s="14">
        <v>0</v>
      </c>
      <c r="AA6642" s="6">
        <v>0</v>
      </c>
      <c r="AB6642" s="4">
        <f t="shared" si="1026"/>
        <v>0</v>
      </c>
      <c r="AC6642" s="6">
        <f t="shared" si="1024"/>
        <v>0</v>
      </c>
      <c r="AD6642" s="6">
        <f t="shared" si="1031"/>
        <v>0</v>
      </c>
      <c r="AE6642" s="14">
        <v>0.06</v>
      </c>
      <c r="AF6642" s="6">
        <f t="shared" si="1028"/>
        <v>0</v>
      </c>
      <c r="AG6642" s="14">
        <v>0</v>
      </c>
      <c r="AH6642" s="64">
        <f t="shared" si="1032"/>
        <v>0</v>
      </c>
      <c r="AJ6642" s="126" t="e">
        <v>#N/A</v>
      </c>
      <c r="AK6642" s="80">
        <f t="shared" si="1027"/>
        <v>0</v>
      </c>
      <c r="AL6642" s="85"/>
      <c r="AM6642" s="85"/>
    </row>
    <row r="6643" spans="1:39" s="86" customFormat="1" ht="13.25" hidden="1" customHeight="1" x14ac:dyDescent="0.3">
      <c r="A6643" s="89" t="s">
        <v>3794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47" t="str">
        <f t="shared" si="1033"/>
        <v>巨量引擎-三类</v>
      </c>
      <c r="L6643" s="47" t="s">
        <v>35</v>
      </c>
      <c r="N6643" s="86" t="s">
        <v>3712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029"/>
        <v>-3833.3199999999997</v>
      </c>
      <c r="X6643" s="6">
        <f t="shared" si="1030"/>
        <v>3428.2799999999997</v>
      </c>
      <c r="Y6643" s="13">
        <f t="shared" si="1025"/>
        <v>0</v>
      </c>
      <c r="Z6643" s="14">
        <v>0</v>
      </c>
      <c r="AA6643" s="6">
        <v>0</v>
      </c>
      <c r="AB6643" s="4">
        <f t="shared" si="1026"/>
        <v>3428.2799999999997</v>
      </c>
      <c r="AC6643" s="6">
        <f t="shared" si="1024"/>
        <v>0</v>
      </c>
      <c r="AD6643" s="6">
        <f t="shared" si="1031"/>
        <v>3428.2799999999997</v>
      </c>
      <c r="AE6643" s="14">
        <v>0.06</v>
      </c>
      <c r="AF6643" s="6">
        <f t="shared" si="1028"/>
        <v>205.69679999999997</v>
      </c>
      <c r="AG6643" s="14">
        <v>0</v>
      </c>
      <c r="AH6643" s="64">
        <f t="shared" si="1032"/>
        <v>3428.2799999999997</v>
      </c>
      <c r="AJ6643" s="126" t="e">
        <v>#N/A</v>
      </c>
      <c r="AK6643" s="80">
        <f t="shared" si="1027"/>
        <v>0</v>
      </c>
      <c r="AL6643" s="85"/>
      <c r="AM6643" s="85"/>
    </row>
    <row r="6644" spans="1:39" s="86" customFormat="1" ht="13.25" hidden="1" customHeight="1" x14ac:dyDescent="0.3">
      <c r="A6644" s="89" t="s">
        <v>3794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47" t="str">
        <f t="shared" si="1033"/>
        <v>巨量引擎-二类</v>
      </c>
      <c r="L6644" s="47" t="s">
        <v>35</v>
      </c>
      <c r="N6644" s="86" t="s">
        <v>3710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19387.57</v>
      </c>
      <c r="W6644" s="6">
        <f t="shared" si="1029"/>
        <v>-28486.43</v>
      </c>
      <c r="X6644" s="6">
        <f t="shared" si="1030"/>
        <v>18641.89423076923</v>
      </c>
      <c r="Y6644" s="13">
        <f t="shared" si="1025"/>
        <v>0</v>
      </c>
      <c r="Z6644" s="14">
        <v>0</v>
      </c>
      <c r="AA6644" s="6">
        <v>0</v>
      </c>
      <c r="AB6644" s="4">
        <f t="shared" si="1026"/>
        <v>18641.89423076923</v>
      </c>
      <c r="AC6644" s="6">
        <f t="shared" si="1024"/>
        <v>745.67576923076922</v>
      </c>
      <c r="AD6644" s="6">
        <f t="shared" si="1031"/>
        <v>19387.57</v>
      </c>
      <c r="AE6644" s="14">
        <v>0.06</v>
      </c>
      <c r="AF6644" s="6">
        <f t="shared" si="1028"/>
        <v>1163.2541999999999</v>
      </c>
      <c r="AG6644" s="14">
        <v>0</v>
      </c>
      <c r="AH6644" s="64">
        <f t="shared" si="1032"/>
        <v>19387.57</v>
      </c>
      <c r="AJ6644" s="126" t="e">
        <v>#N/A</v>
      </c>
      <c r="AK6644" s="80">
        <f t="shared" si="1027"/>
        <v>0</v>
      </c>
      <c r="AL6644" s="85"/>
      <c r="AM6644" s="85"/>
    </row>
    <row r="6645" spans="1:39" s="86" customFormat="1" ht="13.25" hidden="1" customHeight="1" x14ac:dyDescent="0.3">
      <c r="A6645" s="89" t="s">
        <v>3794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47" t="str">
        <f t="shared" si="1033"/>
        <v>巨量引擎-三类</v>
      </c>
      <c r="L6645" s="47" t="s">
        <v>35</v>
      </c>
      <c r="N6645" s="86" t="s">
        <v>3940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030"/>
        <v>0</v>
      </c>
      <c r="Y6645" s="13">
        <f t="shared" si="1025"/>
        <v>0</v>
      </c>
      <c r="Z6645" s="14">
        <v>0</v>
      </c>
      <c r="AA6645" s="6">
        <v>0</v>
      </c>
      <c r="AB6645" s="4">
        <f t="shared" si="1026"/>
        <v>0</v>
      </c>
      <c r="AC6645" s="6">
        <f t="shared" si="1024"/>
        <v>0</v>
      </c>
      <c r="AD6645" s="6">
        <f t="shared" si="1031"/>
        <v>0</v>
      </c>
      <c r="AE6645" s="14">
        <v>0.06</v>
      </c>
      <c r="AF6645" s="6">
        <f t="shared" si="1028"/>
        <v>0</v>
      </c>
      <c r="AG6645" s="14">
        <v>0</v>
      </c>
      <c r="AH6645" s="64">
        <f t="shared" si="1032"/>
        <v>0</v>
      </c>
      <c r="AJ6645" s="126" t="e">
        <v>#N/A</v>
      </c>
      <c r="AK6645" s="80">
        <f t="shared" si="1027"/>
        <v>0</v>
      </c>
      <c r="AL6645" s="85"/>
      <c r="AM6645" s="85"/>
    </row>
    <row r="6646" spans="1:39" s="86" customFormat="1" ht="13.25" hidden="1" customHeight="1" x14ac:dyDescent="0.3">
      <c r="A6646" s="89" t="s">
        <v>3794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47" t="str">
        <f t="shared" si="1033"/>
        <v>巨量引擎-三类</v>
      </c>
      <c r="L6646" s="47" t="s">
        <v>35</v>
      </c>
      <c r="N6646" s="86" t="s">
        <v>3712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029"/>
        <v>-11468.570000000002</v>
      </c>
      <c r="X6646" s="6">
        <f t="shared" si="1030"/>
        <v>0</v>
      </c>
      <c r="Y6646" s="13">
        <f t="shared" si="1025"/>
        <v>0</v>
      </c>
      <c r="Z6646" s="14">
        <v>0</v>
      </c>
      <c r="AA6646" s="6">
        <v>0</v>
      </c>
      <c r="AB6646" s="4">
        <f t="shared" si="1026"/>
        <v>0</v>
      </c>
      <c r="AC6646" s="6">
        <f t="shared" si="1024"/>
        <v>0</v>
      </c>
      <c r="AD6646" s="6">
        <f t="shared" si="1031"/>
        <v>0</v>
      </c>
      <c r="AE6646" s="14">
        <v>0.06</v>
      </c>
      <c r="AF6646" s="6">
        <f t="shared" si="1028"/>
        <v>0</v>
      </c>
      <c r="AG6646" s="14">
        <v>0</v>
      </c>
      <c r="AH6646" s="64">
        <f t="shared" si="1032"/>
        <v>0</v>
      </c>
      <c r="AJ6646" s="126" t="e">
        <v>#N/A</v>
      </c>
      <c r="AK6646" s="80">
        <f t="shared" si="1027"/>
        <v>0</v>
      </c>
      <c r="AL6646" s="85"/>
      <c r="AM6646" s="85"/>
    </row>
    <row r="6647" spans="1:39" s="86" customFormat="1" ht="13.25" hidden="1" customHeight="1" x14ac:dyDescent="0.3">
      <c r="A6647" s="89" t="s">
        <v>3794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si="1033"/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029"/>
        <v>-1660.54</v>
      </c>
      <c r="X6647" s="6">
        <f t="shared" si="1030"/>
        <v>1083.2038834951456</v>
      </c>
      <c r="Y6647" s="13">
        <f t="shared" si="1025"/>
        <v>0</v>
      </c>
      <c r="Z6647" s="14">
        <v>0</v>
      </c>
      <c r="AA6647" s="6">
        <v>0</v>
      </c>
      <c r="AB6647" s="4">
        <f t="shared" si="1026"/>
        <v>1083.2038834951456</v>
      </c>
      <c r="AC6647" s="6">
        <f t="shared" si="1024"/>
        <v>32.496116504854399</v>
      </c>
      <c r="AD6647" s="6">
        <f t="shared" si="1031"/>
        <v>1115.7</v>
      </c>
      <c r="AE6647" s="14">
        <v>0.06</v>
      </c>
      <c r="AF6647" s="6">
        <f t="shared" si="1028"/>
        <v>66.942000000000007</v>
      </c>
      <c r="AG6647" s="14">
        <v>0</v>
      </c>
      <c r="AH6647" s="64">
        <f t="shared" si="1032"/>
        <v>1115.7</v>
      </c>
      <c r="AJ6647" s="126" t="e">
        <v>#N/A</v>
      </c>
      <c r="AK6647" s="80">
        <f t="shared" si="1027"/>
        <v>0</v>
      </c>
      <c r="AL6647" s="85"/>
      <c r="AM6647" s="85"/>
    </row>
    <row r="6648" spans="1:39" s="86" customFormat="1" ht="13.25" hidden="1" customHeight="1" x14ac:dyDescent="0.3">
      <c r="A6648" s="89" t="s">
        <v>3794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033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030"/>
        <v>0</v>
      </c>
      <c r="Y6648" s="13">
        <f t="shared" si="1025"/>
        <v>0</v>
      </c>
      <c r="Z6648" s="14">
        <v>0</v>
      </c>
      <c r="AA6648" s="6">
        <v>0</v>
      </c>
      <c r="AB6648" s="4">
        <f t="shared" si="1026"/>
        <v>0</v>
      </c>
      <c r="AC6648" s="6">
        <f t="shared" si="1024"/>
        <v>0</v>
      </c>
      <c r="AD6648" s="6">
        <f t="shared" si="1031"/>
        <v>0</v>
      </c>
      <c r="AE6648" s="14">
        <v>0.06</v>
      </c>
      <c r="AF6648" s="6">
        <f t="shared" si="1028"/>
        <v>0</v>
      </c>
      <c r="AG6648" s="14">
        <v>0</v>
      </c>
      <c r="AH6648" s="64">
        <f t="shared" si="1032"/>
        <v>0</v>
      </c>
      <c r="AJ6648" s="126" t="e">
        <v>#N/A</v>
      </c>
      <c r="AK6648" s="80">
        <f t="shared" si="1027"/>
        <v>0</v>
      </c>
      <c r="AL6648" s="85"/>
      <c r="AM6648" s="85"/>
    </row>
    <row r="6649" spans="1:39" s="86" customFormat="1" ht="13.25" hidden="1" customHeight="1" x14ac:dyDescent="0.3">
      <c r="A6649" s="89" t="s">
        <v>3794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033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029"/>
        <v>-48763.789999999994</v>
      </c>
      <c r="X6649" s="6">
        <f t="shared" si="1030"/>
        <v>10666.038461538457</v>
      </c>
      <c r="Y6649" s="13">
        <f t="shared" si="1025"/>
        <v>0</v>
      </c>
      <c r="Z6649" s="14">
        <v>0</v>
      </c>
      <c r="AA6649" s="6">
        <v>0</v>
      </c>
      <c r="AB6649" s="4">
        <f t="shared" si="1026"/>
        <v>10666.038461538457</v>
      </c>
      <c r="AC6649" s="6">
        <f t="shared" si="1024"/>
        <v>426.64153846153931</v>
      </c>
      <c r="AD6649" s="6">
        <f t="shared" si="1031"/>
        <v>11092.679999999997</v>
      </c>
      <c r="AE6649" s="14">
        <v>0.06</v>
      </c>
      <c r="AF6649" s="6">
        <f t="shared" si="1028"/>
        <v>665.56079999999974</v>
      </c>
      <c r="AG6649" s="14">
        <v>0</v>
      </c>
      <c r="AH6649" s="64">
        <f t="shared" si="1032"/>
        <v>11092.679999999997</v>
      </c>
      <c r="AJ6649" s="126" t="e">
        <v>#N/A</v>
      </c>
      <c r="AK6649" s="80">
        <f t="shared" si="1027"/>
        <v>0</v>
      </c>
      <c r="AL6649" s="85"/>
      <c r="AM6649" s="85"/>
    </row>
    <row r="6650" spans="1:39" s="86" customFormat="1" ht="13.25" hidden="1" customHeight="1" x14ac:dyDescent="0.3">
      <c r="A6650" s="89" t="s">
        <v>3794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033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029"/>
        <v>-43.87</v>
      </c>
      <c r="X6650" s="6">
        <f t="shared" si="1030"/>
        <v>0</v>
      </c>
      <c r="Y6650" s="13">
        <f t="shared" si="1025"/>
        <v>0</v>
      </c>
      <c r="Z6650" s="14">
        <v>0</v>
      </c>
      <c r="AA6650" s="6">
        <v>0</v>
      </c>
      <c r="AB6650" s="4">
        <f t="shared" si="1026"/>
        <v>0</v>
      </c>
      <c r="AC6650" s="6">
        <f t="shared" si="1024"/>
        <v>0</v>
      </c>
      <c r="AD6650" s="6">
        <f t="shared" si="1031"/>
        <v>0</v>
      </c>
      <c r="AE6650" s="14">
        <v>0.06</v>
      </c>
      <c r="AF6650" s="6">
        <f t="shared" si="1028"/>
        <v>0</v>
      </c>
      <c r="AG6650" s="14">
        <v>0</v>
      </c>
      <c r="AH6650" s="64">
        <f t="shared" si="1032"/>
        <v>0</v>
      </c>
      <c r="AJ6650" s="126" t="e">
        <v>#N/A</v>
      </c>
      <c r="AK6650" s="80">
        <f t="shared" si="1027"/>
        <v>0</v>
      </c>
      <c r="AL6650" s="85"/>
      <c r="AM6650" s="85"/>
    </row>
    <row r="6651" spans="1:39" s="86" customFormat="1" ht="13.25" hidden="1" customHeight="1" x14ac:dyDescent="0.3">
      <c r="A6651" s="89" t="s">
        <v>3794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033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029"/>
        <v>-651.94999999999993</v>
      </c>
      <c r="X6651" s="6">
        <f t="shared" si="1030"/>
        <v>0</v>
      </c>
      <c r="Y6651" s="13">
        <f t="shared" si="1025"/>
        <v>0</v>
      </c>
      <c r="Z6651" s="14">
        <v>0</v>
      </c>
      <c r="AA6651" s="6">
        <v>0</v>
      </c>
      <c r="AB6651" s="4">
        <f t="shared" si="1026"/>
        <v>0</v>
      </c>
      <c r="AC6651" s="6">
        <f t="shared" si="1024"/>
        <v>0</v>
      </c>
      <c r="AD6651" s="6">
        <f t="shared" si="1031"/>
        <v>0</v>
      </c>
      <c r="AE6651" s="14">
        <v>0.06</v>
      </c>
      <c r="AF6651" s="6">
        <f t="shared" si="1028"/>
        <v>0</v>
      </c>
      <c r="AG6651" s="14">
        <v>0</v>
      </c>
      <c r="AH6651" s="64">
        <f t="shared" si="1032"/>
        <v>0</v>
      </c>
      <c r="AJ6651" s="126" t="e">
        <v>#N/A</v>
      </c>
      <c r="AK6651" s="80">
        <f t="shared" si="1027"/>
        <v>0</v>
      </c>
      <c r="AL6651" s="85"/>
      <c r="AM6651" s="85"/>
    </row>
    <row r="6652" spans="1:39" s="86" customFormat="1" ht="13.25" hidden="1" customHeight="1" x14ac:dyDescent="0.3">
      <c r="A6652" s="89" t="s">
        <v>3794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033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029"/>
        <v>-36725.759999999987</v>
      </c>
      <c r="X6652" s="6">
        <f t="shared" si="1030"/>
        <v>112.07692307692308</v>
      </c>
      <c r="Y6652" s="13">
        <f t="shared" si="1025"/>
        <v>0</v>
      </c>
      <c r="Z6652" s="14">
        <v>0</v>
      </c>
      <c r="AA6652" s="6">
        <v>0</v>
      </c>
      <c r="AB6652" s="4">
        <f t="shared" si="1026"/>
        <v>112.07692307692308</v>
      </c>
      <c r="AC6652" s="6">
        <f t="shared" si="1024"/>
        <v>4.4830769230769221</v>
      </c>
      <c r="AD6652" s="6">
        <f t="shared" si="1031"/>
        <v>116.56</v>
      </c>
      <c r="AE6652" s="14">
        <v>0.06</v>
      </c>
      <c r="AF6652" s="6">
        <f t="shared" si="1028"/>
        <v>6.9935999999999998</v>
      </c>
      <c r="AG6652" s="14">
        <v>0</v>
      </c>
      <c r="AH6652" s="64">
        <f t="shared" si="1032"/>
        <v>116.56</v>
      </c>
      <c r="AJ6652" s="126" t="e">
        <v>#N/A</v>
      </c>
      <c r="AK6652" s="80">
        <f t="shared" si="1027"/>
        <v>0</v>
      </c>
      <c r="AL6652" s="85"/>
      <c r="AM6652" s="85"/>
    </row>
    <row r="6653" spans="1:39" s="86" customFormat="1" ht="13.25" hidden="1" customHeight="1" x14ac:dyDescent="0.3">
      <c r="A6653" s="89" t="s">
        <v>3794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033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029"/>
        <v>-13081.9</v>
      </c>
      <c r="X6653" s="6">
        <f t="shared" si="1030"/>
        <v>8795.2596153846152</v>
      </c>
      <c r="Y6653" s="13">
        <f t="shared" si="1025"/>
        <v>0</v>
      </c>
      <c r="Z6653" s="14">
        <v>0</v>
      </c>
      <c r="AA6653" s="6">
        <v>0</v>
      </c>
      <c r="AB6653" s="4">
        <f t="shared" si="1026"/>
        <v>8795.2596153846152</v>
      </c>
      <c r="AC6653" s="6">
        <f t="shared" si="1024"/>
        <v>351.81038461538446</v>
      </c>
      <c r="AD6653" s="6">
        <f t="shared" si="1031"/>
        <v>9147.07</v>
      </c>
      <c r="AE6653" s="14">
        <v>0.06</v>
      </c>
      <c r="AF6653" s="6">
        <f t="shared" si="1028"/>
        <v>548.82420000000002</v>
      </c>
      <c r="AG6653" s="14">
        <v>0</v>
      </c>
      <c r="AH6653" s="64">
        <f t="shared" si="1032"/>
        <v>9147.07</v>
      </c>
      <c r="AJ6653" s="126" t="e">
        <v>#N/A</v>
      </c>
      <c r="AK6653" s="80">
        <f t="shared" si="1027"/>
        <v>0</v>
      </c>
      <c r="AL6653" s="85"/>
      <c r="AM6653" s="85"/>
    </row>
    <row r="6654" spans="1:39" s="86" customFormat="1" ht="13.25" hidden="1" customHeight="1" x14ac:dyDescent="0.3">
      <c r="A6654" s="89" t="s">
        <v>3794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033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029"/>
        <v>-819.37999999999988</v>
      </c>
      <c r="X6654" s="6">
        <f t="shared" si="1030"/>
        <v>0</v>
      </c>
      <c r="Y6654" s="13">
        <f t="shared" si="1025"/>
        <v>0</v>
      </c>
      <c r="Z6654" s="14">
        <v>0</v>
      </c>
      <c r="AA6654" s="6">
        <v>0</v>
      </c>
      <c r="AB6654" s="4">
        <f t="shared" si="1026"/>
        <v>0</v>
      </c>
      <c r="AC6654" s="6">
        <f t="shared" ref="AC6654:AC6717" si="1034">IF(P6654="返现",X6654*Q6654,V6654-X6654)</f>
        <v>0</v>
      </c>
      <c r="AD6654" s="6">
        <f t="shared" si="1031"/>
        <v>0</v>
      </c>
      <c r="AE6654" s="14">
        <v>0.06</v>
      </c>
      <c r="AF6654" s="6">
        <f t="shared" si="1028"/>
        <v>0</v>
      </c>
      <c r="AG6654" s="14">
        <v>0</v>
      </c>
      <c r="AH6654" s="64">
        <f t="shared" si="1032"/>
        <v>0</v>
      </c>
      <c r="AJ6654" s="126" t="e">
        <v>#N/A</v>
      </c>
      <c r="AK6654" s="80">
        <f t="shared" si="1027"/>
        <v>0</v>
      </c>
      <c r="AL6654" s="85"/>
      <c r="AM6654" s="85"/>
    </row>
    <row r="6655" spans="1:39" s="86" customFormat="1" ht="13.25" hidden="1" customHeight="1" x14ac:dyDescent="0.3">
      <c r="A6655" s="89" t="s">
        <v>3794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033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030"/>
        <v>5259.380000000001</v>
      </c>
      <c r="Y6655" s="13">
        <f t="shared" si="1025"/>
        <v>0</v>
      </c>
      <c r="Z6655" s="14">
        <v>0</v>
      </c>
      <c r="AA6655" s="6">
        <v>0</v>
      </c>
      <c r="AB6655" s="4">
        <f t="shared" si="1026"/>
        <v>5259.380000000001</v>
      </c>
      <c r="AC6655" s="6">
        <f t="shared" si="1034"/>
        <v>0</v>
      </c>
      <c r="AD6655" s="6">
        <f t="shared" si="1031"/>
        <v>5259.380000000001</v>
      </c>
      <c r="AE6655" s="14">
        <v>0.06</v>
      </c>
      <c r="AF6655" s="6">
        <f t="shared" si="1028"/>
        <v>315.56280000000004</v>
      </c>
      <c r="AG6655" s="14">
        <v>0</v>
      </c>
      <c r="AH6655" s="64">
        <f t="shared" si="1032"/>
        <v>5259.380000000001</v>
      </c>
      <c r="AJ6655" s="126" t="e">
        <v>#N/A</v>
      </c>
      <c r="AK6655" s="80">
        <f t="shared" si="1027"/>
        <v>0</v>
      </c>
      <c r="AL6655" s="85"/>
      <c r="AM6655" s="85"/>
    </row>
    <row r="6656" spans="1:39" s="86" customFormat="1" ht="13.25" hidden="1" customHeight="1" x14ac:dyDescent="0.3">
      <c r="A6656" s="89" t="s">
        <v>3794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033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029"/>
        <v>0</v>
      </c>
      <c r="X6656" s="6">
        <f t="shared" si="1030"/>
        <v>0</v>
      </c>
      <c r="Y6656" s="13">
        <f t="shared" si="1025"/>
        <v>0</v>
      </c>
      <c r="Z6656" s="14">
        <v>0</v>
      </c>
      <c r="AA6656" s="6">
        <v>0</v>
      </c>
      <c r="AB6656" s="4">
        <f t="shared" si="1026"/>
        <v>0</v>
      </c>
      <c r="AC6656" s="6">
        <f t="shared" si="1034"/>
        <v>0</v>
      </c>
      <c r="AD6656" s="6">
        <f t="shared" si="1031"/>
        <v>0</v>
      </c>
      <c r="AE6656" s="14">
        <v>0.06</v>
      </c>
      <c r="AF6656" s="6">
        <f t="shared" si="1028"/>
        <v>0</v>
      </c>
      <c r="AG6656" s="14">
        <v>0</v>
      </c>
      <c r="AH6656" s="64">
        <f t="shared" si="1032"/>
        <v>0</v>
      </c>
      <c r="AJ6656" s="126" t="e">
        <v>#N/A</v>
      </c>
      <c r="AK6656" s="80">
        <f t="shared" si="1027"/>
        <v>0</v>
      </c>
      <c r="AL6656" s="85"/>
      <c r="AM6656" s="85"/>
    </row>
    <row r="6657" spans="1:39" s="86" customFormat="1" ht="13.25" hidden="1" customHeight="1" x14ac:dyDescent="0.3">
      <c r="A6657" s="89" t="s">
        <v>3794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033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029"/>
        <v>-103.00999999999999</v>
      </c>
      <c r="X6657" s="6">
        <f t="shared" si="1030"/>
        <v>51.88461538461538</v>
      </c>
      <c r="Y6657" s="13">
        <f t="shared" si="1025"/>
        <v>0</v>
      </c>
      <c r="Z6657" s="14">
        <v>0</v>
      </c>
      <c r="AA6657" s="6">
        <v>0</v>
      </c>
      <c r="AB6657" s="4">
        <f t="shared" si="1026"/>
        <v>51.88461538461538</v>
      </c>
      <c r="AC6657" s="6">
        <f t="shared" si="1034"/>
        <v>2.0753846153846141</v>
      </c>
      <c r="AD6657" s="6">
        <f t="shared" si="1031"/>
        <v>53.959999999999994</v>
      </c>
      <c r="AE6657" s="14">
        <v>0.06</v>
      </c>
      <c r="AF6657" s="6">
        <f t="shared" si="1028"/>
        <v>3.2375999999999996</v>
      </c>
      <c r="AG6657" s="14">
        <v>0</v>
      </c>
      <c r="AH6657" s="64">
        <f t="shared" si="1032"/>
        <v>53.959999999999994</v>
      </c>
      <c r="AJ6657" s="126" t="e">
        <v>#N/A</v>
      </c>
      <c r="AK6657" s="80">
        <f t="shared" si="1027"/>
        <v>0</v>
      </c>
      <c r="AL6657" s="85"/>
      <c r="AM6657" s="85"/>
    </row>
    <row r="6658" spans="1:39" s="86" customFormat="1" ht="13.25" hidden="1" customHeight="1" x14ac:dyDescent="0.3">
      <c r="A6658" s="89" t="s">
        <v>3794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033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029"/>
        <v>-587.93000000000006</v>
      </c>
      <c r="X6658" s="6">
        <f t="shared" si="1030"/>
        <v>0</v>
      </c>
      <c r="Y6658" s="13">
        <f t="shared" si="1025"/>
        <v>0</v>
      </c>
      <c r="Z6658" s="14">
        <v>0</v>
      </c>
      <c r="AA6658" s="6">
        <v>0</v>
      </c>
      <c r="AB6658" s="4">
        <f t="shared" si="1026"/>
        <v>0</v>
      </c>
      <c r="AC6658" s="6">
        <f t="shared" si="1034"/>
        <v>0</v>
      </c>
      <c r="AD6658" s="6">
        <f t="shared" si="1031"/>
        <v>0</v>
      </c>
      <c r="AE6658" s="14">
        <v>0.06</v>
      </c>
      <c r="AF6658" s="6">
        <f t="shared" si="1028"/>
        <v>0</v>
      </c>
      <c r="AG6658" s="14">
        <v>0</v>
      </c>
      <c r="AH6658" s="64">
        <f t="shared" si="1032"/>
        <v>0</v>
      </c>
      <c r="AJ6658" s="126" t="e">
        <v>#N/A</v>
      </c>
      <c r="AK6658" s="80">
        <f t="shared" si="1027"/>
        <v>0</v>
      </c>
      <c r="AL6658" s="85"/>
      <c r="AM6658" s="85"/>
    </row>
    <row r="6659" spans="1:39" s="86" customFormat="1" ht="13.25" hidden="1" customHeight="1" x14ac:dyDescent="0.3">
      <c r="A6659" s="89" t="s">
        <v>3794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033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3963</v>
      </c>
      <c r="T6659" s="6">
        <v>371481.79999999981</v>
      </c>
      <c r="U6659" s="6">
        <v>0</v>
      </c>
      <c r="V6659" s="6">
        <v>0</v>
      </c>
      <c r="W6659" s="6">
        <f t="shared" si="1029"/>
        <v>371481.79999999981</v>
      </c>
      <c r="X6659" s="6">
        <v>258945.55153846153</v>
      </c>
      <c r="Y6659" s="13">
        <f t="shared" ref="Y6659:Y6722" si="1035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036">X6659+AA6659</f>
        <v>258945.55153846153</v>
      </c>
      <c r="AC6659" s="6">
        <f t="shared" si="1034"/>
        <v>15536.733092307692</v>
      </c>
      <c r="AD6659" s="6">
        <f t="shared" si="1031"/>
        <v>0</v>
      </c>
      <c r="AE6659" s="14">
        <v>0.06</v>
      </c>
      <c r="AF6659" s="6">
        <f t="shared" si="1028"/>
        <v>0</v>
      </c>
      <c r="AG6659" s="14">
        <v>0</v>
      </c>
      <c r="AH6659" s="64">
        <f t="shared" si="1032"/>
        <v>0</v>
      </c>
      <c r="AJ6659" s="126" t="e">
        <v>#N/A</v>
      </c>
      <c r="AK6659" s="80">
        <f t="shared" ref="AK6659:AK6722" si="1037">X6659+AA6659-AB6659</f>
        <v>0</v>
      </c>
      <c r="AL6659" s="85"/>
      <c r="AM6659" s="85"/>
    </row>
    <row r="6660" spans="1:39" s="86" customFormat="1" ht="13.25" hidden="1" customHeight="1" x14ac:dyDescent="0.3">
      <c r="A6660" s="89" t="s">
        <v>3794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033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029"/>
        <v>572179.74000000209</v>
      </c>
      <c r="X6660" s="6">
        <f t="shared" si="1030"/>
        <v>170942.63999999998</v>
      </c>
      <c r="Y6660" s="13">
        <f t="shared" si="1035"/>
        <v>0</v>
      </c>
      <c r="Z6660" s="14">
        <v>0</v>
      </c>
      <c r="AA6660" s="6">
        <v>0</v>
      </c>
      <c r="AB6660" s="4">
        <f t="shared" si="1036"/>
        <v>170942.63999999998</v>
      </c>
      <c r="AC6660" s="6">
        <f t="shared" si="1034"/>
        <v>10256.558399999998</v>
      </c>
      <c r="AD6660" s="6">
        <f t="shared" si="1031"/>
        <v>170942.63999999998</v>
      </c>
      <c r="AE6660" s="14">
        <v>0.06</v>
      </c>
      <c r="AF6660" s="6">
        <f t="shared" si="1028"/>
        <v>10256.558399999998</v>
      </c>
      <c r="AG6660" s="14">
        <v>0</v>
      </c>
      <c r="AH6660" s="64">
        <f t="shared" si="1032"/>
        <v>170942.63999999998</v>
      </c>
      <c r="AJ6660" s="126" t="e">
        <v>#N/A</v>
      </c>
      <c r="AK6660" s="80">
        <f t="shared" si="1037"/>
        <v>0</v>
      </c>
      <c r="AL6660" s="85"/>
      <c r="AM6660" s="85"/>
    </row>
    <row r="6661" spans="1:39" s="86" customFormat="1" ht="13.25" hidden="1" customHeight="1" x14ac:dyDescent="0.3">
      <c r="A6661" s="89" t="s">
        <v>3794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033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029"/>
        <v>263.61999999533873</v>
      </c>
      <c r="X6661" s="6">
        <f t="shared" si="1030"/>
        <v>560482.42000000004</v>
      </c>
      <c r="Y6661" s="13">
        <f t="shared" si="1035"/>
        <v>0</v>
      </c>
      <c r="Z6661" s="14">
        <v>0</v>
      </c>
      <c r="AA6661" s="6">
        <v>0</v>
      </c>
      <c r="AB6661" s="4">
        <f t="shared" si="1036"/>
        <v>560482.42000000004</v>
      </c>
      <c r="AC6661" s="6">
        <f t="shared" si="1034"/>
        <v>33628.945200000002</v>
      </c>
      <c r="AD6661" s="6">
        <f t="shared" si="1031"/>
        <v>560482.42000000004</v>
      </c>
      <c r="AE6661" s="14">
        <v>0.06</v>
      </c>
      <c r="AF6661" s="6">
        <f t="shared" si="1028"/>
        <v>33628.945200000002</v>
      </c>
      <c r="AG6661" s="14">
        <v>0</v>
      </c>
      <c r="AH6661" s="64">
        <f t="shared" si="1032"/>
        <v>560482.42000000004</v>
      </c>
      <c r="AJ6661" s="126" t="e">
        <v>#N/A</v>
      </c>
      <c r="AK6661" s="80">
        <f t="shared" si="1037"/>
        <v>0</v>
      </c>
      <c r="AL6661" s="85"/>
      <c r="AM6661" s="85"/>
    </row>
    <row r="6662" spans="1:39" s="86" customFormat="1" ht="13.25" hidden="1" customHeight="1" x14ac:dyDescent="0.3">
      <c r="A6662" s="89" t="s">
        <v>3794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033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029"/>
        <v>891374.78000000073</v>
      </c>
      <c r="X6662" s="6">
        <f t="shared" si="1030"/>
        <v>801169.41999999993</v>
      </c>
      <c r="Y6662" s="13">
        <f t="shared" si="1035"/>
        <v>0</v>
      </c>
      <c r="Z6662" s="14">
        <v>0</v>
      </c>
      <c r="AA6662" s="6">
        <v>0</v>
      </c>
      <c r="AB6662" s="4">
        <f t="shared" si="1036"/>
        <v>801169.41999999993</v>
      </c>
      <c r="AC6662" s="6">
        <f t="shared" si="1034"/>
        <v>48070.165199999996</v>
      </c>
      <c r="AD6662" s="6">
        <f t="shared" si="1031"/>
        <v>801169.41999999993</v>
      </c>
      <c r="AE6662" s="14">
        <v>0.06</v>
      </c>
      <c r="AF6662" s="6">
        <f t="shared" si="1028"/>
        <v>48070.165199999996</v>
      </c>
      <c r="AG6662" s="14">
        <v>0</v>
      </c>
      <c r="AH6662" s="64">
        <f t="shared" si="1032"/>
        <v>801169.41999999993</v>
      </c>
      <c r="AJ6662" s="126" t="e">
        <v>#N/A</v>
      </c>
      <c r="AK6662" s="80">
        <f t="shared" si="1037"/>
        <v>0</v>
      </c>
      <c r="AL6662" s="85"/>
      <c r="AM6662" s="85"/>
    </row>
    <row r="6663" spans="1:39" s="86" customFormat="1" ht="13.25" hidden="1" customHeight="1" x14ac:dyDescent="0.3">
      <c r="A6663" s="89" t="s">
        <v>3794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033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029"/>
        <v>145051.34999999998</v>
      </c>
      <c r="X6663" s="6">
        <f t="shared" si="1030"/>
        <v>0</v>
      </c>
      <c r="Y6663" s="13">
        <f t="shared" si="1035"/>
        <v>0</v>
      </c>
      <c r="Z6663" s="14">
        <v>0</v>
      </c>
      <c r="AA6663" s="6">
        <v>0</v>
      </c>
      <c r="AB6663" s="4">
        <f t="shared" si="1036"/>
        <v>0</v>
      </c>
      <c r="AC6663" s="6">
        <f t="shared" si="1034"/>
        <v>0</v>
      </c>
      <c r="AD6663" s="6">
        <f t="shared" si="1031"/>
        <v>0</v>
      </c>
      <c r="AE6663" s="14">
        <v>0.06</v>
      </c>
      <c r="AF6663" s="6">
        <f t="shared" si="1028"/>
        <v>0</v>
      </c>
      <c r="AG6663" s="14">
        <v>0</v>
      </c>
      <c r="AH6663" s="64">
        <f t="shared" si="1032"/>
        <v>0</v>
      </c>
      <c r="AJ6663" s="126" t="e">
        <v>#N/A</v>
      </c>
      <c r="AK6663" s="80">
        <f t="shared" si="1037"/>
        <v>0</v>
      </c>
      <c r="AL6663" s="85"/>
      <c r="AM6663" s="85"/>
    </row>
    <row r="6664" spans="1:39" s="86" customFormat="1" ht="13.25" hidden="1" customHeight="1" x14ac:dyDescent="0.3">
      <c r="A6664" s="89" t="s">
        <v>3794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033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029"/>
        <v>218594.21999999671</v>
      </c>
      <c r="X6664" s="6">
        <f t="shared" si="1030"/>
        <v>941596.00961538486</v>
      </c>
      <c r="Y6664" s="13">
        <f t="shared" si="1035"/>
        <v>0</v>
      </c>
      <c r="Z6664" s="14">
        <v>0</v>
      </c>
      <c r="AA6664" s="6">
        <v>0</v>
      </c>
      <c r="AB6664" s="4">
        <f t="shared" si="1036"/>
        <v>941596.00961538486</v>
      </c>
      <c r="AC6664" s="6">
        <f t="shared" si="1034"/>
        <v>37663.840384615469</v>
      </c>
      <c r="AD6664" s="6">
        <f t="shared" si="1031"/>
        <v>979259.85000000033</v>
      </c>
      <c r="AE6664" s="14">
        <v>0.06</v>
      </c>
      <c r="AF6664" s="6">
        <f t="shared" si="1028"/>
        <v>58755.591000000015</v>
      </c>
      <c r="AG6664" s="14">
        <v>0</v>
      </c>
      <c r="AH6664" s="64">
        <f t="shared" si="1032"/>
        <v>979259.85000000033</v>
      </c>
      <c r="AJ6664" s="126" t="e">
        <v>#N/A</v>
      </c>
      <c r="AK6664" s="80">
        <f t="shared" si="1037"/>
        <v>0</v>
      </c>
      <c r="AL6664" s="85"/>
      <c r="AM6664" s="85"/>
    </row>
    <row r="6665" spans="1:39" s="86" customFormat="1" ht="13.25" hidden="1" customHeight="1" x14ac:dyDescent="0.3">
      <c r="A6665" s="89" t="s">
        <v>3794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47" t="str">
        <f t="shared" si="1033"/>
        <v>巨量引擎-三类</v>
      </c>
      <c r="L6665" s="47" t="s">
        <v>35</v>
      </c>
      <c r="N6665" s="86" t="s">
        <v>3712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029"/>
        <v>-233295.61000000004</v>
      </c>
      <c r="X6665" s="6">
        <f t="shared" si="1030"/>
        <v>127902.78000000003</v>
      </c>
      <c r="Y6665" s="13">
        <f t="shared" si="1035"/>
        <v>0</v>
      </c>
      <c r="Z6665" s="14">
        <v>0</v>
      </c>
      <c r="AA6665" s="6">
        <v>0</v>
      </c>
      <c r="AB6665" s="4">
        <f t="shared" si="1036"/>
        <v>127902.78000000003</v>
      </c>
      <c r="AC6665" s="6">
        <f t="shared" si="1034"/>
        <v>7674.1668000000018</v>
      </c>
      <c r="AD6665" s="6">
        <f t="shared" si="1031"/>
        <v>127902.78000000003</v>
      </c>
      <c r="AE6665" s="14">
        <v>0.06</v>
      </c>
      <c r="AF6665" s="6">
        <f t="shared" si="1028"/>
        <v>7674.1668000000018</v>
      </c>
      <c r="AG6665" s="14">
        <v>0</v>
      </c>
      <c r="AH6665" s="64">
        <f t="shared" si="1032"/>
        <v>127902.78000000003</v>
      </c>
      <c r="AJ6665" s="126" t="e">
        <v>#N/A</v>
      </c>
      <c r="AK6665" s="80">
        <f t="shared" si="1037"/>
        <v>0</v>
      </c>
      <c r="AL6665" s="85"/>
      <c r="AM6665" s="85"/>
    </row>
    <row r="6666" spans="1:39" s="86" customFormat="1" ht="13.25" hidden="1" customHeight="1" x14ac:dyDescent="0.3">
      <c r="A6666" s="89" t="s">
        <v>3794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47" t="str">
        <f t="shared" si="1033"/>
        <v>巨量引擎-二类</v>
      </c>
      <c r="L6666" s="47" t="s">
        <v>35</v>
      </c>
      <c r="N6666" s="86" t="s">
        <v>3710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18053.79</v>
      </c>
      <c r="W6666" s="6">
        <f t="shared" si="1029"/>
        <v>-21228.73</v>
      </c>
      <c r="X6666" s="6">
        <f t="shared" si="1030"/>
        <v>18053.79</v>
      </c>
      <c r="Y6666" s="13">
        <f t="shared" si="1035"/>
        <v>0</v>
      </c>
      <c r="Z6666" s="14">
        <v>0</v>
      </c>
      <c r="AA6666" s="6">
        <v>0</v>
      </c>
      <c r="AB6666" s="4">
        <f t="shared" si="1036"/>
        <v>18053.79</v>
      </c>
      <c r="AC6666" s="6">
        <f t="shared" si="1034"/>
        <v>0</v>
      </c>
      <c r="AD6666" s="6">
        <f t="shared" si="1031"/>
        <v>18053.79</v>
      </c>
      <c r="AE6666" s="14">
        <v>0.06</v>
      </c>
      <c r="AF6666" s="6">
        <f t="shared" si="1028"/>
        <v>1083.2274</v>
      </c>
      <c r="AG6666" s="14">
        <v>0</v>
      </c>
      <c r="AH6666" s="64">
        <f t="shared" si="1032"/>
        <v>18053.79</v>
      </c>
      <c r="AJ6666" s="126" t="e">
        <v>#N/A</v>
      </c>
      <c r="AK6666" s="80">
        <f t="shared" si="1037"/>
        <v>0</v>
      </c>
      <c r="AL6666" s="85"/>
      <c r="AM6666" s="85"/>
    </row>
    <row r="6667" spans="1:39" s="86" customFormat="1" ht="13.25" hidden="1" customHeight="1" x14ac:dyDescent="0.3">
      <c r="A6667" s="89" t="s">
        <v>3794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47" t="str">
        <f t="shared" si="1033"/>
        <v>巨量引擎-一类</v>
      </c>
      <c r="L6667" s="47" t="s">
        <v>35</v>
      </c>
      <c r="N6667" s="86" t="s">
        <v>3707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029"/>
        <v>-850.07999999999993</v>
      </c>
      <c r="X6667" s="6">
        <f t="shared" si="1030"/>
        <v>788.41176470588232</v>
      </c>
      <c r="Y6667" s="13">
        <f t="shared" si="1035"/>
        <v>0</v>
      </c>
      <c r="Z6667" s="14">
        <v>0</v>
      </c>
      <c r="AA6667" s="6">
        <v>0</v>
      </c>
      <c r="AB6667" s="4">
        <f t="shared" si="1036"/>
        <v>788.41176470588232</v>
      </c>
      <c r="AC6667" s="6">
        <f t="shared" si="1034"/>
        <v>15.76823529411763</v>
      </c>
      <c r="AD6667" s="6">
        <f t="shared" si="1031"/>
        <v>804.18</v>
      </c>
      <c r="AE6667" s="14">
        <v>0.06</v>
      </c>
      <c r="AF6667" s="6">
        <f t="shared" si="1028"/>
        <v>48.250799999999998</v>
      </c>
      <c r="AG6667" s="14">
        <v>0</v>
      </c>
      <c r="AH6667" s="64">
        <f t="shared" si="1032"/>
        <v>804.18</v>
      </c>
      <c r="AJ6667" s="126" t="e">
        <v>#N/A</v>
      </c>
      <c r="AK6667" s="80">
        <f t="shared" si="1037"/>
        <v>0</v>
      </c>
      <c r="AL6667" s="85"/>
      <c r="AM6667" s="85"/>
    </row>
    <row r="6668" spans="1:39" s="86" customFormat="1" ht="13.25" hidden="1" customHeight="1" x14ac:dyDescent="0.3">
      <c r="A6668" s="89" t="s">
        <v>3794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47" t="str">
        <f t="shared" si="1033"/>
        <v>巨量引擎-三类</v>
      </c>
      <c r="L6668" s="47" t="s">
        <v>35</v>
      </c>
      <c r="N6668" s="86" t="s">
        <v>3712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029"/>
        <v>-979.3399999999998</v>
      </c>
      <c r="X6668" s="6">
        <f t="shared" si="1030"/>
        <v>947.66999999999985</v>
      </c>
      <c r="Y6668" s="13">
        <f t="shared" si="1035"/>
        <v>0</v>
      </c>
      <c r="Z6668" s="14">
        <v>0</v>
      </c>
      <c r="AA6668" s="6">
        <v>0</v>
      </c>
      <c r="AB6668" s="4">
        <f t="shared" si="1036"/>
        <v>947.66999999999985</v>
      </c>
      <c r="AC6668" s="6">
        <f t="shared" si="1034"/>
        <v>0</v>
      </c>
      <c r="AD6668" s="6">
        <f t="shared" si="1031"/>
        <v>947.66999999999985</v>
      </c>
      <c r="AE6668" s="14">
        <v>0.06</v>
      </c>
      <c r="AF6668" s="6">
        <f t="shared" si="1028"/>
        <v>56.860199999999992</v>
      </c>
      <c r="AG6668" s="14">
        <v>0</v>
      </c>
      <c r="AH6668" s="64">
        <f t="shared" si="1032"/>
        <v>947.66999999999985</v>
      </c>
      <c r="AJ6668" s="126" t="e">
        <v>#N/A</v>
      </c>
      <c r="AK6668" s="80">
        <f t="shared" si="1037"/>
        <v>0</v>
      </c>
      <c r="AL6668" s="85"/>
      <c r="AM6668" s="85"/>
    </row>
    <row r="6669" spans="1:39" s="86" customFormat="1" ht="13.25" hidden="1" customHeight="1" x14ac:dyDescent="0.3">
      <c r="A6669" s="89" t="s">
        <v>3794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47" t="str">
        <f t="shared" si="1033"/>
        <v>巨量引擎-一类平台/电商</v>
      </c>
      <c r="L6669" s="47" t="s">
        <v>35</v>
      </c>
      <c r="N6669" s="86" t="s">
        <v>3718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029"/>
        <v>-2863.32</v>
      </c>
      <c r="X6669" s="6">
        <f t="shared" si="1030"/>
        <v>1537.528409090909</v>
      </c>
      <c r="Y6669" s="13">
        <f t="shared" si="1035"/>
        <v>0</v>
      </c>
      <c r="Z6669" s="14">
        <v>0</v>
      </c>
      <c r="AA6669" s="6">
        <v>0</v>
      </c>
      <c r="AB6669" s="4">
        <f t="shared" si="1036"/>
        <v>1537.528409090909</v>
      </c>
      <c r="AC6669" s="6">
        <f t="shared" si="1034"/>
        <v>86.101590909091101</v>
      </c>
      <c r="AD6669" s="6">
        <f t="shared" si="1031"/>
        <v>1623.63</v>
      </c>
      <c r="AE6669" s="14">
        <v>0.06</v>
      </c>
      <c r="AF6669" s="6">
        <f t="shared" si="1028"/>
        <v>97.4178</v>
      </c>
      <c r="AG6669" s="14">
        <v>0</v>
      </c>
      <c r="AH6669" s="64">
        <f t="shared" si="1032"/>
        <v>1623.63</v>
      </c>
      <c r="AJ6669" s="126" t="e">
        <v>#N/A</v>
      </c>
      <c r="AK6669" s="80">
        <f t="shared" si="1037"/>
        <v>0</v>
      </c>
      <c r="AL6669" s="85"/>
      <c r="AM6669" s="85"/>
    </row>
    <row r="6670" spans="1:39" s="86" customFormat="1" ht="13.25" hidden="1" customHeight="1" x14ac:dyDescent="0.3">
      <c r="A6670" s="89" t="s">
        <v>3794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47" t="str">
        <f t="shared" si="1033"/>
        <v>巨量引擎-一类</v>
      </c>
      <c r="L6670" s="47" t="s">
        <v>35</v>
      </c>
      <c r="N6670" s="86" t="s">
        <v>3707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029"/>
        <v>-2461.2499999999995</v>
      </c>
      <c r="X6670" s="6">
        <f t="shared" si="1030"/>
        <v>0</v>
      </c>
      <c r="Y6670" s="13">
        <f t="shared" si="1035"/>
        <v>0</v>
      </c>
      <c r="Z6670" s="14">
        <v>0</v>
      </c>
      <c r="AA6670" s="6">
        <v>0</v>
      </c>
      <c r="AB6670" s="4">
        <f t="shared" si="1036"/>
        <v>0</v>
      </c>
      <c r="AC6670" s="6">
        <f t="shared" si="1034"/>
        <v>0</v>
      </c>
      <c r="AD6670" s="6">
        <f t="shared" si="1031"/>
        <v>0</v>
      </c>
      <c r="AE6670" s="14">
        <v>0.06</v>
      </c>
      <c r="AF6670" s="6">
        <f t="shared" si="1028"/>
        <v>0</v>
      </c>
      <c r="AG6670" s="14">
        <v>0</v>
      </c>
      <c r="AH6670" s="64">
        <f t="shared" si="1032"/>
        <v>0</v>
      </c>
      <c r="AJ6670" s="126" t="e">
        <v>#N/A</v>
      </c>
      <c r="AK6670" s="80">
        <f t="shared" si="1037"/>
        <v>0</v>
      </c>
      <c r="AL6670" s="85"/>
      <c r="AM6670" s="85"/>
    </row>
    <row r="6671" spans="1:39" s="86" customFormat="1" ht="13.25" hidden="1" customHeight="1" x14ac:dyDescent="0.3">
      <c r="A6671" s="89" t="s">
        <v>3794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033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029"/>
        <v>-941.7399999999999</v>
      </c>
      <c r="X6671" s="6">
        <f t="shared" si="1030"/>
        <v>333.25</v>
      </c>
      <c r="Y6671" s="13">
        <f t="shared" si="1035"/>
        <v>0</v>
      </c>
      <c r="Z6671" s="14">
        <v>0</v>
      </c>
      <c r="AA6671" s="6">
        <v>0</v>
      </c>
      <c r="AB6671" s="4">
        <f t="shared" si="1036"/>
        <v>333.25</v>
      </c>
      <c r="AC6671" s="6">
        <f t="shared" si="1034"/>
        <v>19.995000000000001</v>
      </c>
      <c r="AD6671" s="6">
        <f t="shared" si="1031"/>
        <v>333.25</v>
      </c>
      <c r="AE6671" s="14">
        <v>0.06</v>
      </c>
      <c r="AF6671" s="6">
        <f t="shared" si="1028"/>
        <v>19.995000000000001</v>
      </c>
      <c r="AG6671" s="14">
        <v>0</v>
      </c>
      <c r="AH6671" s="64">
        <f t="shared" si="1032"/>
        <v>333.25</v>
      </c>
      <c r="AJ6671" s="126" t="e">
        <v>#N/A</v>
      </c>
      <c r="AK6671" s="80">
        <f t="shared" si="1037"/>
        <v>0</v>
      </c>
      <c r="AL6671" s="85"/>
      <c r="AM6671" s="85"/>
    </row>
    <row r="6672" spans="1:39" s="86" customFormat="1" ht="13.25" hidden="1" customHeight="1" x14ac:dyDescent="0.3">
      <c r="A6672" s="89" t="s">
        <v>3794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3964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033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029"/>
        <v>394662.84000000078</v>
      </c>
      <c r="X6672" s="6">
        <f t="shared" si="1030"/>
        <v>4720333.2299999995</v>
      </c>
      <c r="Y6672" s="13">
        <f t="shared" si="1035"/>
        <v>0</v>
      </c>
      <c r="Z6672" s="14">
        <v>0</v>
      </c>
      <c r="AA6672" s="6">
        <v>0</v>
      </c>
      <c r="AB6672" s="4">
        <f t="shared" si="1036"/>
        <v>4720333.2299999995</v>
      </c>
      <c r="AC6672" s="6">
        <f t="shared" si="1034"/>
        <v>283219.99379999994</v>
      </c>
      <c r="AD6672" s="6">
        <f t="shared" si="1031"/>
        <v>4720333.2299999995</v>
      </c>
      <c r="AE6672" s="14">
        <v>0.06</v>
      </c>
      <c r="AF6672" s="6">
        <f t="shared" si="1028"/>
        <v>283219.99379999994</v>
      </c>
      <c r="AG6672" s="14">
        <v>0</v>
      </c>
      <c r="AH6672" s="64">
        <f t="shared" si="1032"/>
        <v>4720333.2299999995</v>
      </c>
      <c r="AJ6672" s="126" t="e">
        <v>#N/A</v>
      </c>
      <c r="AK6672" s="80">
        <f t="shared" si="1037"/>
        <v>0</v>
      </c>
      <c r="AL6672" s="85"/>
      <c r="AM6672" s="85"/>
    </row>
    <row r="6673" spans="1:39" s="86" customFormat="1" ht="13.25" hidden="1" customHeight="1" x14ac:dyDescent="0.3">
      <c r="A6673" s="89" t="s">
        <v>3794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47" t="str">
        <f t="shared" si="1033"/>
        <v>巨量引擎-三类</v>
      </c>
      <c r="L6673" s="47" t="s">
        <v>35</v>
      </c>
      <c r="N6673" s="86" t="s">
        <v>3712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029"/>
        <v>-8546.08</v>
      </c>
      <c r="X6673" s="6">
        <f t="shared" si="1030"/>
        <v>5477.9904761904763</v>
      </c>
      <c r="Y6673" s="13">
        <f t="shared" si="1035"/>
        <v>0</v>
      </c>
      <c r="Z6673" s="14">
        <v>0</v>
      </c>
      <c r="AA6673" s="6">
        <v>0</v>
      </c>
      <c r="AB6673" s="4">
        <f t="shared" si="1036"/>
        <v>5477.9904761904763</v>
      </c>
      <c r="AC6673" s="6">
        <f t="shared" si="1034"/>
        <v>273.899523809524</v>
      </c>
      <c r="AD6673" s="6">
        <f t="shared" si="1031"/>
        <v>5751.89</v>
      </c>
      <c r="AE6673" s="14">
        <v>0.06</v>
      </c>
      <c r="AF6673" s="6">
        <f t="shared" si="1028"/>
        <v>345.11340000000001</v>
      </c>
      <c r="AG6673" s="14">
        <v>0</v>
      </c>
      <c r="AH6673" s="64">
        <f t="shared" si="1032"/>
        <v>5751.89</v>
      </c>
      <c r="AJ6673" s="126" t="e">
        <v>#N/A</v>
      </c>
      <c r="AK6673" s="80">
        <f t="shared" si="1037"/>
        <v>0</v>
      </c>
      <c r="AL6673" s="85"/>
      <c r="AM6673" s="85"/>
    </row>
    <row r="6674" spans="1:39" s="86" customFormat="1" ht="13.25" hidden="1" customHeight="1" x14ac:dyDescent="0.3">
      <c r="A6674" s="89" t="s">
        <v>3794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47" t="str">
        <f t="shared" si="1033"/>
        <v>巨量引擎-三类</v>
      </c>
      <c r="L6674" s="47" t="s">
        <v>35</v>
      </c>
      <c r="N6674" s="86" t="s">
        <v>3712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029"/>
        <v>-95367.06</v>
      </c>
      <c r="X6674" s="6">
        <f t="shared" si="1030"/>
        <v>42306.47</v>
      </c>
      <c r="Y6674" s="13">
        <f t="shared" si="1035"/>
        <v>0</v>
      </c>
      <c r="Z6674" s="14">
        <v>0</v>
      </c>
      <c r="AA6674" s="6">
        <v>0</v>
      </c>
      <c r="AB6674" s="4">
        <f t="shared" si="1036"/>
        <v>42306.47</v>
      </c>
      <c r="AC6674" s="6">
        <f t="shared" si="1034"/>
        <v>0</v>
      </c>
      <c r="AD6674" s="6">
        <f t="shared" si="1031"/>
        <v>42306.47</v>
      </c>
      <c r="AE6674" s="14">
        <v>0.06</v>
      </c>
      <c r="AF6674" s="6">
        <f t="shared" si="1028"/>
        <v>2538.3881999999999</v>
      </c>
      <c r="AG6674" s="14">
        <v>0</v>
      </c>
      <c r="AH6674" s="64">
        <f t="shared" si="1032"/>
        <v>42306.47</v>
      </c>
      <c r="AJ6674" s="126" t="e">
        <v>#N/A</v>
      </c>
      <c r="AK6674" s="80">
        <f t="shared" si="1037"/>
        <v>0</v>
      </c>
      <c r="AL6674" s="85"/>
      <c r="AM6674" s="85"/>
    </row>
    <row r="6675" spans="1:39" s="86" customFormat="1" ht="13.25" hidden="1" customHeight="1" x14ac:dyDescent="0.3">
      <c r="A6675" s="89" t="s">
        <v>3794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033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029"/>
        <v>-72.55</v>
      </c>
      <c r="X6675" s="6">
        <f t="shared" si="1030"/>
        <v>0</v>
      </c>
      <c r="Y6675" s="13">
        <f t="shared" si="1035"/>
        <v>0</v>
      </c>
      <c r="Z6675" s="14">
        <v>0</v>
      </c>
      <c r="AA6675" s="6">
        <v>0</v>
      </c>
      <c r="AB6675" s="4">
        <f t="shared" si="1036"/>
        <v>0</v>
      </c>
      <c r="AC6675" s="6">
        <f t="shared" si="1034"/>
        <v>0</v>
      </c>
      <c r="AD6675" s="6">
        <f t="shared" si="1031"/>
        <v>0</v>
      </c>
      <c r="AE6675" s="14">
        <v>0.06</v>
      </c>
      <c r="AF6675" s="6">
        <f t="shared" si="1028"/>
        <v>0</v>
      </c>
      <c r="AG6675" s="14">
        <v>0</v>
      </c>
      <c r="AH6675" s="64">
        <f t="shared" si="1032"/>
        <v>0</v>
      </c>
      <c r="AJ6675" s="126" t="e">
        <v>#N/A</v>
      </c>
      <c r="AK6675" s="80">
        <f t="shared" si="1037"/>
        <v>0</v>
      </c>
      <c r="AL6675" s="85"/>
      <c r="AM6675" s="85"/>
    </row>
    <row r="6676" spans="1:39" s="86" customFormat="1" ht="13.25" hidden="1" customHeight="1" x14ac:dyDescent="0.3">
      <c r="A6676" s="89" t="s">
        <v>3794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47" t="str">
        <f t="shared" si="1033"/>
        <v>巨量引擎-一类</v>
      </c>
      <c r="L6676" s="47" t="s">
        <v>35</v>
      </c>
      <c r="N6676" s="86" t="s">
        <v>3707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029"/>
        <v>-11203.59</v>
      </c>
      <c r="X6676" s="6">
        <f t="shared" si="1030"/>
        <v>4557.7899999999981</v>
      </c>
      <c r="Y6676" s="13">
        <f t="shared" si="1035"/>
        <v>0</v>
      </c>
      <c r="Z6676" s="14">
        <v>0</v>
      </c>
      <c r="AA6676" s="6">
        <v>0</v>
      </c>
      <c r="AB6676" s="4">
        <f t="shared" si="1036"/>
        <v>4557.7899999999981</v>
      </c>
      <c r="AC6676" s="6">
        <f t="shared" si="1034"/>
        <v>0</v>
      </c>
      <c r="AD6676" s="6">
        <f t="shared" si="1031"/>
        <v>4557.7899999999981</v>
      </c>
      <c r="AE6676" s="14">
        <v>0.06</v>
      </c>
      <c r="AF6676" s="6">
        <f t="shared" si="1028"/>
        <v>273.46739999999988</v>
      </c>
      <c r="AG6676" s="14">
        <v>0</v>
      </c>
      <c r="AH6676" s="64">
        <f t="shared" si="1032"/>
        <v>4557.7899999999981</v>
      </c>
      <c r="AJ6676" s="126" t="e">
        <v>#N/A</v>
      </c>
      <c r="AK6676" s="80">
        <f t="shared" si="1037"/>
        <v>0</v>
      </c>
      <c r="AL6676" s="85"/>
      <c r="AM6676" s="85"/>
    </row>
    <row r="6677" spans="1:39" s="86" customFormat="1" ht="13.25" hidden="1" customHeight="1" x14ac:dyDescent="0.3">
      <c r="A6677" s="89" t="s">
        <v>3794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033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029"/>
        <v>-278.17</v>
      </c>
      <c r="X6677" s="6">
        <f t="shared" si="1030"/>
        <v>116.47169811320754</v>
      </c>
      <c r="Y6677" s="13">
        <f t="shared" si="1035"/>
        <v>0</v>
      </c>
      <c r="Z6677" s="14">
        <v>0</v>
      </c>
      <c r="AA6677" s="6">
        <v>0</v>
      </c>
      <c r="AB6677" s="4">
        <f t="shared" si="1036"/>
        <v>116.47169811320754</v>
      </c>
      <c r="AC6677" s="6">
        <f t="shared" si="1034"/>
        <v>6.9883018867924562</v>
      </c>
      <c r="AD6677" s="6">
        <f t="shared" si="1031"/>
        <v>123.46</v>
      </c>
      <c r="AE6677" s="14">
        <v>0.06</v>
      </c>
      <c r="AF6677" s="6">
        <f t="shared" si="1028"/>
        <v>7.4075999999999995</v>
      </c>
      <c r="AG6677" s="14">
        <v>0</v>
      </c>
      <c r="AH6677" s="64">
        <f t="shared" si="1032"/>
        <v>123.46</v>
      </c>
      <c r="AJ6677" s="126" t="e">
        <v>#N/A</v>
      </c>
      <c r="AK6677" s="80">
        <f t="shared" si="1037"/>
        <v>0</v>
      </c>
      <c r="AL6677" s="85"/>
      <c r="AM6677" s="85"/>
    </row>
    <row r="6678" spans="1:39" s="86" customFormat="1" ht="13.25" hidden="1" customHeight="1" x14ac:dyDescent="0.3">
      <c r="A6678" s="89" t="s">
        <v>3794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033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029"/>
        <v>-95.47</v>
      </c>
      <c r="X6678" s="6">
        <f t="shared" si="1030"/>
        <v>0</v>
      </c>
      <c r="Y6678" s="13">
        <f t="shared" si="1035"/>
        <v>0</v>
      </c>
      <c r="Z6678" s="14">
        <v>0</v>
      </c>
      <c r="AA6678" s="6">
        <v>0</v>
      </c>
      <c r="AB6678" s="4">
        <f t="shared" si="1036"/>
        <v>0</v>
      </c>
      <c r="AC6678" s="6">
        <f t="shared" si="1034"/>
        <v>0</v>
      </c>
      <c r="AD6678" s="6">
        <f t="shared" si="1031"/>
        <v>0</v>
      </c>
      <c r="AE6678" s="14">
        <v>0.06</v>
      </c>
      <c r="AF6678" s="6">
        <f t="shared" si="1028"/>
        <v>0</v>
      </c>
      <c r="AG6678" s="14">
        <v>0</v>
      </c>
      <c r="AH6678" s="64">
        <f t="shared" si="1032"/>
        <v>0</v>
      </c>
      <c r="AJ6678" s="126" t="e">
        <v>#N/A</v>
      </c>
      <c r="AK6678" s="80">
        <f t="shared" si="1037"/>
        <v>0</v>
      </c>
      <c r="AL6678" s="85"/>
      <c r="AM6678" s="85"/>
    </row>
    <row r="6679" spans="1:39" s="86" customFormat="1" ht="13.25" hidden="1" customHeight="1" x14ac:dyDescent="0.3">
      <c r="A6679" s="89" t="s">
        <v>3794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47" t="str">
        <f t="shared" si="1033"/>
        <v>巨量引擎-一类</v>
      </c>
      <c r="L6679" s="47" t="s">
        <v>35</v>
      </c>
      <c r="N6679" s="86" t="s">
        <v>3707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029"/>
        <v>-186469.15999999997</v>
      </c>
      <c r="X6679" s="6">
        <f t="shared" si="1030"/>
        <v>117004.4</v>
      </c>
      <c r="Y6679" s="13">
        <f t="shared" si="1035"/>
        <v>0</v>
      </c>
      <c r="Z6679" s="14">
        <v>0</v>
      </c>
      <c r="AA6679" s="6">
        <v>0</v>
      </c>
      <c r="AB6679" s="4">
        <f t="shared" si="1036"/>
        <v>117004.4</v>
      </c>
      <c r="AC6679" s="6">
        <f t="shared" si="1034"/>
        <v>0</v>
      </c>
      <c r="AD6679" s="6">
        <f t="shared" si="1031"/>
        <v>117004.4</v>
      </c>
      <c r="AE6679" s="14">
        <v>0.06</v>
      </c>
      <c r="AF6679" s="6">
        <f t="shared" si="1028"/>
        <v>7020.2639999999992</v>
      </c>
      <c r="AG6679" s="14">
        <v>0</v>
      </c>
      <c r="AH6679" s="64">
        <f t="shared" si="1032"/>
        <v>117004.4</v>
      </c>
      <c r="AJ6679" s="126" t="e">
        <v>#N/A</v>
      </c>
      <c r="AK6679" s="80">
        <f t="shared" si="1037"/>
        <v>0</v>
      </c>
      <c r="AL6679" s="85"/>
      <c r="AM6679" s="85"/>
    </row>
    <row r="6680" spans="1:39" s="86" customFormat="1" ht="13.25" hidden="1" customHeight="1" x14ac:dyDescent="0.3">
      <c r="A6680" s="89" t="s">
        <v>3794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47" t="str">
        <f t="shared" si="1033"/>
        <v>巨量引擎-三类</v>
      </c>
      <c r="L6680" s="47" t="s">
        <v>35</v>
      </c>
      <c r="N6680" s="86" t="s">
        <v>3712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029"/>
        <v>-0.84000000000000008</v>
      </c>
      <c r="X6680" s="6">
        <f t="shared" si="1030"/>
        <v>0.35849056603773582</v>
      </c>
      <c r="Y6680" s="13">
        <f t="shared" si="1035"/>
        <v>0</v>
      </c>
      <c r="Z6680" s="14">
        <v>0</v>
      </c>
      <c r="AA6680" s="6">
        <v>0</v>
      </c>
      <c r="AB6680" s="4">
        <f t="shared" si="1036"/>
        <v>0.35849056603773582</v>
      </c>
      <c r="AC6680" s="6">
        <f t="shared" si="1034"/>
        <v>2.1509433962264179E-2</v>
      </c>
      <c r="AD6680" s="6">
        <f t="shared" si="1031"/>
        <v>0.38</v>
      </c>
      <c r="AE6680" s="14">
        <v>0.06</v>
      </c>
      <c r="AF6680" s="6">
        <f t="shared" si="1028"/>
        <v>2.2800000000000001E-2</v>
      </c>
      <c r="AG6680" s="14">
        <v>0</v>
      </c>
      <c r="AH6680" s="64">
        <f t="shared" si="1032"/>
        <v>0.38</v>
      </c>
      <c r="AJ6680" s="126" t="e">
        <v>#N/A</v>
      </c>
      <c r="AK6680" s="80">
        <f t="shared" si="1037"/>
        <v>0</v>
      </c>
      <c r="AL6680" s="85"/>
      <c r="AM6680" s="85"/>
    </row>
    <row r="6681" spans="1:39" s="86" customFormat="1" ht="13.25" hidden="1" customHeight="1" x14ac:dyDescent="0.3">
      <c r="A6681" s="89" t="s">
        <v>3794</v>
      </c>
      <c r="B6681" s="86" t="s">
        <v>35</v>
      </c>
      <c r="C6681" s="86" t="s">
        <v>3857</v>
      </c>
      <c r="D6681" s="86" t="s">
        <v>3858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47" t="str">
        <f t="shared" si="1033"/>
        <v>巨量引擎-三类</v>
      </c>
      <c r="L6681" s="47" t="s">
        <v>35</v>
      </c>
      <c r="N6681" s="86" t="s">
        <v>3712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029"/>
        <v>-214554.93999999992</v>
      </c>
      <c r="X6681" s="6">
        <f t="shared" si="1030"/>
        <v>202811.69999999992</v>
      </c>
      <c r="Y6681" s="13">
        <f t="shared" si="1035"/>
        <v>0</v>
      </c>
      <c r="Z6681" s="14">
        <v>0</v>
      </c>
      <c r="AA6681" s="6">
        <v>0</v>
      </c>
      <c r="AB6681" s="4">
        <f t="shared" si="1036"/>
        <v>202811.69999999992</v>
      </c>
      <c r="AC6681" s="6">
        <f t="shared" si="1034"/>
        <v>0</v>
      </c>
      <c r="AD6681" s="6">
        <f t="shared" si="1031"/>
        <v>202811.69999999992</v>
      </c>
      <c r="AE6681" s="14">
        <v>0.06</v>
      </c>
      <c r="AF6681" s="6">
        <f t="shared" si="1028"/>
        <v>12168.701999999996</v>
      </c>
      <c r="AG6681" s="14">
        <v>0</v>
      </c>
      <c r="AH6681" s="64">
        <f t="shared" si="1032"/>
        <v>202811.69999999992</v>
      </c>
      <c r="AJ6681" s="126" t="e">
        <v>#N/A</v>
      </c>
      <c r="AK6681" s="80">
        <f t="shared" si="1037"/>
        <v>0</v>
      </c>
      <c r="AL6681" s="85"/>
      <c r="AM6681" s="85"/>
    </row>
    <row r="6682" spans="1:39" s="86" customFormat="1" ht="13.25" hidden="1" customHeight="1" x14ac:dyDescent="0.3">
      <c r="A6682" s="89" t="s">
        <v>3794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029"/>
        <v>-45.89</v>
      </c>
      <c r="X6682" s="6">
        <f t="shared" si="1030"/>
        <v>0</v>
      </c>
      <c r="Y6682" s="13">
        <f t="shared" si="1035"/>
        <v>0</v>
      </c>
      <c r="Z6682" s="14">
        <v>0</v>
      </c>
      <c r="AA6682" s="6">
        <v>0</v>
      </c>
      <c r="AB6682" s="4">
        <f t="shared" si="1036"/>
        <v>0</v>
      </c>
      <c r="AC6682" s="6">
        <f t="shared" si="1034"/>
        <v>0</v>
      </c>
      <c r="AD6682" s="6">
        <f t="shared" si="1031"/>
        <v>0</v>
      </c>
      <c r="AE6682" s="14">
        <v>0.06</v>
      </c>
      <c r="AF6682" s="6">
        <f t="shared" si="1028"/>
        <v>0</v>
      </c>
      <c r="AG6682" s="14">
        <v>0</v>
      </c>
      <c r="AH6682" s="64">
        <f t="shared" si="1032"/>
        <v>0</v>
      </c>
      <c r="AJ6682" s="126" t="e">
        <v>#N/A</v>
      </c>
      <c r="AK6682" s="80">
        <f t="shared" si="1037"/>
        <v>0</v>
      </c>
      <c r="AL6682" s="85"/>
      <c r="AM6682" s="85"/>
    </row>
    <row r="6683" spans="1:39" s="86" customFormat="1" ht="13.25" hidden="1" customHeight="1" x14ac:dyDescent="0.3">
      <c r="A6683" s="89" t="s">
        <v>3794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47" t="str">
        <f t="shared" si="1033"/>
        <v>巨量引擎-一类</v>
      </c>
      <c r="L6683" s="47" t="s">
        <v>35</v>
      </c>
      <c r="N6683" s="86" t="s">
        <v>3707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029"/>
        <v>-1452.02</v>
      </c>
      <c r="X6683" s="6">
        <f t="shared" si="1030"/>
        <v>122.23</v>
      </c>
      <c r="Y6683" s="13">
        <f t="shared" si="1035"/>
        <v>0</v>
      </c>
      <c r="Z6683" s="14">
        <v>0</v>
      </c>
      <c r="AA6683" s="6">
        <v>0</v>
      </c>
      <c r="AB6683" s="4">
        <f t="shared" si="1036"/>
        <v>122.23</v>
      </c>
      <c r="AC6683" s="6">
        <f t="shared" si="1034"/>
        <v>0</v>
      </c>
      <c r="AD6683" s="6">
        <f t="shared" si="1031"/>
        <v>122.23</v>
      </c>
      <c r="AE6683" s="14">
        <v>0.06</v>
      </c>
      <c r="AF6683" s="6">
        <f t="shared" si="1028"/>
        <v>7.3338000000000001</v>
      </c>
      <c r="AG6683" s="14">
        <v>0</v>
      </c>
      <c r="AH6683" s="64">
        <f t="shared" si="1032"/>
        <v>122.23</v>
      </c>
      <c r="AJ6683" s="126" t="e">
        <v>#N/A</v>
      </c>
      <c r="AK6683" s="80">
        <f t="shared" si="1037"/>
        <v>0</v>
      </c>
      <c r="AL6683" s="85"/>
      <c r="AM6683" s="85"/>
    </row>
    <row r="6684" spans="1:39" s="86" customFormat="1" ht="13.25" hidden="1" customHeight="1" x14ac:dyDescent="0.3">
      <c r="A6684" s="89" t="s">
        <v>3794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47" t="str">
        <f t="shared" si="1033"/>
        <v>巨量引擎-一类</v>
      </c>
      <c r="L6684" s="47" t="s">
        <v>35</v>
      </c>
      <c r="N6684" s="86" t="s">
        <v>3965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029"/>
        <v>-5253.9800000000005</v>
      </c>
      <c r="X6684" s="6">
        <f t="shared" si="1030"/>
        <v>5181.6930693069307</v>
      </c>
      <c r="Y6684" s="13">
        <f t="shared" si="1035"/>
        <v>0</v>
      </c>
      <c r="Z6684" s="14">
        <v>0</v>
      </c>
      <c r="AA6684" s="6">
        <v>0</v>
      </c>
      <c r="AB6684" s="4">
        <f t="shared" si="1036"/>
        <v>5181.6930693069307</v>
      </c>
      <c r="AC6684" s="6">
        <f t="shared" si="1034"/>
        <v>51.81693069306948</v>
      </c>
      <c r="AD6684" s="6">
        <f t="shared" si="1031"/>
        <v>5233.51</v>
      </c>
      <c r="AE6684" s="14">
        <v>0.06</v>
      </c>
      <c r="AF6684" s="6">
        <f t="shared" si="1028"/>
        <v>314.01060000000001</v>
      </c>
      <c r="AG6684" s="14">
        <v>0</v>
      </c>
      <c r="AH6684" s="64">
        <f t="shared" si="1032"/>
        <v>5233.51</v>
      </c>
      <c r="AJ6684" s="126" t="e">
        <v>#N/A</v>
      </c>
      <c r="AK6684" s="80">
        <f t="shared" si="1037"/>
        <v>0</v>
      </c>
      <c r="AL6684" s="85"/>
      <c r="AM6684" s="85"/>
    </row>
    <row r="6685" spans="1:39" s="86" customFormat="1" ht="13.25" hidden="1" customHeight="1" x14ac:dyDescent="0.3">
      <c r="A6685" s="89" t="s">
        <v>3794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033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029"/>
        <v>-29656.740000000005</v>
      </c>
      <c r="X6685" s="6">
        <f t="shared" si="1030"/>
        <v>12259.424528301886</v>
      </c>
      <c r="Y6685" s="13">
        <f t="shared" si="1035"/>
        <v>0</v>
      </c>
      <c r="Z6685" s="14">
        <v>0</v>
      </c>
      <c r="AA6685" s="6">
        <v>0</v>
      </c>
      <c r="AB6685" s="4">
        <f t="shared" si="1036"/>
        <v>12259.424528301886</v>
      </c>
      <c r="AC6685" s="6">
        <f t="shared" si="1034"/>
        <v>735.56547169811347</v>
      </c>
      <c r="AD6685" s="6">
        <f t="shared" si="1031"/>
        <v>12994.99</v>
      </c>
      <c r="AE6685" s="14">
        <v>0.06</v>
      </c>
      <c r="AF6685" s="6">
        <f t="shared" si="1028"/>
        <v>779.69939999999997</v>
      </c>
      <c r="AG6685" s="14">
        <v>0</v>
      </c>
      <c r="AH6685" s="64">
        <f t="shared" si="1032"/>
        <v>12994.99</v>
      </c>
      <c r="AJ6685" s="126" t="e">
        <v>#N/A</v>
      </c>
      <c r="AK6685" s="80">
        <f t="shared" si="1037"/>
        <v>0</v>
      </c>
      <c r="AL6685" s="85"/>
      <c r="AM6685" s="85"/>
    </row>
    <row r="6686" spans="1:39" s="86" customFormat="1" ht="13.25" hidden="1" customHeight="1" x14ac:dyDescent="0.3">
      <c r="A6686" s="89" t="s">
        <v>3794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033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029"/>
        <v>1316.7600000056555</v>
      </c>
      <c r="X6686" s="6">
        <f t="shared" si="1030"/>
        <v>446454.39423076925</v>
      </c>
      <c r="Y6686" s="13">
        <f t="shared" si="1035"/>
        <v>0</v>
      </c>
      <c r="Z6686" s="14">
        <v>0</v>
      </c>
      <c r="AA6686" s="6">
        <v>0</v>
      </c>
      <c r="AB6686" s="4">
        <f t="shared" si="1036"/>
        <v>446454.39423076925</v>
      </c>
      <c r="AC6686" s="6">
        <f t="shared" si="1034"/>
        <v>17858.175769230758</v>
      </c>
      <c r="AD6686" s="6">
        <f t="shared" si="1031"/>
        <v>464312.57</v>
      </c>
      <c r="AE6686" s="14">
        <v>0.06</v>
      </c>
      <c r="AF6686" s="6">
        <f t="shared" si="1028"/>
        <v>27858.754199999999</v>
      </c>
      <c r="AG6686" s="14">
        <v>0</v>
      </c>
      <c r="AH6686" s="64">
        <f t="shared" si="1032"/>
        <v>464312.57</v>
      </c>
      <c r="AJ6686" s="126" t="e">
        <v>#N/A</v>
      </c>
      <c r="AK6686" s="80">
        <f t="shared" si="1037"/>
        <v>0</v>
      </c>
      <c r="AL6686" s="85"/>
      <c r="AM6686" s="85"/>
    </row>
    <row r="6687" spans="1:39" s="86" customFormat="1" ht="13.25" hidden="1" customHeight="1" x14ac:dyDescent="0.3">
      <c r="A6687" s="89" t="s">
        <v>3794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033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029"/>
        <v>374439.08999999886</v>
      </c>
      <c r="X6687" s="6">
        <f t="shared" si="1030"/>
        <v>181460.71000000002</v>
      </c>
      <c r="Y6687" s="13">
        <f t="shared" si="1035"/>
        <v>0</v>
      </c>
      <c r="Z6687" s="14">
        <v>0</v>
      </c>
      <c r="AA6687" s="6">
        <v>0</v>
      </c>
      <c r="AB6687" s="4">
        <f t="shared" si="1036"/>
        <v>181460.71000000002</v>
      </c>
      <c r="AC6687" s="6">
        <f t="shared" si="1034"/>
        <v>0</v>
      </c>
      <c r="AD6687" s="6">
        <f t="shared" si="1031"/>
        <v>181460.71000000002</v>
      </c>
      <c r="AE6687" s="14">
        <v>0.06</v>
      </c>
      <c r="AF6687" s="6">
        <f t="shared" si="1028"/>
        <v>10887.642600000001</v>
      </c>
      <c r="AG6687" s="14">
        <v>0</v>
      </c>
      <c r="AH6687" s="64">
        <f t="shared" si="1032"/>
        <v>181460.71000000002</v>
      </c>
      <c r="AJ6687" s="126" t="e">
        <v>#N/A</v>
      </c>
      <c r="AK6687" s="80">
        <f t="shared" si="1037"/>
        <v>0</v>
      </c>
      <c r="AL6687" s="85"/>
      <c r="AM6687" s="85"/>
    </row>
    <row r="6688" spans="1:39" s="86" customFormat="1" ht="13.25" hidden="1" customHeight="1" x14ac:dyDescent="0.3">
      <c r="A6688" s="89" t="s">
        <v>3794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3966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033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3967</v>
      </c>
      <c r="T6688" s="6">
        <v>9428667.5600000005</v>
      </c>
      <c r="U6688" s="6">
        <v>0</v>
      </c>
      <c r="V6688" s="6">
        <v>651481.19999999925</v>
      </c>
      <c r="W6688" s="6">
        <f t="shared" si="1029"/>
        <v>8777186.3600000013</v>
      </c>
      <c r="X6688" s="6">
        <f>IF(P6688="折扣",V6688*Q6688,IF(P6688="返现",V6688,V6688/(1+Q6688)))+232236.59</f>
        <v>883717.78999999922</v>
      </c>
      <c r="Y6688" s="13">
        <f t="shared" si="1035"/>
        <v>179213.52260000003</v>
      </c>
      <c r="Z6688" s="14">
        <v>0</v>
      </c>
      <c r="AA6688" s="6">
        <v>0</v>
      </c>
      <c r="AB6688" s="4">
        <f t="shared" si="1036"/>
        <v>883717.78999999922</v>
      </c>
      <c r="AC6688" s="6">
        <f t="shared" si="1034"/>
        <v>53023.067399999949</v>
      </c>
      <c r="AD6688" s="6">
        <f t="shared" si="1031"/>
        <v>651481.19999999925</v>
      </c>
      <c r="AE6688" s="14">
        <v>0.06</v>
      </c>
      <c r="AF6688" s="6">
        <f t="shared" si="1028"/>
        <v>39088.871999999952</v>
      </c>
      <c r="AG6688" s="14">
        <v>0</v>
      </c>
      <c r="AH6688" s="64">
        <f t="shared" si="1032"/>
        <v>651481.19999999925</v>
      </c>
      <c r="AJ6688" s="126" t="e">
        <v>#N/A</v>
      </c>
      <c r="AK6688" s="80">
        <f t="shared" si="1037"/>
        <v>0</v>
      </c>
      <c r="AL6688" s="85"/>
      <c r="AM6688" s="85"/>
    </row>
    <row r="6689" spans="1:39" s="86" customFormat="1" ht="13.25" hidden="1" customHeight="1" x14ac:dyDescent="0.3">
      <c r="A6689" s="89" t="s">
        <v>3794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3961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033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029"/>
        <v>31826.240000000224</v>
      </c>
      <c r="X6689" s="6">
        <f t="shared" si="1030"/>
        <v>0</v>
      </c>
      <c r="Y6689" s="13">
        <f t="shared" si="1035"/>
        <v>0</v>
      </c>
      <c r="Z6689" s="14">
        <v>0</v>
      </c>
      <c r="AA6689" s="6">
        <v>0</v>
      </c>
      <c r="AB6689" s="4">
        <f t="shared" si="1036"/>
        <v>0</v>
      </c>
      <c r="AC6689" s="6">
        <f t="shared" si="1034"/>
        <v>0</v>
      </c>
      <c r="AD6689" s="6">
        <f t="shared" si="1031"/>
        <v>0</v>
      </c>
      <c r="AE6689" s="14">
        <v>0.06</v>
      </c>
      <c r="AF6689" s="6">
        <f t="shared" si="1028"/>
        <v>0</v>
      </c>
      <c r="AG6689" s="14">
        <v>0</v>
      </c>
      <c r="AH6689" s="64">
        <f t="shared" si="1032"/>
        <v>0</v>
      </c>
      <c r="AJ6689" s="126" t="e">
        <v>#N/A</v>
      </c>
      <c r="AK6689" s="80">
        <f t="shared" si="1037"/>
        <v>0</v>
      </c>
      <c r="AL6689" s="85"/>
      <c r="AM6689" s="85"/>
    </row>
    <row r="6690" spans="1:39" s="86" customFormat="1" ht="13.25" hidden="1" customHeight="1" x14ac:dyDescent="0.3">
      <c r="A6690" s="89" t="s">
        <v>3794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033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029"/>
        <v>2.139999997918494</v>
      </c>
      <c r="X6690" s="6">
        <f t="shared" si="1030"/>
        <v>0</v>
      </c>
      <c r="Y6690" s="13">
        <f t="shared" si="1035"/>
        <v>0</v>
      </c>
      <c r="Z6690" s="14">
        <v>0</v>
      </c>
      <c r="AA6690" s="6">
        <v>0</v>
      </c>
      <c r="AB6690" s="4">
        <f t="shared" si="1036"/>
        <v>0</v>
      </c>
      <c r="AC6690" s="6">
        <f t="shared" si="1034"/>
        <v>0</v>
      </c>
      <c r="AD6690" s="6">
        <f t="shared" si="1031"/>
        <v>0</v>
      </c>
      <c r="AE6690" s="14">
        <v>0.06</v>
      </c>
      <c r="AF6690" s="6">
        <f t="shared" si="1028"/>
        <v>0</v>
      </c>
      <c r="AG6690" s="14">
        <v>0</v>
      </c>
      <c r="AH6690" s="64">
        <f t="shared" si="1032"/>
        <v>0</v>
      </c>
      <c r="AJ6690" s="126" t="e">
        <v>#N/A</v>
      </c>
      <c r="AK6690" s="80">
        <f t="shared" si="1037"/>
        <v>0</v>
      </c>
      <c r="AL6690" s="85"/>
      <c r="AM6690" s="85"/>
    </row>
    <row r="6691" spans="1:39" s="86" customFormat="1" ht="13.25" hidden="1" customHeight="1" x14ac:dyDescent="0.3">
      <c r="A6691" s="89" t="s">
        <v>3794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033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029"/>
        <v>7.2899999745932291</v>
      </c>
      <c r="X6691" s="6">
        <f t="shared" si="1030"/>
        <v>0</v>
      </c>
      <c r="Y6691" s="13">
        <f t="shared" si="1035"/>
        <v>0</v>
      </c>
      <c r="Z6691" s="14">
        <v>0</v>
      </c>
      <c r="AA6691" s="6">
        <v>0</v>
      </c>
      <c r="AB6691" s="4">
        <f t="shared" si="1036"/>
        <v>0</v>
      </c>
      <c r="AC6691" s="6">
        <f t="shared" si="1034"/>
        <v>0</v>
      </c>
      <c r="AD6691" s="6">
        <f t="shared" si="1031"/>
        <v>0</v>
      </c>
      <c r="AE6691" s="14">
        <v>0.06</v>
      </c>
      <c r="AF6691" s="6">
        <f t="shared" si="1028"/>
        <v>0</v>
      </c>
      <c r="AG6691" s="14">
        <v>0</v>
      </c>
      <c r="AH6691" s="64">
        <f t="shared" si="1032"/>
        <v>0</v>
      </c>
      <c r="AJ6691" s="126" t="e">
        <v>#N/A</v>
      </c>
      <c r="AK6691" s="80">
        <f t="shared" si="1037"/>
        <v>0</v>
      </c>
      <c r="AL6691" s="85"/>
      <c r="AM6691" s="85"/>
    </row>
    <row r="6692" spans="1:39" s="86" customFormat="1" ht="13.25" hidden="1" customHeight="1" x14ac:dyDescent="0.3">
      <c r="A6692" s="89" t="s">
        <v>3794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033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029"/>
        <v>159.6500000014712</v>
      </c>
      <c r="X6692" s="6">
        <f t="shared" si="1030"/>
        <v>47758.105769230766</v>
      </c>
      <c r="Y6692" s="13">
        <f t="shared" si="1035"/>
        <v>0</v>
      </c>
      <c r="Z6692" s="14">
        <v>0</v>
      </c>
      <c r="AA6692" s="6">
        <v>0</v>
      </c>
      <c r="AB6692" s="4">
        <f t="shared" si="1036"/>
        <v>47758.105769230766</v>
      </c>
      <c r="AC6692" s="6">
        <f t="shared" si="1034"/>
        <v>1910.3242307692344</v>
      </c>
      <c r="AD6692" s="6">
        <f t="shared" si="1031"/>
        <v>49668.43</v>
      </c>
      <c r="AE6692" s="14">
        <v>0.06</v>
      </c>
      <c r="AF6692" s="6">
        <f t="shared" ref="AF6692:AF6755" si="1038">AD6692*AE6692</f>
        <v>2980.1057999999998</v>
      </c>
      <c r="AG6692" s="14">
        <v>0</v>
      </c>
      <c r="AH6692" s="64">
        <f t="shared" si="1032"/>
        <v>49668.43</v>
      </c>
      <c r="AJ6692" s="126" t="e">
        <v>#N/A</v>
      </c>
      <c r="AK6692" s="80">
        <f t="shared" si="1037"/>
        <v>0</v>
      </c>
      <c r="AL6692" s="85"/>
      <c r="AM6692" s="85"/>
    </row>
    <row r="6693" spans="1:39" s="86" customFormat="1" ht="13.25" hidden="1" customHeight="1" x14ac:dyDescent="0.3">
      <c r="A6693" s="89" t="s">
        <v>3794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3957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033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029"/>
        <v>106039.82000000018</v>
      </c>
      <c r="X6693" s="6">
        <f t="shared" si="1030"/>
        <v>729970.87735849037</v>
      </c>
      <c r="Y6693" s="13">
        <f t="shared" si="1035"/>
        <v>0</v>
      </c>
      <c r="Z6693" s="14">
        <v>0</v>
      </c>
      <c r="AA6693" s="6">
        <v>0</v>
      </c>
      <c r="AB6693" s="4">
        <f t="shared" si="1036"/>
        <v>729970.87735849037</v>
      </c>
      <c r="AC6693" s="6">
        <f t="shared" si="1034"/>
        <v>43798.25264150952</v>
      </c>
      <c r="AD6693" s="6">
        <f t="shared" si="1031"/>
        <v>773769.12999999989</v>
      </c>
      <c r="AE6693" s="14">
        <v>0.06</v>
      </c>
      <c r="AF6693" s="6">
        <f t="shared" si="1038"/>
        <v>46426.147799999992</v>
      </c>
      <c r="AG6693" s="14">
        <v>0</v>
      </c>
      <c r="AH6693" s="64">
        <f t="shared" si="1032"/>
        <v>773769.12999999989</v>
      </c>
      <c r="AJ6693" s="126" t="e">
        <v>#N/A</v>
      </c>
      <c r="AK6693" s="80">
        <f t="shared" si="1037"/>
        <v>0</v>
      </c>
      <c r="AL6693" s="85"/>
      <c r="AM6693" s="85"/>
    </row>
    <row r="6694" spans="1:39" s="86" customFormat="1" ht="13.25" hidden="1" customHeight="1" x14ac:dyDescent="0.3">
      <c r="A6694" s="89" t="s">
        <v>3794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033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029"/>
        <v>-21307.22</v>
      </c>
      <c r="X6694" s="6">
        <f t="shared" si="1030"/>
        <v>0</v>
      </c>
      <c r="Y6694" s="13">
        <f t="shared" si="1035"/>
        <v>0</v>
      </c>
      <c r="Z6694" s="14">
        <v>0</v>
      </c>
      <c r="AA6694" s="6">
        <v>0</v>
      </c>
      <c r="AB6694" s="4">
        <f t="shared" si="1036"/>
        <v>0</v>
      </c>
      <c r="AC6694" s="6">
        <f t="shared" si="1034"/>
        <v>0</v>
      </c>
      <c r="AD6694" s="6">
        <f t="shared" si="1031"/>
        <v>0</v>
      </c>
      <c r="AE6694" s="14">
        <v>0.06</v>
      </c>
      <c r="AF6694" s="6">
        <f t="shared" si="1038"/>
        <v>0</v>
      </c>
      <c r="AG6694" s="14">
        <v>0</v>
      </c>
      <c r="AH6694" s="64">
        <f t="shared" si="1032"/>
        <v>0</v>
      </c>
      <c r="AJ6694" s="126" t="e">
        <v>#N/A</v>
      </c>
      <c r="AK6694" s="80">
        <f t="shared" si="1037"/>
        <v>0</v>
      </c>
      <c r="AL6694" s="85"/>
      <c r="AM6694" s="85"/>
    </row>
    <row r="6695" spans="1:39" s="86" customFormat="1" ht="13.25" hidden="1" customHeight="1" x14ac:dyDescent="0.3">
      <c r="A6695" s="89" t="s">
        <v>3794</v>
      </c>
      <c r="B6695" s="86" t="s">
        <v>35</v>
      </c>
      <c r="C6695" s="86" t="s">
        <v>59</v>
      </c>
      <c r="D6695" s="86" t="s">
        <v>60</v>
      </c>
      <c r="E6695" s="86" t="s">
        <v>3968</v>
      </c>
      <c r="F6695" s="86" t="s">
        <v>3969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033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3962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029"/>
        <v>-7226.8399999999983</v>
      </c>
      <c r="X6695" s="6">
        <f t="shared" si="1030"/>
        <v>6754.056074766353</v>
      </c>
      <c r="Y6695" s="13">
        <f t="shared" si="1035"/>
        <v>0</v>
      </c>
      <c r="Z6695" s="14">
        <v>0</v>
      </c>
      <c r="AA6695" s="6">
        <v>0</v>
      </c>
      <c r="AB6695" s="4">
        <f t="shared" si="1036"/>
        <v>6754.056074766353</v>
      </c>
      <c r="AC6695" s="6">
        <f t="shared" si="1034"/>
        <v>472.78392523364528</v>
      </c>
      <c r="AD6695" s="6">
        <f t="shared" si="1031"/>
        <v>7226.8399999999983</v>
      </c>
      <c r="AE6695" s="14">
        <v>0.06</v>
      </c>
      <c r="AF6695" s="6">
        <f t="shared" si="1038"/>
        <v>433.61039999999986</v>
      </c>
      <c r="AG6695" s="14">
        <v>0</v>
      </c>
      <c r="AH6695" s="64">
        <f t="shared" si="1032"/>
        <v>7226.8399999999983</v>
      </c>
      <c r="AJ6695" s="126" t="e">
        <v>#N/A</v>
      </c>
      <c r="AK6695" s="80">
        <f t="shared" si="1037"/>
        <v>0</v>
      </c>
      <c r="AL6695" s="85"/>
      <c r="AM6695" s="85"/>
    </row>
    <row r="6696" spans="1:39" s="86" customFormat="1" ht="13.25" hidden="1" customHeight="1" x14ac:dyDescent="0.3">
      <c r="A6696" s="89" t="s">
        <v>3794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47" t="str">
        <f t="shared" si="1033"/>
        <v>巨量引擎-一类</v>
      </c>
      <c r="L6696" s="47" t="s">
        <v>35</v>
      </c>
      <c r="N6696" s="86" t="s">
        <v>3707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029"/>
        <v>-52.21999999999997</v>
      </c>
      <c r="X6696" s="6">
        <f t="shared" si="1030"/>
        <v>0</v>
      </c>
      <c r="Y6696" s="13">
        <f t="shared" si="1035"/>
        <v>0</v>
      </c>
      <c r="Z6696" s="14">
        <v>0</v>
      </c>
      <c r="AA6696" s="6">
        <v>0</v>
      </c>
      <c r="AB6696" s="4">
        <f t="shared" si="1036"/>
        <v>0</v>
      </c>
      <c r="AC6696" s="6">
        <f t="shared" si="1034"/>
        <v>0</v>
      </c>
      <c r="AD6696" s="6">
        <f t="shared" si="1031"/>
        <v>0</v>
      </c>
      <c r="AE6696" s="14">
        <v>0.06</v>
      </c>
      <c r="AF6696" s="6">
        <f t="shared" si="1038"/>
        <v>0</v>
      </c>
      <c r="AG6696" s="14">
        <v>0</v>
      </c>
      <c r="AH6696" s="64">
        <f t="shared" si="1032"/>
        <v>0</v>
      </c>
      <c r="AJ6696" s="126" t="e">
        <v>#N/A</v>
      </c>
      <c r="AK6696" s="80">
        <f t="shared" si="1037"/>
        <v>0</v>
      </c>
      <c r="AL6696" s="85"/>
      <c r="AM6696" s="85"/>
    </row>
    <row r="6697" spans="1:39" s="86" customFormat="1" ht="13.25" hidden="1" customHeight="1" x14ac:dyDescent="0.3">
      <c r="A6697" s="89" t="s">
        <v>3794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47" t="str">
        <f t="shared" si="1033"/>
        <v>巨量引擎-一类</v>
      </c>
      <c r="L6697" s="47" t="s">
        <v>35</v>
      </c>
      <c r="N6697" s="86" t="s">
        <v>3707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029"/>
        <v>-271240.79000000004</v>
      </c>
      <c r="X6697" s="6">
        <f t="shared" si="1030"/>
        <v>237277.01904761905</v>
      </c>
      <c r="Y6697" s="13">
        <f t="shared" si="1035"/>
        <v>0</v>
      </c>
      <c r="Z6697" s="14">
        <v>0</v>
      </c>
      <c r="AA6697" s="6">
        <v>0</v>
      </c>
      <c r="AB6697" s="4">
        <f t="shared" si="1036"/>
        <v>237277.01904761905</v>
      </c>
      <c r="AC6697" s="6">
        <f t="shared" si="1034"/>
        <v>11863.850952380977</v>
      </c>
      <c r="AD6697" s="6">
        <f t="shared" si="1031"/>
        <v>249140.87000000002</v>
      </c>
      <c r="AE6697" s="14">
        <v>0.06</v>
      </c>
      <c r="AF6697" s="6">
        <f t="shared" si="1038"/>
        <v>14948.452200000002</v>
      </c>
      <c r="AG6697" s="14">
        <v>0</v>
      </c>
      <c r="AH6697" s="64">
        <f t="shared" si="1032"/>
        <v>249140.87000000002</v>
      </c>
      <c r="AJ6697" s="126" t="e">
        <v>#N/A</v>
      </c>
      <c r="AK6697" s="80">
        <f t="shared" si="1037"/>
        <v>0</v>
      </c>
      <c r="AL6697" s="85"/>
      <c r="AM6697" s="85"/>
    </row>
    <row r="6698" spans="1:39" s="86" customFormat="1" ht="13.25" hidden="1" customHeight="1" x14ac:dyDescent="0.3">
      <c r="A6698" s="89" t="s">
        <v>3794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47" t="str">
        <f t="shared" si="1033"/>
        <v>巨量引擎-一类平台/电商</v>
      </c>
      <c r="L6698" s="47" t="s">
        <v>35</v>
      </c>
      <c r="N6698" s="86" t="s">
        <v>3718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029"/>
        <v>-1041.54</v>
      </c>
      <c r="X6698" s="6">
        <f t="shared" si="1030"/>
        <v>217.52380952380952</v>
      </c>
      <c r="Y6698" s="13">
        <f t="shared" si="1035"/>
        <v>0</v>
      </c>
      <c r="Z6698" s="14">
        <v>0</v>
      </c>
      <c r="AA6698" s="6">
        <v>0</v>
      </c>
      <c r="AB6698" s="4">
        <f t="shared" si="1036"/>
        <v>217.52380952380952</v>
      </c>
      <c r="AC6698" s="6">
        <f t="shared" si="1034"/>
        <v>10.876190476190487</v>
      </c>
      <c r="AD6698" s="6">
        <f t="shared" si="1031"/>
        <v>228.4</v>
      </c>
      <c r="AE6698" s="14">
        <v>0.06</v>
      </c>
      <c r="AF6698" s="6">
        <f t="shared" si="1038"/>
        <v>13.704000000000001</v>
      </c>
      <c r="AG6698" s="14">
        <v>0</v>
      </c>
      <c r="AH6698" s="64">
        <f t="shared" si="1032"/>
        <v>228.4</v>
      </c>
      <c r="AJ6698" s="126" t="e">
        <v>#N/A</v>
      </c>
      <c r="AK6698" s="80">
        <f t="shared" si="1037"/>
        <v>0</v>
      </c>
      <c r="AL6698" s="85"/>
      <c r="AM6698" s="85"/>
    </row>
    <row r="6699" spans="1:39" s="86" customFormat="1" ht="13.25" hidden="1" customHeight="1" x14ac:dyDescent="0.3">
      <c r="A6699" s="89" t="s">
        <v>3794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47" t="str">
        <f t="shared" si="1033"/>
        <v>巨量引擎-三类</v>
      </c>
      <c r="L6699" s="47" t="s">
        <v>35</v>
      </c>
      <c r="N6699" s="86" t="s">
        <v>3712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029"/>
        <v>-401064.92999999993</v>
      </c>
      <c r="X6699" s="6">
        <f t="shared" si="1030"/>
        <v>381966.59999999992</v>
      </c>
      <c r="Y6699" s="13">
        <f t="shared" si="1035"/>
        <v>0</v>
      </c>
      <c r="Z6699" s="66">
        <v>0</v>
      </c>
      <c r="AA6699" s="6">
        <v>0</v>
      </c>
      <c r="AB6699" s="4">
        <f t="shared" si="1036"/>
        <v>381966.59999999992</v>
      </c>
      <c r="AC6699" s="6">
        <f t="shared" si="1034"/>
        <v>19098.330000000016</v>
      </c>
      <c r="AD6699" s="6">
        <f t="shared" si="1031"/>
        <v>401064.92999999993</v>
      </c>
      <c r="AE6699" s="14">
        <v>0.06</v>
      </c>
      <c r="AF6699" s="6">
        <f t="shared" si="1038"/>
        <v>24063.895799999995</v>
      </c>
      <c r="AG6699" s="14">
        <v>0</v>
      </c>
      <c r="AH6699" s="64">
        <f t="shared" si="1032"/>
        <v>401064.92999999993</v>
      </c>
      <c r="AJ6699" s="126" t="e">
        <v>#N/A</v>
      </c>
      <c r="AK6699" s="80">
        <f t="shared" si="1037"/>
        <v>0</v>
      </c>
      <c r="AL6699" s="85"/>
      <c r="AM6699" s="85"/>
    </row>
    <row r="6700" spans="1:39" s="86" customFormat="1" ht="13.25" hidden="1" customHeight="1" x14ac:dyDescent="0.3">
      <c r="A6700" s="89" t="s">
        <v>3794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47" t="str">
        <f t="shared" si="1033"/>
        <v>巨量引擎-一类</v>
      </c>
      <c r="L6700" s="47" t="s">
        <v>35</v>
      </c>
      <c r="N6700" s="86" t="s">
        <v>3707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029"/>
        <v>-1295839.52</v>
      </c>
      <c r="X6700" s="6">
        <f t="shared" si="1030"/>
        <v>1234132.8761904761</v>
      </c>
      <c r="Y6700" s="13">
        <f t="shared" si="1035"/>
        <v>0</v>
      </c>
      <c r="Z6700" s="66">
        <v>0</v>
      </c>
      <c r="AA6700" s="6">
        <v>0</v>
      </c>
      <c r="AB6700" s="4">
        <f t="shared" si="1036"/>
        <v>1234132.8761904761</v>
      </c>
      <c r="AC6700" s="6">
        <f t="shared" si="1034"/>
        <v>61706.643809523899</v>
      </c>
      <c r="AD6700" s="6">
        <f t="shared" si="1031"/>
        <v>1295839.52</v>
      </c>
      <c r="AE6700" s="14">
        <v>0.06</v>
      </c>
      <c r="AF6700" s="6">
        <f t="shared" si="1038"/>
        <v>77750.371199999994</v>
      </c>
      <c r="AG6700" s="14">
        <v>0</v>
      </c>
      <c r="AH6700" s="64">
        <f t="shared" si="1032"/>
        <v>1295839.52</v>
      </c>
      <c r="AJ6700" s="126" t="e">
        <v>#N/A</v>
      </c>
      <c r="AK6700" s="80">
        <f t="shared" si="1037"/>
        <v>0</v>
      </c>
      <c r="AL6700" s="85"/>
      <c r="AM6700" s="85"/>
    </row>
    <row r="6701" spans="1:39" s="86" customFormat="1" ht="13.25" hidden="1" customHeight="1" x14ac:dyDescent="0.3">
      <c r="A6701" s="89" t="s">
        <v>3794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47" t="str">
        <f t="shared" si="1033"/>
        <v>巨量引擎-一类平台/电商</v>
      </c>
      <c r="L6701" s="47" t="s">
        <v>35</v>
      </c>
      <c r="N6701" s="86" t="s">
        <v>3718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029"/>
        <v>-6127.24</v>
      </c>
      <c r="X6701" s="6">
        <f t="shared" si="1030"/>
        <v>5835.4666666666662</v>
      </c>
      <c r="Y6701" s="13">
        <f t="shared" si="1035"/>
        <v>0</v>
      </c>
      <c r="Z6701" s="66">
        <v>0</v>
      </c>
      <c r="AA6701" s="6">
        <v>0</v>
      </c>
      <c r="AB6701" s="4">
        <f t="shared" si="1036"/>
        <v>5835.4666666666662</v>
      </c>
      <c r="AC6701" s="6">
        <f t="shared" si="1034"/>
        <v>291.77333333333354</v>
      </c>
      <c r="AD6701" s="6">
        <f t="shared" si="1031"/>
        <v>6127.24</v>
      </c>
      <c r="AE6701" s="14">
        <v>0.06</v>
      </c>
      <c r="AF6701" s="6">
        <f t="shared" si="1038"/>
        <v>367.63439999999997</v>
      </c>
      <c r="AG6701" s="14">
        <v>0</v>
      </c>
      <c r="AH6701" s="64">
        <f t="shared" si="1032"/>
        <v>6127.24</v>
      </c>
      <c r="AJ6701" s="126" t="e">
        <v>#N/A</v>
      </c>
      <c r="AK6701" s="80">
        <f t="shared" si="1037"/>
        <v>0</v>
      </c>
      <c r="AL6701" s="85"/>
      <c r="AM6701" s="85"/>
    </row>
    <row r="6702" spans="1:39" s="86" customFormat="1" ht="13.25" hidden="1" customHeight="1" x14ac:dyDescent="0.3">
      <c r="A6702" s="89" t="s">
        <v>3794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47" t="str">
        <f t="shared" si="1033"/>
        <v>巨量引擎-一类</v>
      </c>
      <c r="L6702" s="47" t="s">
        <v>35</v>
      </c>
      <c r="N6702" s="86" t="s">
        <v>3707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029"/>
        <v>-0.08</v>
      </c>
      <c r="X6702" s="6">
        <f t="shared" si="1030"/>
        <v>7.4400000000000008E-2</v>
      </c>
      <c r="Y6702" s="13">
        <f t="shared" si="1035"/>
        <v>0</v>
      </c>
      <c r="Z6702" s="66">
        <v>0</v>
      </c>
      <c r="AA6702" s="6">
        <v>0</v>
      </c>
      <c r="AB6702" s="4">
        <f t="shared" si="1036"/>
        <v>7.4400000000000008E-2</v>
      </c>
      <c r="AC6702" s="6">
        <f t="shared" si="1034"/>
        <v>5.5999999999999939E-3</v>
      </c>
      <c r="AD6702" s="6">
        <f t="shared" si="1031"/>
        <v>0.08</v>
      </c>
      <c r="AE6702" s="14">
        <v>0.06</v>
      </c>
      <c r="AF6702" s="6">
        <f t="shared" si="1038"/>
        <v>4.7999999999999996E-3</v>
      </c>
      <c r="AG6702" s="14">
        <v>0</v>
      </c>
      <c r="AH6702" s="64">
        <f t="shared" si="1032"/>
        <v>0.08</v>
      </c>
      <c r="AJ6702" s="126" t="e">
        <v>#N/A</v>
      </c>
      <c r="AK6702" s="80">
        <f t="shared" si="1037"/>
        <v>0</v>
      </c>
      <c r="AL6702" s="85"/>
      <c r="AM6702" s="85"/>
    </row>
    <row r="6703" spans="1:39" s="86" customFormat="1" ht="13.25" hidden="1" customHeight="1" x14ac:dyDescent="0.3">
      <c r="A6703" s="89" t="s">
        <v>3794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47" t="str">
        <f t="shared" si="1033"/>
        <v>巨量引擎-一类平台/电商</v>
      </c>
      <c r="L6703" s="47" t="s">
        <v>35</v>
      </c>
      <c r="N6703" s="86" t="s">
        <v>3718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029"/>
        <v>-35775.129999999997</v>
      </c>
      <c r="X6703" s="6">
        <f t="shared" si="1030"/>
        <v>33270.870900000002</v>
      </c>
      <c r="Y6703" s="13">
        <f t="shared" si="1035"/>
        <v>0</v>
      </c>
      <c r="Z6703" s="66">
        <v>0</v>
      </c>
      <c r="AA6703" s="6">
        <v>0</v>
      </c>
      <c r="AB6703" s="4">
        <f t="shared" si="1036"/>
        <v>33270.870900000002</v>
      </c>
      <c r="AC6703" s="6">
        <f t="shared" si="1034"/>
        <v>2504.2590999999957</v>
      </c>
      <c r="AD6703" s="6">
        <f t="shared" si="1031"/>
        <v>35775.129999999997</v>
      </c>
      <c r="AE6703" s="14">
        <v>0.06</v>
      </c>
      <c r="AF6703" s="6">
        <f t="shared" si="1038"/>
        <v>2146.5077999999999</v>
      </c>
      <c r="AG6703" s="14">
        <v>0</v>
      </c>
      <c r="AH6703" s="64">
        <f t="shared" si="1032"/>
        <v>35775.129999999997</v>
      </c>
      <c r="AJ6703" s="126" t="e">
        <v>#N/A</v>
      </c>
      <c r="AK6703" s="80">
        <f t="shared" si="1037"/>
        <v>0</v>
      </c>
      <c r="AL6703" s="85"/>
      <c r="AM6703" s="85"/>
    </row>
    <row r="6704" spans="1:39" s="86" customFormat="1" ht="13.25" hidden="1" customHeight="1" x14ac:dyDescent="0.3">
      <c r="A6704" s="89" t="s">
        <v>3794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47" t="str">
        <f t="shared" ref="K6704:K6733" si="1039">N6704</f>
        <v>巨量引擎-三类</v>
      </c>
      <c r="L6704" s="47" t="s">
        <v>35</v>
      </c>
      <c r="N6704" s="86" t="s">
        <v>3712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040">T6704+U6704-V6704</f>
        <v>-2704025.81</v>
      </c>
      <c r="X6704" s="6">
        <f t="shared" ref="X6704:X6767" si="1041">IF(P6704="折扣",V6704*Q6704,IF(P6704="返现",V6704,V6704/(1+Q6704)))</f>
        <v>2704025.81</v>
      </c>
      <c r="Y6704" s="13">
        <f t="shared" si="1035"/>
        <v>0</v>
      </c>
      <c r="Z6704" s="66">
        <v>0</v>
      </c>
      <c r="AA6704" s="6">
        <v>0</v>
      </c>
      <c r="AB6704" s="4">
        <f t="shared" si="1036"/>
        <v>2704025.81</v>
      </c>
      <c r="AC6704" s="6">
        <f t="shared" si="1034"/>
        <v>162241.54860000001</v>
      </c>
      <c r="AD6704" s="6">
        <f t="shared" ref="AD6704:AD6733" si="1042">V6704</f>
        <v>2704025.81</v>
      </c>
      <c r="AE6704" s="14">
        <v>0.06</v>
      </c>
      <c r="AF6704" s="6">
        <f t="shared" si="1038"/>
        <v>162241.54860000001</v>
      </c>
      <c r="AG6704" s="14">
        <v>0</v>
      </c>
      <c r="AH6704" s="64">
        <f t="shared" ref="AH6704:AH6733" si="1043">V6704</f>
        <v>2704025.81</v>
      </c>
      <c r="AJ6704" s="126" t="e">
        <v>#N/A</v>
      </c>
      <c r="AK6704" s="80">
        <f t="shared" si="1037"/>
        <v>0</v>
      </c>
      <c r="AL6704" s="85"/>
      <c r="AM6704" s="85"/>
    </row>
    <row r="6705" spans="1:39" s="86" customFormat="1" ht="13.25" hidden="1" customHeight="1" x14ac:dyDescent="0.3">
      <c r="A6705" s="89" t="s">
        <v>3805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47" t="str">
        <f t="shared" si="1039"/>
        <v>巨量引擎-一类平台/电商</v>
      </c>
      <c r="L6705" s="47" t="s">
        <v>35</v>
      </c>
      <c r="N6705" s="86" t="s">
        <v>3718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040"/>
        <v>-13477169.910000002</v>
      </c>
      <c r="X6705" s="6">
        <f>IF(P6705="折扣",V6705*Q6705,IF(P6705="返现",V6705,V6705/(1+Q6705)))+164244.19</f>
        <v>12926715.69568182</v>
      </c>
      <c r="Y6705" s="13">
        <f t="shared" si="1035"/>
        <v>0</v>
      </c>
      <c r="Z6705" s="66">
        <v>0</v>
      </c>
      <c r="AA6705" s="6">
        <v>0</v>
      </c>
      <c r="AB6705" s="4">
        <f t="shared" si="1036"/>
        <v>12926715.69568182</v>
      </c>
      <c r="AC6705" s="6">
        <f t="shared" si="1034"/>
        <v>550454.21431818232</v>
      </c>
      <c r="AD6705" s="6">
        <f t="shared" si="1042"/>
        <v>13477169.910000002</v>
      </c>
      <c r="AE6705" s="14">
        <v>0.06</v>
      </c>
      <c r="AF6705" s="6">
        <f t="shared" si="1038"/>
        <v>808630.19460000005</v>
      </c>
      <c r="AG6705" s="14">
        <v>0</v>
      </c>
      <c r="AH6705" s="64">
        <f t="shared" si="1043"/>
        <v>13477169.910000002</v>
      </c>
      <c r="AJ6705" s="126" t="e">
        <v>#N/A</v>
      </c>
      <c r="AK6705" s="80">
        <f t="shared" si="1037"/>
        <v>0</v>
      </c>
      <c r="AL6705" s="85"/>
      <c r="AM6705" s="85"/>
    </row>
    <row r="6706" spans="1:39" s="86" customFormat="1" ht="13.25" hidden="1" customHeight="1" x14ac:dyDescent="0.3">
      <c r="A6706" s="89" t="s">
        <v>3805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47" t="str">
        <f t="shared" si="1039"/>
        <v>巨量引擎-一类</v>
      </c>
      <c r="L6706" s="47" t="s">
        <v>35</v>
      </c>
      <c r="N6706" s="86" t="s">
        <v>3707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040"/>
        <v>0</v>
      </c>
      <c r="X6706" s="6">
        <f t="shared" si="1041"/>
        <v>0</v>
      </c>
      <c r="Y6706" s="13">
        <f t="shared" si="1035"/>
        <v>0</v>
      </c>
      <c r="Z6706" s="66">
        <v>0</v>
      </c>
      <c r="AA6706" s="6">
        <v>0</v>
      </c>
      <c r="AB6706" s="4">
        <f t="shared" si="1036"/>
        <v>0</v>
      </c>
      <c r="AC6706" s="6">
        <f t="shared" si="1034"/>
        <v>0</v>
      </c>
      <c r="AD6706" s="6">
        <f t="shared" si="1042"/>
        <v>0</v>
      </c>
      <c r="AE6706" s="14">
        <v>0.06</v>
      </c>
      <c r="AF6706" s="6">
        <f t="shared" si="1038"/>
        <v>0</v>
      </c>
      <c r="AG6706" s="14">
        <v>0</v>
      </c>
      <c r="AH6706" s="64">
        <f t="shared" si="1043"/>
        <v>0</v>
      </c>
      <c r="AJ6706" s="126" t="e">
        <v>#N/A</v>
      </c>
      <c r="AK6706" s="80">
        <f t="shared" si="1037"/>
        <v>0</v>
      </c>
      <c r="AL6706" s="85"/>
      <c r="AM6706" s="85"/>
    </row>
    <row r="6707" spans="1:39" s="86" customFormat="1" ht="13.25" hidden="1" customHeight="1" x14ac:dyDescent="0.3">
      <c r="A6707" s="89" t="s">
        <v>3805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si="1039"/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040"/>
        <v>-70210.73</v>
      </c>
      <c r="X6707" s="6">
        <f t="shared" si="1041"/>
        <v>66236.537735849051</v>
      </c>
      <c r="Y6707" s="13">
        <f t="shared" si="1035"/>
        <v>0</v>
      </c>
      <c r="Z6707" s="66">
        <v>0</v>
      </c>
      <c r="AA6707" s="6">
        <v>0</v>
      </c>
      <c r="AB6707" s="4">
        <f t="shared" si="1036"/>
        <v>66236.537735849051</v>
      </c>
      <c r="AC6707" s="6">
        <f t="shared" si="1034"/>
        <v>3974.1922641509445</v>
      </c>
      <c r="AD6707" s="6">
        <f t="shared" si="1042"/>
        <v>70210.73</v>
      </c>
      <c r="AE6707" s="14">
        <v>0.06</v>
      </c>
      <c r="AF6707" s="6">
        <f t="shared" si="1038"/>
        <v>4212.6437999999998</v>
      </c>
      <c r="AG6707" s="14">
        <v>0</v>
      </c>
      <c r="AH6707" s="64">
        <f t="shared" si="1043"/>
        <v>70210.73</v>
      </c>
      <c r="AJ6707" s="126" t="e">
        <v>#N/A</v>
      </c>
      <c r="AK6707" s="80">
        <f t="shared" si="1037"/>
        <v>0</v>
      </c>
      <c r="AL6707" s="85"/>
      <c r="AM6707" s="85"/>
    </row>
    <row r="6708" spans="1:39" s="86" customFormat="1" ht="13.25" hidden="1" customHeight="1" x14ac:dyDescent="0.3">
      <c r="A6708" s="89" t="s">
        <v>3805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0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040"/>
        <v>-204.29999999999998</v>
      </c>
      <c r="X6708" s="6">
        <f t="shared" si="1041"/>
        <v>192.73584905660374</v>
      </c>
      <c r="Y6708" s="13">
        <f t="shared" si="1035"/>
        <v>0</v>
      </c>
      <c r="Z6708" s="14">
        <v>0</v>
      </c>
      <c r="AA6708" s="6">
        <v>0</v>
      </c>
      <c r="AB6708" s="4">
        <f t="shared" si="1036"/>
        <v>192.73584905660374</v>
      </c>
      <c r="AC6708" s="6">
        <f t="shared" si="1034"/>
        <v>11.564150943396243</v>
      </c>
      <c r="AD6708" s="6">
        <f t="shared" si="1042"/>
        <v>204.29999999999998</v>
      </c>
      <c r="AE6708" s="14">
        <v>0.06</v>
      </c>
      <c r="AF6708" s="6">
        <f t="shared" si="1038"/>
        <v>12.257999999999999</v>
      </c>
      <c r="AG6708" s="14">
        <v>0</v>
      </c>
      <c r="AH6708" s="64">
        <f t="shared" si="1043"/>
        <v>204.29999999999998</v>
      </c>
      <c r="AJ6708" s="126" t="e">
        <v>#N/A</v>
      </c>
      <c r="AK6708" s="80">
        <f t="shared" si="1037"/>
        <v>0</v>
      </c>
      <c r="AL6708" s="85"/>
      <c r="AM6708" s="85"/>
    </row>
    <row r="6709" spans="1:39" s="86" customFormat="1" ht="13.25" hidden="1" customHeight="1" x14ac:dyDescent="0.3">
      <c r="A6709" s="89" t="s">
        <v>3805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0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040"/>
        <v>-256339.99</v>
      </c>
      <c r="X6709" s="6">
        <f t="shared" si="1041"/>
        <v>241830.17924528301</v>
      </c>
      <c r="Y6709" s="13">
        <f t="shared" si="1035"/>
        <v>0</v>
      </c>
      <c r="Z6709" s="66">
        <v>0</v>
      </c>
      <c r="AA6709" s="6">
        <v>0</v>
      </c>
      <c r="AB6709" s="4">
        <f t="shared" si="1036"/>
        <v>241830.17924528301</v>
      </c>
      <c r="AC6709" s="6">
        <f t="shared" si="1034"/>
        <v>14509.810754716978</v>
      </c>
      <c r="AD6709" s="6">
        <f t="shared" si="1042"/>
        <v>256339.99</v>
      </c>
      <c r="AE6709" s="14">
        <v>0.06</v>
      </c>
      <c r="AF6709" s="6">
        <f t="shared" si="1038"/>
        <v>15380.399399999998</v>
      </c>
      <c r="AG6709" s="14">
        <v>0</v>
      </c>
      <c r="AH6709" s="64">
        <f t="shared" si="1043"/>
        <v>256339.99</v>
      </c>
      <c r="AJ6709" s="126" t="e">
        <v>#N/A</v>
      </c>
      <c r="AK6709" s="80">
        <f t="shared" si="1037"/>
        <v>0</v>
      </c>
      <c r="AL6709" s="85"/>
      <c r="AM6709" s="85"/>
    </row>
    <row r="6710" spans="1:39" s="86" customFormat="1" ht="13.25" hidden="1" customHeight="1" x14ac:dyDescent="0.3">
      <c r="A6710" s="89" t="s">
        <v>3805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47" t="str">
        <f t="shared" si="1039"/>
        <v>巨量引擎-一类</v>
      </c>
      <c r="L6710" s="47" t="s">
        <v>35</v>
      </c>
      <c r="N6710" s="86" t="s">
        <v>3708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040"/>
        <v>-2472393.06</v>
      </c>
      <c r="X6710" s="6">
        <f t="shared" si="1041"/>
        <v>2447913.9207920791</v>
      </c>
      <c r="Y6710" s="13">
        <f t="shared" si="1035"/>
        <v>0</v>
      </c>
      <c r="Z6710" s="66">
        <v>0</v>
      </c>
      <c r="AA6710" s="6">
        <v>0</v>
      </c>
      <c r="AB6710" s="4">
        <f t="shared" si="1036"/>
        <v>2447913.9207920791</v>
      </c>
      <c r="AC6710" s="6">
        <f t="shared" si="1034"/>
        <v>24479.139207920991</v>
      </c>
      <c r="AD6710" s="6">
        <f t="shared" si="1042"/>
        <v>2472393.06</v>
      </c>
      <c r="AE6710" s="14">
        <v>0.06</v>
      </c>
      <c r="AF6710" s="6">
        <f t="shared" si="1038"/>
        <v>148343.58359999998</v>
      </c>
      <c r="AG6710" s="14">
        <v>0</v>
      </c>
      <c r="AH6710" s="64">
        <f t="shared" si="1043"/>
        <v>2472393.06</v>
      </c>
      <c r="AJ6710" s="126" t="e">
        <v>#N/A</v>
      </c>
      <c r="AK6710" s="80">
        <f t="shared" si="1037"/>
        <v>0</v>
      </c>
      <c r="AL6710" s="85"/>
      <c r="AM6710" s="85"/>
    </row>
    <row r="6711" spans="1:39" s="86" customFormat="1" ht="13.25" hidden="1" customHeight="1" x14ac:dyDescent="0.3">
      <c r="A6711" s="89" t="s">
        <v>3805</v>
      </c>
      <c r="B6711" s="86" t="s">
        <v>35</v>
      </c>
      <c r="C6711" s="86" t="s">
        <v>59</v>
      </c>
      <c r="D6711" s="86" t="s">
        <v>60</v>
      </c>
      <c r="E6711" s="86" t="s">
        <v>3920</v>
      </c>
      <c r="F6711" s="86" t="s">
        <v>3920</v>
      </c>
      <c r="G6711" s="86" t="s">
        <v>3920</v>
      </c>
      <c r="H6711" s="144">
        <v>229</v>
      </c>
      <c r="I6711" s="86" t="s">
        <v>3356</v>
      </c>
      <c r="J6711" s="47" t="s">
        <v>3326</v>
      </c>
      <c r="K6711" s="47" t="str">
        <f t="shared" si="1039"/>
        <v>巨量引擎-一类平台/电商</v>
      </c>
      <c r="L6711" s="47" t="s">
        <v>35</v>
      </c>
      <c r="N6711" s="86" t="s">
        <v>3718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040"/>
        <v>-2070.5800000000004</v>
      </c>
      <c r="X6711" s="6">
        <f t="shared" si="1041"/>
        <v>2070.5800000000004</v>
      </c>
      <c r="Y6711" s="13">
        <f t="shared" si="1035"/>
        <v>0</v>
      </c>
      <c r="Z6711" s="66">
        <v>0</v>
      </c>
      <c r="AA6711" s="6">
        <v>0</v>
      </c>
      <c r="AB6711" s="4">
        <f t="shared" si="1036"/>
        <v>2070.5800000000004</v>
      </c>
      <c r="AC6711" s="6">
        <f t="shared" si="1034"/>
        <v>124.23480000000002</v>
      </c>
      <c r="AD6711" s="6">
        <f t="shared" si="1042"/>
        <v>2070.5800000000004</v>
      </c>
      <c r="AE6711" s="14">
        <v>0.06</v>
      </c>
      <c r="AF6711" s="6">
        <f t="shared" si="1038"/>
        <v>124.23480000000002</v>
      </c>
      <c r="AG6711" s="14">
        <v>0</v>
      </c>
      <c r="AH6711" s="64">
        <f t="shared" si="1043"/>
        <v>2070.5800000000004</v>
      </c>
      <c r="AJ6711" s="126" t="e">
        <v>#N/A</v>
      </c>
      <c r="AK6711" s="80">
        <f t="shared" si="1037"/>
        <v>0</v>
      </c>
      <c r="AL6711" s="85"/>
      <c r="AM6711" s="85"/>
    </row>
    <row r="6712" spans="1:39" s="86" customFormat="1" ht="13.25" hidden="1" customHeight="1" x14ac:dyDescent="0.3">
      <c r="A6712" s="89" t="s">
        <v>3805</v>
      </c>
      <c r="B6712" s="86" t="s">
        <v>35</v>
      </c>
      <c r="C6712" s="86" t="s">
        <v>59</v>
      </c>
      <c r="D6712" s="86" t="s">
        <v>60</v>
      </c>
      <c r="E6712" s="86" t="s">
        <v>3922</v>
      </c>
      <c r="F6712" s="86" t="s">
        <v>3922</v>
      </c>
      <c r="G6712" s="86" t="s">
        <v>3922</v>
      </c>
      <c r="H6712" s="144">
        <v>229</v>
      </c>
      <c r="I6712" s="86" t="s">
        <v>3356</v>
      </c>
      <c r="J6712" s="47" t="s">
        <v>3326</v>
      </c>
      <c r="K6712" s="47" t="str">
        <f t="shared" si="1039"/>
        <v>巨量引擎-一类</v>
      </c>
      <c r="L6712" s="47" t="s">
        <v>35</v>
      </c>
      <c r="N6712" s="86" t="s">
        <v>3707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040"/>
        <v>-118913.2</v>
      </c>
      <c r="X6712" s="6">
        <f t="shared" si="1041"/>
        <v>118913.2</v>
      </c>
      <c r="Y6712" s="13">
        <f t="shared" si="1035"/>
        <v>0</v>
      </c>
      <c r="Z6712" s="66">
        <v>0</v>
      </c>
      <c r="AA6712" s="6">
        <v>0</v>
      </c>
      <c r="AB6712" s="4">
        <f t="shared" si="1036"/>
        <v>118913.2</v>
      </c>
      <c r="AC6712" s="6">
        <f t="shared" si="1034"/>
        <v>7134.7919999999995</v>
      </c>
      <c r="AD6712" s="6">
        <f t="shared" si="1042"/>
        <v>118913.2</v>
      </c>
      <c r="AE6712" s="14">
        <v>0.06</v>
      </c>
      <c r="AF6712" s="6">
        <f t="shared" si="1038"/>
        <v>7134.7919999999995</v>
      </c>
      <c r="AG6712" s="14">
        <v>0</v>
      </c>
      <c r="AH6712" s="64">
        <f t="shared" si="1043"/>
        <v>118913.2</v>
      </c>
      <c r="AJ6712" s="126" t="e">
        <v>#N/A</v>
      </c>
      <c r="AK6712" s="80">
        <f t="shared" si="1037"/>
        <v>0</v>
      </c>
      <c r="AL6712" s="85"/>
      <c r="AM6712" s="85"/>
    </row>
    <row r="6713" spans="1:39" s="86" customFormat="1" ht="13.25" hidden="1" customHeight="1" x14ac:dyDescent="0.3">
      <c r="A6713" s="89" t="s">
        <v>3805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47" t="str">
        <f t="shared" si="1039"/>
        <v>巨量引擎-三类</v>
      </c>
      <c r="L6713" s="47" t="s">
        <v>35</v>
      </c>
      <c r="N6713" s="86" t="s">
        <v>3712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040"/>
        <v>-5037.2599999999993</v>
      </c>
      <c r="X6713" s="6">
        <f t="shared" si="1041"/>
        <v>4938.4901960784309</v>
      </c>
      <c r="Y6713" s="13">
        <f t="shared" si="1035"/>
        <v>0</v>
      </c>
      <c r="Z6713" s="66">
        <v>0</v>
      </c>
      <c r="AA6713" s="6">
        <v>0</v>
      </c>
      <c r="AB6713" s="4">
        <f t="shared" si="1036"/>
        <v>4938.4901960784309</v>
      </c>
      <c r="AC6713" s="6">
        <f t="shared" si="1034"/>
        <v>98.769803921568382</v>
      </c>
      <c r="AD6713" s="6">
        <f t="shared" si="1042"/>
        <v>5037.2599999999993</v>
      </c>
      <c r="AE6713" s="14">
        <v>0.06</v>
      </c>
      <c r="AF6713" s="6">
        <f t="shared" si="1038"/>
        <v>302.23559999999992</v>
      </c>
      <c r="AG6713" s="14">
        <v>0</v>
      </c>
      <c r="AH6713" s="64">
        <f t="shared" si="1043"/>
        <v>5037.2599999999993</v>
      </c>
      <c r="AJ6713" s="126" t="e">
        <v>#N/A</v>
      </c>
      <c r="AK6713" s="80">
        <f t="shared" si="1037"/>
        <v>0</v>
      </c>
      <c r="AL6713" s="85"/>
      <c r="AM6713" s="85"/>
    </row>
    <row r="6714" spans="1:39" s="86" customFormat="1" ht="13.25" hidden="1" customHeight="1" x14ac:dyDescent="0.3">
      <c r="A6714" s="89" t="s">
        <v>3805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47" t="str">
        <f t="shared" si="1039"/>
        <v>巨量引擎-一类平台/电商</v>
      </c>
      <c r="L6714" s="47" t="s">
        <v>35</v>
      </c>
      <c r="N6714" s="86" t="s">
        <v>3718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040"/>
        <v>-21.99</v>
      </c>
      <c r="X6714" s="6">
        <f t="shared" si="1041"/>
        <v>21.99</v>
      </c>
      <c r="Y6714" s="13">
        <f t="shared" si="1035"/>
        <v>0</v>
      </c>
      <c r="Z6714" s="66">
        <v>0</v>
      </c>
      <c r="AA6714" s="6">
        <v>0</v>
      </c>
      <c r="AB6714" s="4">
        <f t="shared" si="1036"/>
        <v>21.99</v>
      </c>
      <c r="AC6714" s="6">
        <f t="shared" si="1034"/>
        <v>0</v>
      </c>
      <c r="AD6714" s="6">
        <f t="shared" si="1042"/>
        <v>21.99</v>
      </c>
      <c r="AE6714" s="14">
        <v>0.06</v>
      </c>
      <c r="AF6714" s="6">
        <f t="shared" si="1038"/>
        <v>1.3193999999999999</v>
      </c>
      <c r="AG6714" s="14">
        <v>0</v>
      </c>
      <c r="AH6714" s="64">
        <f t="shared" si="1043"/>
        <v>21.99</v>
      </c>
      <c r="AJ6714" s="126" t="e">
        <v>#N/A</v>
      </c>
      <c r="AK6714" s="80">
        <f t="shared" si="1037"/>
        <v>0</v>
      </c>
      <c r="AL6714" s="85"/>
      <c r="AM6714" s="85"/>
    </row>
    <row r="6715" spans="1:39" s="86" customFormat="1" ht="13.25" hidden="1" customHeight="1" x14ac:dyDescent="0.3">
      <c r="A6715" s="89" t="s">
        <v>3805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47" t="str">
        <f t="shared" si="1039"/>
        <v>巨量引擎-三类</v>
      </c>
      <c r="L6715" s="47" t="s">
        <v>35</v>
      </c>
      <c r="N6715" s="86" t="s">
        <v>3712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040"/>
        <v>-50501.490000000005</v>
      </c>
      <c r="X6715" s="6">
        <f t="shared" si="1041"/>
        <v>50501.490000000005</v>
      </c>
      <c r="Y6715" s="13">
        <f t="shared" si="1035"/>
        <v>0</v>
      </c>
      <c r="Z6715" s="66">
        <v>0</v>
      </c>
      <c r="AA6715" s="6">
        <v>0</v>
      </c>
      <c r="AB6715" s="4">
        <f t="shared" si="1036"/>
        <v>50501.490000000005</v>
      </c>
      <c r="AC6715" s="6">
        <f t="shared" si="1034"/>
        <v>3030.0894000000003</v>
      </c>
      <c r="AD6715" s="6">
        <f t="shared" si="1042"/>
        <v>50501.490000000005</v>
      </c>
      <c r="AE6715" s="14">
        <v>0.06</v>
      </c>
      <c r="AF6715" s="6">
        <f t="shared" si="1038"/>
        <v>3030.0894000000003</v>
      </c>
      <c r="AG6715" s="14">
        <v>0</v>
      </c>
      <c r="AH6715" s="64">
        <f t="shared" si="1043"/>
        <v>50501.490000000005</v>
      </c>
      <c r="AJ6715" s="126" t="e">
        <v>#N/A</v>
      </c>
      <c r="AK6715" s="80">
        <f t="shared" si="1037"/>
        <v>0</v>
      </c>
      <c r="AL6715" s="85"/>
      <c r="AM6715" s="85"/>
    </row>
    <row r="6716" spans="1:39" s="86" customFormat="1" ht="13.25" hidden="1" customHeight="1" x14ac:dyDescent="0.3">
      <c r="A6716" s="89" t="s">
        <v>3805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47" t="str">
        <f t="shared" si="1039"/>
        <v>巨量引擎-三类</v>
      </c>
      <c r="L6716" s="47" t="s">
        <v>35</v>
      </c>
      <c r="N6716" s="86" t="s">
        <v>3712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040"/>
        <v>-19.32</v>
      </c>
      <c r="X6716" s="6">
        <f t="shared" si="1041"/>
        <v>19.32</v>
      </c>
      <c r="Y6716" s="13">
        <f t="shared" si="1035"/>
        <v>0</v>
      </c>
      <c r="Z6716" s="66">
        <v>0</v>
      </c>
      <c r="AA6716" s="6">
        <v>0</v>
      </c>
      <c r="AB6716" s="4">
        <f t="shared" si="1036"/>
        <v>19.32</v>
      </c>
      <c r="AC6716" s="6">
        <f t="shared" si="1034"/>
        <v>1.0626</v>
      </c>
      <c r="AD6716" s="6">
        <f t="shared" si="1042"/>
        <v>19.32</v>
      </c>
      <c r="AE6716" s="14">
        <v>0.06</v>
      </c>
      <c r="AF6716" s="6">
        <f t="shared" si="1038"/>
        <v>1.1592</v>
      </c>
      <c r="AG6716" s="14">
        <v>0</v>
      </c>
      <c r="AH6716" s="64">
        <f t="shared" si="1043"/>
        <v>19.32</v>
      </c>
      <c r="AJ6716" s="126" t="e">
        <v>#N/A</v>
      </c>
      <c r="AK6716" s="80">
        <f t="shared" si="1037"/>
        <v>0</v>
      </c>
      <c r="AL6716" s="85"/>
      <c r="AM6716" s="85"/>
    </row>
    <row r="6717" spans="1:39" s="86" customFormat="1" ht="13.25" hidden="1" customHeight="1" x14ac:dyDescent="0.3">
      <c r="A6717" s="89" t="s">
        <v>3805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0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040"/>
        <v>-216673.27000000002</v>
      </c>
      <c r="X6717" s="6">
        <f t="shared" si="1041"/>
        <v>208339.68269230772</v>
      </c>
      <c r="Y6717" s="13">
        <f t="shared" si="1035"/>
        <v>0</v>
      </c>
      <c r="Z6717" s="66">
        <v>0</v>
      </c>
      <c r="AA6717" s="6">
        <v>0</v>
      </c>
      <c r="AB6717" s="4">
        <f t="shared" si="1036"/>
        <v>208339.68269230772</v>
      </c>
      <c r="AC6717" s="6">
        <f t="shared" si="1034"/>
        <v>8333.5873076923017</v>
      </c>
      <c r="AD6717" s="6">
        <f t="shared" si="1042"/>
        <v>216673.27000000002</v>
      </c>
      <c r="AE6717" s="14">
        <v>0.06</v>
      </c>
      <c r="AF6717" s="6">
        <f t="shared" si="1038"/>
        <v>13000.396200000001</v>
      </c>
      <c r="AG6717" s="14">
        <v>0</v>
      </c>
      <c r="AH6717" s="64">
        <f t="shared" si="1043"/>
        <v>216673.27000000002</v>
      </c>
      <c r="AJ6717" s="126" t="e">
        <v>#N/A</v>
      </c>
      <c r="AK6717" s="80">
        <f t="shared" si="1037"/>
        <v>0</v>
      </c>
      <c r="AL6717" s="85"/>
      <c r="AM6717" s="85"/>
    </row>
    <row r="6718" spans="1:39" s="86" customFormat="1" ht="13.25" hidden="1" customHeight="1" x14ac:dyDescent="0.3">
      <c r="A6718" s="89" t="s">
        <v>3805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3970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0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040"/>
        <v>-1514.7699999999998</v>
      </c>
      <c r="X6718" s="6">
        <f t="shared" si="1041"/>
        <v>1514.7699999999998</v>
      </c>
      <c r="Y6718" s="13">
        <f t="shared" si="1035"/>
        <v>0</v>
      </c>
      <c r="Z6718" s="66">
        <v>0</v>
      </c>
      <c r="AA6718" s="6">
        <v>0</v>
      </c>
      <c r="AB6718" s="4">
        <f t="shared" si="1036"/>
        <v>1514.7699999999998</v>
      </c>
      <c r="AC6718" s="6">
        <f t="shared" ref="AC6718:AC6781" si="1044">IF(P6718="返现",X6718*Q6718,V6718-X6718)</f>
        <v>90.886199999999988</v>
      </c>
      <c r="AD6718" s="6">
        <f t="shared" si="1042"/>
        <v>1514.7699999999998</v>
      </c>
      <c r="AE6718" s="14">
        <v>0.06</v>
      </c>
      <c r="AF6718" s="6">
        <f t="shared" si="1038"/>
        <v>90.886199999999988</v>
      </c>
      <c r="AG6718" s="14">
        <v>0</v>
      </c>
      <c r="AH6718" s="64">
        <f t="shared" si="1043"/>
        <v>1514.7699999999998</v>
      </c>
      <c r="AJ6718" s="126" t="e">
        <v>#N/A</v>
      </c>
      <c r="AK6718" s="80">
        <f t="shared" si="1037"/>
        <v>0</v>
      </c>
      <c r="AL6718" s="85"/>
      <c r="AM6718" s="85"/>
    </row>
    <row r="6719" spans="1:39" s="86" customFormat="1" ht="13.25" hidden="1" customHeight="1" x14ac:dyDescent="0.3">
      <c r="A6719" s="89" t="s">
        <v>3805</v>
      </c>
      <c r="B6719" s="86" t="s">
        <v>35</v>
      </c>
      <c r="C6719" s="86" t="s">
        <v>187</v>
      </c>
      <c r="D6719" s="86" t="s">
        <v>188</v>
      </c>
      <c r="E6719" s="86" t="s">
        <v>3943</v>
      </c>
      <c r="F6719" s="86" t="s">
        <v>3943</v>
      </c>
      <c r="G6719" s="86" t="s">
        <v>3943</v>
      </c>
      <c r="H6719" s="144">
        <v>229</v>
      </c>
      <c r="I6719" s="86" t="s">
        <v>3356</v>
      </c>
      <c r="J6719" s="47" t="s">
        <v>3326</v>
      </c>
      <c r="K6719" s="47" t="str">
        <f t="shared" si="10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040"/>
        <v>-275866.79000000004</v>
      </c>
      <c r="X6719" s="6">
        <f t="shared" si="1041"/>
        <v>265256.52884615387</v>
      </c>
      <c r="Y6719" s="13">
        <f t="shared" si="1035"/>
        <v>0</v>
      </c>
      <c r="Z6719" s="66">
        <v>0</v>
      </c>
      <c r="AA6719" s="6">
        <v>0</v>
      </c>
      <c r="AB6719" s="4">
        <f t="shared" si="1036"/>
        <v>265256.52884615387</v>
      </c>
      <c r="AC6719" s="6">
        <f t="shared" si="1044"/>
        <v>10610.261153846164</v>
      </c>
      <c r="AD6719" s="6">
        <f t="shared" si="1042"/>
        <v>275866.79000000004</v>
      </c>
      <c r="AE6719" s="14">
        <v>0.06</v>
      </c>
      <c r="AF6719" s="6">
        <f t="shared" si="1038"/>
        <v>16552.007400000002</v>
      </c>
      <c r="AG6719" s="14">
        <v>0</v>
      </c>
      <c r="AH6719" s="64">
        <f t="shared" si="1043"/>
        <v>275866.79000000004</v>
      </c>
      <c r="AJ6719" s="126" t="e">
        <v>#N/A</v>
      </c>
      <c r="AK6719" s="80">
        <f t="shared" si="1037"/>
        <v>0</v>
      </c>
      <c r="AL6719" s="85"/>
      <c r="AM6719" s="85"/>
    </row>
    <row r="6720" spans="1:39" s="86" customFormat="1" ht="13.25" hidden="1" customHeight="1" x14ac:dyDescent="0.3">
      <c r="A6720" s="89" t="s">
        <v>3805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3936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47" t="str">
        <f t="shared" si="1039"/>
        <v>巨量引擎-二类</v>
      </c>
      <c r="L6720" s="47" t="s">
        <v>35</v>
      </c>
      <c r="N6720" s="86" t="s">
        <v>3710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040"/>
        <v>-2538.9499999999998</v>
      </c>
      <c r="X6720" s="6">
        <f t="shared" si="1041"/>
        <v>2372.8504672897193</v>
      </c>
      <c r="Y6720" s="13">
        <f t="shared" si="1035"/>
        <v>0</v>
      </c>
      <c r="Z6720" s="66">
        <v>0</v>
      </c>
      <c r="AA6720" s="6">
        <v>0</v>
      </c>
      <c r="AB6720" s="4">
        <f t="shared" si="1036"/>
        <v>2372.8504672897193</v>
      </c>
      <c r="AC6720" s="6">
        <f t="shared" si="1044"/>
        <v>166.09953271028053</v>
      </c>
      <c r="AD6720" s="6">
        <f t="shared" si="1042"/>
        <v>2538.9499999999998</v>
      </c>
      <c r="AE6720" s="14">
        <v>0.06</v>
      </c>
      <c r="AF6720" s="6">
        <f t="shared" si="1038"/>
        <v>152.33699999999999</v>
      </c>
      <c r="AG6720" s="14">
        <v>0</v>
      </c>
      <c r="AH6720" s="64">
        <f t="shared" si="1043"/>
        <v>2538.9499999999998</v>
      </c>
      <c r="AJ6720" s="126" t="e">
        <v>#N/A</v>
      </c>
      <c r="AK6720" s="80">
        <f t="shared" si="1037"/>
        <v>0</v>
      </c>
      <c r="AL6720" s="85"/>
      <c r="AM6720" s="85"/>
    </row>
    <row r="6721" spans="1:39" s="86" customFormat="1" ht="13.25" hidden="1" customHeight="1" x14ac:dyDescent="0.3">
      <c r="A6721" s="89" t="s">
        <v>3805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47" t="str">
        <f t="shared" si="1039"/>
        <v>巨量引擎-一类</v>
      </c>
      <c r="L6721" s="47" t="s">
        <v>35</v>
      </c>
      <c r="N6721" s="86" t="s">
        <v>3707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040"/>
        <v>-5.129999999999999</v>
      </c>
      <c r="X6721" s="6">
        <f t="shared" si="1041"/>
        <v>5.129999999999999</v>
      </c>
      <c r="Y6721" s="13">
        <f t="shared" si="1035"/>
        <v>0</v>
      </c>
      <c r="Z6721" s="66">
        <v>0</v>
      </c>
      <c r="AA6721" s="6">
        <v>0</v>
      </c>
      <c r="AB6721" s="4">
        <f t="shared" si="1036"/>
        <v>5.129999999999999</v>
      </c>
      <c r="AC6721" s="6">
        <f t="shared" si="1044"/>
        <v>0</v>
      </c>
      <c r="AD6721" s="6">
        <f t="shared" si="1042"/>
        <v>5.129999999999999</v>
      </c>
      <c r="AE6721" s="14">
        <v>0.06</v>
      </c>
      <c r="AF6721" s="6">
        <f t="shared" si="1038"/>
        <v>0.30779999999999991</v>
      </c>
      <c r="AG6721" s="14">
        <v>0</v>
      </c>
      <c r="AH6721" s="64">
        <f t="shared" si="1043"/>
        <v>5.129999999999999</v>
      </c>
      <c r="AJ6721" s="126" t="e">
        <v>#N/A</v>
      </c>
      <c r="AK6721" s="80">
        <f t="shared" si="1037"/>
        <v>0</v>
      </c>
      <c r="AL6721" s="85"/>
      <c r="AM6721" s="85"/>
    </row>
    <row r="6722" spans="1:39" s="86" customFormat="1" ht="13.25" hidden="1" customHeight="1" x14ac:dyDescent="0.3">
      <c r="A6722" s="89" t="s">
        <v>3805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0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040"/>
        <v>-175.27</v>
      </c>
      <c r="X6722" s="6">
        <f t="shared" si="1041"/>
        <v>170.16504854368932</v>
      </c>
      <c r="Y6722" s="13">
        <f t="shared" si="1035"/>
        <v>0</v>
      </c>
      <c r="Z6722" s="66">
        <v>0</v>
      </c>
      <c r="AA6722" s="6">
        <v>0</v>
      </c>
      <c r="AB6722" s="4">
        <f t="shared" si="1036"/>
        <v>170.16504854368932</v>
      </c>
      <c r="AC6722" s="6">
        <f t="shared" si="1044"/>
        <v>5.1049514563106868</v>
      </c>
      <c r="AD6722" s="6">
        <f t="shared" si="1042"/>
        <v>175.27</v>
      </c>
      <c r="AE6722" s="14">
        <v>0.06</v>
      </c>
      <c r="AF6722" s="6">
        <f t="shared" si="1038"/>
        <v>10.5162</v>
      </c>
      <c r="AG6722" s="14">
        <v>0</v>
      </c>
      <c r="AH6722" s="64">
        <f t="shared" si="1043"/>
        <v>175.27</v>
      </c>
      <c r="AJ6722" s="126" t="e">
        <v>#N/A</v>
      </c>
      <c r="AK6722" s="80">
        <f t="shared" si="1037"/>
        <v>0</v>
      </c>
      <c r="AL6722" s="85"/>
      <c r="AM6722" s="85"/>
    </row>
    <row r="6723" spans="1:39" s="86" customFormat="1" ht="13.25" hidden="1" customHeight="1" x14ac:dyDescent="0.3">
      <c r="A6723" s="89" t="s">
        <v>3805</v>
      </c>
      <c r="B6723" s="86" t="s">
        <v>35</v>
      </c>
      <c r="C6723" s="86" t="s">
        <v>187</v>
      </c>
      <c r="D6723" s="86" t="s">
        <v>188</v>
      </c>
      <c r="E6723" s="86" t="s">
        <v>3945</v>
      </c>
      <c r="F6723" s="86" t="s">
        <v>3945</v>
      </c>
      <c r="G6723" s="86" t="s">
        <v>3945</v>
      </c>
      <c r="H6723" s="144">
        <v>229</v>
      </c>
      <c r="I6723" s="86" t="s">
        <v>3356</v>
      </c>
      <c r="J6723" s="47" t="s">
        <v>3326</v>
      </c>
      <c r="K6723" s="47" t="str">
        <f t="shared" si="10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040"/>
        <v>-67538.98</v>
      </c>
      <c r="X6723" s="6">
        <f t="shared" si="1041"/>
        <v>63716.018867924518</v>
      </c>
      <c r="Y6723" s="13">
        <f t="shared" ref="Y6723:Y6786" si="1045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046">X6723+AA6723</f>
        <v>63716.018867924518</v>
      </c>
      <c r="AC6723" s="6">
        <f t="shared" si="1044"/>
        <v>3822.9611320754775</v>
      </c>
      <c r="AD6723" s="6">
        <f t="shared" si="1042"/>
        <v>67538.98</v>
      </c>
      <c r="AE6723" s="14">
        <v>0.06</v>
      </c>
      <c r="AF6723" s="6">
        <f t="shared" si="1038"/>
        <v>4052.3387999999995</v>
      </c>
      <c r="AG6723" s="14">
        <v>0</v>
      </c>
      <c r="AH6723" s="64">
        <f t="shared" si="1043"/>
        <v>67538.98</v>
      </c>
      <c r="AJ6723" s="126" t="e">
        <v>#N/A</v>
      </c>
      <c r="AK6723" s="80">
        <f t="shared" ref="AK6723:AK6786" si="1047">X6723+AA6723-AB6723</f>
        <v>0</v>
      </c>
      <c r="AL6723" s="85"/>
      <c r="AM6723" s="85"/>
    </row>
    <row r="6724" spans="1:39" s="86" customFormat="1" ht="13.25" hidden="1" customHeight="1" x14ac:dyDescent="0.3">
      <c r="A6724" s="89" t="s">
        <v>3805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0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040"/>
        <v>-2127.5700000000002</v>
      </c>
      <c r="X6724" s="6">
        <f t="shared" si="1041"/>
        <v>2007.1415094339623</v>
      </c>
      <c r="Y6724" s="13">
        <f t="shared" si="1045"/>
        <v>0</v>
      </c>
      <c r="Z6724" s="66">
        <v>0</v>
      </c>
      <c r="AA6724" s="6">
        <v>0</v>
      </c>
      <c r="AB6724" s="4">
        <f t="shared" si="1046"/>
        <v>2007.1415094339623</v>
      </c>
      <c r="AC6724" s="6">
        <f t="shared" si="1044"/>
        <v>120.42849056603791</v>
      </c>
      <c r="AD6724" s="6">
        <f t="shared" si="1042"/>
        <v>2127.5700000000002</v>
      </c>
      <c r="AE6724" s="14">
        <v>0.06</v>
      </c>
      <c r="AF6724" s="6">
        <f t="shared" si="1038"/>
        <v>127.6542</v>
      </c>
      <c r="AG6724" s="14">
        <v>0</v>
      </c>
      <c r="AH6724" s="64">
        <f t="shared" si="1043"/>
        <v>2127.5700000000002</v>
      </c>
      <c r="AJ6724" s="126" t="e">
        <v>#N/A</v>
      </c>
      <c r="AK6724" s="80">
        <f t="shared" si="1047"/>
        <v>0</v>
      </c>
      <c r="AL6724" s="85"/>
      <c r="AM6724" s="85"/>
    </row>
    <row r="6725" spans="1:39" s="86" customFormat="1" ht="13.25" hidden="1" customHeight="1" x14ac:dyDescent="0.3">
      <c r="A6725" s="89" t="s">
        <v>3805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47" t="str">
        <f t="shared" si="1039"/>
        <v>巨量引擎-二类</v>
      </c>
      <c r="L6725" s="47" t="s">
        <v>35</v>
      </c>
      <c r="N6725" s="86" t="s">
        <v>3710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040"/>
        <v>-0.01</v>
      </c>
      <c r="X6725" s="6">
        <f t="shared" si="1041"/>
        <v>9.8039215686274508E-3</v>
      </c>
      <c r="Y6725" s="13">
        <f t="shared" si="1045"/>
        <v>0</v>
      </c>
      <c r="Z6725" s="66">
        <v>0</v>
      </c>
      <c r="AA6725" s="6">
        <v>0</v>
      </c>
      <c r="AB6725" s="4">
        <f t="shared" si="1046"/>
        <v>9.8039215686274508E-3</v>
      </c>
      <c r="AC6725" s="6">
        <f t="shared" si="1044"/>
        <v>1.9607843137254936E-4</v>
      </c>
      <c r="AD6725" s="6">
        <f t="shared" si="1042"/>
        <v>0.01</v>
      </c>
      <c r="AE6725" s="14">
        <v>0.06</v>
      </c>
      <c r="AF6725" s="6">
        <f t="shared" si="1038"/>
        <v>5.9999999999999995E-4</v>
      </c>
      <c r="AG6725" s="14">
        <v>0</v>
      </c>
      <c r="AH6725" s="64">
        <f t="shared" si="1043"/>
        <v>0.01</v>
      </c>
      <c r="AJ6725" s="126" t="e">
        <v>#N/A</v>
      </c>
      <c r="AK6725" s="80">
        <f t="shared" si="1047"/>
        <v>0</v>
      </c>
      <c r="AL6725" s="85"/>
      <c r="AM6725" s="85"/>
    </row>
    <row r="6726" spans="1:39" s="86" customFormat="1" ht="13.25" hidden="1" customHeight="1" x14ac:dyDescent="0.3">
      <c r="A6726" s="89" t="s">
        <v>3805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47" t="str">
        <f t="shared" si="1039"/>
        <v>巨量引擎-三类</v>
      </c>
      <c r="L6726" s="47" t="s">
        <v>35</v>
      </c>
      <c r="N6726" s="86" t="s">
        <v>3712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040"/>
        <v>-58.78</v>
      </c>
      <c r="X6726" s="6">
        <f t="shared" si="1041"/>
        <v>57.627450980392155</v>
      </c>
      <c r="Y6726" s="13">
        <f t="shared" si="1045"/>
        <v>0</v>
      </c>
      <c r="Z6726" s="66">
        <v>0</v>
      </c>
      <c r="AA6726" s="6">
        <v>0</v>
      </c>
      <c r="AB6726" s="4">
        <f t="shared" si="1046"/>
        <v>57.627450980392155</v>
      </c>
      <c r="AC6726" s="6">
        <f t="shared" si="1044"/>
        <v>1.1525490196078465</v>
      </c>
      <c r="AD6726" s="6">
        <f t="shared" si="1042"/>
        <v>58.78</v>
      </c>
      <c r="AE6726" s="14">
        <v>0.06</v>
      </c>
      <c r="AF6726" s="6">
        <f t="shared" si="1038"/>
        <v>3.5268000000000002</v>
      </c>
      <c r="AG6726" s="14">
        <v>0</v>
      </c>
      <c r="AH6726" s="64">
        <f t="shared" si="1043"/>
        <v>58.78</v>
      </c>
      <c r="AJ6726" s="126" t="e">
        <v>#N/A</v>
      </c>
      <c r="AK6726" s="80">
        <f t="shared" si="1047"/>
        <v>0</v>
      </c>
      <c r="AL6726" s="85"/>
      <c r="AM6726" s="85"/>
    </row>
    <row r="6727" spans="1:39" s="86" customFormat="1" ht="13.25" hidden="1" customHeight="1" x14ac:dyDescent="0.3">
      <c r="A6727" s="89" t="s">
        <v>3805</v>
      </c>
      <c r="B6727" s="86" t="s">
        <v>35</v>
      </c>
      <c r="C6727" s="86" t="s">
        <v>187</v>
      </c>
      <c r="D6727" s="86" t="s">
        <v>188</v>
      </c>
      <c r="E6727" s="86" t="s">
        <v>3949</v>
      </c>
      <c r="F6727" s="86" t="s">
        <v>3949</v>
      </c>
      <c r="G6727" s="86" t="s">
        <v>3949</v>
      </c>
      <c r="H6727" s="144">
        <v>229</v>
      </c>
      <c r="I6727" s="86" t="s">
        <v>3356</v>
      </c>
      <c r="J6727" s="47" t="s">
        <v>3326</v>
      </c>
      <c r="K6727" s="47" t="str">
        <f t="shared" si="10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040"/>
        <v>-62.260000000000005</v>
      </c>
      <c r="X6727" s="6">
        <f t="shared" si="1041"/>
        <v>62.260000000000005</v>
      </c>
      <c r="Y6727" s="13">
        <f t="shared" si="1045"/>
        <v>0</v>
      </c>
      <c r="Z6727" s="66">
        <v>0</v>
      </c>
      <c r="AA6727" s="6">
        <v>0</v>
      </c>
      <c r="AB6727" s="4">
        <f t="shared" si="1046"/>
        <v>62.260000000000005</v>
      </c>
      <c r="AC6727" s="6">
        <f t="shared" si="1044"/>
        <v>0</v>
      </c>
      <c r="AD6727" s="6">
        <f t="shared" si="1042"/>
        <v>62.260000000000005</v>
      </c>
      <c r="AE6727" s="14">
        <v>0.06</v>
      </c>
      <c r="AF6727" s="6">
        <f t="shared" si="1038"/>
        <v>3.7356000000000003</v>
      </c>
      <c r="AG6727" s="14">
        <v>0</v>
      </c>
      <c r="AH6727" s="64">
        <f t="shared" si="1043"/>
        <v>62.260000000000005</v>
      </c>
      <c r="AJ6727" s="126" t="e">
        <v>#N/A</v>
      </c>
      <c r="AK6727" s="80">
        <f t="shared" si="1047"/>
        <v>0</v>
      </c>
      <c r="AL6727" s="85"/>
      <c r="AM6727" s="85"/>
    </row>
    <row r="6728" spans="1:39" s="86" customFormat="1" ht="13.25" hidden="1" customHeight="1" x14ac:dyDescent="0.3">
      <c r="A6728" s="89" t="s">
        <v>3805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0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040"/>
        <v>-354.75</v>
      </c>
      <c r="X6728" s="6">
        <f t="shared" si="1041"/>
        <v>341.10576923076923</v>
      </c>
      <c r="Y6728" s="13">
        <f t="shared" si="1045"/>
        <v>0</v>
      </c>
      <c r="Z6728" s="66">
        <v>0</v>
      </c>
      <c r="AA6728" s="6">
        <v>0</v>
      </c>
      <c r="AB6728" s="4">
        <f t="shared" si="1046"/>
        <v>341.10576923076923</v>
      </c>
      <c r="AC6728" s="6">
        <f t="shared" si="1044"/>
        <v>13.644230769230774</v>
      </c>
      <c r="AD6728" s="6">
        <f t="shared" si="1042"/>
        <v>354.75</v>
      </c>
      <c r="AE6728" s="14">
        <v>0.06</v>
      </c>
      <c r="AF6728" s="6">
        <f t="shared" si="1038"/>
        <v>21.285</v>
      </c>
      <c r="AG6728" s="14">
        <v>0</v>
      </c>
      <c r="AH6728" s="64">
        <f t="shared" si="1043"/>
        <v>354.75</v>
      </c>
      <c r="AJ6728" s="126" t="e">
        <v>#N/A</v>
      </c>
      <c r="AK6728" s="80">
        <f t="shared" si="1047"/>
        <v>0</v>
      </c>
      <c r="AL6728" s="85"/>
      <c r="AM6728" s="85"/>
    </row>
    <row r="6729" spans="1:39" s="86" customFormat="1" ht="13.25" hidden="1" customHeight="1" x14ac:dyDescent="0.3">
      <c r="A6729" s="89" t="s">
        <v>3805</v>
      </c>
      <c r="B6729" s="86" t="s">
        <v>35</v>
      </c>
      <c r="C6729" s="86" t="s">
        <v>59</v>
      </c>
      <c r="D6729" s="86" t="s">
        <v>60</v>
      </c>
      <c r="E6729" s="86" t="s">
        <v>3971</v>
      </c>
      <c r="F6729" s="86" t="s">
        <v>3972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0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040"/>
        <v>992989.50000000023</v>
      </c>
      <c r="X6729" s="6">
        <f t="shared" si="1041"/>
        <v>203010.49999999977</v>
      </c>
      <c r="Y6729" s="13">
        <f t="shared" si="1045"/>
        <v>0</v>
      </c>
      <c r="Z6729" s="66">
        <v>0</v>
      </c>
      <c r="AA6729" s="6">
        <v>0</v>
      </c>
      <c r="AB6729" s="4">
        <f t="shared" si="1046"/>
        <v>203010.49999999977</v>
      </c>
      <c r="AC6729" s="6">
        <f t="shared" si="1044"/>
        <v>12180.629999999986</v>
      </c>
      <c r="AD6729" s="6">
        <f t="shared" si="1042"/>
        <v>203010.49999999977</v>
      </c>
      <c r="AE6729" s="14">
        <v>0.06</v>
      </c>
      <c r="AF6729" s="6">
        <f t="shared" si="1038"/>
        <v>12180.629999999986</v>
      </c>
      <c r="AG6729" s="14">
        <v>0</v>
      </c>
      <c r="AH6729" s="64">
        <f t="shared" si="1043"/>
        <v>203010.49999999977</v>
      </c>
      <c r="AJ6729" s="126" t="e">
        <v>#N/A</v>
      </c>
      <c r="AK6729" s="80">
        <f t="shared" si="1047"/>
        <v>0</v>
      </c>
      <c r="AL6729" s="85"/>
      <c r="AM6729" s="85"/>
    </row>
    <row r="6730" spans="1:39" s="86" customFormat="1" ht="13.25" hidden="1" customHeight="1" x14ac:dyDescent="0.3">
      <c r="A6730" s="89" t="s">
        <v>3805</v>
      </c>
      <c r="B6730" s="86" t="s">
        <v>35</v>
      </c>
      <c r="C6730" s="86" t="s">
        <v>59</v>
      </c>
      <c r="D6730" s="86" t="s">
        <v>60</v>
      </c>
      <c r="E6730" s="86" t="s">
        <v>3971</v>
      </c>
      <c r="F6730" s="86" t="s">
        <v>3973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0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040"/>
        <v>5708.25</v>
      </c>
      <c r="X6730" s="6">
        <f t="shared" si="1041"/>
        <v>1979149.79</v>
      </c>
      <c r="Y6730" s="13">
        <f t="shared" si="1045"/>
        <v>0</v>
      </c>
      <c r="Z6730" s="14">
        <v>0</v>
      </c>
      <c r="AA6730" s="6">
        <v>0</v>
      </c>
      <c r="AB6730" s="4">
        <f t="shared" si="1046"/>
        <v>1979149.79</v>
      </c>
      <c r="AC6730" s="6">
        <f t="shared" si="1044"/>
        <v>118748.9874</v>
      </c>
      <c r="AD6730" s="6">
        <f t="shared" si="1042"/>
        <v>1979149.79</v>
      </c>
      <c r="AE6730" s="14">
        <v>0.06</v>
      </c>
      <c r="AF6730" s="6">
        <f t="shared" si="1038"/>
        <v>118748.9874</v>
      </c>
      <c r="AG6730" s="14">
        <v>0</v>
      </c>
      <c r="AH6730" s="64">
        <f t="shared" si="1043"/>
        <v>1979149.79</v>
      </c>
      <c r="AJ6730" s="126" t="e">
        <v>#N/A</v>
      </c>
      <c r="AK6730" s="80">
        <f t="shared" si="1047"/>
        <v>0</v>
      </c>
      <c r="AL6730" s="85"/>
      <c r="AM6730" s="85"/>
    </row>
    <row r="6731" spans="1:39" s="86" customFormat="1" ht="13.25" hidden="1" customHeight="1" x14ac:dyDescent="0.3">
      <c r="A6731" s="89" t="s">
        <v>3805</v>
      </c>
      <c r="B6731" s="86" t="s">
        <v>35</v>
      </c>
      <c r="C6731" s="86" t="s">
        <v>59</v>
      </c>
      <c r="D6731" s="86" t="s">
        <v>60</v>
      </c>
      <c r="E6731" s="86" t="s">
        <v>3971</v>
      </c>
      <c r="F6731" s="86" t="s">
        <v>3974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0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040"/>
        <v>1530000</v>
      </c>
      <c r="X6731" s="6">
        <f t="shared" si="1041"/>
        <v>0</v>
      </c>
      <c r="Y6731" s="13">
        <f t="shared" si="1045"/>
        <v>0</v>
      </c>
      <c r="Z6731" s="14">
        <v>0</v>
      </c>
      <c r="AA6731" s="6">
        <v>0</v>
      </c>
      <c r="AB6731" s="4">
        <f t="shared" si="1046"/>
        <v>0</v>
      </c>
      <c r="AC6731" s="6">
        <f t="shared" si="1044"/>
        <v>0</v>
      </c>
      <c r="AD6731" s="6">
        <f t="shared" si="1042"/>
        <v>0</v>
      </c>
      <c r="AE6731" s="14">
        <v>0.06</v>
      </c>
      <c r="AF6731" s="6">
        <f t="shared" si="1038"/>
        <v>0</v>
      </c>
      <c r="AG6731" s="14">
        <v>0</v>
      </c>
      <c r="AH6731" s="64">
        <f t="shared" si="1043"/>
        <v>0</v>
      </c>
      <c r="AJ6731" s="126" t="e">
        <v>#N/A</v>
      </c>
      <c r="AK6731" s="80">
        <f t="shared" si="1047"/>
        <v>0</v>
      </c>
      <c r="AL6731" s="85"/>
      <c r="AM6731" s="85"/>
    </row>
    <row r="6732" spans="1:39" s="86" customFormat="1" ht="13.25" hidden="1" customHeight="1" x14ac:dyDescent="0.3">
      <c r="A6732" s="89" t="s">
        <v>3805</v>
      </c>
      <c r="B6732" s="86" t="s">
        <v>35</v>
      </c>
      <c r="C6732" s="86" t="s">
        <v>59</v>
      </c>
      <c r="D6732" s="86" t="s">
        <v>60</v>
      </c>
      <c r="E6732" s="86" t="s">
        <v>3975</v>
      </c>
      <c r="F6732" s="86" t="s">
        <v>3976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0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040"/>
        <v>4062290.98</v>
      </c>
      <c r="X6732" s="6">
        <f t="shared" si="1041"/>
        <v>0</v>
      </c>
      <c r="Y6732" s="13">
        <f t="shared" si="1045"/>
        <v>0</v>
      </c>
      <c r="Z6732" s="14">
        <v>0</v>
      </c>
      <c r="AA6732" s="6">
        <v>0</v>
      </c>
      <c r="AB6732" s="4">
        <f t="shared" si="1046"/>
        <v>0</v>
      </c>
      <c r="AC6732" s="6">
        <f t="shared" si="1044"/>
        <v>0</v>
      </c>
      <c r="AD6732" s="6">
        <f t="shared" si="1042"/>
        <v>0</v>
      </c>
      <c r="AE6732" s="14">
        <v>0.06</v>
      </c>
      <c r="AF6732" s="6">
        <f t="shared" si="1038"/>
        <v>0</v>
      </c>
      <c r="AG6732" s="14">
        <v>0</v>
      </c>
      <c r="AH6732" s="64">
        <f t="shared" si="1043"/>
        <v>0</v>
      </c>
      <c r="AJ6732" s="126" t="e">
        <v>#N/A</v>
      </c>
      <c r="AK6732" s="80">
        <f t="shared" si="1047"/>
        <v>0</v>
      </c>
      <c r="AL6732" s="85"/>
      <c r="AM6732" s="85"/>
    </row>
    <row r="6733" spans="1:39" s="86" customFormat="1" ht="13.25" hidden="1" customHeight="1" x14ac:dyDescent="0.3">
      <c r="A6733" s="89" t="s">
        <v>3805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3977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0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040"/>
        <v>12188.849999997765</v>
      </c>
      <c r="X6733" s="6">
        <f t="shared" si="1041"/>
        <v>27501608.551401868</v>
      </c>
      <c r="Y6733" s="13">
        <f t="shared" si="1045"/>
        <v>0</v>
      </c>
      <c r="Z6733" s="14">
        <v>0</v>
      </c>
      <c r="AA6733" s="6">
        <v>0</v>
      </c>
      <c r="AB6733" s="4">
        <f t="shared" si="1046"/>
        <v>27501608.551401868</v>
      </c>
      <c r="AC6733" s="6">
        <f t="shared" si="1044"/>
        <v>1925112.5985981338</v>
      </c>
      <c r="AD6733" s="6">
        <f t="shared" si="1042"/>
        <v>29426721.150000002</v>
      </c>
      <c r="AE6733" s="14">
        <v>0.06</v>
      </c>
      <c r="AF6733" s="6">
        <f t="shared" si="1038"/>
        <v>1765603.2690000001</v>
      </c>
      <c r="AG6733" s="14">
        <v>0</v>
      </c>
      <c r="AH6733" s="64">
        <f t="shared" si="1043"/>
        <v>29426721.150000002</v>
      </c>
      <c r="AJ6733" s="126" t="e">
        <v>#N/A</v>
      </c>
      <c r="AK6733" s="80">
        <f t="shared" si="1047"/>
        <v>0</v>
      </c>
      <c r="AL6733" s="85"/>
      <c r="AM6733" s="85"/>
    </row>
    <row r="6734" spans="1:39" s="86" customFormat="1" ht="13.25" hidden="1" customHeight="1" x14ac:dyDescent="0.3">
      <c r="A6734" s="89" t="s">
        <v>3805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040"/>
        <v>3352501.290000001</v>
      </c>
      <c r="X6734" s="6">
        <f t="shared" si="1041"/>
        <v>7514229.6600000001</v>
      </c>
      <c r="Y6734" s="13">
        <f t="shared" si="1045"/>
        <v>0</v>
      </c>
      <c r="Z6734" s="66">
        <v>0</v>
      </c>
      <c r="AA6734" s="6">
        <v>0</v>
      </c>
      <c r="AB6734" s="4">
        <f t="shared" si="1046"/>
        <v>7514229.6600000001</v>
      </c>
      <c r="AC6734" s="6">
        <f t="shared" si="1044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038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047"/>
        <v>0</v>
      </c>
      <c r="AL6734" s="85"/>
      <c r="AM6734" s="85"/>
    </row>
    <row r="6735" spans="1:39" s="86" customFormat="1" ht="13.25" hidden="1" customHeight="1" x14ac:dyDescent="0.3">
      <c r="A6735" s="89" t="s">
        <v>3978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040"/>
        <v>3423470.8000000007</v>
      </c>
      <c r="X6735" s="6">
        <f t="shared" si="1041"/>
        <v>1903205.18</v>
      </c>
      <c r="Y6735" s="13">
        <f t="shared" si="1045"/>
        <v>0</v>
      </c>
      <c r="Z6735" s="66">
        <v>0</v>
      </c>
      <c r="AA6735" s="6">
        <v>0</v>
      </c>
      <c r="AB6735" s="4">
        <f t="shared" si="1046"/>
        <v>1903205.18</v>
      </c>
      <c r="AC6735" s="6">
        <f t="shared" si="1044"/>
        <v>0</v>
      </c>
      <c r="AD6735" s="6">
        <f t="shared" ref="AD6735:AD6798" si="1048">V6735</f>
        <v>1903205.18</v>
      </c>
      <c r="AE6735" s="14">
        <f>VLOOKUP(I6735,[2]媒体政策预估表!A:N,MATCH(O6735,[2]媒体政策预估表!$A$2:$M$2,0),0)</f>
        <v>0</v>
      </c>
      <c r="AF6735" s="6">
        <f t="shared" si="1038"/>
        <v>0</v>
      </c>
      <c r="AG6735" s="14">
        <v>0</v>
      </c>
      <c r="AH6735" s="64">
        <f t="shared" ref="AH6735:AH6798" si="1049">V6735</f>
        <v>1903205.18</v>
      </c>
      <c r="AJ6735" s="126" t="e">
        <v>#N/A</v>
      </c>
      <c r="AK6735" s="80">
        <f t="shared" si="1047"/>
        <v>0</v>
      </c>
      <c r="AL6735" s="85"/>
      <c r="AM6735" s="85"/>
    </row>
    <row r="6736" spans="1:39" s="86" customFormat="1" ht="13.25" hidden="1" customHeight="1" x14ac:dyDescent="0.3">
      <c r="A6736" s="89" t="s">
        <v>3792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040"/>
        <v>0</v>
      </c>
      <c r="X6736" s="6">
        <f t="shared" si="1041"/>
        <v>323490</v>
      </c>
      <c r="Y6736" s="13">
        <f t="shared" si="1045"/>
        <v>0</v>
      </c>
      <c r="Z6736" s="66">
        <v>0</v>
      </c>
      <c r="AA6736" s="6">
        <v>0</v>
      </c>
      <c r="AB6736" s="4">
        <f t="shared" si="1046"/>
        <v>323490</v>
      </c>
      <c r="AC6736" s="6">
        <f t="shared" si="1044"/>
        <v>0</v>
      </c>
      <c r="AD6736" s="6">
        <f t="shared" si="1048"/>
        <v>323490</v>
      </c>
      <c r="AE6736" s="14">
        <f>VLOOKUP(I6736,[2]媒体政策预估表!A:N,MATCH(O6736,[2]媒体政策预估表!$A$2:$M$2,0),0)</f>
        <v>0</v>
      </c>
      <c r="AF6736" s="6">
        <f t="shared" si="1038"/>
        <v>0</v>
      </c>
      <c r="AG6736" s="14">
        <v>0</v>
      </c>
      <c r="AH6736" s="64">
        <f t="shared" si="1049"/>
        <v>323490</v>
      </c>
      <c r="AJ6736" s="126" t="e">
        <v>#N/A</v>
      </c>
      <c r="AK6736" s="80">
        <f t="shared" si="1047"/>
        <v>0</v>
      </c>
      <c r="AL6736" s="85"/>
      <c r="AM6736" s="85"/>
    </row>
    <row r="6737" spans="1:39" s="86" customFormat="1" ht="13.25" hidden="1" customHeight="1" x14ac:dyDescent="0.3">
      <c r="A6737" s="89" t="s">
        <v>3978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040"/>
        <v>0</v>
      </c>
      <c r="X6737" s="6">
        <f t="shared" si="1041"/>
        <v>39970</v>
      </c>
      <c r="Y6737" s="13">
        <f t="shared" si="1045"/>
        <v>0</v>
      </c>
      <c r="Z6737" s="66">
        <v>0</v>
      </c>
      <c r="AA6737" s="6">
        <v>0</v>
      </c>
      <c r="AB6737" s="4">
        <f t="shared" si="1046"/>
        <v>39970</v>
      </c>
      <c r="AC6737" s="6">
        <f t="shared" si="1044"/>
        <v>0</v>
      </c>
      <c r="AD6737" s="6">
        <f t="shared" si="1048"/>
        <v>39970</v>
      </c>
      <c r="AE6737" s="14">
        <f>VLOOKUP(I6737,[2]媒体政策预估表!A:N,MATCH(O6737,[2]媒体政策预估表!$A$2:$M$2,0),0)</f>
        <v>0</v>
      </c>
      <c r="AF6737" s="6">
        <f t="shared" si="1038"/>
        <v>0</v>
      </c>
      <c r="AG6737" s="14">
        <v>0</v>
      </c>
      <c r="AH6737" s="64">
        <f t="shared" si="1049"/>
        <v>39970</v>
      </c>
      <c r="AJ6737" s="126" t="e">
        <v>#N/A</v>
      </c>
      <c r="AK6737" s="80">
        <f t="shared" si="1047"/>
        <v>0</v>
      </c>
      <c r="AL6737" s="85"/>
      <c r="AM6737" s="85"/>
    </row>
    <row r="6738" spans="1:39" s="86" customFormat="1" ht="13.25" hidden="1" customHeight="1" x14ac:dyDescent="0.3">
      <c r="A6738" s="89" t="s">
        <v>3978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040"/>
        <v>2.9802436074533034E-9</v>
      </c>
      <c r="X6738" s="6">
        <f t="shared" si="1041"/>
        <v>364.45</v>
      </c>
      <c r="Y6738" s="13">
        <f t="shared" si="1045"/>
        <v>0</v>
      </c>
      <c r="Z6738" s="66">
        <v>0</v>
      </c>
      <c r="AA6738" s="6">
        <v>0</v>
      </c>
      <c r="AB6738" s="4">
        <f t="shared" si="1046"/>
        <v>364.45</v>
      </c>
      <c r="AC6738" s="6">
        <f t="shared" si="1044"/>
        <v>0</v>
      </c>
      <c r="AD6738" s="6">
        <f t="shared" si="1048"/>
        <v>364.45</v>
      </c>
      <c r="AE6738" s="14">
        <f>VLOOKUP(I6738,[2]媒体政策预估表!A:N,MATCH(O6738,[2]媒体政策预估表!$A$2:$M$2,0),0)</f>
        <v>0</v>
      </c>
      <c r="AF6738" s="6">
        <f t="shared" si="1038"/>
        <v>0</v>
      </c>
      <c r="AG6738" s="14">
        <v>0</v>
      </c>
      <c r="AH6738" s="64">
        <f t="shared" si="1049"/>
        <v>364.45</v>
      </c>
      <c r="AJ6738" s="126" t="e">
        <v>#N/A</v>
      </c>
      <c r="AK6738" s="80">
        <f t="shared" si="1047"/>
        <v>0</v>
      </c>
      <c r="AL6738" s="85"/>
      <c r="AM6738" s="85"/>
    </row>
    <row r="6739" spans="1:39" s="86" customFormat="1" ht="13.25" hidden="1" customHeight="1" x14ac:dyDescent="0.3">
      <c r="A6739" s="89" t="s">
        <v>3792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040"/>
        <v>147888.98000000001</v>
      </c>
      <c r="X6739" s="6">
        <f t="shared" si="1041"/>
        <v>86343.87</v>
      </c>
      <c r="Y6739" s="13">
        <f t="shared" si="1045"/>
        <v>0</v>
      </c>
      <c r="Z6739" s="66">
        <v>0.03</v>
      </c>
      <c r="AA6739" s="6">
        <f>X6739*Z6739</f>
        <v>2590.3160999999996</v>
      </c>
      <c r="AB6739" s="4">
        <f t="shared" si="1046"/>
        <v>88934.186099999992</v>
      </c>
      <c r="AC6739" s="6">
        <f t="shared" si="1044"/>
        <v>0</v>
      </c>
      <c r="AD6739" s="6">
        <f t="shared" si="1048"/>
        <v>86343.87</v>
      </c>
      <c r="AE6739" s="14">
        <f>VLOOKUP(I6739,[2]媒体政策预估表!A:N,MATCH(O6739,[2]媒体政策预估表!$A$2:$M$2,0),0)</f>
        <v>0</v>
      </c>
      <c r="AF6739" s="6">
        <f t="shared" si="1038"/>
        <v>0</v>
      </c>
      <c r="AG6739" s="14">
        <v>0</v>
      </c>
      <c r="AH6739" s="64">
        <f t="shared" si="1049"/>
        <v>86343.87</v>
      </c>
      <c r="AJ6739" s="126" t="e">
        <v>#N/A</v>
      </c>
      <c r="AK6739" s="80">
        <f t="shared" si="1047"/>
        <v>0</v>
      </c>
      <c r="AL6739" s="85"/>
      <c r="AM6739" s="85"/>
    </row>
    <row r="6740" spans="1:39" s="86" customFormat="1" ht="13.25" hidden="1" customHeight="1" x14ac:dyDescent="0.3">
      <c r="A6740" s="89" t="s">
        <v>3978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040"/>
        <v>110747.72</v>
      </c>
      <c r="X6740" s="6">
        <f t="shared" si="1041"/>
        <v>132076.57999999999</v>
      </c>
      <c r="Y6740" s="13">
        <f t="shared" si="1045"/>
        <v>0</v>
      </c>
      <c r="Z6740" s="66">
        <v>0.03</v>
      </c>
      <c r="AA6740" s="6">
        <f t="shared" ref="AA6740:AA6741" si="1050">X6740*Z6740</f>
        <v>3962.2973999999995</v>
      </c>
      <c r="AB6740" s="4">
        <f t="shared" si="1046"/>
        <v>136038.8774</v>
      </c>
      <c r="AC6740" s="6">
        <f t="shared" si="1044"/>
        <v>0</v>
      </c>
      <c r="AD6740" s="6">
        <f t="shared" si="1048"/>
        <v>132076.57999999999</v>
      </c>
      <c r="AE6740" s="14">
        <f>VLOOKUP(I6740,[2]媒体政策预估表!A:N,MATCH(O6740,[2]媒体政策预估表!$A$2:$M$2,0),0)</f>
        <v>0</v>
      </c>
      <c r="AF6740" s="6">
        <f t="shared" si="1038"/>
        <v>0</v>
      </c>
      <c r="AG6740" s="14">
        <v>0</v>
      </c>
      <c r="AH6740" s="64">
        <f t="shared" si="1049"/>
        <v>132076.57999999999</v>
      </c>
      <c r="AJ6740" s="126" t="e">
        <v>#N/A</v>
      </c>
      <c r="AK6740" s="80">
        <f t="shared" si="1047"/>
        <v>0</v>
      </c>
      <c r="AL6740" s="85"/>
      <c r="AM6740" s="85"/>
    </row>
    <row r="6741" spans="1:39" s="86" customFormat="1" ht="13.25" hidden="1" customHeight="1" x14ac:dyDescent="0.3">
      <c r="A6741" s="89" t="s">
        <v>3792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040"/>
        <v>11208.39</v>
      </c>
      <c r="X6741" s="6">
        <f t="shared" si="1041"/>
        <v>17917.830000000002</v>
      </c>
      <c r="Y6741" s="13">
        <f t="shared" si="1045"/>
        <v>0</v>
      </c>
      <c r="Z6741" s="66">
        <v>0.03</v>
      </c>
      <c r="AA6741" s="6">
        <f t="shared" si="1050"/>
        <v>537.53489999999999</v>
      </c>
      <c r="AB6741" s="4">
        <f t="shared" si="1046"/>
        <v>18455.3649</v>
      </c>
      <c r="AC6741" s="6">
        <f t="shared" si="1044"/>
        <v>0</v>
      </c>
      <c r="AD6741" s="6">
        <f t="shared" si="1048"/>
        <v>17917.830000000002</v>
      </c>
      <c r="AE6741" s="14">
        <f>VLOOKUP(I6741,[2]媒体政策预估表!A:N,MATCH(O6741,[2]媒体政策预估表!$A$2:$M$2,0),0)</f>
        <v>0</v>
      </c>
      <c r="AF6741" s="6">
        <f t="shared" si="1038"/>
        <v>0</v>
      </c>
      <c r="AG6741" s="14">
        <v>0</v>
      </c>
      <c r="AH6741" s="64">
        <f t="shared" si="1049"/>
        <v>17917.830000000002</v>
      </c>
      <c r="AJ6741" s="126" t="e">
        <v>#N/A</v>
      </c>
      <c r="AK6741" s="80">
        <f t="shared" si="1047"/>
        <v>0</v>
      </c>
      <c r="AL6741" s="85"/>
      <c r="AM6741" s="85"/>
    </row>
    <row r="6742" spans="1:39" s="86" customFormat="1" ht="13.25" hidden="1" customHeight="1" x14ac:dyDescent="0.3">
      <c r="A6742" s="89" t="s">
        <v>3978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040"/>
        <v>21401.949999999997</v>
      </c>
      <c r="X6742" s="6">
        <f t="shared" si="1041"/>
        <v>29773.83</v>
      </c>
      <c r="Y6742" s="13">
        <f t="shared" si="1045"/>
        <v>0</v>
      </c>
      <c r="Z6742" s="66">
        <v>0.05</v>
      </c>
      <c r="AA6742" s="6">
        <f>X6742/(1-Z6742)*Z6742</f>
        <v>1567.0436842105264</v>
      </c>
      <c r="AB6742" s="4">
        <f t="shared" si="1046"/>
        <v>31340.873684210528</v>
      </c>
      <c r="AC6742" s="6">
        <f t="shared" si="1044"/>
        <v>0</v>
      </c>
      <c r="AD6742" s="6">
        <f t="shared" si="1048"/>
        <v>29773.83</v>
      </c>
      <c r="AE6742" s="14">
        <f>VLOOKUP(I6742,[2]媒体政策预估表!A:N,MATCH(O6742,[2]媒体政策预估表!$A$2:$M$2,0),0)</f>
        <v>0</v>
      </c>
      <c r="AF6742" s="6">
        <f t="shared" si="1038"/>
        <v>0</v>
      </c>
      <c r="AG6742" s="14">
        <v>0</v>
      </c>
      <c r="AH6742" s="64">
        <f t="shared" si="1049"/>
        <v>29773.83</v>
      </c>
      <c r="AJ6742" s="126" t="e">
        <v>#N/A</v>
      </c>
      <c r="AK6742" s="80">
        <f t="shared" si="1047"/>
        <v>0</v>
      </c>
      <c r="AL6742" s="85"/>
      <c r="AM6742" s="85"/>
    </row>
    <row r="6743" spans="1:39" s="86" customFormat="1" ht="13.25" hidden="1" customHeight="1" x14ac:dyDescent="0.3">
      <c r="A6743" s="89" t="s">
        <v>3978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040"/>
        <v>101286.03000000004</v>
      </c>
      <c r="X6743" s="6">
        <f t="shared" si="1041"/>
        <v>112574.99</v>
      </c>
      <c r="Y6743" s="13">
        <f t="shared" si="1045"/>
        <v>0</v>
      </c>
      <c r="Z6743" s="66">
        <v>0.03</v>
      </c>
      <c r="AA6743" s="6">
        <f t="shared" ref="AA6743:AA6744" si="1051">X6743*Z6743</f>
        <v>3377.2496999999998</v>
      </c>
      <c r="AB6743" s="4">
        <f t="shared" si="1046"/>
        <v>115952.23970000001</v>
      </c>
      <c r="AC6743" s="6">
        <f t="shared" si="1044"/>
        <v>0</v>
      </c>
      <c r="AD6743" s="6">
        <f t="shared" si="1048"/>
        <v>112574.99</v>
      </c>
      <c r="AE6743" s="14">
        <f>VLOOKUP(I6743,[2]媒体政策预估表!A:N,MATCH(O6743,[2]媒体政策预估表!$A$2:$M$2,0),0)</f>
        <v>0</v>
      </c>
      <c r="AF6743" s="6">
        <f t="shared" si="1038"/>
        <v>0</v>
      </c>
      <c r="AG6743" s="14">
        <v>0</v>
      </c>
      <c r="AH6743" s="64">
        <f t="shared" si="1049"/>
        <v>112574.99</v>
      </c>
      <c r="AJ6743" s="126" t="e">
        <v>#N/A</v>
      </c>
      <c r="AK6743" s="80">
        <f t="shared" si="1047"/>
        <v>0</v>
      </c>
      <c r="AL6743" s="85"/>
      <c r="AM6743" s="85"/>
    </row>
    <row r="6744" spans="1:39" s="86" customFormat="1" ht="13.25" hidden="1" customHeight="1" x14ac:dyDescent="0.3">
      <c r="A6744" s="89" t="s">
        <v>3978</v>
      </c>
      <c r="B6744" s="86" t="s">
        <v>35</v>
      </c>
      <c r="C6744" s="86" t="s">
        <v>144</v>
      </c>
      <c r="D6744" s="86" t="s">
        <v>161</v>
      </c>
      <c r="E6744" s="86" t="s">
        <v>3979</v>
      </c>
      <c r="F6744" s="86" t="s">
        <v>3980</v>
      </c>
      <c r="G6744" s="86" t="s">
        <v>3979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3979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040"/>
        <v>28270.5</v>
      </c>
      <c r="X6744" s="6">
        <f t="shared" si="1041"/>
        <v>1729.5</v>
      </c>
      <c r="Y6744" s="13">
        <f t="shared" si="1045"/>
        <v>0</v>
      </c>
      <c r="Z6744" s="66">
        <v>0.03</v>
      </c>
      <c r="AA6744" s="6">
        <f t="shared" si="1051"/>
        <v>51.884999999999998</v>
      </c>
      <c r="AB6744" s="4">
        <f t="shared" si="1046"/>
        <v>1781.385</v>
      </c>
      <c r="AC6744" s="6">
        <f t="shared" si="1044"/>
        <v>0</v>
      </c>
      <c r="AD6744" s="6">
        <f t="shared" si="1048"/>
        <v>1729.5</v>
      </c>
      <c r="AE6744" s="14">
        <f>VLOOKUP(I6744,[2]媒体政策预估表!A:N,MATCH(O6744,[2]媒体政策预估表!$A$2:$M$2,0),0)</f>
        <v>0</v>
      </c>
      <c r="AF6744" s="6">
        <f t="shared" si="1038"/>
        <v>0</v>
      </c>
      <c r="AG6744" s="14">
        <v>0</v>
      </c>
      <c r="AH6744" s="64">
        <f t="shared" si="1049"/>
        <v>1729.5</v>
      </c>
      <c r="AJ6744" s="126" t="e">
        <v>#N/A</v>
      </c>
      <c r="AK6744" s="80">
        <f t="shared" si="1047"/>
        <v>0</v>
      </c>
      <c r="AL6744" s="85"/>
      <c r="AM6744" s="85"/>
    </row>
    <row r="6745" spans="1:39" s="86" customFormat="1" ht="13.25" hidden="1" customHeight="1" x14ac:dyDescent="0.3">
      <c r="A6745" s="89" t="s">
        <v>3978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040"/>
        <v>4850</v>
      </c>
      <c r="X6745" s="6">
        <f t="shared" si="1041"/>
        <v>0</v>
      </c>
      <c r="Y6745" s="13">
        <f t="shared" si="1045"/>
        <v>0</v>
      </c>
      <c r="Z6745" s="66">
        <v>0.03</v>
      </c>
      <c r="AA6745" s="6">
        <f>X6745/(1-Z6745)*Z6745</f>
        <v>0</v>
      </c>
      <c r="AB6745" s="4">
        <f t="shared" si="1046"/>
        <v>0</v>
      </c>
      <c r="AC6745" s="6">
        <f t="shared" si="1044"/>
        <v>0</v>
      </c>
      <c r="AD6745" s="6">
        <f t="shared" si="1048"/>
        <v>0</v>
      </c>
      <c r="AE6745" s="14">
        <f>VLOOKUP(I6745,[2]媒体政策预估表!A:N,MATCH(O6745,[2]媒体政策预估表!$A$2:$M$2,0),0)</f>
        <v>0</v>
      </c>
      <c r="AF6745" s="6">
        <f t="shared" si="1038"/>
        <v>0</v>
      </c>
      <c r="AG6745" s="14">
        <v>0</v>
      </c>
      <c r="AH6745" s="64">
        <f t="shared" si="1049"/>
        <v>0</v>
      </c>
      <c r="AJ6745" s="126" t="e">
        <v>#N/A</v>
      </c>
      <c r="AK6745" s="80">
        <f t="shared" si="1047"/>
        <v>0</v>
      </c>
      <c r="AL6745" s="85"/>
      <c r="AM6745" s="85"/>
    </row>
    <row r="6746" spans="1:39" s="86" customFormat="1" ht="13.25" hidden="1" customHeight="1" x14ac:dyDescent="0.3">
      <c r="A6746" s="89" t="s">
        <v>3978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3981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040"/>
        <v>25207.599999999999</v>
      </c>
      <c r="X6746" s="6">
        <f t="shared" si="1041"/>
        <v>44792.4</v>
      </c>
      <c r="Y6746" s="13">
        <f t="shared" si="1045"/>
        <v>0</v>
      </c>
      <c r="Z6746" s="66">
        <v>0</v>
      </c>
      <c r="AA6746" s="6">
        <v>0</v>
      </c>
      <c r="AB6746" s="4">
        <f t="shared" si="1046"/>
        <v>44792.4</v>
      </c>
      <c r="AC6746" s="6">
        <f t="shared" si="1044"/>
        <v>0</v>
      </c>
      <c r="AD6746" s="6">
        <f t="shared" si="1048"/>
        <v>44792.4</v>
      </c>
      <c r="AE6746" s="14">
        <f>VLOOKUP(I6746,[2]媒体政策预估表!A:N,MATCH(O6746,[2]媒体政策预估表!$A$2:$M$2,0),0)</f>
        <v>0</v>
      </c>
      <c r="AF6746" s="6">
        <f t="shared" si="1038"/>
        <v>0</v>
      </c>
      <c r="AG6746" s="14">
        <v>0</v>
      </c>
      <c r="AH6746" s="64">
        <f t="shared" si="1049"/>
        <v>44792.4</v>
      </c>
      <c r="AJ6746" s="126" t="e">
        <v>#N/A</v>
      </c>
      <c r="AK6746" s="80">
        <f t="shared" si="1047"/>
        <v>0</v>
      </c>
      <c r="AL6746" s="85"/>
      <c r="AM6746" s="85"/>
    </row>
    <row r="6747" spans="1:39" s="86" customFormat="1" ht="13.25" hidden="1" customHeight="1" x14ac:dyDescent="0.3">
      <c r="A6747" s="89" t="s">
        <v>3978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040"/>
        <v>8299.15</v>
      </c>
      <c r="X6747" s="6">
        <f t="shared" si="1041"/>
        <v>11700.85</v>
      </c>
      <c r="Y6747" s="13">
        <f t="shared" si="1045"/>
        <v>0</v>
      </c>
      <c r="Z6747" s="66">
        <v>0</v>
      </c>
      <c r="AA6747" s="6">
        <v>0</v>
      </c>
      <c r="AB6747" s="4">
        <f t="shared" si="1046"/>
        <v>11700.85</v>
      </c>
      <c r="AC6747" s="6">
        <f t="shared" si="1044"/>
        <v>0</v>
      </c>
      <c r="AD6747" s="6">
        <f t="shared" si="1048"/>
        <v>11700.85</v>
      </c>
      <c r="AE6747" s="14">
        <f>VLOOKUP(I6747,[2]媒体政策预估表!A:N,MATCH(O6747,[2]媒体政策预估表!$A$2:$M$2,0),0)</f>
        <v>0</v>
      </c>
      <c r="AF6747" s="6">
        <f t="shared" si="1038"/>
        <v>0</v>
      </c>
      <c r="AG6747" s="14">
        <v>0</v>
      </c>
      <c r="AH6747" s="64">
        <f t="shared" si="1049"/>
        <v>11700.85</v>
      </c>
      <c r="AJ6747" s="126" t="e">
        <v>#N/A</v>
      </c>
      <c r="AK6747" s="80">
        <f t="shared" si="1047"/>
        <v>0</v>
      </c>
      <c r="AL6747" s="85"/>
      <c r="AM6747" s="85"/>
    </row>
    <row r="6748" spans="1:39" s="86" customFormat="1" ht="13.25" hidden="1" customHeight="1" x14ac:dyDescent="0.3">
      <c r="A6748" s="89" t="s">
        <v>3792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3982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040"/>
        <v>68.399999999999636</v>
      </c>
      <c r="X6748" s="6">
        <f t="shared" si="1041"/>
        <v>9931.6</v>
      </c>
      <c r="Y6748" s="13">
        <f t="shared" si="1045"/>
        <v>0</v>
      </c>
      <c r="Z6748" s="66">
        <v>0</v>
      </c>
      <c r="AA6748" s="6">
        <v>0</v>
      </c>
      <c r="AB6748" s="4">
        <f t="shared" si="1046"/>
        <v>9931.6</v>
      </c>
      <c r="AC6748" s="6">
        <f t="shared" si="1044"/>
        <v>0</v>
      </c>
      <c r="AD6748" s="6">
        <f t="shared" si="1048"/>
        <v>9931.6</v>
      </c>
      <c r="AE6748" s="14">
        <f>VLOOKUP(I6748,[2]媒体政策预估表!A:N,MATCH(O6748,[2]媒体政策预估表!$A$2:$M$2,0),0)</f>
        <v>0</v>
      </c>
      <c r="AF6748" s="6">
        <f t="shared" si="1038"/>
        <v>0</v>
      </c>
      <c r="AG6748" s="14">
        <v>0</v>
      </c>
      <c r="AH6748" s="64">
        <f t="shared" si="1049"/>
        <v>9931.6</v>
      </c>
      <c r="AJ6748" s="126" t="e">
        <v>#N/A</v>
      </c>
      <c r="AK6748" s="80">
        <f t="shared" si="1047"/>
        <v>0</v>
      </c>
      <c r="AL6748" s="85"/>
      <c r="AM6748" s="85"/>
    </row>
    <row r="6749" spans="1:39" s="86" customFormat="1" ht="13.25" hidden="1" customHeight="1" x14ac:dyDescent="0.3">
      <c r="A6749" s="89" t="s">
        <v>3792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040"/>
        <v>11834.819999999978</v>
      </c>
      <c r="X6749" s="6">
        <f t="shared" si="1041"/>
        <v>77212.86</v>
      </c>
      <c r="Y6749" s="13">
        <f t="shared" si="1045"/>
        <v>0</v>
      </c>
      <c r="Z6749" s="66">
        <v>0</v>
      </c>
      <c r="AA6749" s="6">
        <v>0</v>
      </c>
      <c r="AB6749" s="4">
        <f t="shared" si="1046"/>
        <v>77212.86</v>
      </c>
      <c r="AC6749" s="6">
        <f t="shared" si="1044"/>
        <v>0</v>
      </c>
      <c r="AD6749" s="6">
        <f t="shared" si="1048"/>
        <v>77212.86</v>
      </c>
      <c r="AE6749" s="14">
        <f>VLOOKUP(I6749,[2]媒体政策预估表!A:N,MATCH(O6749,[2]媒体政策预估表!$A$2:$M$2,0),0)</f>
        <v>0</v>
      </c>
      <c r="AF6749" s="6">
        <f t="shared" si="1038"/>
        <v>0</v>
      </c>
      <c r="AG6749" s="14">
        <v>0</v>
      </c>
      <c r="AH6749" s="64">
        <f t="shared" si="1049"/>
        <v>77212.86</v>
      </c>
      <c r="AJ6749" s="126" t="e">
        <v>#N/A</v>
      </c>
      <c r="AK6749" s="80">
        <f t="shared" si="1047"/>
        <v>0</v>
      </c>
      <c r="AL6749" s="85"/>
      <c r="AM6749" s="85"/>
    </row>
    <row r="6750" spans="1:39" s="86" customFormat="1" ht="13.25" hidden="1" customHeight="1" x14ac:dyDescent="0.3">
      <c r="A6750" s="89" t="s">
        <v>3792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040"/>
        <v>0</v>
      </c>
      <c r="X6750" s="6">
        <f t="shared" si="1041"/>
        <v>-21661.64</v>
      </c>
      <c r="Y6750" s="13">
        <f t="shared" si="1045"/>
        <v>0</v>
      </c>
      <c r="Z6750" s="66">
        <v>0.03</v>
      </c>
      <c r="AA6750" s="6">
        <f t="shared" ref="AA6750:AA6753" si="1052">X6750*Z6750</f>
        <v>-649.8492</v>
      </c>
      <c r="AB6750" s="4">
        <f t="shared" si="1046"/>
        <v>-22311.4892</v>
      </c>
      <c r="AC6750" s="6">
        <f t="shared" si="1044"/>
        <v>0</v>
      </c>
      <c r="AD6750" s="6">
        <f t="shared" si="1048"/>
        <v>-21661.64</v>
      </c>
      <c r="AE6750" s="14">
        <f>VLOOKUP(I6750,[2]媒体政策预估表!A:N,MATCH(O6750,[2]媒体政策预估表!$A$2:$M$2,0),0)</f>
        <v>0</v>
      </c>
      <c r="AF6750" s="6">
        <f t="shared" si="1038"/>
        <v>0</v>
      </c>
      <c r="AG6750" s="14">
        <v>0</v>
      </c>
      <c r="AH6750" s="64">
        <f t="shared" si="1049"/>
        <v>-21661.64</v>
      </c>
      <c r="AJ6750" s="126" t="e">
        <v>#N/A</v>
      </c>
      <c r="AK6750" s="80">
        <f t="shared" si="1047"/>
        <v>0</v>
      </c>
      <c r="AL6750" s="85"/>
      <c r="AM6750" s="85"/>
    </row>
    <row r="6751" spans="1:39" s="86" customFormat="1" ht="13.25" hidden="1" customHeight="1" x14ac:dyDescent="0.3">
      <c r="A6751" s="89" t="s">
        <v>3978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3766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040"/>
        <v>0</v>
      </c>
      <c r="X6751" s="6">
        <f t="shared" si="1041"/>
        <v>0</v>
      </c>
      <c r="Y6751" s="13">
        <f t="shared" si="1045"/>
        <v>0</v>
      </c>
      <c r="Z6751" s="66">
        <v>0.03</v>
      </c>
      <c r="AA6751" s="6">
        <f t="shared" si="1052"/>
        <v>0</v>
      </c>
      <c r="AB6751" s="4">
        <f t="shared" si="1046"/>
        <v>0</v>
      </c>
      <c r="AC6751" s="6">
        <f t="shared" si="1044"/>
        <v>0</v>
      </c>
      <c r="AD6751" s="6">
        <f t="shared" si="1048"/>
        <v>0</v>
      </c>
      <c r="AE6751" s="14">
        <f>VLOOKUP(I6751,[2]媒体政策预估表!A:N,MATCH(O6751,[2]媒体政策预估表!$A$2:$M$2,0),0)</f>
        <v>0.06</v>
      </c>
      <c r="AF6751" s="6">
        <f t="shared" si="1038"/>
        <v>0</v>
      </c>
      <c r="AG6751" s="14">
        <v>0</v>
      </c>
      <c r="AH6751" s="64">
        <f t="shared" si="1049"/>
        <v>0</v>
      </c>
      <c r="AJ6751" s="126" t="e">
        <v>#N/A</v>
      </c>
      <c r="AK6751" s="80">
        <f t="shared" si="1047"/>
        <v>0</v>
      </c>
      <c r="AL6751" s="85"/>
      <c r="AM6751" s="85"/>
    </row>
    <row r="6752" spans="1:39" s="86" customFormat="1" ht="13.25" hidden="1" customHeight="1" x14ac:dyDescent="0.3">
      <c r="A6752" s="89" t="s">
        <v>3978</v>
      </c>
      <c r="B6752" s="86" t="s">
        <v>35</v>
      </c>
      <c r="C6752" s="86" t="s">
        <v>184</v>
      </c>
      <c r="D6752" s="86" t="s">
        <v>54</v>
      </c>
      <c r="E6752" s="86" t="s">
        <v>3983</v>
      </c>
      <c r="F6752" s="86" t="s">
        <v>3984</v>
      </c>
      <c r="G6752" s="86" t="s">
        <v>3983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040"/>
        <v>228091.42999999993</v>
      </c>
      <c r="X6752" s="6">
        <f t="shared" si="1041"/>
        <v>871908.57000000007</v>
      </c>
      <c r="Y6752" s="13">
        <f t="shared" si="1045"/>
        <v>0</v>
      </c>
      <c r="Z6752" s="66">
        <v>0.03</v>
      </c>
      <c r="AA6752" s="6">
        <f t="shared" si="1052"/>
        <v>26157.257100000003</v>
      </c>
      <c r="AB6752" s="4">
        <f t="shared" si="1046"/>
        <v>898065.82710000011</v>
      </c>
      <c r="AC6752" s="6">
        <f t="shared" si="1044"/>
        <v>0</v>
      </c>
      <c r="AD6752" s="6">
        <f t="shared" si="1048"/>
        <v>871908.57000000007</v>
      </c>
      <c r="AE6752" s="14">
        <f>VLOOKUP(I6752,[2]媒体政策预估表!A:N,MATCH(O6752,[2]媒体政策预估表!$A$2:$M$2,0),0)</f>
        <v>0</v>
      </c>
      <c r="AF6752" s="6">
        <f t="shared" si="1038"/>
        <v>0</v>
      </c>
      <c r="AG6752" s="14">
        <v>0</v>
      </c>
      <c r="AH6752" s="64">
        <f t="shared" si="1049"/>
        <v>871908.57000000007</v>
      </c>
      <c r="AJ6752" s="126" t="e">
        <v>#N/A</v>
      </c>
      <c r="AK6752" s="80">
        <f t="shared" si="1047"/>
        <v>0</v>
      </c>
      <c r="AL6752" s="85"/>
      <c r="AM6752" s="85"/>
    </row>
    <row r="6753" spans="1:39" s="86" customFormat="1" ht="13.25" hidden="1" customHeight="1" x14ac:dyDescent="0.3">
      <c r="A6753" s="89" t="s">
        <v>3978</v>
      </c>
      <c r="B6753" s="86" t="s">
        <v>35</v>
      </c>
      <c r="C6753" s="86" t="s">
        <v>184</v>
      </c>
      <c r="D6753" s="86" t="s">
        <v>54</v>
      </c>
      <c r="E6753" s="86" t="s">
        <v>3983</v>
      </c>
      <c r="F6753" s="86" t="s">
        <v>3984</v>
      </c>
      <c r="G6753" s="86" t="s">
        <v>3983</v>
      </c>
      <c r="H6753" s="144">
        <v>216</v>
      </c>
      <c r="I6753" s="86" t="s">
        <v>39</v>
      </c>
      <c r="J6753" s="47" t="s">
        <v>3323</v>
      </c>
      <c r="K6753" s="47" t="s">
        <v>3766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040"/>
        <v>102617.84000000003</v>
      </c>
      <c r="X6753" s="6">
        <f t="shared" si="1041"/>
        <v>347382.16</v>
      </c>
      <c r="Y6753" s="13">
        <f t="shared" si="1045"/>
        <v>0</v>
      </c>
      <c r="Z6753" s="66">
        <v>0.03</v>
      </c>
      <c r="AA6753" s="6">
        <f t="shared" si="1052"/>
        <v>10421.4648</v>
      </c>
      <c r="AB6753" s="4">
        <f t="shared" si="1046"/>
        <v>357803.62479999999</v>
      </c>
      <c r="AC6753" s="6">
        <f t="shared" si="1044"/>
        <v>0</v>
      </c>
      <c r="AD6753" s="6">
        <f t="shared" si="1048"/>
        <v>347382.16</v>
      </c>
      <c r="AE6753" s="14">
        <f>VLOOKUP(I6753,[2]媒体政策预估表!A:N,MATCH(O6753,[2]媒体政策预估表!$A$2:$M$2,0),0)</f>
        <v>0.06</v>
      </c>
      <c r="AF6753" s="6">
        <f t="shared" si="1038"/>
        <v>20842.929599999999</v>
      </c>
      <c r="AG6753" s="14">
        <v>0</v>
      </c>
      <c r="AH6753" s="64">
        <f t="shared" si="1049"/>
        <v>347382.16</v>
      </c>
      <c r="AJ6753" s="126" t="e">
        <v>#N/A</v>
      </c>
      <c r="AK6753" s="80">
        <f t="shared" si="1047"/>
        <v>0</v>
      </c>
      <c r="AL6753" s="85"/>
      <c r="AM6753" s="85"/>
    </row>
    <row r="6754" spans="1:39" s="86" customFormat="1" ht="13.25" hidden="1" customHeight="1" x14ac:dyDescent="0.3">
      <c r="A6754" s="89" t="s">
        <v>3978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040"/>
        <v>12122.380000000005</v>
      </c>
      <c r="X6754" s="6">
        <f t="shared" si="1041"/>
        <v>49379.96</v>
      </c>
      <c r="Y6754" s="13">
        <f t="shared" si="1045"/>
        <v>0</v>
      </c>
      <c r="Z6754" s="66">
        <v>0</v>
      </c>
      <c r="AA6754" s="6">
        <v>0</v>
      </c>
      <c r="AB6754" s="4">
        <f t="shared" si="1046"/>
        <v>49379.96</v>
      </c>
      <c r="AC6754" s="6">
        <f t="shared" si="1044"/>
        <v>0</v>
      </c>
      <c r="AD6754" s="6">
        <f t="shared" si="1048"/>
        <v>49379.96</v>
      </c>
      <c r="AE6754" s="14">
        <f>VLOOKUP(I6754,[2]媒体政策预估表!A:N,MATCH(O6754,[2]媒体政策预估表!$A$2:$M$2,0),0)</f>
        <v>0</v>
      </c>
      <c r="AF6754" s="6">
        <f t="shared" si="1038"/>
        <v>0</v>
      </c>
      <c r="AG6754" s="14">
        <v>0</v>
      </c>
      <c r="AH6754" s="64">
        <f t="shared" si="1049"/>
        <v>49379.96</v>
      </c>
      <c r="AJ6754" s="126" t="e">
        <v>#N/A</v>
      </c>
      <c r="AK6754" s="80">
        <f t="shared" si="1047"/>
        <v>0</v>
      </c>
      <c r="AL6754" s="85"/>
      <c r="AM6754" s="85"/>
    </row>
    <row r="6755" spans="1:39" s="86" customFormat="1" ht="13.25" hidden="1" customHeight="1" x14ac:dyDescent="0.3">
      <c r="A6755" s="89" t="s">
        <v>3978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040"/>
        <v>18230.559999999983</v>
      </c>
      <c r="X6755" s="6">
        <f t="shared" si="1041"/>
        <v>103610.39</v>
      </c>
      <c r="Y6755" s="13">
        <f t="shared" si="1045"/>
        <v>0</v>
      </c>
      <c r="Z6755" s="66">
        <v>0</v>
      </c>
      <c r="AA6755" s="6">
        <v>0</v>
      </c>
      <c r="AB6755" s="4">
        <f t="shared" si="1046"/>
        <v>103610.39</v>
      </c>
      <c r="AC6755" s="6">
        <f t="shared" si="1044"/>
        <v>0</v>
      </c>
      <c r="AD6755" s="6">
        <f t="shared" si="1048"/>
        <v>103610.39</v>
      </c>
      <c r="AE6755" s="14">
        <f>VLOOKUP(I6755,[2]媒体政策预估表!A:N,MATCH(O6755,[2]媒体政策预估表!$A$2:$M$2,0),0)</f>
        <v>0</v>
      </c>
      <c r="AF6755" s="6">
        <f t="shared" si="1038"/>
        <v>0</v>
      </c>
      <c r="AG6755" s="14">
        <v>0</v>
      </c>
      <c r="AH6755" s="64">
        <f t="shared" si="1049"/>
        <v>103610.39</v>
      </c>
      <c r="AJ6755" s="126" t="e">
        <v>#N/A</v>
      </c>
      <c r="AK6755" s="80">
        <f t="shared" si="1047"/>
        <v>0</v>
      </c>
      <c r="AL6755" s="85"/>
      <c r="AM6755" s="85"/>
    </row>
    <row r="6756" spans="1:39" s="86" customFormat="1" ht="13.25" hidden="1" customHeight="1" x14ac:dyDescent="0.3">
      <c r="A6756" s="89" t="s">
        <v>3978</v>
      </c>
      <c r="B6756" s="86" t="s">
        <v>35</v>
      </c>
      <c r="C6756" s="86" t="s">
        <v>184</v>
      </c>
      <c r="D6756" s="86" t="s">
        <v>3849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3985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040"/>
        <v>57877.81</v>
      </c>
      <c r="X6756" s="6">
        <f t="shared" si="1041"/>
        <v>42122.19</v>
      </c>
      <c r="Y6756" s="13">
        <f t="shared" si="1045"/>
        <v>0</v>
      </c>
      <c r="Z6756" s="66">
        <v>0</v>
      </c>
      <c r="AA6756" s="6">
        <v>0</v>
      </c>
      <c r="AB6756" s="4">
        <f t="shared" si="1046"/>
        <v>42122.19</v>
      </c>
      <c r="AC6756" s="6">
        <f t="shared" si="1044"/>
        <v>0</v>
      </c>
      <c r="AD6756" s="6">
        <f t="shared" si="1048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053">AD6756*AE6756</f>
        <v>0</v>
      </c>
      <c r="AG6756" s="14">
        <v>0</v>
      </c>
      <c r="AH6756" s="64">
        <f t="shared" si="1049"/>
        <v>42122.19</v>
      </c>
      <c r="AJ6756" s="126" t="e">
        <v>#N/A</v>
      </c>
      <c r="AK6756" s="80">
        <f t="shared" si="1047"/>
        <v>0</v>
      </c>
      <c r="AL6756" s="85"/>
      <c r="AM6756" s="85"/>
    </row>
    <row r="6757" spans="1:39" s="86" customFormat="1" ht="13.25" hidden="1" customHeight="1" x14ac:dyDescent="0.3">
      <c r="A6757" s="89" t="s">
        <v>3978</v>
      </c>
      <c r="B6757" s="86" t="s">
        <v>35</v>
      </c>
      <c r="C6757" s="86" t="s">
        <v>184</v>
      </c>
      <c r="D6757" s="86" t="s">
        <v>3849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040"/>
        <v>187789.75</v>
      </c>
      <c r="X6757" s="6">
        <f t="shared" si="1041"/>
        <v>612468.26</v>
      </c>
      <c r="Y6757" s="13">
        <f t="shared" si="1045"/>
        <v>0</v>
      </c>
      <c r="Z6757" s="66">
        <v>0.03</v>
      </c>
      <c r="AA6757" s="6">
        <f>X6757*Z6757</f>
        <v>18374.0478</v>
      </c>
      <c r="AB6757" s="4">
        <f t="shared" si="1046"/>
        <v>630842.30780000007</v>
      </c>
      <c r="AC6757" s="6">
        <f t="shared" si="1044"/>
        <v>0</v>
      </c>
      <c r="AD6757" s="6">
        <f t="shared" si="1048"/>
        <v>612468.26</v>
      </c>
      <c r="AE6757" s="14">
        <f>VLOOKUP(I6757,[2]媒体政策预估表!A:N,MATCH(O6757,[2]媒体政策预估表!$A$2:$M$2,0),0)</f>
        <v>0</v>
      </c>
      <c r="AF6757" s="6">
        <f t="shared" si="1053"/>
        <v>0</v>
      </c>
      <c r="AG6757" s="14">
        <v>0</v>
      </c>
      <c r="AH6757" s="64">
        <f t="shared" si="1049"/>
        <v>612468.26</v>
      </c>
      <c r="AJ6757" s="126" t="e">
        <v>#N/A</v>
      </c>
      <c r="AK6757" s="80">
        <f t="shared" si="1047"/>
        <v>0</v>
      </c>
      <c r="AL6757" s="85"/>
      <c r="AM6757" s="85"/>
    </row>
    <row r="6758" spans="1:39" s="86" customFormat="1" ht="13.25" hidden="1" customHeight="1" x14ac:dyDescent="0.3">
      <c r="A6758" s="89" t="s">
        <v>3792</v>
      </c>
      <c r="B6758" s="86" t="s">
        <v>35</v>
      </c>
      <c r="C6758" s="86" t="s">
        <v>184</v>
      </c>
      <c r="D6758" s="86" t="s">
        <v>3849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040"/>
        <v>22734.060000000027</v>
      </c>
      <c r="X6758" s="6">
        <f t="shared" si="1041"/>
        <v>110198.43</v>
      </c>
      <c r="Y6758" s="13">
        <f t="shared" si="1045"/>
        <v>0</v>
      </c>
      <c r="Z6758" s="66">
        <v>0</v>
      </c>
      <c r="AA6758" s="6">
        <v>0</v>
      </c>
      <c r="AB6758" s="4">
        <f t="shared" si="1046"/>
        <v>110198.43</v>
      </c>
      <c r="AC6758" s="6">
        <f t="shared" si="1044"/>
        <v>0</v>
      </c>
      <c r="AD6758" s="6">
        <f t="shared" si="1048"/>
        <v>110198.43</v>
      </c>
      <c r="AE6758" s="14">
        <f>VLOOKUP(I6758,[2]媒体政策预估表!A:N,MATCH(O6758,[2]媒体政策预估表!$A$2:$M$2,0),0)</f>
        <v>0</v>
      </c>
      <c r="AF6758" s="6">
        <f t="shared" si="1053"/>
        <v>0</v>
      </c>
      <c r="AG6758" s="14">
        <v>0</v>
      </c>
      <c r="AH6758" s="64">
        <f t="shared" si="1049"/>
        <v>110198.43</v>
      </c>
      <c r="AJ6758" s="126" t="e">
        <v>#N/A</v>
      </c>
      <c r="AK6758" s="80">
        <f t="shared" si="1047"/>
        <v>0</v>
      </c>
      <c r="AL6758" s="85"/>
      <c r="AM6758" s="85"/>
    </row>
    <row r="6759" spans="1:39" s="86" customFormat="1" ht="13.25" hidden="1" customHeight="1" x14ac:dyDescent="0.3">
      <c r="A6759" s="89" t="s">
        <v>3978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040"/>
        <v>51679.990000000107</v>
      </c>
      <c r="X6759" s="6">
        <f t="shared" si="1041"/>
        <v>568249.93999999994</v>
      </c>
      <c r="Y6759" s="13">
        <f t="shared" si="1045"/>
        <v>0</v>
      </c>
      <c r="Z6759" s="66">
        <v>0.03</v>
      </c>
      <c r="AA6759" s="6">
        <f t="shared" ref="AA6759:AA6760" si="1054">X6759*Z6759</f>
        <v>17047.498199999998</v>
      </c>
      <c r="AB6759" s="4">
        <f t="shared" si="1046"/>
        <v>585297.43819999998</v>
      </c>
      <c r="AC6759" s="6">
        <f t="shared" si="1044"/>
        <v>0</v>
      </c>
      <c r="AD6759" s="6">
        <f t="shared" si="1048"/>
        <v>568249.93999999994</v>
      </c>
      <c r="AE6759" s="14">
        <f>VLOOKUP(I6759,[2]媒体政策预估表!A:N,MATCH(O6759,[2]媒体政策预估表!$A$2:$M$2,0),0)</f>
        <v>0</v>
      </c>
      <c r="AF6759" s="6">
        <f t="shared" si="1053"/>
        <v>0</v>
      </c>
      <c r="AG6759" s="14">
        <v>0</v>
      </c>
      <c r="AH6759" s="64">
        <f t="shared" si="1049"/>
        <v>568249.93999999994</v>
      </c>
      <c r="AJ6759" s="126" t="e">
        <v>#N/A</v>
      </c>
      <c r="AK6759" s="80">
        <f t="shared" si="1047"/>
        <v>0</v>
      </c>
      <c r="AL6759" s="85"/>
      <c r="AM6759" s="85"/>
    </row>
    <row r="6760" spans="1:39" s="86" customFormat="1" ht="13.25" hidden="1" customHeight="1" x14ac:dyDescent="0.3">
      <c r="A6760" s="89" t="s">
        <v>3792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3766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040"/>
        <v>-5559.39</v>
      </c>
      <c r="X6760" s="6">
        <f t="shared" si="1041"/>
        <v>0</v>
      </c>
      <c r="Y6760" s="13">
        <f t="shared" si="1045"/>
        <v>0</v>
      </c>
      <c r="Z6760" s="14">
        <v>0.02</v>
      </c>
      <c r="AA6760" s="6">
        <f t="shared" si="1054"/>
        <v>0</v>
      </c>
      <c r="AB6760" s="4">
        <f t="shared" si="1046"/>
        <v>0</v>
      </c>
      <c r="AC6760" s="6">
        <f t="shared" si="1044"/>
        <v>0</v>
      </c>
      <c r="AD6760" s="6">
        <f t="shared" si="1048"/>
        <v>0</v>
      </c>
      <c r="AE6760" s="14">
        <f>VLOOKUP(I6760,[2]媒体政策预估表!A:N,MATCH(O6760,[2]媒体政策预估表!$A$2:$M$2,0),0)</f>
        <v>0.06</v>
      </c>
      <c r="AF6760" s="6">
        <f t="shared" si="1053"/>
        <v>0</v>
      </c>
      <c r="AG6760" s="14">
        <v>0</v>
      </c>
      <c r="AH6760" s="64">
        <f t="shared" si="1049"/>
        <v>0</v>
      </c>
      <c r="AJ6760" s="126" t="e">
        <v>#N/A</v>
      </c>
      <c r="AK6760" s="80">
        <f t="shared" si="1047"/>
        <v>0</v>
      </c>
      <c r="AL6760" s="85"/>
      <c r="AM6760" s="85"/>
    </row>
    <row r="6761" spans="1:39" s="86" customFormat="1" ht="13.25" hidden="1" customHeight="1" x14ac:dyDescent="0.3">
      <c r="A6761" s="89" t="s">
        <v>3978</v>
      </c>
      <c r="B6761" s="86" t="s">
        <v>35</v>
      </c>
      <c r="C6761" s="86" t="s">
        <v>184</v>
      </c>
      <c r="D6761" s="86" t="s">
        <v>3849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3766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040"/>
        <v>9.9999999994988542E-3</v>
      </c>
      <c r="X6761" s="6">
        <f t="shared" si="1041"/>
        <v>0</v>
      </c>
      <c r="Y6761" s="13">
        <f t="shared" si="1045"/>
        <v>0</v>
      </c>
      <c r="Z6761" s="14">
        <v>0</v>
      </c>
      <c r="AA6761" s="6">
        <v>0</v>
      </c>
      <c r="AB6761" s="4">
        <f t="shared" si="1046"/>
        <v>0</v>
      </c>
      <c r="AC6761" s="6">
        <f t="shared" si="1044"/>
        <v>0</v>
      </c>
      <c r="AD6761" s="6">
        <f t="shared" si="1048"/>
        <v>0</v>
      </c>
      <c r="AE6761" s="14">
        <f>VLOOKUP(I6761,[2]媒体政策预估表!A:N,MATCH(O6761,[2]媒体政策预估表!$A$2:$M$2,0),0)</f>
        <v>0.06</v>
      </c>
      <c r="AF6761" s="6">
        <f t="shared" si="1053"/>
        <v>0</v>
      </c>
      <c r="AG6761" s="14">
        <v>0</v>
      </c>
      <c r="AH6761" s="64">
        <f t="shared" si="1049"/>
        <v>0</v>
      </c>
      <c r="AJ6761" s="126" t="e">
        <v>#N/A</v>
      </c>
      <c r="AK6761" s="80">
        <f t="shared" si="1047"/>
        <v>0</v>
      </c>
      <c r="AL6761" s="85"/>
      <c r="AM6761" s="85"/>
    </row>
    <row r="6762" spans="1:39" s="86" customFormat="1" ht="13.25" hidden="1" customHeight="1" x14ac:dyDescent="0.3">
      <c r="A6762" s="89" t="s">
        <v>3978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3766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040"/>
        <v>1698653.26229</v>
      </c>
      <c r="X6762" s="6">
        <f t="shared" si="1041"/>
        <v>0</v>
      </c>
      <c r="Y6762" s="13">
        <f t="shared" si="1045"/>
        <v>0</v>
      </c>
      <c r="Z6762" s="14">
        <v>0</v>
      </c>
      <c r="AA6762" s="6">
        <v>0</v>
      </c>
      <c r="AB6762" s="4">
        <f t="shared" si="1046"/>
        <v>0</v>
      </c>
      <c r="AC6762" s="6">
        <f t="shared" si="1044"/>
        <v>0</v>
      </c>
      <c r="AD6762" s="6">
        <f t="shared" si="1048"/>
        <v>0</v>
      </c>
      <c r="AE6762" s="14">
        <f>VLOOKUP(I6762,[2]媒体政策预估表!A:N,MATCH(O6762,[2]媒体政策预估表!$A$2:$M$2,0),0)</f>
        <v>0</v>
      </c>
      <c r="AF6762" s="6">
        <f t="shared" si="1053"/>
        <v>0</v>
      </c>
      <c r="AG6762" s="14">
        <v>0</v>
      </c>
      <c r="AH6762" s="64">
        <f t="shared" si="1049"/>
        <v>0</v>
      </c>
      <c r="AJ6762" s="126" t="e">
        <v>#N/A</v>
      </c>
      <c r="AK6762" s="80">
        <f t="shared" si="1047"/>
        <v>0</v>
      </c>
      <c r="AL6762" s="85"/>
      <c r="AM6762" s="85"/>
    </row>
    <row r="6763" spans="1:39" s="86" customFormat="1" ht="13.25" hidden="1" customHeight="1" x14ac:dyDescent="0.3">
      <c r="A6763" s="89" t="s">
        <v>3978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3766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040"/>
        <v>1.0000000000218279E-2</v>
      </c>
      <c r="X6763" s="6">
        <f t="shared" si="1041"/>
        <v>0</v>
      </c>
      <c r="Y6763" s="13">
        <f t="shared" si="1045"/>
        <v>0</v>
      </c>
      <c r="Z6763" s="14">
        <v>0</v>
      </c>
      <c r="AA6763" s="6">
        <v>0</v>
      </c>
      <c r="AB6763" s="4">
        <f t="shared" si="1046"/>
        <v>0</v>
      </c>
      <c r="AC6763" s="6">
        <f t="shared" si="1044"/>
        <v>0</v>
      </c>
      <c r="AD6763" s="6">
        <f t="shared" si="1048"/>
        <v>0</v>
      </c>
      <c r="AE6763" s="14">
        <f>VLOOKUP(I6763,[2]媒体政策预估表!A:N,MATCH(O6763,[2]媒体政策预估表!$A$2:$M$2,0),0)</f>
        <v>0.06</v>
      </c>
      <c r="AF6763" s="6">
        <f t="shared" si="1053"/>
        <v>0</v>
      </c>
      <c r="AG6763" s="14">
        <v>0</v>
      </c>
      <c r="AH6763" s="64">
        <f t="shared" si="1049"/>
        <v>0</v>
      </c>
      <c r="AJ6763" s="126" t="e">
        <v>#N/A</v>
      </c>
      <c r="AK6763" s="80">
        <f t="shared" si="1047"/>
        <v>0</v>
      </c>
      <c r="AL6763" s="85"/>
      <c r="AM6763" s="85"/>
    </row>
    <row r="6764" spans="1:39" s="86" customFormat="1" ht="13.25" hidden="1" customHeight="1" x14ac:dyDescent="0.3">
      <c r="A6764" s="89" t="s">
        <v>3792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3766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040"/>
        <v>7284.76</v>
      </c>
      <c r="X6764" s="6">
        <f t="shared" si="1041"/>
        <v>0</v>
      </c>
      <c r="Y6764" s="13">
        <f t="shared" si="1045"/>
        <v>0</v>
      </c>
      <c r="Z6764" s="14">
        <v>0</v>
      </c>
      <c r="AA6764" s="6">
        <v>0</v>
      </c>
      <c r="AB6764" s="4">
        <f t="shared" si="1046"/>
        <v>0</v>
      </c>
      <c r="AC6764" s="6">
        <f t="shared" si="1044"/>
        <v>0</v>
      </c>
      <c r="AD6764" s="6">
        <f t="shared" si="1048"/>
        <v>0</v>
      </c>
      <c r="AE6764" s="14">
        <f>VLOOKUP(I6764,[2]媒体政策预估表!A:N,MATCH(O6764,[2]媒体政策预估表!$A$2:$M$2,0),0)</f>
        <v>0.06</v>
      </c>
      <c r="AF6764" s="6">
        <f t="shared" si="1053"/>
        <v>0</v>
      </c>
      <c r="AG6764" s="14">
        <v>0</v>
      </c>
      <c r="AH6764" s="64">
        <f t="shared" si="1049"/>
        <v>0</v>
      </c>
      <c r="AJ6764" s="126" t="e">
        <v>#N/A</v>
      </c>
      <c r="AK6764" s="80">
        <f t="shared" si="1047"/>
        <v>0</v>
      </c>
      <c r="AL6764" s="85"/>
      <c r="AM6764" s="85"/>
    </row>
    <row r="6765" spans="1:39" s="86" customFormat="1" ht="13.25" hidden="1" customHeight="1" x14ac:dyDescent="0.3">
      <c r="A6765" s="89" t="s">
        <v>3978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3766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040"/>
        <v>-7203.2599999999984</v>
      </c>
      <c r="X6765" s="6">
        <f t="shared" si="1041"/>
        <v>0</v>
      </c>
      <c r="Y6765" s="13">
        <f t="shared" si="1045"/>
        <v>0</v>
      </c>
      <c r="Z6765" s="14">
        <v>0</v>
      </c>
      <c r="AA6765" s="6">
        <v>0</v>
      </c>
      <c r="AB6765" s="4">
        <f t="shared" si="1046"/>
        <v>0</v>
      </c>
      <c r="AC6765" s="6">
        <f t="shared" si="1044"/>
        <v>0</v>
      </c>
      <c r="AD6765" s="6">
        <f t="shared" si="1048"/>
        <v>0</v>
      </c>
      <c r="AE6765" s="14">
        <f>VLOOKUP(I6765,[2]媒体政策预估表!A:N,MATCH(O6765,[2]媒体政策预估表!$A$2:$M$2,0),0)</f>
        <v>0</v>
      </c>
      <c r="AF6765" s="6">
        <f t="shared" si="1053"/>
        <v>0</v>
      </c>
      <c r="AG6765" s="14">
        <v>0</v>
      </c>
      <c r="AH6765" s="64">
        <f t="shared" si="1049"/>
        <v>0</v>
      </c>
      <c r="AJ6765" s="126" t="e">
        <v>#N/A</v>
      </c>
      <c r="AK6765" s="80">
        <f t="shared" si="1047"/>
        <v>0</v>
      </c>
      <c r="AL6765" s="85"/>
      <c r="AM6765" s="85"/>
    </row>
    <row r="6766" spans="1:39" s="86" customFormat="1" ht="13.25" hidden="1" customHeight="1" x14ac:dyDescent="0.3">
      <c r="A6766" s="89" t="s">
        <v>3978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3766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040"/>
        <v>25818.397659999999</v>
      </c>
      <c r="X6766" s="6">
        <f t="shared" si="1041"/>
        <v>0</v>
      </c>
      <c r="Y6766" s="13">
        <f t="shared" si="1045"/>
        <v>0</v>
      </c>
      <c r="Z6766" s="14">
        <v>0.02</v>
      </c>
      <c r="AA6766" s="6">
        <f>X6766*Z6766</f>
        <v>0</v>
      </c>
      <c r="AB6766" s="4">
        <f t="shared" si="1046"/>
        <v>0</v>
      </c>
      <c r="AC6766" s="6">
        <f t="shared" si="1044"/>
        <v>0</v>
      </c>
      <c r="AD6766" s="6">
        <f t="shared" si="1048"/>
        <v>0</v>
      </c>
      <c r="AE6766" s="14">
        <f>VLOOKUP(I6766,[2]媒体政策预估表!A:N,MATCH(O6766,[2]媒体政策预估表!$A$2:$M$2,0),0)</f>
        <v>0</v>
      </c>
      <c r="AF6766" s="6">
        <f t="shared" si="1053"/>
        <v>0</v>
      </c>
      <c r="AG6766" s="14">
        <v>0</v>
      </c>
      <c r="AH6766" s="64">
        <f t="shared" si="1049"/>
        <v>0</v>
      </c>
      <c r="AJ6766" s="126" t="e">
        <v>#N/A</v>
      </c>
      <c r="AK6766" s="80">
        <f t="shared" si="1047"/>
        <v>0</v>
      </c>
      <c r="AL6766" s="85"/>
      <c r="AM6766" s="85"/>
    </row>
    <row r="6767" spans="1:39" s="86" customFormat="1" ht="13.25" hidden="1" customHeight="1" x14ac:dyDescent="0.3">
      <c r="A6767" s="89" t="s">
        <v>3978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3766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040"/>
        <v>1137087.5482300001</v>
      </c>
      <c r="X6767" s="6">
        <f t="shared" si="1041"/>
        <v>0</v>
      </c>
      <c r="Y6767" s="13">
        <f t="shared" si="1045"/>
        <v>0</v>
      </c>
      <c r="Z6767" s="14">
        <v>0</v>
      </c>
      <c r="AA6767" s="6">
        <v>0</v>
      </c>
      <c r="AB6767" s="4">
        <f t="shared" si="1046"/>
        <v>0</v>
      </c>
      <c r="AC6767" s="6">
        <f t="shared" si="1044"/>
        <v>0</v>
      </c>
      <c r="AD6767" s="6">
        <f t="shared" si="1048"/>
        <v>0</v>
      </c>
      <c r="AE6767" s="14">
        <f>VLOOKUP(I6767,[2]媒体政策预估表!A:N,MATCH(O6767,[2]媒体政策预估表!$A$2:$M$2,0),0)</f>
        <v>0.06</v>
      </c>
      <c r="AF6767" s="6">
        <f t="shared" si="1053"/>
        <v>0</v>
      </c>
      <c r="AG6767" s="14">
        <v>0</v>
      </c>
      <c r="AH6767" s="64">
        <f t="shared" si="1049"/>
        <v>0</v>
      </c>
      <c r="AJ6767" s="126" t="e">
        <v>#N/A</v>
      </c>
      <c r="AK6767" s="80">
        <f t="shared" si="1047"/>
        <v>0</v>
      </c>
      <c r="AL6767" s="85"/>
      <c r="AM6767" s="85"/>
    </row>
    <row r="6768" spans="1:39" s="86" customFormat="1" ht="13.25" hidden="1" customHeight="1" x14ac:dyDescent="0.3">
      <c r="A6768" s="89" t="s">
        <v>3978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3766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055">T6768+U6768-V6768</f>
        <v>-1135040.31</v>
      </c>
      <c r="X6768" s="6">
        <f t="shared" ref="X6768:X6831" si="1056">IF(P6768="折扣",V6768*Q6768,IF(P6768="返现",V6768,V6768/(1+Q6768)))</f>
        <v>0</v>
      </c>
      <c r="Y6768" s="13">
        <f t="shared" si="1045"/>
        <v>0</v>
      </c>
      <c r="Z6768" s="14">
        <v>0</v>
      </c>
      <c r="AA6768" s="6">
        <v>0</v>
      </c>
      <c r="AB6768" s="4">
        <f t="shared" si="1046"/>
        <v>0</v>
      </c>
      <c r="AC6768" s="6">
        <f t="shared" si="1044"/>
        <v>0</v>
      </c>
      <c r="AD6768" s="6">
        <f t="shared" si="1048"/>
        <v>0</v>
      </c>
      <c r="AE6768" s="14">
        <f>VLOOKUP(I6768,[2]媒体政策预估表!A:N,MATCH(O6768,[2]媒体政策预估表!$A$2:$M$2,0),0)</f>
        <v>0</v>
      </c>
      <c r="AF6768" s="6">
        <f t="shared" si="1053"/>
        <v>0</v>
      </c>
      <c r="AG6768" s="14">
        <v>0</v>
      </c>
      <c r="AH6768" s="64">
        <f t="shared" si="1049"/>
        <v>0</v>
      </c>
      <c r="AJ6768" s="126" t="e">
        <v>#N/A</v>
      </c>
      <c r="AK6768" s="80">
        <f t="shared" si="1047"/>
        <v>0</v>
      </c>
      <c r="AL6768" s="85"/>
      <c r="AM6768" s="85"/>
    </row>
    <row r="6769" spans="1:39" s="86" customFormat="1" ht="13.25" hidden="1" customHeight="1" x14ac:dyDescent="0.3">
      <c r="A6769" s="89" t="s">
        <v>3978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3766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055"/>
        <v>-1697896.06</v>
      </c>
      <c r="X6769" s="6">
        <f t="shared" si="1056"/>
        <v>0</v>
      </c>
      <c r="Y6769" s="13">
        <f t="shared" si="1045"/>
        <v>0</v>
      </c>
      <c r="Z6769" s="14">
        <v>0</v>
      </c>
      <c r="AA6769" s="6">
        <v>0</v>
      </c>
      <c r="AB6769" s="4">
        <f t="shared" si="1046"/>
        <v>0</v>
      </c>
      <c r="AC6769" s="6">
        <f t="shared" si="1044"/>
        <v>0</v>
      </c>
      <c r="AD6769" s="6">
        <f t="shared" si="1048"/>
        <v>0</v>
      </c>
      <c r="AE6769" s="14">
        <f>VLOOKUP(I6769,[2]媒体政策预估表!A:N,MATCH(O6769,[2]媒体政策预估表!$A$2:$M$2,0),0)</f>
        <v>0.06</v>
      </c>
      <c r="AF6769" s="6">
        <f t="shared" si="1053"/>
        <v>0</v>
      </c>
      <c r="AG6769" s="14">
        <v>0</v>
      </c>
      <c r="AH6769" s="64">
        <f t="shared" si="1049"/>
        <v>0</v>
      </c>
      <c r="AJ6769" s="126" t="e">
        <v>#N/A</v>
      </c>
      <c r="AK6769" s="80">
        <f t="shared" si="1047"/>
        <v>0</v>
      </c>
      <c r="AL6769" s="85"/>
      <c r="AM6769" s="85"/>
    </row>
    <row r="6770" spans="1:39" s="86" customFormat="1" ht="13.25" hidden="1" customHeight="1" x14ac:dyDescent="0.3">
      <c r="A6770" s="89" t="s">
        <v>3978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3766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055"/>
        <v>986.86000000000104</v>
      </c>
      <c r="X6770" s="6">
        <f t="shared" si="1056"/>
        <v>0</v>
      </c>
      <c r="Y6770" s="13">
        <f t="shared" si="1045"/>
        <v>0</v>
      </c>
      <c r="Z6770" s="14">
        <v>0</v>
      </c>
      <c r="AA6770" s="6">
        <v>0</v>
      </c>
      <c r="AB6770" s="4">
        <f t="shared" si="1046"/>
        <v>0</v>
      </c>
      <c r="AC6770" s="6">
        <f t="shared" si="1044"/>
        <v>0</v>
      </c>
      <c r="AD6770" s="6">
        <f t="shared" si="1048"/>
        <v>0</v>
      </c>
      <c r="AE6770" s="14">
        <f>VLOOKUP(I6770,[2]媒体政策预估表!A:N,MATCH(O6770,[2]媒体政策预估表!$A$2:$M$2,0),0)</f>
        <v>0.06</v>
      </c>
      <c r="AF6770" s="6">
        <f t="shared" si="1053"/>
        <v>0</v>
      </c>
      <c r="AG6770" s="14">
        <v>0</v>
      </c>
      <c r="AH6770" s="64">
        <f t="shared" si="1049"/>
        <v>0</v>
      </c>
      <c r="AJ6770" s="126" t="e">
        <v>#N/A</v>
      </c>
      <c r="AK6770" s="80">
        <f t="shared" si="1047"/>
        <v>0</v>
      </c>
      <c r="AL6770" s="85"/>
      <c r="AM6770" s="85"/>
    </row>
    <row r="6771" spans="1:39" s="86" customFormat="1" ht="13.25" hidden="1" customHeight="1" x14ac:dyDescent="0.3">
      <c r="A6771" s="89" t="s">
        <v>3978</v>
      </c>
      <c r="B6771" s="86" t="s">
        <v>35</v>
      </c>
      <c r="C6771" s="86" t="s">
        <v>184</v>
      </c>
      <c r="D6771" s="86" t="s">
        <v>3849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3766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055"/>
        <v>145.4</v>
      </c>
      <c r="X6771" s="6">
        <f t="shared" si="1056"/>
        <v>0</v>
      </c>
      <c r="Y6771" s="13">
        <f t="shared" si="1045"/>
        <v>0</v>
      </c>
      <c r="Z6771" s="14">
        <v>0</v>
      </c>
      <c r="AA6771" s="6">
        <v>0</v>
      </c>
      <c r="AB6771" s="4">
        <f t="shared" si="1046"/>
        <v>0</v>
      </c>
      <c r="AC6771" s="6">
        <f t="shared" si="1044"/>
        <v>0</v>
      </c>
      <c r="AD6771" s="6">
        <f t="shared" si="1048"/>
        <v>0</v>
      </c>
      <c r="AE6771" s="14">
        <f>VLOOKUP(I6771,[2]媒体政策预估表!A:N,MATCH(O6771,[2]媒体政策预估表!$A$2:$M$2,0),0)</f>
        <v>0</v>
      </c>
      <c r="AF6771" s="6">
        <f t="shared" si="1053"/>
        <v>0</v>
      </c>
      <c r="AG6771" s="14">
        <v>0</v>
      </c>
      <c r="AH6771" s="64">
        <f t="shared" si="1049"/>
        <v>0</v>
      </c>
      <c r="AJ6771" s="126" t="e">
        <v>#N/A</v>
      </c>
      <c r="AK6771" s="80">
        <f t="shared" si="1047"/>
        <v>0</v>
      </c>
      <c r="AL6771" s="85"/>
      <c r="AM6771" s="85"/>
    </row>
    <row r="6772" spans="1:39" s="86" customFormat="1" ht="13.25" hidden="1" customHeight="1" x14ac:dyDescent="0.3">
      <c r="A6772" s="89" t="s">
        <v>3978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3766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055"/>
        <v>57356.7</v>
      </c>
      <c r="X6772" s="6">
        <f t="shared" si="1056"/>
        <v>0</v>
      </c>
      <c r="Y6772" s="13">
        <f t="shared" si="1045"/>
        <v>0</v>
      </c>
      <c r="Z6772" s="14">
        <v>5.5E-2</v>
      </c>
      <c r="AA6772" s="6">
        <f>X6772*Z6772</f>
        <v>0</v>
      </c>
      <c r="AB6772" s="4">
        <f t="shared" si="1046"/>
        <v>0</v>
      </c>
      <c r="AC6772" s="6">
        <f t="shared" si="1044"/>
        <v>0</v>
      </c>
      <c r="AD6772" s="6">
        <f t="shared" si="1048"/>
        <v>0</v>
      </c>
      <c r="AE6772" s="14">
        <f>VLOOKUP(I6772,[2]媒体政策预估表!A:N,MATCH(O6772,[2]媒体政策预估表!$A$2:$M$2,0),0)</f>
        <v>0.06</v>
      </c>
      <c r="AF6772" s="6">
        <f t="shared" si="1053"/>
        <v>0</v>
      </c>
      <c r="AG6772" s="14">
        <v>0</v>
      </c>
      <c r="AH6772" s="64">
        <f t="shared" si="1049"/>
        <v>0</v>
      </c>
      <c r="AJ6772" s="126" t="e">
        <v>#N/A</v>
      </c>
      <c r="AK6772" s="80">
        <f t="shared" si="1047"/>
        <v>0</v>
      </c>
      <c r="AL6772" s="85"/>
      <c r="AM6772" s="85"/>
    </row>
    <row r="6773" spans="1:39" s="86" customFormat="1" ht="13.25" hidden="1" customHeight="1" x14ac:dyDescent="0.3">
      <c r="A6773" s="89" t="s">
        <v>3792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055"/>
        <v>16566.609999999928</v>
      </c>
      <c r="X6773" s="6">
        <f t="shared" si="1056"/>
        <v>96115.85</v>
      </c>
      <c r="Y6773" s="13">
        <f t="shared" si="1045"/>
        <v>0</v>
      </c>
      <c r="Z6773" s="14">
        <v>0</v>
      </c>
      <c r="AA6773" s="6">
        <v>0</v>
      </c>
      <c r="AB6773" s="4">
        <f t="shared" si="1046"/>
        <v>96115.85</v>
      </c>
      <c r="AC6773" s="6">
        <f t="shared" si="1044"/>
        <v>0</v>
      </c>
      <c r="AD6773" s="6">
        <f t="shared" si="1048"/>
        <v>96115.85</v>
      </c>
      <c r="AE6773" s="14">
        <f>VLOOKUP(I6773,[2]媒体政策预估表!A:N,MATCH(O6773,[2]媒体政策预估表!$A$2:$M$2,0),0)</f>
        <v>0</v>
      </c>
      <c r="AF6773" s="6">
        <f t="shared" si="1053"/>
        <v>0</v>
      </c>
      <c r="AG6773" s="14">
        <v>0</v>
      </c>
      <c r="AH6773" s="64">
        <f t="shared" si="1049"/>
        <v>96115.85</v>
      </c>
      <c r="AJ6773" s="126" t="e">
        <v>#N/A</v>
      </c>
      <c r="AK6773" s="80">
        <f t="shared" si="1047"/>
        <v>0</v>
      </c>
      <c r="AL6773" s="85"/>
      <c r="AM6773" s="85"/>
    </row>
    <row r="6774" spans="1:39" s="86" customFormat="1" ht="13.25" hidden="1" customHeight="1" x14ac:dyDescent="0.3">
      <c r="A6774" s="89" t="s">
        <v>3978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055"/>
        <v>197.4600000000008</v>
      </c>
      <c r="X6774" s="6">
        <f t="shared" si="1056"/>
        <v>1.9</v>
      </c>
      <c r="Y6774" s="13">
        <f t="shared" si="1045"/>
        <v>0</v>
      </c>
      <c r="Z6774" s="14">
        <v>0.03</v>
      </c>
      <c r="AA6774" s="6">
        <f t="shared" ref="AA6774:AA6777" si="1057">X6774*Z6774</f>
        <v>5.6999999999999995E-2</v>
      </c>
      <c r="AB6774" s="4">
        <f t="shared" si="1046"/>
        <v>1.9569999999999999</v>
      </c>
      <c r="AC6774" s="6">
        <f t="shared" si="1044"/>
        <v>0</v>
      </c>
      <c r="AD6774" s="6">
        <f t="shared" si="1048"/>
        <v>1.9</v>
      </c>
      <c r="AE6774" s="14">
        <f>VLOOKUP(I6774,[2]媒体政策预估表!A:N,MATCH(O6774,[2]媒体政策预估表!$A$2:$M$2,0),0)</f>
        <v>0</v>
      </c>
      <c r="AF6774" s="6">
        <f t="shared" si="1053"/>
        <v>0</v>
      </c>
      <c r="AG6774" s="14">
        <v>0</v>
      </c>
      <c r="AH6774" s="64">
        <f t="shared" si="1049"/>
        <v>1.9</v>
      </c>
      <c r="AJ6774" s="126" t="e">
        <v>#N/A</v>
      </c>
      <c r="AK6774" s="80">
        <f t="shared" si="1047"/>
        <v>0</v>
      </c>
      <c r="AL6774" s="85"/>
      <c r="AM6774" s="85"/>
    </row>
    <row r="6775" spans="1:39" s="86" customFormat="1" ht="13.25" hidden="1" customHeight="1" x14ac:dyDescent="0.3">
      <c r="A6775" s="89" t="s">
        <v>3978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055"/>
        <v>-611.86999999856835</v>
      </c>
      <c r="X6775" s="6">
        <f t="shared" si="1056"/>
        <v>0</v>
      </c>
      <c r="Y6775" s="13">
        <f t="shared" si="1045"/>
        <v>0</v>
      </c>
      <c r="Z6775" s="14">
        <v>5.5E-2</v>
      </c>
      <c r="AA6775" s="6">
        <f t="shared" si="1057"/>
        <v>0</v>
      </c>
      <c r="AB6775" s="4">
        <f t="shared" si="1046"/>
        <v>0</v>
      </c>
      <c r="AC6775" s="6">
        <f t="shared" si="1044"/>
        <v>0</v>
      </c>
      <c r="AD6775" s="6">
        <f t="shared" si="1048"/>
        <v>0</v>
      </c>
      <c r="AE6775" s="14">
        <f>VLOOKUP(I6775,[2]媒体政策预估表!A:N,MATCH(O6775,[2]媒体政策预估表!$A$2:$M$2,0),0)</f>
        <v>0</v>
      </c>
      <c r="AF6775" s="6">
        <f t="shared" si="1053"/>
        <v>0</v>
      </c>
      <c r="AG6775" s="14">
        <v>0</v>
      </c>
      <c r="AH6775" s="64">
        <f t="shared" si="1049"/>
        <v>0</v>
      </c>
      <c r="AJ6775" s="126" t="e">
        <v>#N/A</v>
      </c>
      <c r="AK6775" s="80">
        <f t="shared" si="1047"/>
        <v>0</v>
      </c>
      <c r="AL6775" s="85"/>
      <c r="AM6775" s="85"/>
    </row>
    <row r="6776" spans="1:39" s="86" customFormat="1" ht="13.25" hidden="1" customHeight="1" x14ac:dyDescent="0.3">
      <c r="A6776" s="89" t="s">
        <v>3792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055"/>
        <v>515545.09999999567</v>
      </c>
      <c r="X6776" s="6">
        <f t="shared" si="1056"/>
        <v>0</v>
      </c>
      <c r="Y6776" s="13">
        <f t="shared" si="1045"/>
        <v>0</v>
      </c>
      <c r="Z6776" s="14">
        <v>5.5E-2</v>
      </c>
      <c r="AA6776" s="6">
        <f t="shared" si="1057"/>
        <v>0</v>
      </c>
      <c r="AB6776" s="4">
        <f t="shared" si="1046"/>
        <v>0</v>
      </c>
      <c r="AC6776" s="6">
        <f t="shared" si="1044"/>
        <v>0</v>
      </c>
      <c r="AD6776" s="6">
        <f t="shared" si="1048"/>
        <v>0</v>
      </c>
      <c r="AE6776" s="14">
        <f>VLOOKUP(I6776,[2]媒体政策预估表!A:N,MATCH(O6776,[2]媒体政策预估表!$A$2:$M$2,0),0)</f>
        <v>0</v>
      </c>
      <c r="AF6776" s="6">
        <f t="shared" si="1053"/>
        <v>0</v>
      </c>
      <c r="AG6776" s="14">
        <v>0</v>
      </c>
      <c r="AH6776" s="64">
        <f t="shared" si="1049"/>
        <v>0</v>
      </c>
      <c r="AJ6776" s="126" t="e">
        <v>#N/A</v>
      </c>
      <c r="AK6776" s="80">
        <f t="shared" si="1047"/>
        <v>0</v>
      </c>
      <c r="AL6776" s="85"/>
      <c r="AM6776" s="85"/>
    </row>
    <row r="6777" spans="1:39" s="86" customFormat="1" ht="13.25" hidden="1" customHeight="1" x14ac:dyDescent="0.3">
      <c r="A6777" s="89" t="s">
        <v>3978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055"/>
        <v>163418.60000000003</v>
      </c>
      <c r="X6777" s="6">
        <f t="shared" si="1056"/>
        <v>85795</v>
      </c>
      <c r="Y6777" s="13">
        <f t="shared" si="1045"/>
        <v>0</v>
      </c>
      <c r="Z6777" s="14">
        <v>0.03</v>
      </c>
      <c r="AA6777" s="6">
        <f t="shared" si="1057"/>
        <v>2573.85</v>
      </c>
      <c r="AB6777" s="4">
        <f t="shared" si="1046"/>
        <v>88368.85</v>
      </c>
      <c r="AC6777" s="6">
        <f t="shared" si="1044"/>
        <v>0</v>
      </c>
      <c r="AD6777" s="6">
        <f t="shared" si="1048"/>
        <v>85795</v>
      </c>
      <c r="AE6777" s="14">
        <f>VLOOKUP(I6777,[2]媒体政策预估表!A:N,MATCH(O6777,[2]媒体政策预估表!$A$2:$M$2,0),0)</f>
        <v>0</v>
      </c>
      <c r="AF6777" s="6">
        <f t="shared" si="1053"/>
        <v>0</v>
      </c>
      <c r="AG6777" s="14">
        <v>0</v>
      </c>
      <c r="AH6777" s="64">
        <f t="shared" si="1049"/>
        <v>85795</v>
      </c>
      <c r="AJ6777" s="126" t="e">
        <v>#N/A</v>
      </c>
      <c r="AK6777" s="80">
        <f t="shared" si="1047"/>
        <v>0</v>
      </c>
      <c r="AL6777" s="85"/>
      <c r="AM6777" s="85"/>
    </row>
    <row r="6778" spans="1:39" s="86" customFormat="1" ht="13.25" hidden="1" customHeight="1" x14ac:dyDescent="0.3">
      <c r="A6778" s="89" t="s">
        <v>3978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055"/>
        <v>46.540000000015425</v>
      </c>
      <c r="X6778" s="6">
        <f t="shared" si="1056"/>
        <v>16846.79</v>
      </c>
      <c r="Y6778" s="13">
        <f t="shared" si="1045"/>
        <v>0</v>
      </c>
      <c r="Z6778" s="14">
        <v>0</v>
      </c>
      <c r="AA6778" s="6">
        <v>0</v>
      </c>
      <c r="AB6778" s="4">
        <f t="shared" si="1046"/>
        <v>16846.79</v>
      </c>
      <c r="AC6778" s="6">
        <f t="shared" si="1044"/>
        <v>0</v>
      </c>
      <c r="AD6778" s="6">
        <f t="shared" si="1048"/>
        <v>16846.79</v>
      </c>
      <c r="AE6778" s="14">
        <f>VLOOKUP(I6778,[2]媒体政策预估表!A:N,MATCH(O6778,[2]媒体政策预估表!$A$2:$M$2,0),0)</f>
        <v>0</v>
      </c>
      <c r="AF6778" s="6">
        <f t="shared" si="1053"/>
        <v>0</v>
      </c>
      <c r="AG6778" s="14">
        <v>0</v>
      </c>
      <c r="AH6778" s="64">
        <f t="shared" si="1049"/>
        <v>16846.79</v>
      </c>
      <c r="AJ6778" s="126" t="e">
        <v>#N/A</v>
      </c>
      <c r="AK6778" s="80">
        <f t="shared" si="1047"/>
        <v>0</v>
      </c>
      <c r="AL6778" s="85"/>
      <c r="AM6778" s="85"/>
    </row>
    <row r="6779" spans="1:39" s="86" customFormat="1" ht="13.25" hidden="1" customHeight="1" x14ac:dyDescent="0.3">
      <c r="A6779" s="89" t="s">
        <v>3978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055"/>
        <v>9708.74</v>
      </c>
      <c r="X6779" s="6">
        <f t="shared" si="1056"/>
        <v>0</v>
      </c>
      <c r="Y6779" s="13">
        <f t="shared" si="1045"/>
        <v>0</v>
      </c>
      <c r="Z6779" s="14">
        <v>0.03</v>
      </c>
      <c r="AA6779" s="6">
        <f>X6779*Z6779</f>
        <v>0</v>
      </c>
      <c r="AB6779" s="4">
        <f t="shared" si="1046"/>
        <v>0</v>
      </c>
      <c r="AC6779" s="6">
        <f t="shared" si="1044"/>
        <v>0</v>
      </c>
      <c r="AD6779" s="6">
        <f t="shared" si="1048"/>
        <v>0</v>
      </c>
      <c r="AE6779" s="14">
        <f>VLOOKUP(I6779,[2]媒体政策预估表!A:N,MATCH(O6779,[2]媒体政策预估表!$A$2:$M$2,0),0)</f>
        <v>0</v>
      </c>
      <c r="AF6779" s="6">
        <f t="shared" si="1053"/>
        <v>0</v>
      </c>
      <c r="AG6779" s="14">
        <v>0</v>
      </c>
      <c r="AH6779" s="64">
        <f t="shared" si="1049"/>
        <v>0</v>
      </c>
      <c r="AJ6779" s="126" t="e">
        <v>#N/A</v>
      </c>
      <c r="AK6779" s="80">
        <f t="shared" si="1047"/>
        <v>0</v>
      </c>
      <c r="AL6779" s="85"/>
      <c r="AM6779" s="85"/>
    </row>
    <row r="6780" spans="1:39" s="86" customFormat="1" ht="13.25" hidden="1" customHeight="1" x14ac:dyDescent="0.3">
      <c r="A6780" s="89" t="s">
        <v>3978</v>
      </c>
      <c r="B6780" s="86" t="s">
        <v>35</v>
      </c>
      <c r="C6780" s="86" t="s">
        <v>184</v>
      </c>
      <c r="D6780" s="86" t="s">
        <v>3849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055"/>
        <v>894593.3899999999</v>
      </c>
      <c r="X6780" s="6">
        <f t="shared" si="1056"/>
        <v>0</v>
      </c>
      <c r="Y6780" s="13">
        <f t="shared" si="1045"/>
        <v>0</v>
      </c>
      <c r="Z6780" s="14">
        <v>0</v>
      </c>
      <c r="AA6780" s="6">
        <v>0</v>
      </c>
      <c r="AB6780" s="4">
        <f t="shared" si="1046"/>
        <v>0</v>
      </c>
      <c r="AC6780" s="6">
        <f t="shared" si="1044"/>
        <v>0</v>
      </c>
      <c r="AD6780" s="6">
        <f t="shared" si="1048"/>
        <v>0</v>
      </c>
      <c r="AE6780" s="14">
        <f>VLOOKUP(I6780,[2]媒体政策预估表!A:N,MATCH(O6780,[2]媒体政策预估表!$A$2:$M$2,0),0)</f>
        <v>0</v>
      </c>
      <c r="AF6780" s="6">
        <f t="shared" si="1053"/>
        <v>0</v>
      </c>
      <c r="AG6780" s="14">
        <v>0</v>
      </c>
      <c r="AH6780" s="64">
        <f t="shared" si="1049"/>
        <v>0</v>
      </c>
      <c r="AJ6780" s="126" t="e">
        <v>#N/A</v>
      </c>
      <c r="AK6780" s="80">
        <f t="shared" si="1047"/>
        <v>0</v>
      </c>
      <c r="AL6780" s="85"/>
      <c r="AM6780" s="85"/>
    </row>
    <row r="6781" spans="1:39" s="86" customFormat="1" ht="13.25" hidden="1" customHeight="1" x14ac:dyDescent="0.3">
      <c r="A6781" s="89" t="s">
        <v>3792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055"/>
        <v>8290.2999999999993</v>
      </c>
      <c r="X6781" s="6">
        <f t="shared" si="1056"/>
        <v>0</v>
      </c>
      <c r="Y6781" s="13">
        <f t="shared" si="1045"/>
        <v>0</v>
      </c>
      <c r="Z6781" s="14">
        <v>0.02</v>
      </c>
      <c r="AA6781" s="6">
        <f>X6781/(1-Z6781)*Z6781</f>
        <v>0</v>
      </c>
      <c r="AB6781" s="4">
        <f t="shared" si="1046"/>
        <v>0</v>
      </c>
      <c r="AC6781" s="6">
        <f t="shared" si="1044"/>
        <v>0</v>
      </c>
      <c r="AD6781" s="6">
        <f t="shared" si="1048"/>
        <v>0</v>
      </c>
      <c r="AE6781" s="14">
        <f>VLOOKUP(I6781,[2]媒体政策预估表!A:N,MATCH(O6781,[2]媒体政策预估表!$A$2:$M$2,0),0)</f>
        <v>0</v>
      </c>
      <c r="AF6781" s="6">
        <f t="shared" si="1053"/>
        <v>0</v>
      </c>
      <c r="AG6781" s="14">
        <v>0</v>
      </c>
      <c r="AH6781" s="64">
        <f t="shared" si="1049"/>
        <v>0</v>
      </c>
      <c r="AJ6781" s="126" t="e">
        <v>#N/A</v>
      </c>
      <c r="AK6781" s="80">
        <f t="shared" si="1047"/>
        <v>0</v>
      </c>
      <c r="AL6781" s="85"/>
      <c r="AM6781" s="85"/>
    </row>
    <row r="6782" spans="1:39" s="86" customFormat="1" ht="13.25" hidden="1" customHeight="1" x14ac:dyDescent="0.3">
      <c r="A6782" s="89" t="s">
        <v>3978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055"/>
        <v>37743.599999999627</v>
      </c>
      <c r="X6782" s="6">
        <f t="shared" si="1056"/>
        <v>0</v>
      </c>
      <c r="Y6782" s="13">
        <f t="shared" si="1045"/>
        <v>0</v>
      </c>
      <c r="Z6782" s="14">
        <v>0</v>
      </c>
      <c r="AA6782" s="6">
        <v>0</v>
      </c>
      <c r="AB6782" s="4">
        <f t="shared" si="1046"/>
        <v>0</v>
      </c>
      <c r="AC6782" s="6">
        <f t="shared" ref="AC6782:AC6845" si="1058">IF(P6782="返现",X6782*Q6782,V6782-X6782)</f>
        <v>0</v>
      </c>
      <c r="AD6782" s="6">
        <f t="shared" si="1048"/>
        <v>0</v>
      </c>
      <c r="AE6782" s="14">
        <f>VLOOKUP(I6782,[2]媒体政策预估表!A:N,MATCH(O6782,[2]媒体政策预估表!$A$2:$M$2,0),0)</f>
        <v>0</v>
      </c>
      <c r="AF6782" s="6">
        <f t="shared" si="1053"/>
        <v>0</v>
      </c>
      <c r="AG6782" s="14">
        <v>0</v>
      </c>
      <c r="AH6782" s="64">
        <f t="shared" si="1049"/>
        <v>0</v>
      </c>
      <c r="AJ6782" s="126" t="e">
        <v>#N/A</v>
      </c>
      <c r="AK6782" s="80">
        <f t="shared" si="1047"/>
        <v>0</v>
      </c>
      <c r="AL6782" s="85"/>
      <c r="AM6782" s="85"/>
    </row>
    <row r="6783" spans="1:39" s="86" customFormat="1" ht="13.25" hidden="1" customHeight="1" x14ac:dyDescent="0.3">
      <c r="A6783" s="89" t="s">
        <v>3792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055"/>
        <v>27042.07</v>
      </c>
      <c r="X6783" s="6">
        <f t="shared" si="1056"/>
        <v>0</v>
      </c>
      <c r="Y6783" s="13">
        <f t="shared" si="1045"/>
        <v>0</v>
      </c>
      <c r="Z6783" s="14">
        <v>0.02</v>
      </c>
      <c r="AA6783" s="6">
        <f>X6783*Z6783</f>
        <v>0</v>
      </c>
      <c r="AB6783" s="4">
        <f t="shared" si="1046"/>
        <v>0</v>
      </c>
      <c r="AC6783" s="6">
        <f t="shared" si="1058"/>
        <v>0</v>
      </c>
      <c r="AD6783" s="6">
        <f t="shared" si="1048"/>
        <v>0</v>
      </c>
      <c r="AE6783" s="14">
        <f>VLOOKUP(I6783,[2]媒体政策预估表!A:N,MATCH(O6783,[2]媒体政策预估表!$A$2:$M$2,0),0)</f>
        <v>0</v>
      </c>
      <c r="AF6783" s="6">
        <f t="shared" si="1053"/>
        <v>0</v>
      </c>
      <c r="AG6783" s="14">
        <v>0</v>
      </c>
      <c r="AH6783" s="64">
        <f t="shared" si="1049"/>
        <v>0</v>
      </c>
      <c r="AJ6783" s="126" t="e">
        <v>#N/A</v>
      </c>
      <c r="AK6783" s="80">
        <f t="shared" si="1047"/>
        <v>0</v>
      </c>
      <c r="AL6783" s="85"/>
      <c r="AM6783" s="85"/>
    </row>
    <row r="6784" spans="1:39" s="86" customFormat="1" ht="13.25" hidden="1" customHeight="1" x14ac:dyDescent="0.3">
      <c r="A6784" s="89" t="s">
        <v>3978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055"/>
        <v>2.4699999999955082</v>
      </c>
      <c r="X6784" s="6">
        <f t="shared" si="1056"/>
        <v>0</v>
      </c>
      <c r="Y6784" s="13">
        <f t="shared" si="1045"/>
        <v>0</v>
      </c>
      <c r="Z6784" s="14">
        <v>0</v>
      </c>
      <c r="AA6784" s="6">
        <v>0</v>
      </c>
      <c r="AB6784" s="4">
        <f t="shared" si="1046"/>
        <v>0</v>
      </c>
      <c r="AC6784" s="6">
        <f t="shared" si="1058"/>
        <v>0</v>
      </c>
      <c r="AD6784" s="6">
        <f t="shared" si="1048"/>
        <v>0</v>
      </c>
      <c r="AE6784" s="14">
        <f>VLOOKUP(I6784,[2]媒体政策预估表!A:N,MATCH(O6784,[2]媒体政策预估表!$A$2:$M$2,0),0)</f>
        <v>0</v>
      </c>
      <c r="AF6784" s="6">
        <f t="shared" si="1053"/>
        <v>0</v>
      </c>
      <c r="AG6784" s="14">
        <v>0</v>
      </c>
      <c r="AH6784" s="64">
        <f t="shared" si="1049"/>
        <v>0</v>
      </c>
      <c r="AJ6784" s="126" t="e">
        <v>#N/A</v>
      </c>
      <c r="AK6784" s="80">
        <f t="shared" si="1047"/>
        <v>0</v>
      </c>
      <c r="AL6784" s="85"/>
      <c r="AM6784" s="85"/>
    </row>
    <row r="6785" spans="1:39" s="86" customFormat="1" ht="13.25" hidden="1" customHeight="1" x14ac:dyDescent="0.3">
      <c r="A6785" s="89" t="s">
        <v>3978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055"/>
        <v>70.369999999999891</v>
      </c>
      <c r="X6785" s="6">
        <f t="shared" si="1056"/>
        <v>0</v>
      </c>
      <c r="Y6785" s="13">
        <f t="shared" si="1045"/>
        <v>0</v>
      </c>
      <c r="Z6785" s="14">
        <v>0.03</v>
      </c>
      <c r="AA6785" s="6">
        <f>X6785*Z6785</f>
        <v>0</v>
      </c>
      <c r="AB6785" s="4">
        <f t="shared" si="1046"/>
        <v>0</v>
      </c>
      <c r="AC6785" s="6">
        <f t="shared" si="1058"/>
        <v>0</v>
      </c>
      <c r="AD6785" s="6">
        <f t="shared" si="1048"/>
        <v>0</v>
      </c>
      <c r="AE6785" s="14">
        <f>VLOOKUP(I6785,[2]媒体政策预估表!A:N,MATCH(O6785,[2]媒体政策预估表!$A$2:$M$2,0),0)</f>
        <v>0</v>
      </c>
      <c r="AF6785" s="6">
        <f t="shared" si="1053"/>
        <v>0</v>
      </c>
      <c r="AG6785" s="14">
        <v>0</v>
      </c>
      <c r="AH6785" s="64">
        <f t="shared" si="1049"/>
        <v>0</v>
      </c>
      <c r="AJ6785" s="126" t="e">
        <v>#N/A</v>
      </c>
      <c r="AK6785" s="80">
        <f t="shared" si="1047"/>
        <v>0</v>
      </c>
      <c r="AL6785" s="85"/>
      <c r="AM6785" s="85"/>
    </row>
    <row r="6786" spans="1:39" s="86" customFormat="1" ht="13.25" hidden="1" customHeight="1" x14ac:dyDescent="0.3">
      <c r="A6786" s="89" t="s">
        <v>3978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055"/>
        <v>63847.100000000006</v>
      </c>
      <c r="X6786" s="6">
        <f t="shared" si="1056"/>
        <v>0</v>
      </c>
      <c r="Y6786" s="13">
        <f t="shared" si="1045"/>
        <v>0</v>
      </c>
      <c r="Z6786" s="14">
        <v>0.03</v>
      </c>
      <c r="AA6786" s="6">
        <f>X6786/(1-Z6786)*Z6786</f>
        <v>0</v>
      </c>
      <c r="AB6786" s="4">
        <f t="shared" si="1046"/>
        <v>0</v>
      </c>
      <c r="AC6786" s="6">
        <f t="shared" si="1058"/>
        <v>0</v>
      </c>
      <c r="AD6786" s="6">
        <f t="shared" si="1048"/>
        <v>0</v>
      </c>
      <c r="AE6786" s="14">
        <f>VLOOKUP(I6786,[2]媒体政策预估表!A:N,MATCH(O6786,[2]媒体政策预估表!$A$2:$M$2,0),0)</f>
        <v>0</v>
      </c>
      <c r="AF6786" s="6">
        <f t="shared" si="1053"/>
        <v>0</v>
      </c>
      <c r="AG6786" s="14">
        <v>0</v>
      </c>
      <c r="AH6786" s="64">
        <f t="shared" si="1049"/>
        <v>0</v>
      </c>
      <c r="AJ6786" s="126" t="e">
        <v>#N/A</v>
      </c>
      <c r="AK6786" s="80">
        <f t="shared" si="1047"/>
        <v>0</v>
      </c>
      <c r="AL6786" s="85"/>
      <c r="AM6786" s="85"/>
    </row>
    <row r="6787" spans="1:39" s="86" customFormat="1" ht="13.25" hidden="1" customHeight="1" x14ac:dyDescent="0.3">
      <c r="A6787" s="89" t="s">
        <v>3978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055"/>
        <v>53.039999999999552</v>
      </c>
      <c r="X6787" s="6">
        <f t="shared" si="1056"/>
        <v>24.14</v>
      </c>
      <c r="Y6787" s="13">
        <f t="shared" ref="Y6787:Y6850" si="1059">IF(X6787-AD6787&lt;=0,0,IF(P6787="返现",MAX(X6787-AC6787-AD6787,0),MAX(X6787-AD6787)))</f>
        <v>0</v>
      </c>
      <c r="Z6787" s="14">
        <v>0.05</v>
      </c>
      <c r="AA6787" s="6">
        <f t="shared" ref="AA6787:AA6788" si="1060">X6787*Z6787</f>
        <v>1.2070000000000001</v>
      </c>
      <c r="AB6787" s="4">
        <f t="shared" ref="AB6787:AB6850" si="1061">X6787+AA6787</f>
        <v>25.347000000000001</v>
      </c>
      <c r="AC6787" s="6">
        <f t="shared" si="1058"/>
        <v>0</v>
      </c>
      <c r="AD6787" s="6">
        <f t="shared" si="1048"/>
        <v>24.14</v>
      </c>
      <c r="AE6787" s="14">
        <f>VLOOKUP(I6787,[2]媒体政策预估表!A:N,MATCH(O6787,[2]媒体政策预估表!$A$2:$M$2,0),0)</f>
        <v>0</v>
      </c>
      <c r="AF6787" s="6">
        <f t="shared" si="1053"/>
        <v>0</v>
      </c>
      <c r="AG6787" s="14">
        <v>0</v>
      </c>
      <c r="AH6787" s="64">
        <f t="shared" si="1049"/>
        <v>24.14</v>
      </c>
      <c r="AJ6787" s="126" t="e">
        <v>#N/A</v>
      </c>
      <c r="AK6787" s="80">
        <f t="shared" ref="AK6787:AK6850" si="1062">X6787+AA6787-AB6787</f>
        <v>0</v>
      </c>
      <c r="AL6787" s="85"/>
      <c r="AM6787" s="85"/>
    </row>
    <row r="6788" spans="1:39" s="86" customFormat="1" ht="13.25" hidden="1" customHeight="1" x14ac:dyDescent="0.3">
      <c r="A6788" s="89" t="s">
        <v>3978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055"/>
        <v>5786.369999999999</v>
      </c>
      <c r="X6788" s="6">
        <f t="shared" si="1056"/>
        <v>0</v>
      </c>
      <c r="Y6788" s="13">
        <f t="shared" si="1059"/>
        <v>0</v>
      </c>
      <c r="Z6788" s="14">
        <v>0.03</v>
      </c>
      <c r="AA6788" s="6">
        <f t="shared" si="1060"/>
        <v>0</v>
      </c>
      <c r="AB6788" s="4">
        <f t="shared" si="1061"/>
        <v>0</v>
      </c>
      <c r="AC6788" s="6">
        <f t="shared" si="1058"/>
        <v>0</v>
      </c>
      <c r="AD6788" s="6">
        <f t="shared" si="1048"/>
        <v>0</v>
      </c>
      <c r="AE6788" s="14">
        <f>VLOOKUP(I6788,[2]媒体政策预估表!A:N,MATCH(O6788,[2]媒体政策预估表!$A$2:$M$2,0),0)</f>
        <v>0</v>
      </c>
      <c r="AF6788" s="6">
        <f t="shared" si="1053"/>
        <v>0</v>
      </c>
      <c r="AG6788" s="14">
        <v>0</v>
      </c>
      <c r="AH6788" s="64">
        <f t="shared" si="1049"/>
        <v>0</v>
      </c>
      <c r="AJ6788" s="126" t="e">
        <v>#N/A</v>
      </c>
      <c r="AK6788" s="80">
        <f t="shared" si="1062"/>
        <v>0</v>
      </c>
      <c r="AL6788" s="85"/>
      <c r="AM6788" s="85"/>
    </row>
    <row r="6789" spans="1:39" s="86" customFormat="1" ht="13.25" hidden="1" customHeight="1" x14ac:dyDescent="0.3">
      <c r="A6789" s="89" t="s">
        <v>3978</v>
      </c>
      <c r="B6789" s="86" t="s">
        <v>35</v>
      </c>
      <c r="C6789" s="86" t="s">
        <v>184</v>
      </c>
      <c r="D6789" s="86" t="s">
        <v>3849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055"/>
        <v>-9.7999999999956344</v>
      </c>
      <c r="X6789" s="6">
        <f t="shared" si="1056"/>
        <v>0</v>
      </c>
      <c r="Y6789" s="13">
        <f t="shared" si="1059"/>
        <v>0</v>
      </c>
      <c r="Z6789" s="14">
        <v>0</v>
      </c>
      <c r="AA6789" s="6">
        <v>0</v>
      </c>
      <c r="AB6789" s="4">
        <f t="shared" si="1061"/>
        <v>0</v>
      </c>
      <c r="AC6789" s="6">
        <f t="shared" si="1058"/>
        <v>0</v>
      </c>
      <c r="AD6789" s="6">
        <f t="shared" si="1048"/>
        <v>0</v>
      </c>
      <c r="AE6789" s="14">
        <f>VLOOKUP(I6789,[2]媒体政策预估表!A:N,MATCH(O6789,[2]媒体政策预估表!$A$2:$M$2,0),0)</f>
        <v>0</v>
      </c>
      <c r="AF6789" s="6">
        <f t="shared" si="1053"/>
        <v>0</v>
      </c>
      <c r="AG6789" s="14">
        <v>0</v>
      </c>
      <c r="AH6789" s="64">
        <f t="shared" si="1049"/>
        <v>0</v>
      </c>
      <c r="AJ6789" s="126" t="e">
        <v>#N/A</v>
      </c>
      <c r="AK6789" s="80">
        <f t="shared" si="1062"/>
        <v>0</v>
      </c>
      <c r="AL6789" s="85"/>
      <c r="AM6789" s="85"/>
    </row>
    <row r="6790" spans="1:39" s="86" customFormat="1" ht="13.25" hidden="1" customHeight="1" x14ac:dyDescent="0.3">
      <c r="A6790" s="89" t="s">
        <v>3792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055"/>
        <v>149.69999999999982</v>
      </c>
      <c r="X6790" s="6">
        <f t="shared" si="1056"/>
        <v>0</v>
      </c>
      <c r="Y6790" s="13">
        <f t="shared" si="1059"/>
        <v>0</v>
      </c>
      <c r="Z6790" s="14">
        <v>0.01</v>
      </c>
      <c r="AA6790" s="6">
        <f>X6790*Z6790</f>
        <v>0</v>
      </c>
      <c r="AB6790" s="4">
        <f t="shared" si="1061"/>
        <v>0</v>
      </c>
      <c r="AC6790" s="6">
        <f t="shared" si="1058"/>
        <v>0</v>
      </c>
      <c r="AD6790" s="6">
        <f t="shared" si="1048"/>
        <v>0</v>
      </c>
      <c r="AE6790" s="14">
        <f>VLOOKUP(I6790,[2]媒体政策预估表!A:N,MATCH(O6790,[2]媒体政策预估表!$A$2:$M$2,0),0)</f>
        <v>0</v>
      </c>
      <c r="AF6790" s="6">
        <f t="shared" si="1053"/>
        <v>0</v>
      </c>
      <c r="AG6790" s="14">
        <v>0</v>
      </c>
      <c r="AH6790" s="64">
        <f t="shared" si="1049"/>
        <v>0</v>
      </c>
      <c r="AJ6790" s="126" t="e">
        <v>#N/A</v>
      </c>
      <c r="AK6790" s="80">
        <f t="shared" si="1062"/>
        <v>0</v>
      </c>
      <c r="AL6790" s="85"/>
      <c r="AM6790" s="85"/>
    </row>
    <row r="6791" spans="1:39" s="86" customFormat="1" ht="13.25" hidden="1" customHeight="1" x14ac:dyDescent="0.3">
      <c r="A6791" s="89" t="s">
        <v>3978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055"/>
        <v>36329.809999999983</v>
      </c>
      <c r="X6791" s="6">
        <f t="shared" si="1056"/>
        <v>0</v>
      </c>
      <c r="Y6791" s="13">
        <f t="shared" si="1059"/>
        <v>0</v>
      </c>
      <c r="Z6791" s="14">
        <v>0</v>
      </c>
      <c r="AA6791" s="6">
        <v>0</v>
      </c>
      <c r="AB6791" s="4">
        <f t="shared" si="1061"/>
        <v>0</v>
      </c>
      <c r="AC6791" s="6">
        <f t="shared" si="1058"/>
        <v>0</v>
      </c>
      <c r="AD6791" s="6">
        <f t="shared" si="1048"/>
        <v>0</v>
      </c>
      <c r="AE6791" s="14">
        <f>VLOOKUP(I6791,[2]媒体政策预估表!A:N,MATCH(O6791,[2]媒体政策预估表!$A$2:$M$2,0),0)</f>
        <v>0</v>
      </c>
      <c r="AF6791" s="6">
        <f t="shared" si="1053"/>
        <v>0</v>
      </c>
      <c r="AG6791" s="14">
        <v>0</v>
      </c>
      <c r="AH6791" s="64">
        <f t="shared" si="1049"/>
        <v>0</v>
      </c>
      <c r="AJ6791" s="126" t="e">
        <v>#N/A</v>
      </c>
      <c r="AK6791" s="80">
        <f t="shared" si="1062"/>
        <v>0</v>
      </c>
      <c r="AL6791" s="85"/>
      <c r="AM6791" s="85"/>
    </row>
    <row r="6792" spans="1:39" s="86" customFormat="1" ht="13.25" hidden="1" customHeight="1" x14ac:dyDescent="0.3">
      <c r="A6792" s="89" t="s">
        <v>3978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055"/>
        <v>12099.5</v>
      </c>
      <c r="X6792" s="6">
        <f t="shared" si="1056"/>
        <v>0</v>
      </c>
      <c r="Y6792" s="13">
        <f t="shared" si="1059"/>
        <v>0</v>
      </c>
      <c r="Z6792" s="14">
        <v>0</v>
      </c>
      <c r="AA6792" s="6">
        <v>0</v>
      </c>
      <c r="AB6792" s="4">
        <f t="shared" si="1061"/>
        <v>0</v>
      </c>
      <c r="AC6792" s="6">
        <f t="shared" si="1058"/>
        <v>0</v>
      </c>
      <c r="AD6792" s="6">
        <f t="shared" si="1048"/>
        <v>0</v>
      </c>
      <c r="AE6792" s="14">
        <f>VLOOKUP(I6792,[2]媒体政策预估表!A:N,MATCH(O6792,[2]媒体政策预估表!$A$2:$M$2,0),0)</f>
        <v>0</v>
      </c>
      <c r="AF6792" s="6">
        <f t="shared" si="1053"/>
        <v>0</v>
      </c>
      <c r="AG6792" s="14">
        <v>0</v>
      </c>
      <c r="AH6792" s="64">
        <f t="shared" si="1049"/>
        <v>0</v>
      </c>
      <c r="AJ6792" s="126" t="e">
        <v>#N/A</v>
      </c>
      <c r="AK6792" s="80">
        <f t="shared" si="1062"/>
        <v>0</v>
      </c>
      <c r="AL6792" s="85"/>
      <c r="AM6792" s="85"/>
    </row>
    <row r="6793" spans="1:39" s="86" customFormat="1" ht="13.25" hidden="1" customHeight="1" x14ac:dyDescent="0.3">
      <c r="A6793" s="89" t="s">
        <v>3978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055"/>
        <v>451</v>
      </c>
      <c r="X6793" s="6">
        <f t="shared" si="1056"/>
        <v>0</v>
      </c>
      <c r="Y6793" s="13">
        <f t="shared" si="1059"/>
        <v>0</v>
      </c>
      <c r="Z6793" s="14">
        <v>0</v>
      </c>
      <c r="AA6793" s="6">
        <v>0</v>
      </c>
      <c r="AB6793" s="4">
        <f t="shared" si="1061"/>
        <v>0</v>
      </c>
      <c r="AC6793" s="6">
        <f t="shared" si="1058"/>
        <v>0</v>
      </c>
      <c r="AD6793" s="6">
        <f t="shared" si="1048"/>
        <v>0</v>
      </c>
      <c r="AE6793" s="14">
        <f>VLOOKUP(I6793,[2]媒体政策预估表!A:N,MATCH(O6793,[2]媒体政策预估表!$A$2:$M$2,0),0)</f>
        <v>0</v>
      </c>
      <c r="AF6793" s="6">
        <f t="shared" si="1053"/>
        <v>0</v>
      </c>
      <c r="AG6793" s="14">
        <v>0</v>
      </c>
      <c r="AH6793" s="64">
        <f t="shared" si="1049"/>
        <v>0</v>
      </c>
      <c r="AJ6793" s="126" t="e">
        <v>#N/A</v>
      </c>
      <c r="AK6793" s="80">
        <f t="shared" si="1062"/>
        <v>0</v>
      </c>
      <c r="AL6793" s="85"/>
      <c r="AM6793" s="85"/>
    </row>
    <row r="6794" spans="1:39" s="86" customFormat="1" ht="13.25" hidden="1" customHeight="1" x14ac:dyDescent="0.3">
      <c r="A6794" s="89" t="s">
        <v>3792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055"/>
        <v>10988.1</v>
      </c>
      <c r="X6794" s="6">
        <f t="shared" si="1056"/>
        <v>0</v>
      </c>
      <c r="Y6794" s="13">
        <f t="shared" si="1059"/>
        <v>0</v>
      </c>
      <c r="Z6794" s="14">
        <v>0</v>
      </c>
      <c r="AA6794" s="6">
        <v>0</v>
      </c>
      <c r="AB6794" s="4">
        <f t="shared" si="1061"/>
        <v>0</v>
      </c>
      <c r="AC6794" s="6">
        <f t="shared" si="1058"/>
        <v>0</v>
      </c>
      <c r="AD6794" s="6">
        <f t="shared" si="1048"/>
        <v>0</v>
      </c>
      <c r="AE6794" s="14">
        <f>VLOOKUP(I6794,[2]媒体政策预估表!A:N,MATCH(O6794,[2]媒体政策预估表!$A$2:$M$2,0),0)</f>
        <v>0</v>
      </c>
      <c r="AF6794" s="6">
        <f t="shared" si="1053"/>
        <v>0</v>
      </c>
      <c r="AG6794" s="14">
        <v>0</v>
      </c>
      <c r="AH6794" s="64">
        <f t="shared" si="1049"/>
        <v>0</v>
      </c>
      <c r="AJ6794" s="126" t="e">
        <v>#N/A</v>
      </c>
      <c r="AK6794" s="80">
        <f t="shared" si="1062"/>
        <v>0</v>
      </c>
      <c r="AL6794" s="85"/>
      <c r="AM6794" s="85"/>
    </row>
    <row r="6795" spans="1:39" s="86" customFormat="1" ht="13.25" hidden="1" customHeight="1" x14ac:dyDescent="0.3">
      <c r="A6795" s="89" t="s">
        <v>3792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055"/>
        <v>144.20000000000201</v>
      </c>
      <c r="X6795" s="6">
        <f t="shared" si="1056"/>
        <v>0</v>
      </c>
      <c r="Y6795" s="13">
        <f t="shared" si="1059"/>
        <v>0</v>
      </c>
      <c r="Z6795" s="14">
        <v>0</v>
      </c>
      <c r="AA6795" s="6">
        <v>0</v>
      </c>
      <c r="AB6795" s="4">
        <f t="shared" si="1061"/>
        <v>0</v>
      </c>
      <c r="AC6795" s="6">
        <f t="shared" si="1058"/>
        <v>0</v>
      </c>
      <c r="AD6795" s="6">
        <f t="shared" si="1048"/>
        <v>0</v>
      </c>
      <c r="AE6795" s="14">
        <f>VLOOKUP(I6795,[2]媒体政策预估表!A:N,MATCH(O6795,[2]媒体政策预估表!$A$2:$M$2,0),0)</f>
        <v>0</v>
      </c>
      <c r="AF6795" s="6">
        <f t="shared" si="1053"/>
        <v>0</v>
      </c>
      <c r="AG6795" s="14">
        <v>0</v>
      </c>
      <c r="AH6795" s="64">
        <f t="shared" si="1049"/>
        <v>0</v>
      </c>
      <c r="AJ6795" s="126" t="e">
        <v>#N/A</v>
      </c>
      <c r="AK6795" s="80">
        <f t="shared" si="1062"/>
        <v>0</v>
      </c>
      <c r="AL6795" s="85"/>
      <c r="AM6795" s="85"/>
    </row>
    <row r="6796" spans="1:39" s="86" customFormat="1" ht="13.25" hidden="1" customHeight="1" x14ac:dyDescent="0.3">
      <c r="A6796" s="89" t="s">
        <v>3978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055"/>
        <v>-3747.9499999999925</v>
      </c>
      <c r="X6796" s="6">
        <f t="shared" si="1056"/>
        <v>0</v>
      </c>
      <c r="Y6796" s="13">
        <f t="shared" si="1059"/>
        <v>0</v>
      </c>
      <c r="Z6796" s="14">
        <v>0</v>
      </c>
      <c r="AA6796" s="6">
        <v>0</v>
      </c>
      <c r="AB6796" s="4">
        <f t="shared" si="1061"/>
        <v>0</v>
      </c>
      <c r="AC6796" s="6">
        <f t="shared" si="1058"/>
        <v>0</v>
      </c>
      <c r="AD6796" s="6">
        <f t="shared" si="1048"/>
        <v>0</v>
      </c>
      <c r="AE6796" s="14">
        <f>VLOOKUP(I6796,[2]媒体政策预估表!A:N,MATCH(O6796,[2]媒体政策预估表!$A$2:$M$2,0),0)</f>
        <v>0</v>
      </c>
      <c r="AF6796" s="6">
        <f t="shared" si="1053"/>
        <v>0</v>
      </c>
      <c r="AG6796" s="14">
        <v>0</v>
      </c>
      <c r="AH6796" s="64">
        <f t="shared" si="1049"/>
        <v>0</v>
      </c>
      <c r="AJ6796" s="126" t="e">
        <v>#N/A</v>
      </c>
      <c r="AK6796" s="80">
        <f t="shared" si="1062"/>
        <v>0</v>
      </c>
      <c r="AL6796" s="85"/>
      <c r="AM6796" s="85"/>
    </row>
    <row r="6797" spans="1:39" s="86" customFormat="1" ht="13.25" hidden="1" customHeight="1" x14ac:dyDescent="0.3">
      <c r="A6797" s="89" t="s">
        <v>3978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055"/>
        <v>20003.5</v>
      </c>
      <c r="X6797" s="6">
        <f t="shared" si="1056"/>
        <v>0</v>
      </c>
      <c r="Y6797" s="13">
        <f t="shared" si="1059"/>
        <v>0</v>
      </c>
      <c r="Z6797" s="14">
        <v>0.01</v>
      </c>
      <c r="AA6797" s="6">
        <f>X6797*Z6797</f>
        <v>0</v>
      </c>
      <c r="AB6797" s="4">
        <f t="shared" si="1061"/>
        <v>0</v>
      </c>
      <c r="AC6797" s="6">
        <f t="shared" si="1058"/>
        <v>0</v>
      </c>
      <c r="AD6797" s="6">
        <f t="shared" si="1048"/>
        <v>0</v>
      </c>
      <c r="AE6797" s="14">
        <f>VLOOKUP(I6797,[2]媒体政策预估表!A:N,MATCH(O6797,[2]媒体政策预估表!$A$2:$M$2,0),0)</f>
        <v>0</v>
      </c>
      <c r="AF6797" s="6">
        <f t="shared" si="1053"/>
        <v>0</v>
      </c>
      <c r="AG6797" s="14">
        <v>0</v>
      </c>
      <c r="AH6797" s="64">
        <f t="shared" si="1049"/>
        <v>0</v>
      </c>
      <c r="AJ6797" s="126" t="e">
        <v>#N/A</v>
      </c>
      <c r="AK6797" s="80">
        <f t="shared" si="1062"/>
        <v>0</v>
      </c>
      <c r="AL6797" s="85"/>
      <c r="AM6797" s="85"/>
    </row>
    <row r="6798" spans="1:39" s="86" customFormat="1" ht="13.25" hidden="1" customHeight="1" x14ac:dyDescent="0.3">
      <c r="A6798" s="89" t="s">
        <v>3978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055"/>
        <v>74654.09</v>
      </c>
      <c r="X6798" s="6">
        <f t="shared" si="1056"/>
        <v>0</v>
      </c>
      <c r="Y6798" s="13">
        <f t="shared" si="1059"/>
        <v>0</v>
      </c>
      <c r="Z6798" s="14">
        <v>0</v>
      </c>
      <c r="AA6798" s="6">
        <v>0</v>
      </c>
      <c r="AB6798" s="4">
        <f t="shared" si="1061"/>
        <v>0</v>
      </c>
      <c r="AC6798" s="6">
        <f t="shared" si="1058"/>
        <v>0</v>
      </c>
      <c r="AD6798" s="6">
        <f t="shared" si="1048"/>
        <v>0</v>
      </c>
      <c r="AE6798" s="14">
        <f>VLOOKUP(I6798,[2]媒体政策预估表!A:N,MATCH(O6798,[2]媒体政策预估表!$A$2:$M$2,0),0)</f>
        <v>0</v>
      </c>
      <c r="AF6798" s="6">
        <f t="shared" si="1053"/>
        <v>0</v>
      </c>
      <c r="AG6798" s="14">
        <v>0</v>
      </c>
      <c r="AH6798" s="64">
        <f t="shared" si="1049"/>
        <v>0</v>
      </c>
      <c r="AJ6798" s="126" t="e">
        <v>#N/A</v>
      </c>
      <c r="AK6798" s="80">
        <f t="shared" si="1062"/>
        <v>0</v>
      </c>
      <c r="AL6798" s="85"/>
      <c r="AM6798" s="85"/>
    </row>
    <row r="6799" spans="1:39" s="86" customFormat="1" ht="13.25" hidden="1" customHeight="1" x14ac:dyDescent="0.3">
      <c r="A6799" s="89" t="s">
        <v>3978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055"/>
        <v>-62.87</v>
      </c>
      <c r="X6799" s="6">
        <f t="shared" si="1056"/>
        <v>0</v>
      </c>
      <c r="Y6799" s="13">
        <f t="shared" si="1059"/>
        <v>0</v>
      </c>
      <c r="Z6799" s="14">
        <v>0</v>
      </c>
      <c r="AA6799" s="6">
        <v>0</v>
      </c>
      <c r="AB6799" s="4">
        <f t="shared" si="1061"/>
        <v>0</v>
      </c>
      <c r="AC6799" s="6">
        <f t="shared" si="1058"/>
        <v>0</v>
      </c>
      <c r="AD6799" s="6">
        <f t="shared" ref="AD6799:AD6856" si="1063">V6799</f>
        <v>0</v>
      </c>
      <c r="AE6799" s="14">
        <f>VLOOKUP(I6799,[2]媒体政策预估表!A:N,MATCH(O6799,[2]媒体政策预估表!$A$2:$M$2,0),0)</f>
        <v>0</v>
      </c>
      <c r="AF6799" s="6">
        <f t="shared" si="1053"/>
        <v>0</v>
      </c>
      <c r="AG6799" s="14">
        <v>0</v>
      </c>
      <c r="AH6799" s="64">
        <f t="shared" ref="AH6799:AH6856" si="1064">V6799</f>
        <v>0</v>
      </c>
      <c r="AJ6799" s="126" t="e">
        <v>#N/A</v>
      </c>
      <c r="AK6799" s="80">
        <f t="shared" si="1062"/>
        <v>0</v>
      </c>
      <c r="AL6799" s="85"/>
      <c r="AM6799" s="85"/>
    </row>
    <row r="6800" spans="1:39" s="86" customFormat="1" ht="13.25" hidden="1" customHeight="1" x14ac:dyDescent="0.3">
      <c r="A6800" s="89" t="s">
        <v>3792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055"/>
        <v>-81.099999999976703</v>
      </c>
      <c r="X6800" s="6">
        <f t="shared" si="1056"/>
        <v>0</v>
      </c>
      <c r="Y6800" s="13">
        <f t="shared" si="1059"/>
        <v>0</v>
      </c>
      <c r="Z6800" s="14">
        <v>0</v>
      </c>
      <c r="AA6800" s="6">
        <v>0</v>
      </c>
      <c r="AB6800" s="4">
        <f t="shared" si="1061"/>
        <v>0</v>
      </c>
      <c r="AC6800" s="6">
        <f t="shared" si="1058"/>
        <v>0</v>
      </c>
      <c r="AD6800" s="6">
        <f t="shared" si="1063"/>
        <v>0</v>
      </c>
      <c r="AE6800" s="14">
        <f>VLOOKUP(I6800,[2]媒体政策预估表!A:N,MATCH(O6800,[2]媒体政策预估表!$A$2:$M$2,0),0)</f>
        <v>0</v>
      </c>
      <c r="AF6800" s="6">
        <f t="shared" si="1053"/>
        <v>0</v>
      </c>
      <c r="AG6800" s="14">
        <v>0</v>
      </c>
      <c r="AH6800" s="64">
        <f t="shared" si="1064"/>
        <v>0</v>
      </c>
      <c r="AJ6800" s="126" t="e">
        <v>#N/A</v>
      </c>
      <c r="AK6800" s="80">
        <f t="shared" si="1062"/>
        <v>0</v>
      </c>
      <c r="AL6800" s="85"/>
      <c r="AM6800" s="85"/>
    </row>
    <row r="6801" spans="1:39" s="86" customFormat="1" ht="13.25" hidden="1" customHeight="1" x14ac:dyDescent="0.3">
      <c r="A6801" s="89" t="s">
        <v>3978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055"/>
        <v>199.9</v>
      </c>
      <c r="X6801" s="6">
        <f t="shared" si="1056"/>
        <v>0</v>
      </c>
      <c r="Y6801" s="13">
        <f t="shared" si="1059"/>
        <v>0</v>
      </c>
      <c r="Z6801" s="14">
        <v>0.03</v>
      </c>
      <c r="AA6801" s="6">
        <f>X6801/(1-Z6801)*Z6801</f>
        <v>0</v>
      </c>
      <c r="AB6801" s="4">
        <f t="shared" si="1061"/>
        <v>0</v>
      </c>
      <c r="AC6801" s="6">
        <f t="shared" si="1058"/>
        <v>0</v>
      </c>
      <c r="AD6801" s="6">
        <f t="shared" si="1063"/>
        <v>0</v>
      </c>
      <c r="AE6801" s="14">
        <f>VLOOKUP(I6801,[2]媒体政策预估表!A:N,MATCH(O6801,[2]媒体政策预估表!$A$2:$M$2,0),0)</f>
        <v>0</v>
      </c>
      <c r="AF6801" s="6">
        <f t="shared" si="1053"/>
        <v>0</v>
      </c>
      <c r="AG6801" s="14">
        <v>0</v>
      </c>
      <c r="AH6801" s="64">
        <f t="shared" si="1064"/>
        <v>0</v>
      </c>
      <c r="AJ6801" s="126" t="e">
        <v>#N/A</v>
      </c>
      <c r="AK6801" s="80">
        <f t="shared" si="1062"/>
        <v>0</v>
      </c>
      <c r="AL6801" s="85"/>
      <c r="AM6801" s="85"/>
    </row>
    <row r="6802" spans="1:39" s="86" customFormat="1" ht="13.25" hidden="1" customHeight="1" x14ac:dyDescent="0.3">
      <c r="A6802" s="89" t="s">
        <v>3792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055"/>
        <v>4.5</v>
      </c>
      <c r="X6802" s="6">
        <f t="shared" si="1056"/>
        <v>0</v>
      </c>
      <c r="Y6802" s="13">
        <f t="shared" si="1059"/>
        <v>0</v>
      </c>
      <c r="Z6802" s="14">
        <v>0</v>
      </c>
      <c r="AA6802" s="6">
        <v>0</v>
      </c>
      <c r="AB6802" s="4">
        <f t="shared" si="1061"/>
        <v>0</v>
      </c>
      <c r="AC6802" s="6">
        <f t="shared" si="1058"/>
        <v>0</v>
      </c>
      <c r="AD6802" s="6">
        <f t="shared" si="1063"/>
        <v>0</v>
      </c>
      <c r="AE6802" s="14">
        <f>VLOOKUP(I6802,[2]媒体政策预估表!A:N,MATCH(O6802,[2]媒体政策预估表!$A$2:$M$2,0),0)</f>
        <v>0</v>
      </c>
      <c r="AF6802" s="6">
        <f t="shared" si="1053"/>
        <v>0</v>
      </c>
      <c r="AG6802" s="14">
        <v>0</v>
      </c>
      <c r="AH6802" s="64">
        <f t="shared" si="1064"/>
        <v>0</v>
      </c>
      <c r="AJ6802" s="126" t="e">
        <v>#N/A</v>
      </c>
      <c r="AK6802" s="80">
        <f t="shared" si="1062"/>
        <v>0</v>
      </c>
      <c r="AL6802" s="85"/>
      <c r="AM6802" s="85"/>
    </row>
    <row r="6803" spans="1:39" s="86" customFormat="1" ht="13.25" hidden="1" customHeight="1" x14ac:dyDescent="0.3">
      <c r="A6803" s="89" t="s">
        <v>3792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055"/>
        <v>150.11000000000101</v>
      </c>
      <c r="X6803" s="6">
        <f t="shared" si="1056"/>
        <v>0</v>
      </c>
      <c r="Y6803" s="13">
        <f t="shared" si="1059"/>
        <v>0</v>
      </c>
      <c r="Z6803" s="14">
        <v>0</v>
      </c>
      <c r="AA6803" s="6">
        <v>0</v>
      </c>
      <c r="AB6803" s="4">
        <f t="shared" si="1061"/>
        <v>0</v>
      </c>
      <c r="AC6803" s="6">
        <f t="shared" si="1058"/>
        <v>0</v>
      </c>
      <c r="AD6803" s="6">
        <f t="shared" si="1063"/>
        <v>0</v>
      </c>
      <c r="AE6803" s="14">
        <f>VLOOKUP(I6803,[2]媒体政策预估表!A:N,MATCH(O6803,[2]媒体政策预估表!$A$2:$M$2,0),0)</f>
        <v>0</v>
      </c>
      <c r="AF6803" s="6">
        <f t="shared" si="1053"/>
        <v>0</v>
      </c>
      <c r="AG6803" s="14">
        <v>0</v>
      </c>
      <c r="AH6803" s="64">
        <f t="shared" si="1064"/>
        <v>0</v>
      </c>
      <c r="AJ6803" s="126" t="e">
        <v>#N/A</v>
      </c>
      <c r="AK6803" s="80">
        <f t="shared" si="1062"/>
        <v>0</v>
      </c>
      <c r="AL6803" s="85"/>
      <c r="AM6803" s="85"/>
    </row>
    <row r="6804" spans="1:39" s="86" customFormat="1" ht="13.25" hidden="1" customHeight="1" x14ac:dyDescent="0.3">
      <c r="A6804" s="89" t="s">
        <v>3792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055"/>
        <v>0.22999999999999701</v>
      </c>
      <c r="X6804" s="6">
        <f t="shared" si="1056"/>
        <v>0</v>
      </c>
      <c r="Y6804" s="13">
        <f t="shared" si="1059"/>
        <v>0</v>
      </c>
      <c r="Z6804" s="14">
        <v>0</v>
      </c>
      <c r="AA6804" s="6">
        <v>0</v>
      </c>
      <c r="AB6804" s="4">
        <f t="shared" si="1061"/>
        <v>0</v>
      </c>
      <c r="AC6804" s="6">
        <f t="shared" si="1058"/>
        <v>0</v>
      </c>
      <c r="AD6804" s="6">
        <f t="shared" si="1063"/>
        <v>0</v>
      </c>
      <c r="AE6804" s="14">
        <f>VLOOKUP(I6804,[2]媒体政策预估表!A:N,MATCH(O6804,[2]媒体政策预估表!$A$2:$M$2,0),0)</f>
        <v>0</v>
      </c>
      <c r="AF6804" s="6">
        <f t="shared" si="1053"/>
        <v>0</v>
      </c>
      <c r="AG6804" s="14">
        <v>0</v>
      </c>
      <c r="AH6804" s="64">
        <f t="shared" si="1064"/>
        <v>0</v>
      </c>
      <c r="AJ6804" s="126" t="e">
        <v>#N/A</v>
      </c>
      <c r="AK6804" s="80">
        <f t="shared" si="1062"/>
        <v>0</v>
      </c>
      <c r="AL6804" s="85"/>
      <c r="AM6804" s="85"/>
    </row>
    <row r="6805" spans="1:39" s="86" customFormat="1" ht="13.25" hidden="1" customHeight="1" x14ac:dyDescent="0.3">
      <c r="A6805" s="89" t="s">
        <v>3792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055"/>
        <v>-13.600000000002201</v>
      </c>
      <c r="X6805" s="6">
        <f t="shared" si="1056"/>
        <v>0</v>
      </c>
      <c r="Y6805" s="13">
        <f t="shared" si="1059"/>
        <v>0</v>
      </c>
      <c r="Z6805" s="14">
        <v>0</v>
      </c>
      <c r="AA6805" s="6">
        <v>0</v>
      </c>
      <c r="AB6805" s="4">
        <f t="shared" si="1061"/>
        <v>0</v>
      </c>
      <c r="AC6805" s="6">
        <f t="shared" si="1058"/>
        <v>0</v>
      </c>
      <c r="AD6805" s="6">
        <f t="shared" si="1063"/>
        <v>0</v>
      </c>
      <c r="AE6805" s="14">
        <f>VLOOKUP(I6805,[2]媒体政策预估表!A:N,MATCH(O6805,[2]媒体政策预估表!$A$2:$M$2,0),0)</f>
        <v>0</v>
      </c>
      <c r="AF6805" s="6">
        <f t="shared" si="1053"/>
        <v>0</v>
      </c>
      <c r="AG6805" s="14">
        <v>0</v>
      </c>
      <c r="AH6805" s="64">
        <f t="shared" si="1064"/>
        <v>0</v>
      </c>
      <c r="AJ6805" s="126" t="e">
        <v>#N/A</v>
      </c>
      <c r="AK6805" s="80">
        <f t="shared" si="1062"/>
        <v>0</v>
      </c>
      <c r="AL6805" s="85"/>
      <c r="AM6805" s="85"/>
    </row>
    <row r="6806" spans="1:39" s="86" customFormat="1" ht="13.25" hidden="1" customHeight="1" x14ac:dyDescent="0.3">
      <c r="A6806" s="89" t="s">
        <v>3792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055"/>
        <v>-13.100000000000399</v>
      </c>
      <c r="X6806" s="6">
        <f t="shared" si="1056"/>
        <v>0</v>
      </c>
      <c r="Y6806" s="13">
        <f t="shared" si="1059"/>
        <v>0</v>
      </c>
      <c r="Z6806" s="14">
        <v>0</v>
      </c>
      <c r="AA6806" s="6">
        <v>0</v>
      </c>
      <c r="AB6806" s="4">
        <f t="shared" si="1061"/>
        <v>0</v>
      </c>
      <c r="AC6806" s="6">
        <f t="shared" si="1058"/>
        <v>0</v>
      </c>
      <c r="AD6806" s="6">
        <f t="shared" si="1063"/>
        <v>0</v>
      </c>
      <c r="AE6806" s="14">
        <f>VLOOKUP(I6806,[2]媒体政策预估表!A:N,MATCH(O6806,[2]媒体政策预估表!$A$2:$M$2,0),0)</f>
        <v>0</v>
      </c>
      <c r="AF6806" s="6">
        <f t="shared" si="1053"/>
        <v>0</v>
      </c>
      <c r="AG6806" s="14">
        <v>0</v>
      </c>
      <c r="AH6806" s="64">
        <f t="shared" si="1064"/>
        <v>0</v>
      </c>
      <c r="AJ6806" s="126" t="e">
        <v>#N/A</v>
      </c>
      <c r="AK6806" s="80">
        <f t="shared" si="1062"/>
        <v>0</v>
      </c>
      <c r="AL6806" s="85"/>
      <c r="AM6806" s="85"/>
    </row>
    <row r="6807" spans="1:39" s="86" customFormat="1" ht="13.25" hidden="1" customHeight="1" x14ac:dyDescent="0.3">
      <c r="A6807" s="89" t="s">
        <v>3978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055"/>
        <v>5.7</v>
      </c>
      <c r="X6807" s="6">
        <f t="shared" si="1056"/>
        <v>0</v>
      </c>
      <c r="Y6807" s="13">
        <f t="shared" si="1059"/>
        <v>0</v>
      </c>
      <c r="Z6807" s="14">
        <v>0</v>
      </c>
      <c r="AA6807" s="6">
        <v>0</v>
      </c>
      <c r="AB6807" s="4">
        <f t="shared" si="1061"/>
        <v>0</v>
      </c>
      <c r="AC6807" s="6">
        <f t="shared" si="1058"/>
        <v>0</v>
      </c>
      <c r="AD6807" s="6">
        <f t="shared" si="1063"/>
        <v>0</v>
      </c>
      <c r="AE6807" s="14" t="e">
        <f>VLOOKUP(I6807,[2]媒体政策预估表!A:N,MATCH(O6807,[2]媒体政策预估表!$A$2:$M$2,0),0)</f>
        <v>#REF!</v>
      </c>
      <c r="AF6807" s="6" t="e">
        <f t="shared" si="1053"/>
        <v>#REF!</v>
      </c>
      <c r="AG6807" s="14">
        <v>0</v>
      </c>
      <c r="AH6807" s="64">
        <f t="shared" si="1064"/>
        <v>0</v>
      </c>
      <c r="AJ6807" s="126" t="e">
        <v>#N/A</v>
      </c>
      <c r="AK6807" s="80">
        <f t="shared" si="1062"/>
        <v>0</v>
      </c>
      <c r="AL6807" s="85"/>
      <c r="AM6807" s="85"/>
    </row>
    <row r="6808" spans="1:39" s="86" customFormat="1" ht="13.25" hidden="1" customHeight="1" x14ac:dyDescent="0.3">
      <c r="A6808" s="89" t="s">
        <v>3978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055"/>
        <v>-72.400000000000006</v>
      </c>
      <c r="X6808" s="6">
        <f t="shared" si="1056"/>
        <v>0</v>
      </c>
      <c r="Y6808" s="13">
        <f t="shared" si="1059"/>
        <v>0</v>
      </c>
      <c r="Z6808" s="14">
        <v>0</v>
      </c>
      <c r="AA6808" s="6">
        <v>0</v>
      </c>
      <c r="AB6808" s="4">
        <f t="shared" si="1061"/>
        <v>0</v>
      </c>
      <c r="AC6808" s="6">
        <f t="shared" si="1058"/>
        <v>0</v>
      </c>
      <c r="AD6808" s="6">
        <f t="shared" si="1063"/>
        <v>0</v>
      </c>
      <c r="AE6808" s="14">
        <f>VLOOKUP(I6808,[2]媒体政策预估表!A:N,MATCH(O6808,[2]媒体政策预估表!$A$2:$M$2,0),0)</f>
        <v>0</v>
      </c>
      <c r="AF6808" s="6">
        <f t="shared" si="1053"/>
        <v>0</v>
      </c>
      <c r="AG6808" s="14">
        <v>0</v>
      </c>
      <c r="AH6808" s="64">
        <f t="shared" si="1064"/>
        <v>0</v>
      </c>
      <c r="AJ6808" s="126" t="e">
        <v>#N/A</v>
      </c>
      <c r="AK6808" s="80">
        <f t="shared" si="1062"/>
        <v>0</v>
      </c>
      <c r="AL6808" s="85"/>
      <c r="AM6808" s="85"/>
    </row>
    <row r="6809" spans="1:39" s="86" customFormat="1" ht="13.25" hidden="1" customHeight="1" x14ac:dyDescent="0.3">
      <c r="A6809" s="89" t="s">
        <v>3792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055"/>
        <v>99918.34</v>
      </c>
      <c r="X6809" s="6">
        <f t="shared" si="1056"/>
        <v>0</v>
      </c>
      <c r="Y6809" s="13">
        <f t="shared" si="1059"/>
        <v>0</v>
      </c>
      <c r="Z6809" s="14">
        <v>0</v>
      </c>
      <c r="AA6809" s="6">
        <v>0</v>
      </c>
      <c r="AB6809" s="4">
        <f t="shared" si="1061"/>
        <v>0</v>
      </c>
      <c r="AC6809" s="6">
        <f t="shared" si="1058"/>
        <v>0</v>
      </c>
      <c r="AD6809" s="6">
        <f t="shared" si="1063"/>
        <v>0</v>
      </c>
      <c r="AE6809" s="14">
        <f>VLOOKUP(I6809,[2]媒体政策预估表!A:N,MATCH(O6809,[2]媒体政策预估表!$A$2:$M$2,0),0)</f>
        <v>0</v>
      </c>
      <c r="AF6809" s="6">
        <f t="shared" si="1053"/>
        <v>0</v>
      </c>
      <c r="AG6809" s="14">
        <v>0</v>
      </c>
      <c r="AH6809" s="64">
        <f t="shared" si="1064"/>
        <v>0</v>
      </c>
      <c r="AJ6809" s="126" t="e">
        <v>#N/A</v>
      </c>
      <c r="AK6809" s="80">
        <f t="shared" si="1062"/>
        <v>0</v>
      </c>
      <c r="AL6809" s="85"/>
      <c r="AM6809" s="85"/>
    </row>
    <row r="6810" spans="1:39" s="86" customFormat="1" ht="13.25" hidden="1" customHeight="1" x14ac:dyDescent="0.3">
      <c r="A6810" s="89" t="s">
        <v>3792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055"/>
        <v>99116.210000000196</v>
      </c>
      <c r="X6810" s="6">
        <f t="shared" si="1056"/>
        <v>0</v>
      </c>
      <c r="Y6810" s="13">
        <f t="shared" si="1059"/>
        <v>0</v>
      </c>
      <c r="Z6810" s="14">
        <v>0</v>
      </c>
      <c r="AA6810" s="6">
        <v>0</v>
      </c>
      <c r="AB6810" s="4">
        <f t="shared" si="1061"/>
        <v>0</v>
      </c>
      <c r="AC6810" s="6">
        <f t="shared" si="1058"/>
        <v>0</v>
      </c>
      <c r="AD6810" s="6">
        <f t="shared" si="1063"/>
        <v>0</v>
      </c>
      <c r="AE6810" s="14">
        <f>VLOOKUP(I6810,[2]媒体政策预估表!A:N,MATCH(O6810,[2]媒体政策预估表!$A$2:$M$2,0),0)</f>
        <v>0</v>
      </c>
      <c r="AF6810" s="6">
        <f t="shared" si="1053"/>
        <v>0</v>
      </c>
      <c r="AG6810" s="14">
        <v>0</v>
      </c>
      <c r="AH6810" s="64">
        <f t="shared" si="1064"/>
        <v>0</v>
      </c>
      <c r="AJ6810" s="126" t="e">
        <v>#N/A</v>
      </c>
      <c r="AK6810" s="80">
        <f t="shared" si="1062"/>
        <v>0</v>
      </c>
      <c r="AL6810" s="85"/>
      <c r="AM6810" s="85"/>
    </row>
    <row r="6811" spans="1:39" s="86" customFormat="1" ht="13.25" hidden="1" customHeight="1" x14ac:dyDescent="0.3">
      <c r="A6811" s="89" t="s">
        <v>3792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055"/>
        <v>128.87999999991007</v>
      </c>
      <c r="X6811" s="6">
        <f t="shared" si="1056"/>
        <v>0</v>
      </c>
      <c r="Y6811" s="13">
        <f t="shared" si="1059"/>
        <v>0</v>
      </c>
      <c r="Z6811" s="14">
        <v>0</v>
      </c>
      <c r="AA6811" s="6">
        <v>0</v>
      </c>
      <c r="AB6811" s="4">
        <f t="shared" si="1061"/>
        <v>0</v>
      </c>
      <c r="AC6811" s="6">
        <f t="shared" si="1058"/>
        <v>0</v>
      </c>
      <c r="AD6811" s="6">
        <f t="shared" si="1063"/>
        <v>0</v>
      </c>
      <c r="AE6811" s="14">
        <f>VLOOKUP(I6811,[2]媒体政策预估表!A:N,MATCH(O6811,[2]媒体政策预估表!$A$2:$M$2,0),0)</f>
        <v>0</v>
      </c>
      <c r="AF6811" s="6">
        <f t="shared" si="1053"/>
        <v>0</v>
      </c>
      <c r="AG6811" s="14">
        <v>0</v>
      </c>
      <c r="AH6811" s="64">
        <f t="shared" si="1064"/>
        <v>0</v>
      </c>
      <c r="AJ6811" s="126" t="e">
        <v>#N/A</v>
      </c>
      <c r="AK6811" s="80">
        <f t="shared" si="1062"/>
        <v>0</v>
      </c>
      <c r="AL6811" s="85"/>
      <c r="AM6811" s="85"/>
    </row>
    <row r="6812" spans="1:39" s="86" customFormat="1" ht="13.25" hidden="1" customHeight="1" x14ac:dyDescent="0.3">
      <c r="A6812" s="89" t="s">
        <v>3978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055"/>
        <v>17294.249999999956</v>
      </c>
      <c r="X6812" s="6">
        <f t="shared" si="1056"/>
        <v>0</v>
      </c>
      <c r="Y6812" s="13">
        <f t="shared" si="1059"/>
        <v>0</v>
      </c>
      <c r="Z6812" s="14">
        <v>0.03</v>
      </c>
      <c r="AA6812" s="6">
        <f>X6812*Z6812</f>
        <v>0</v>
      </c>
      <c r="AB6812" s="4">
        <f t="shared" si="1061"/>
        <v>0</v>
      </c>
      <c r="AC6812" s="6">
        <f t="shared" si="1058"/>
        <v>0</v>
      </c>
      <c r="AD6812" s="6">
        <f t="shared" si="1063"/>
        <v>0</v>
      </c>
      <c r="AE6812" s="14">
        <f>VLOOKUP(I6812,[2]媒体政策预估表!A:N,MATCH(O6812,[2]媒体政策预估表!$A$2:$M$2,0),0)</f>
        <v>0</v>
      </c>
      <c r="AF6812" s="6">
        <f t="shared" si="1053"/>
        <v>0</v>
      </c>
      <c r="AG6812" s="14">
        <v>0</v>
      </c>
      <c r="AH6812" s="64">
        <f t="shared" si="1064"/>
        <v>0</v>
      </c>
      <c r="AJ6812" s="126" t="e">
        <v>#N/A</v>
      </c>
      <c r="AK6812" s="80">
        <f t="shared" si="1062"/>
        <v>0</v>
      </c>
      <c r="AL6812" s="85"/>
      <c r="AM6812" s="85"/>
    </row>
    <row r="6813" spans="1:39" s="86" customFormat="1" ht="13.25" hidden="1" customHeight="1" x14ac:dyDescent="0.3">
      <c r="A6813" s="89" t="s">
        <v>3792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055"/>
        <v>-99.199999999998894</v>
      </c>
      <c r="X6813" s="6">
        <f t="shared" si="1056"/>
        <v>0</v>
      </c>
      <c r="Y6813" s="13">
        <f t="shared" si="1059"/>
        <v>0</v>
      </c>
      <c r="Z6813" s="14">
        <v>0</v>
      </c>
      <c r="AA6813" s="6">
        <v>0</v>
      </c>
      <c r="AB6813" s="4">
        <f t="shared" si="1061"/>
        <v>0</v>
      </c>
      <c r="AC6813" s="6">
        <f t="shared" si="1058"/>
        <v>0</v>
      </c>
      <c r="AD6813" s="6">
        <f t="shared" si="1063"/>
        <v>0</v>
      </c>
      <c r="AE6813" s="14">
        <f>VLOOKUP(I6813,[2]媒体政策预估表!A:N,MATCH(O6813,[2]媒体政策预估表!$A$2:$M$2,0),0)</f>
        <v>0</v>
      </c>
      <c r="AF6813" s="6">
        <f t="shared" si="1053"/>
        <v>0</v>
      </c>
      <c r="AG6813" s="14">
        <v>0</v>
      </c>
      <c r="AH6813" s="64">
        <f t="shared" si="1064"/>
        <v>0</v>
      </c>
      <c r="AJ6813" s="126" t="e">
        <v>#N/A</v>
      </c>
      <c r="AK6813" s="80">
        <f t="shared" si="1062"/>
        <v>0</v>
      </c>
      <c r="AL6813" s="85"/>
      <c r="AM6813" s="85"/>
    </row>
    <row r="6814" spans="1:39" s="86" customFormat="1" ht="13.25" hidden="1" customHeight="1" x14ac:dyDescent="0.3">
      <c r="A6814" s="89" t="s">
        <v>3978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055"/>
        <v>-46.4</v>
      </c>
      <c r="X6814" s="6">
        <f t="shared" si="1056"/>
        <v>0</v>
      </c>
      <c r="Y6814" s="13">
        <f t="shared" si="1059"/>
        <v>0</v>
      </c>
      <c r="Z6814" s="14">
        <v>0</v>
      </c>
      <c r="AA6814" s="6">
        <v>0</v>
      </c>
      <c r="AB6814" s="4">
        <f t="shared" si="1061"/>
        <v>0</v>
      </c>
      <c r="AC6814" s="6">
        <f t="shared" si="1058"/>
        <v>0</v>
      </c>
      <c r="AD6814" s="6">
        <f t="shared" si="1063"/>
        <v>0</v>
      </c>
      <c r="AE6814" s="14">
        <f>VLOOKUP(I6814,[2]媒体政策预估表!A:N,MATCH(O6814,[2]媒体政策预估表!$A$2:$M$2,0),0)</f>
        <v>0</v>
      </c>
      <c r="AF6814" s="6">
        <f t="shared" si="1053"/>
        <v>0</v>
      </c>
      <c r="AG6814" s="14">
        <v>0</v>
      </c>
      <c r="AH6814" s="64">
        <f t="shared" si="1064"/>
        <v>0</v>
      </c>
      <c r="AJ6814" s="126" t="e">
        <v>#N/A</v>
      </c>
      <c r="AK6814" s="80">
        <f t="shared" si="1062"/>
        <v>0</v>
      </c>
      <c r="AL6814" s="85"/>
      <c r="AM6814" s="85"/>
    </row>
    <row r="6815" spans="1:39" s="86" customFormat="1" ht="13.25" hidden="1" customHeight="1" x14ac:dyDescent="0.3">
      <c r="A6815" s="89" t="s">
        <v>3978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055"/>
        <v>-68.149999999979627</v>
      </c>
      <c r="X6815" s="6">
        <f t="shared" si="1056"/>
        <v>0</v>
      </c>
      <c r="Y6815" s="13">
        <f t="shared" si="1059"/>
        <v>0</v>
      </c>
      <c r="Z6815" s="14">
        <v>0</v>
      </c>
      <c r="AA6815" s="6">
        <v>0</v>
      </c>
      <c r="AB6815" s="4">
        <f t="shared" si="1061"/>
        <v>0</v>
      </c>
      <c r="AC6815" s="6">
        <f t="shared" si="1058"/>
        <v>0</v>
      </c>
      <c r="AD6815" s="6">
        <f t="shared" si="1063"/>
        <v>0</v>
      </c>
      <c r="AE6815" s="14">
        <f>VLOOKUP(I6815,[2]媒体政策预估表!A:N,MATCH(O6815,[2]媒体政策预估表!$A$2:$M$2,0),0)</f>
        <v>0</v>
      </c>
      <c r="AF6815" s="6">
        <f t="shared" si="1053"/>
        <v>0</v>
      </c>
      <c r="AG6815" s="14">
        <v>0</v>
      </c>
      <c r="AH6815" s="64">
        <f t="shared" si="1064"/>
        <v>0</v>
      </c>
      <c r="AJ6815" s="126" t="e">
        <v>#N/A</v>
      </c>
      <c r="AK6815" s="80">
        <f t="shared" si="1062"/>
        <v>0</v>
      </c>
      <c r="AL6815" s="85"/>
      <c r="AM6815" s="85"/>
    </row>
    <row r="6816" spans="1:39" s="86" customFormat="1" ht="13.25" hidden="1" customHeight="1" x14ac:dyDescent="0.3">
      <c r="A6816" s="89" t="s">
        <v>3978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055"/>
        <v>-13.999999999994801</v>
      </c>
      <c r="X6816" s="6">
        <f t="shared" si="1056"/>
        <v>0</v>
      </c>
      <c r="Y6816" s="13">
        <f t="shared" si="1059"/>
        <v>0</v>
      </c>
      <c r="Z6816" s="14">
        <v>0</v>
      </c>
      <c r="AA6816" s="6">
        <v>0</v>
      </c>
      <c r="AB6816" s="4">
        <f t="shared" si="1061"/>
        <v>0</v>
      </c>
      <c r="AC6816" s="6">
        <f t="shared" si="1058"/>
        <v>0</v>
      </c>
      <c r="AD6816" s="6">
        <f t="shared" si="1063"/>
        <v>0</v>
      </c>
      <c r="AE6816" s="14">
        <f>VLOOKUP(I6816,[2]媒体政策预估表!A:N,MATCH(O6816,[2]媒体政策预估表!$A$2:$M$2,0),0)</f>
        <v>0</v>
      </c>
      <c r="AF6816" s="6">
        <f t="shared" si="1053"/>
        <v>0</v>
      </c>
      <c r="AG6816" s="14">
        <v>0</v>
      </c>
      <c r="AH6816" s="64">
        <f t="shared" si="1064"/>
        <v>0</v>
      </c>
      <c r="AJ6816" s="126" t="e">
        <v>#N/A</v>
      </c>
      <c r="AK6816" s="80">
        <f t="shared" si="1062"/>
        <v>0</v>
      </c>
      <c r="AL6816" s="85"/>
      <c r="AM6816" s="85"/>
    </row>
    <row r="6817" spans="1:39" s="86" customFormat="1" ht="13.25" hidden="1" customHeight="1" x14ac:dyDescent="0.3">
      <c r="A6817" s="89" t="s">
        <v>3978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055"/>
        <v>12687.279999999999</v>
      </c>
      <c r="X6817" s="6">
        <f t="shared" si="1056"/>
        <v>0</v>
      </c>
      <c r="Y6817" s="13">
        <f t="shared" si="1059"/>
        <v>0</v>
      </c>
      <c r="Z6817" s="14">
        <v>0.03</v>
      </c>
      <c r="AA6817" s="6">
        <f>X6817*Z6817</f>
        <v>0</v>
      </c>
      <c r="AB6817" s="4">
        <f t="shared" si="1061"/>
        <v>0</v>
      </c>
      <c r="AC6817" s="6">
        <f t="shared" si="1058"/>
        <v>0</v>
      </c>
      <c r="AD6817" s="6">
        <f t="shared" si="1063"/>
        <v>0</v>
      </c>
      <c r="AE6817" s="14">
        <f>VLOOKUP(I6817,[2]媒体政策预估表!A:N,MATCH(O6817,[2]媒体政策预估表!$A$2:$M$2,0),0)</f>
        <v>0</v>
      </c>
      <c r="AF6817" s="6">
        <f t="shared" si="1053"/>
        <v>0</v>
      </c>
      <c r="AG6817" s="14">
        <v>0</v>
      </c>
      <c r="AH6817" s="64">
        <f t="shared" si="1064"/>
        <v>0</v>
      </c>
      <c r="AJ6817" s="126" t="e">
        <v>#N/A</v>
      </c>
      <c r="AK6817" s="80">
        <f t="shared" si="1062"/>
        <v>0</v>
      </c>
      <c r="AL6817" s="85"/>
      <c r="AM6817" s="85"/>
    </row>
    <row r="6818" spans="1:39" s="86" customFormat="1" ht="13.25" hidden="1" customHeight="1" x14ac:dyDescent="0.3">
      <c r="A6818" s="89" t="s">
        <v>3978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055"/>
        <v>0.23999999999980259</v>
      </c>
      <c r="X6818" s="6">
        <f t="shared" si="1056"/>
        <v>0</v>
      </c>
      <c r="Y6818" s="13">
        <f t="shared" si="1059"/>
        <v>0</v>
      </c>
      <c r="Z6818" s="14">
        <v>0</v>
      </c>
      <c r="AA6818" s="6">
        <v>0</v>
      </c>
      <c r="AB6818" s="4">
        <f t="shared" si="1061"/>
        <v>0</v>
      </c>
      <c r="AC6818" s="6">
        <f t="shared" si="1058"/>
        <v>0</v>
      </c>
      <c r="AD6818" s="6">
        <f t="shared" si="1063"/>
        <v>0</v>
      </c>
      <c r="AE6818" s="14">
        <f>VLOOKUP(I6818,[2]媒体政策预估表!A:N,MATCH(O6818,[2]媒体政策预估表!$A$2:$M$2,0),0)</f>
        <v>0</v>
      </c>
      <c r="AF6818" s="6">
        <f t="shared" si="1053"/>
        <v>0</v>
      </c>
      <c r="AG6818" s="14">
        <v>0</v>
      </c>
      <c r="AH6818" s="64">
        <f t="shared" si="1064"/>
        <v>0</v>
      </c>
      <c r="AJ6818" s="126" t="e">
        <v>#N/A</v>
      </c>
      <c r="AK6818" s="80">
        <f t="shared" si="1062"/>
        <v>0</v>
      </c>
      <c r="AL6818" s="85"/>
      <c r="AM6818" s="85"/>
    </row>
    <row r="6819" spans="1:39" s="86" customFormat="1" ht="13.25" hidden="1" customHeight="1" x14ac:dyDescent="0.3">
      <c r="A6819" s="89" t="s">
        <v>3978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055"/>
        <v>61.2</v>
      </c>
      <c r="X6819" s="6">
        <f t="shared" si="1056"/>
        <v>0</v>
      </c>
      <c r="Y6819" s="13">
        <f t="shared" si="1059"/>
        <v>0</v>
      </c>
      <c r="Z6819" s="14">
        <v>0</v>
      </c>
      <c r="AA6819" s="6">
        <v>0</v>
      </c>
      <c r="AB6819" s="4">
        <f t="shared" si="1061"/>
        <v>0</v>
      </c>
      <c r="AC6819" s="6">
        <f t="shared" si="1058"/>
        <v>0</v>
      </c>
      <c r="AD6819" s="6">
        <f t="shared" si="1063"/>
        <v>0</v>
      </c>
      <c r="AE6819" s="14">
        <f>VLOOKUP(I6819,[2]媒体政策预估表!A:N,MATCH(O6819,[2]媒体政策预估表!$A$2:$M$2,0),0)</f>
        <v>0</v>
      </c>
      <c r="AF6819" s="6">
        <f t="shared" si="1053"/>
        <v>0</v>
      </c>
      <c r="AG6819" s="14">
        <v>0</v>
      </c>
      <c r="AH6819" s="64">
        <f t="shared" si="1064"/>
        <v>0</v>
      </c>
      <c r="AJ6819" s="126" t="e">
        <v>#N/A</v>
      </c>
      <c r="AK6819" s="80">
        <f t="shared" si="1062"/>
        <v>0</v>
      </c>
      <c r="AL6819" s="85"/>
      <c r="AM6819" s="85"/>
    </row>
    <row r="6820" spans="1:39" s="86" customFormat="1" ht="13.25" hidden="1" customHeight="1" x14ac:dyDescent="0.3">
      <c r="A6820" s="89" t="s">
        <v>3978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055"/>
        <v>996</v>
      </c>
      <c r="X6820" s="6">
        <f t="shared" si="1056"/>
        <v>0</v>
      </c>
      <c r="Y6820" s="13">
        <f t="shared" si="1059"/>
        <v>0</v>
      </c>
      <c r="Z6820" s="14">
        <v>0</v>
      </c>
      <c r="AA6820" s="6">
        <v>0</v>
      </c>
      <c r="AB6820" s="4">
        <f t="shared" si="1061"/>
        <v>0</v>
      </c>
      <c r="AC6820" s="6">
        <f t="shared" si="1058"/>
        <v>0</v>
      </c>
      <c r="AD6820" s="6">
        <f t="shared" si="1063"/>
        <v>0</v>
      </c>
      <c r="AE6820" s="14">
        <f>VLOOKUP(I6820,[2]媒体政策预估表!A:N,MATCH(O6820,[2]媒体政策预估表!$A$2:$M$2,0),0)</f>
        <v>0</v>
      </c>
      <c r="AF6820" s="6">
        <f t="shared" ref="AF6820:AF6883" si="1065">AD6820*AE6820</f>
        <v>0</v>
      </c>
      <c r="AG6820" s="14">
        <v>0</v>
      </c>
      <c r="AH6820" s="64">
        <f t="shared" si="1064"/>
        <v>0</v>
      </c>
      <c r="AJ6820" s="126" t="e">
        <v>#N/A</v>
      </c>
      <c r="AK6820" s="80">
        <f t="shared" si="1062"/>
        <v>0</v>
      </c>
      <c r="AL6820" s="85"/>
      <c r="AM6820" s="85"/>
    </row>
    <row r="6821" spans="1:39" s="86" customFormat="1" ht="13.25" hidden="1" customHeight="1" x14ac:dyDescent="0.3">
      <c r="A6821" s="89" t="s">
        <v>3792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055"/>
        <v>92388.24</v>
      </c>
      <c r="X6821" s="6">
        <f t="shared" si="1056"/>
        <v>0</v>
      </c>
      <c r="Y6821" s="13">
        <f t="shared" si="1059"/>
        <v>0</v>
      </c>
      <c r="Z6821" s="14">
        <v>0</v>
      </c>
      <c r="AA6821" s="6">
        <v>0</v>
      </c>
      <c r="AB6821" s="4">
        <f t="shared" si="1061"/>
        <v>0</v>
      </c>
      <c r="AC6821" s="6">
        <f t="shared" si="1058"/>
        <v>0</v>
      </c>
      <c r="AD6821" s="6">
        <f t="shared" si="1063"/>
        <v>0</v>
      </c>
      <c r="AE6821" s="14">
        <f>VLOOKUP(I6821,[2]媒体政策预估表!A:N,MATCH(O6821,[2]媒体政策预估表!$A$2:$M$2,0),0)</f>
        <v>0</v>
      </c>
      <c r="AF6821" s="6">
        <f t="shared" si="1065"/>
        <v>0</v>
      </c>
      <c r="AG6821" s="14">
        <v>0</v>
      </c>
      <c r="AH6821" s="64">
        <f t="shared" si="1064"/>
        <v>0</v>
      </c>
      <c r="AJ6821" s="126" t="e">
        <v>#N/A</v>
      </c>
      <c r="AK6821" s="80">
        <f t="shared" si="1062"/>
        <v>0</v>
      </c>
      <c r="AL6821" s="85"/>
      <c r="AM6821" s="85"/>
    </row>
    <row r="6822" spans="1:39" s="86" customFormat="1" ht="13.25" hidden="1" customHeight="1" x14ac:dyDescent="0.3">
      <c r="A6822" s="89" t="s">
        <v>3978</v>
      </c>
      <c r="B6822" s="86" t="s">
        <v>35</v>
      </c>
      <c r="C6822" s="86" t="s">
        <v>184</v>
      </c>
      <c r="D6822" s="86" t="s">
        <v>3849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055"/>
        <v>184.29999999999899</v>
      </c>
      <c r="X6822" s="6">
        <f t="shared" si="1056"/>
        <v>0</v>
      </c>
      <c r="Y6822" s="13">
        <f t="shared" si="1059"/>
        <v>0</v>
      </c>
      <c r="Z6822" s="14">
        <v>0</v>
      </c>
      <c r="AA6822" s="6">
        <v>0</v>
      </c>
      <c r="AB6822" s="4">
        <f t="shared" si="1061"/>
        <v>0</v>
      </c>
      <c r="AC6822" s="6">
        <f t="shared" si="1058"/>
        <v>0</v>
      </c>
      <c r="AD6822" s="6">
        <f t="shared" si="1063"/>
        <v>0</v>
      </c>
      <c r="AE6822" s="14">
        <f>VLOOKUP(I6822,[2]媒体政策预估表!A:N,MATCH(O6822,[2]媒体政策预估表!$A$2:$M$2,0),0)</f>
        <v>0</v>
      </c>
      <c r="AF6822" s="6">
        <f t="shared" si="1065"/>
        <v>0</v>
      </c>
      <c r="AG6822" s="14">
        <v>0</v>
      </c>
      <c r="AH6822" s="64">
        <f t="shared" si="1064"/>
        <v>0</v>
      </c>
      <c r="AJ6822" s="126" t="e">
        <v>#N/A</v>
      </c>
      <c r="AK6822" s="80">
        <f t="shared" si="1062"/>
        <v>0</v>
      </c>
      <c r="AL6822" s="85"/>
      <c r="AM6822" s="85"/>
    </row>
    <row r="6823" spans="1:39" s="86" customFormat="1" ht="13.25" hidden="1" customHeight="1" x14ac:dyDescent="0.3">
      <c r="A6823" s="89" t="s">
        <v>3978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055"/>
        <v>21.840000000000099</v>
      </c>
      <c r="X6823" s="6">
        <f t="shared" si="1056"/>
        <v>0</v>
      </c>
      <c r="Y6823" s="13">
        <f t="shared" si="1059"/>
        <v>0</v>
      </c>
      <c r="Z6823" s="14">
        <v>0</v>
      </c>
      <c r="AA6823" s="6">
        <v>0</v>
      </c>
      <c r="AB6823" s="4">
        <f t="shared" si="1061"/>
        <v>0</v>
      </c>
      <c r="AC6823" s="6">
        <f t="shared" si="1058"/>
        <v>0</v>
      </c>
      <c r="AD6823" s="6">
        <f t="shared" si="1063"/>
        <v>0</v>
      </c>
      <c r="AE6823" s="14">
        <f>VLOOKUP(I6823,[2]媒体政策预估表!A:N,MATCH(O6823,[2]媒体政策预估表!$A$2:$M$2,0),0)</f>
        <v>0</v>
      </c>
      <c r="AF6823" s="6">
        <f t="shared" si="1065"/>
        <v>0</v>
      </c>
      <c r="AG6823" s="14">
        <v>0</v>
      </c>
      <c r="AH6823" s="64">
        <f t="shared" si="1064"/>
        <v>0</v>
      </c>
      <c r="AJ6823" s="126" t="e">
        <v>#N/A</v>
      </c>
      <c r="AK6823" s="80">
        <f t="shared" si="1062"/>
        <v>0</v>
      </c>
      <c r="AL6823" s="85"/>
      <c r="AM6823" s="85"/>
    </row>
    <row r="6824" spans="1:39" s="86" customFormat="1" ht="13.25" hidden="1" customHeight="1" x14ac:dyDescent="0.3">
      <c r="A6824" s="89" t="s">
        <v>3978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055"/>
        <v>-18.219999999999299</v>
      </c>
      <c r="X6824" s="6">
        <f t="shared" si="1056"/>
        <v>0</v>
      </c>
      <c r="Y6824" s="13">
        <f t="shared" si="1059"/>
        <v>0</v>
      </c>
      <c r="Z6824" s="14">
        <v>0</v>
      </c>
      <c r="AA6824" s="6">
        <v>0</v>
      </c>
      <c r="AB6824" s="4">
        <f t="shared" si="1061"/>
        <v>0</v>
      </c>
      <c r="AC6824" s="6">
        <f t="shared" si="1058"/>
        <v>0</v>
      </c>
      <c r="AD6824" s="6">
        <f t="shared" si="1063"/>
        <v>0</v>
      </c>
      <c r="AE6824" s="14">
        <f>VLOOKUP(I6824,[2]媒体政策预估表!A:N,MATCH(O6824,[2]媒体政策预估表!$A$2:$M$2,0),0)</f>
        <v>0</v>
      </c>
      <c r="AF6824" s="6">
        <f t="shared" si="1065"/>
        <v>0</v>
      </c>
      <c r="AG6824" s="14">
        <v>0</v>
      </c>
      <c r="AH6824" s="64">
        <f t="shared" si="1064"/>
        <v>0</v>
      </c>
      <c r="AJ6824" s="126" t="e">
        <v>#N/A</v>
      </c>
      <c r="AK6824" s="80">
        <f t="shared" si="1062"/>
        <v>0</v>
      </c>
      <c r="AL6824" s="85"/>
      <c r="AM6824" s="85"/>
    </row>
    <row r="6825" spans="1:39" s="86" customFormat="1" ht="13.25" hidden="1" customHeight="1" x14ac:dyDescent="0.3">
      <c r="A6825" s="89" t="s">
        <v>3792</v>
      </c>
      <c r="B6825" s="86" t="s">
        <v>35</v>
      </c>
      <c r="C6825" s="86" t="s">
        <v>184</v>
      </c>
      <c r="D6825" s="86" t="s">
        <v>3849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055"/>
        <v>-11.5199999998986</v>
      </c>
      <c r="X6825" s="6">
        <f t="shared" si="1056"/>
        <v>0</v>
      </c>
      <c r="Y6825" s="13">
        <f t="shared" si="1059"/>
        <v>0</v>
      </c>
      <c r="Z6825" s="14">
        <v>0</v>
      </c>
      <c r="AA6825" s="6">
        <v>0</v>
      </c>
      <c r="AB6825" s="4">
        <f t="shared" si="1061"/>
        <v>0</v>
      </c>
      <c r="AC6825" s="6">
        <f t="shared" si="1058"/>
        <v>0</v>
      </c>
      <c r="AD6825" s="6">
        <f t="shared" si="1063"/>
        <v>0</v>
      </c>
      <c r="AE6825" s="14">
        <f>VLOOKUP(I6825,[2]媒体政策预估表!A:N,MATCH(O6825,[2]媒体政策预估表!$A$2:$M$2,0),0)</f>
        <v>0</v>
      </c>
      <c r="AF6825" s="6">
        <f t="shared" si="1065"/>
        <v>0</v>
      </c>
      <c r="AG6825" s="14">
        <v>0</v>
      </c>
      <c r="AH6825" s="64">
        <f t="shared" si="1064"/>
        <v>0</v>
      </c>
      <c r="AJ6825" s="126" t="e">
        <v>#N/A</v>
      </c>
      <c r="AK6825" s="80">
        <f t="shared" si="1062"/>
        <v>0</v>
      </c>
      <c r="AL6825" s="85"/>
      <c r="AM6825" s="85"/>
    </row>
    <row r="6826" spans="1:39" s="86" customFormat="1" ht="13.25" hidden="1" customHeight="1" x14ac:dyDescent="0.3">
      <c r="A6826" s="89" t="s">
        <v>3792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055"/>
        <v>-102.17</v>
      </c>
      <c r="X6826" s="6">
        <f t="shared" si="1056"/>
        <v>0</v>
      </c>
      <c r="Y6826" s="13">
        <f t="shared" si="1059"/>
        <v>0</v>
      </c>
      <c r="Z6826" s="14">
        <v>0</v>
      </c>
      <c r="AA6826" s="6">
        <v>0</v>
      </c>
      <c r="AB6826" s="4">
        <f t="shared" si="1061"/>
        <v>0</v>
      </c>
      <c r="AC6826" s="6">
        <f t="shared" si="1058"/>
        <v>0</v>
      </c>
      <c r="AD6826" s="6">
        <f t="shared" si="1063"/>
        <v>0</v>
      </c>
      <c r="AE6826" s="14">
        <f>VLOOKUP(I6826,[2]媒体政策预估表!A:N,MATCH(O6826,[2]媒体政策预估表!$A$2:$M$2,0),0)</f>
        <v>0</v>
      </c>
      <c r="AF6826" s="6">
        <f t="shared" si="1065"/>
        <v>0</v>
      </c>
      <c r="AG6826" s="14">
        <v>0</v>
      </c>
      <c r="AH6826" s="64">
        <f t="shared" si="1064"/>
        <v>0</v>
      </c>
      <c r="AJ6826" s="126" t="e">
        <v>#N/A</v>
      </c>
      <c r="AK6826" s="80">
        <f t="shared" si="1062"/>
        <v>0</v>
      </c>
      <c r="AL6826" s="85"/>
      <c r="AM6826" s="85"/>
    </row>
    <row r="6827" spans="1:39" s="86" customFormat="1" ht="13.25" hidden="1" customHeight="1" x14ac:dyDescent="0.3">
      <c r="A6827" s="89" t="s">
        <v>3978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055"/>
        <v>19624.8</v>
      </c>
      <c r="X6827" s="6">
        <f t="shared" si="1056"/>
        <v>0</v>
      </c>
      <c r="Y6827" s="13">
        <f t="shared" si="1059"/>
        <v>0</v>
      </c>
      <c r="Z6827" s="14">
        <v>0</v>
      </c>
      <c r="AA6827" s="6">
        <v>0</v>
      </c>
      <c r="AB6827" s="4">
        <f t="shared" si="1061"/>
        <v>0</v>
      </c>
      <c r="AC6827" s="6">
        <f t="shared" si="1058"/>
        <v>0</v>
      </c>
      <c r="AD6827" s="6">
        <f t="shared" si="1063"/>
        <v>0</v>
      </c>
      <c r="AE6827" s="14">
        <f>VLOOKUP(I6827,[2]媒体政策预估表!A:N,MATCH(O6827,[2]媒体政策预估表!$A$2:$M$2,0),0)</f>
        <v>0</v>
      </c>
      <c r="AF6827" s="6">
        <f t="shared" si="1065"/>
        <v>0</v>
      </c>
      <c r="AG6827" s="14">
        <v>0</v>
      </c>
      <c r="AH6827" s="64">
        <f t="shared" si="1064"/>
        <v>0</v>
      </c>
      <c r="AJ6827" s="126" t="e">
        <v>#N/A</v>
      </c>
      <c r="AK6827" s="80">
        <f t="shared" si="1062"/>
        <v>0</v>
      </c>
      <c r="AL6827" s="85"/>
      <c r="AM6827" s="85"/>
    </row>
    <row r="6828" spans="1:39" s="86" customFormat="1" ht="13.25" hidden="1" customHeight="1" x14ac:dyDescent="0.3">
      <c r="A6828" s="89" t="s">
        <v>3978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055"/>
        <v>-11.9000000000015</v>
      </c>
      <c r="X6828" s="6">
        <f t="shared" si="1056"/>
        <v>0</v>
      </c>
      <c r="Y6828" s="13">
        <f t="shared" si="1059"/>
        <v>0</v>
      </c>
      <c r="Z6828" s="14">
        <v>0</v>
      </c>
      <c r="AA6828" s="6">
        <v>0</v>
      </c>
      <c r="AB6828" s="4">
        <f t="shared" si="1061"/>
        <v>0</v>
      </c>
      <c r="AC6828" s="6">
        <f t="shared" si="1058"/>
        <v>0</v>
      </c>
      <c r="AD6828" s="6">
        <f t="shared" si="1063"/>
        <v>0</v>
      </c>
      <c r="AE6828" s="14">
        <f>VLOOKUP(I6828,[2]媒体政策预估表!A:N,MATCH(O6828,[2]媒体政策预估表!$A$2:$M$2,0),0)</f>
        <v>0</v>
      </c>
      <c r="AF6828" s="6">
        <f t="shared" si="1065"/>
        <v>0</v>
      </c>
      <c r="AG6828" s="14">
        <v>0</v>
      </c>
      <c r="AH6828" s="64">
        <f t="shared" si="1064"/>
        <v>0</v>
      </c>
      <c r="AJ6828" s="126" t="e">
        <v>#N/A</v>
      </c>
      <c r="AK6828" s="80">
        <f t="shared" si="1062"/>
        <v>0</v>
      </c>
      <c r="AL6828" s="85"/>
      <c r="AM6828" s="85"/>
    </row>
    <row r="6829" spans="1:39" s="86" customFormat="1" ht="13.25" hidden="1" customHeight="1" x14ac:dyDescent="0.3">
      <c r="A6829" s="89" t="s">
        <v>3978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055"/>
        <v>1633.6</v>
      </c>
      <c r="X6829" s="6">
        <f t="shared" si="1056"/>
        <v>0</v>
      </c>
      <c r="Y6829" s="13">
        <f t="shared" si="1059"/>
        <v>0</v>
      </c>
      <c r="Z6829" s="14">
        <v>0</v>
      </c>
      <c r="AA6829" s="6">
        <v>0</v>
      </c>
      <c r="AB6829" s="4">
        <f t="shared" si="1061"/>
        <v>0</v>
      </c>
      <c r="AC6829" s="6">
        <f t="shared" si="1058"/>
        <v>0</v>
      </c>
      <c r="AD6829" s="6">
        <f t="shared" si="1063"/>
        <v>0</v>
      </c>
      <c r="AE6829" s="14">
        <f>VLOOKUP(I6829,[2]媒体政策预估表!A:N,MATCH(O6829,[2]媒体政策预估表!$A$2:$M$2,0),0)</f>
        <v>0</v>
      </c>
      <c r="AF6829" s="6">
        <f t="shared" si="1065"/>
        <v>0</v>
      </c>
      <c r="AG6829" s="14">
        <v>0</v>
      </c>
      <c r="AH6829" s="64">
        <f t="shared" si="1064"/>
        <v>0</v>
      </c>
      <c r="AJ6829" s="126" t="e">
        <v>#N/A</v>
      </c>
      <c r="AK6829" s="80">
        <f t="shared" si="1062"/>
        <v>0</v>
      </c>
      <c r="AL6829" s="85"/>
      <c r="AM6829" s="85"/>
    </row>
    <row r="6830" spans="1:39" s="86" customFormat="1" ht="13.25" hidden="1" customHeight="1" x14ac:dyDescent="0.3">
      <c r="A6830" s="89" t="s">
        <v>3978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055"/>
        <v>154.28000000000975</v>
      </c>
      <c r="X6830" s="6">
        <f t="shared" si="1056"/>
        <v>0</v>
      </c>
      <c r="Y6830" s="13">
        <f t="shared" si="1059"/>
        <v>0</v>
      </c>
      <c r="Z6830" s="14">
        <v>0.01</v>
      </c>
      <c r="AA6830" s="6">
        <f>X6830/(1-Z6830)*Z6830</f>
        <v>0</v>
      </c>
      <c r="AB6830" s="4">
        <f t="shared" si="1061"/>
        <v>0</v>
      </c>
      <c r="AC6830" s="6">
        <f t="shared" si="1058"/>
        <v>0</v>
      </c>
      <c r="AD6830" s="6">
        <f t="shared" si="1063"/>
        <v>0</v>
      </c>
      <c r="AE6830" s="14">
        <f>VLOOKUP(I6830,[2]媒体政策预估表!A:N,MATCH(O6830,[2]媒体政策预估表!$A$2:$M$2,0),0)</f>
        <v>0</v>
      </c>
      <c r="AF6830" s="6">
        <f t="shared" si="1065"/>
        <v>0</v>
      </c>
      <c r="AG6830" s="14">
        <v>0</v>
      </c>
      <c r="AH6830" s="64">
        <f t="shared" si="1064"/>
        <v>0</v>
      </c>
      <c r="AJ6830" s="126" t="e">
        <v>#N/A</v>
      </c>
      <c r="AK6830" s="80">
        <f t="shared" si="1062"/>
        <v>0</v>
      </c>
      <c r="AL6830" s="85"/>
      <c r="AM6830" s="85"/>
    </row>
    <row r="6831" spans="1:39" s="86" customFormat="1" ht="13.25" hidden="1" customHeight="1" x14ac:dyDescent="0.3">
      <c r="A6831" s="89" t="s">
        <v>3792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055"/>
        <v>2639.8</v>
      </c>
      <c r="X6831" s="6">
        <f t="shared" si="1056"/>
        <v>0</v>
      </c>
      <c r="Y6831" s="13">
        <f t="shared" si="1059"/>
        <v>0</v>
      </c>
      <c r="Z6831" s="14">
        <v>0</v>
      </c>
      <c r="AA6831" s="6">
        <v>0</v>
      </c>
      <c r="AB6831" s="4">
        <f t="shared" si="1061"/>
        <v>0</v>
      </c>
      <c r="AC6831" s="6">
        <f t="shared" si="1058"/>
        <v>0</v>
      </c>
      <c r="AD6831" s="6">
        <f t="shared" si="1063"/>
        <v>0</v>
      </c>
      <c r="AE6831" s="14">
        <f>VLOOKUP(I6831,[2]媒体政策预估表!A:N,MATCH(O6831,[2]媒体政策预估表!$A$2:$M$2,0),0)</f>
        <v>0</v>
      </c>
      <c r="AF6831" s="6">
        <f t="shared" si="1065"/>
        <v>0</v>
      </c>
      <c r="AG6831" s="14">
        <v>0</v>
      </c>
      <c r="AH6831" s="64">
        <f t="shared" si="1064"/>
        <v>0</v>
      </c>
      <c r="AJ6831" s="126" t="e">
        <v>#N/A</v>
      </c>
      <c r="AK6831" s="80">
        <f t="shared" si="1062"/>
        <v>0</v>
      </c>
      <c r="AL6831" s="85"/>
      <c r="AM6831" s="85"/>
    </row>
    <row r="6832" spans="1:39" s="86" customFormat="1" ht="13.25" hidden="1" customHeight="1" x14ac:dyDescent="0.3">
      <c r="A6832" s="89" t="s">
        <v>3792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066">T6832+U6832-V6832</f>
        <v>7.0000000000000298E-2</v>
      </c>
      <c r="X6832" s="6">
        <f t="shared" ref="X6832:X6895" si="1067">IF(P6832="折扣",V6832*Q6832,IF(P6832="返现",V6832,V6832/(1+Q6832)))</f>
        <v>0</v>
      </c>
      <c r="Y6832" s="13">
        <f t="shared" si="1059"/>
        <v>0</v>
      </c>
      <c r="Z6832" s="14">
        <v>0</v>
      </c>
      <c r="AA6832" s="6">
        <v>0</v>
      </c>
      <c r="AB6832" s="4"/>
      <c r="AC6832" s="6">
        <f t="shared" si="1058"/>
        <v>0</v>
      </c>
      <c r="AD6832" s="6">
        <f t="shared" si="1063"/>
        <v>0</v>
      </c>
      <c r="AE6832" s="14">
        <f>VLOOKUP(I6832,[2]媒体政策预估表!A:N,MATCH(O6832,[2]媒体政策预估表!$A$2:$M$2,0),0)</f>
        <v>0</v>
      </c>
      <c r="AF6832" s="6">
        <f t="shared" si="1065"/>
        <v>0</v>
      </c>
      <c r="AG6832" s="14">
        <v>0</v>
      </c>
      <c r="AH6832" s="64">
        <f t="shared" si="1064"/>
        <v>0</v>
      </c>
      <c r="AJ6832" s="126">
        <v>45</v>
      </c>
      <c r="AK6832" s="80">
        <f t="shared" si="1062"/>
        <v>0</v>
      </c>
      <c r="AL6832" s="85"/>
      <c r="AM6832" s="85"/>
    </row>
    <row r="6833" spans="1:39" s="86" customFormat="1" ht="13.25" hidden="1" customHeight="1" x14ac:dyDescent="0.3">
      <c r="A6833" s="89" t="s">
        <v>3978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066"/>
        <v>136.5</v>
      </c>
      <c r="X6833" s="6">
        <f t="shared" si="1067"/>
        <v>0</v>
      </c>
      <c r="Y6833" s="13">
        <f t="shared" si="1059"/>
        <v>0</v>
      </c>
      <c r="Z6833" s="14">
        <v>0</v>
      </c>
      <c r="AA6833" s="6">
        <v>0</v>
      </c>
      <c r="AB6833" s="4">
        <f t="shared" si="1061"/>
        <v>0</v>
      </c>
      <c r="AC6833" s="6">
        <f t="shared" si="1058"/>
        <v>0</v>
      </c>
      <c r="AD6833" s="6">
        <f t="shared" si="1063"/>
        <v>0</v>
      </c>
      <c r="AE6833" s="14">
        <f>VLOOKUP(I6833,[2]媒体政策预估表!A:N,MATCH(O6833,[2]媒体政策预估表!$A$2:$M$2,0),0)</f>
        <v>0</v>
      </c>
      <c r="AF6833" s="6">
        <f t="shared" si="1065"/>
        <v>0</v>
      </c>
      <c r="AG6833" s="14">
        <v>0</v>
      </c>
      <c r="AH6833" s="64">
        <f t="shared" si="1064"/>
        <v>0</v>
      </c>
      <c r="AJ6833" s="126" t="e">
        <v>#N/A</v>
      </c>
      <c r="AK6833" s="80">
        <f t="shared" si="1062"/>
        <v>0</v>
      </c>
      <c r="AL6833" s="85"/>
      <c r="AM6833" s="85"/>
    </row>
    <row r="6834" spans="1:39" s="86" customFormat="1" ht="13.25" hidden="1" customHeight="1" x14ac:dyDescent="0.3">
      <c r="A6834" s="89" t="s">
        <v>3978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066"/>
        <v>6500.6</v>
      </c>
      <c r="X6834" s="6">
        <f t="shared" si="1067"/>
        <v>0</v>
      </c>
      <c r="Y6834" s="13">
        <f t="shared" si="1059"/>
        <v>0</v>
      </c>
      <c r="Z6834" s="14">
        <v>0.03</v>
      </c>
      <c r="AA6834" s="6">
        <f>X6834/(1-Z6834)*Z6834</f>
        <v>0</v>
      </c>
      <c r="AB6834" s="4">
        <f t="shared" si="1061"/>
        <v>0</v>
      </c>
      <c r="AC6834" s="6">
        <f t="shared" si="1058"/>
        <v>0</v>
      </c>
      <c r="AD6834" s="6">
        <f t="shared" si="1063"/>
        <v>0</v>
      </c>
      <c r="AE6834" s="14">
        <f>VLOOKUP(I6834,[2]媒体政策预估表!A:N,MATCH(O6834,[2]媒体政策预估表!$A$2:$M$2,0),0)</f>
        <v>0</v>
      </c>
      <c r="AF6834" s="6">
        <f t="shared" si="1065"/>
        <v>0</v>
      </c>
      <c r="AG6834" s="14">
        <v>0</v>
      </c>
      <c r="AH6834" s="64">
        <f t="shared" si="1064"/>
        <v>0</v>
      </c>
      <c r="AJ6834" s="126" t="e">
        <v>#N/A</v>
      </c>
      <c r="AK6834" s="80">
        <f t="shared" si="1062"/>
        <v>0</v>
      </c>
      <c r="AL6834" s="85"/>
      <c r="AM6834" s="85"/>
    </row>
    <row r="6835" spans="1:39" s="86" customFormat="1" ht="13.25" hidden="1" customHeight="1" x14ac:dyDescent="0.3">
      <c r="A6835" s="89" t="s">
        <v>3792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066"/>
        <v>87</v>
      </c>
      <c r="X6835" s="6">
        <f t="shared" si="1067"/>
        <v>11</v>
      </c>
      <c r="Y6835" s="13">
        <f t="shared" si="1059"/>
        <v>0</v>
      </c>
      <c r="Z6835" s="14">
        <v>0.03</v>
      </c>
      <c r="AA6835" s="6">
        <f>X6835*Z6835</f>
        <v>0.32999999999999996</v>
      </c>
      <c r="AB6835" s="4">
        <f t="shared" si="1061"/>
        <v>11.33</v>
      </c>
      <c r="AC6835" s="6">
        <f t="shared" si="1058"/>
        <v>0</v>
      </c>
      <c r="AD6835" s="6">
        <f t="shared" si="1063"/>
        <v>11</v>
      </c>
      <c r="AE6835" s="14">
        <f>VLOOKUP(I6835,[2]媒体政策预估表!A:N,MATCH(O6835,[2]媒体政策预估表!$A$2:$M$2,0),0)</f>
        <v>0</v>
      </c>
      <c r="AF6835" s="6">
        <f t="shared" si="1065"/>
        <v>0</v>
      </c>
      <c r="AG6835" s="14">
        <v>0</v>
      </c>
      <c r="AH6835" s="64">
        <f t="shared" si="1064"/>
        <v>11</v>
      </c>
      <c r="AJ6835" s="126" t="e">
        <v>#N/A</v>
      </c>
      <c r="AK6835" s="80">
        <f t="shared" si="1062"/>
        <v>0</v>
      </c>
      <c r="AL6835" s="85"/>
      <c r="AM6835" s="85"/>
    </row>
    <row r="6836" spans="1:39" s="86" customFormat="1" ht="13.25" hidden="1" customHeight="1" x14ac:dyDescent="0.3">
      <c r="A6836" s="89" t="s">
        <v>3792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066"/>
        <v>-4</v>
      </c>
      <c r="X6836" s="6">
        <f t="shared" si="1067"/>
        <v>0</v>
      </c>
      <c r="Y6836" s="13">
        <f t="shared" si="1059"/>
        <v>0</v>
      </c>
      <c r="Z6836" s="14">
        <v>0</v>
      </c>
      <c r="AA6836" s="6">
        <v>0</v>
      </c>
      <c r="AB6836" s="4">
        <f t="shared" si="1061"/>
        <v>0</v>
      </c>
      <c r="AC6836" s="6">
        <f t="shared" si="1058"/>
        <v>0</v>
      </c>
      <c r="AD6836" s="6">
        <f t="shared" si="1063"/>
        <v>0</v>
      </c>
      <c r="AE6836" s="14">
        <f>VLOOKUP(I6836,[2]媒体政策预估表!A:N,MATCH(O6836,[2]媒体政策预估表!$A$2:$M$2,0),0)</f>
        <v>0</v>
      </c>
      <c r="AF6836" s="6">
        <f t="shared" si="1065"/>
        <v>0</v>
      </c>
      <c r="AG6836" s="14">
        <v>0</v>
      </c>
      <c r="AH6836" s="64">
        <f t="shared" si="1064"/>
        <v>0</v>
      </c>
      <c r="AJ6836" s="126" t="e">
        <v>#N/A</v>
      </c>
      <c r="AK6836" s="80">
        <f t="shared" si="1062"/>
        <v>0</v>
      </c>
      <c r="AL6836" s="85"/>
      <c r="AM6836" s="85"/>
    </row>
    <row r="6837" spans="1:39" s="86" customFormat="1" ht="13.25" hidden="1" customHeight="1" x14ac:dyDescent="0.3">
      <c r="A6837" s="89" t="s">
        <v>3978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066"/>
        <v>-23.1999999999998</v>
      </c>
      <c r="X6837" s="6">
        <f t="shared" si="1067"/>
        <v>0</v>
      </c>
      <c r="Y6837" s="13">
        <f t="shared" si="1059"/>
        <v>0</v>
      </c>
      <c r="Z6837" s="14">
        <v>0</v>
      </c>
      <c r="AA6837" s="6">
        <v>0</v>
      </c>
      <c r="AB6837" s="4">
        <f t="shared" si="1061"/>
        <v>0</v>
      </c>
      <c r="AC6837" s="6">
        <f t="shared" si="1058"/>
        <v>0</v>
      </c>
      <c r="AD6837" s="6">
        <f t="shared" si="1063"/>
        <v>0</v>
      </c>
      <c r="AE6837" s="14">
        <f>VLOOKUP(I6837,[2]媒体政策预估表!A:N,MATCH(O6837,[2]媒体政策预估表!$A$2:$M$2,0),0)</f>
        <v>0</v>
      </c>
      <c r="AF6837" s="6">
        <f t="shared" si="1065"/>
        <v>0</v>
      </c>
      <c r="AG6837" s="14">
        <v>0</v>
      </c>
      <c r="AH6837" s="64">
        <f t="shared" si="1064"/>
        <v>0</v>
      </c>
      <c r="AJ6837" s="126" t="e">
        <v>#N/A</v>
      </c>
      <c r="AK6837" s="80">
        <f t="shared" si="1062"/>
        <v>0</v>
      </c>
      <c r="AL6837" s="85"/>
      <c r="AM6837" s="85"/>
    </row>
    <row r="6838" spans="1:39" s="86" customFormat="1" ht="13.25" hidden="1" customHeight="1" x14ac:dyDescent="0.3">
      <c r="A6838" s="89" t="s">
        <v>3978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066"/>
        <v>5.4</v>
      </c>
      <c r="X6838" s="6">
        <f t="shared" si="1067"/>
        <v>0</v>
      </c>
      <c r="Y6838" s="13">
        <f t="shared" si="1059"/>
        <v>0</v>
      </c>
      <c r="Z6838" s="14">
        <v>0</v>
      </c>
      <c r="AA6838" s="6">
        <v>0</v>
      </c>
      <c r="AB6838" s="4">
        <f t="shared" si="1061"/>
        <v>0</v>
      </c>
      <c r="AC6838" s="6">
        <f t="shared" si="1058"/>
        <v>0</v>
      </c>
      <c r="AD6838" s="6">
        <f t="shared" si="1063"/>
        <v>0</v>
      </c>
      <c r="AE6838" s="14">
        <f>VLOOKUP(I6838,[2]媒体政策预估表!A:N,MATCH(O6838,[2]媒体政策预估表!$A$2:$M$2,0),0)</f>
        <v>0</v>
      </c>
      <c r="AF6838" s="6">
        <f t="shared" si="1065"/>
        <v>0</v>
      </c>
      <c r="AG6838" s="14">
        <v>0</v>
      </c>
      <c r="AH6838" s="64">
        <f t="shared" si="1064"/>
        <v>0</v>
      </c>
      <c r="AJ6838" s="126" t="e">
        <v>#N/A</v>
      </c>
      <c r="AK6838" s="80">
        <f t="shared" si="1062"/>
        <v>0</v>
      </c>
      <c r="AL6838" s="85"/>
      <c r="AM6838" s="85"/>
    </row>
    <row r="6839" spans="1:39" s="86" customFormat="1" ht="13.25" hidden="1" customHeight="1" x14ac:dyDescent="0.3">
      <c r="A6839" s="89" t="s">
        <v>3792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066"/>
        <v>7992.7</v>
      </c>
      <c r="X6839" s="6">
        <f t="shared" si="1067"/>
        <v>0</v>
      </c>
      <c r="Y6839" s="13">
        <f t="shared" si="1059"/>
        <v>0</v>
      </c>
      <c r="Z6839" s="14">
        <v>0</v>
      </c>
      <c r="AA6839" s="6">
        <v>0</v>
      </c>
      <c r="AB6839" s="4">
        <f t="shared" si="1061"/>
        <v>0</v>
      </c>
      <c r="AC6839" s="6">
        <f t="shared" si="1058"/>
        <v>0</v>
      </c>
      <c r="AD6839" s="6">
        <f t="shared" si="1063"/>
        <v>0</v>
      </c>
      <c r="AE6839" s="14">
        <f>VLOOKUP(I6839,[2]媒体政策预估表!A:N,MATCH(O6839,[2]媒体政策预估表!$A$2:$M$2,0),0)</f>
        <v>0</v>
      </c>
      <c r="AF6839" s="6">
        <f t="shared" si="1065"/>
        <v>0</v>
      </c>
      <c r="AG6839" s="14">
        <v>0</v>
      </c>
      <c r="AH6839" s="64">
        <f t="shared" si="1064"/>
        <v>0</v>
      </c>
      <c r="AJ6839" s="126" t="e">
        <v>#N/A</v>
      </c>
      <c r="AK6839" s="80">
        <f t="shared" si="1062"/>
        <v>0</v>
      </c>
      <c r="AL6839" s="85"/>
      <c r="AM6839" s="85"/>
    </row>
    <row r="6840" spans="1:39" s="86" customFormat="1" ht="13.25" hidden="1" customHeight="1" x14ac:dyDescent="0.3">
      <c r="A6840" s="89" t="s">
        <v>3978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066"/>
        <v>-5</v>
      </c>
      <c r="X6840" s="6">
        <f t="shared" si="1067"/>
        <v>0</v>
      </c>
      <c r="Y6840" s="13">
        <f t="shared" si="1059"/>
        <v>0</v>
      </c>
      <c r="Z6840" s="14">
        <v>0</v>
      </c>
      <c r="AA6840" s="6">
        <v>0</v>
      </c>
      <c r="AB6840" s="4">
        <f t="shared" si="1061"/>
        <v>0</v>
      </c>
      <c r="AC6840" s="6">
        <f t="shared" si="1058"/>
        <v>0</v>
      </c>
      <c r="AD6840" s="6">
        <f t="shared" si="1063"/>
        <v>0</v>
      </c>
      <c r="AE6840" s="14">
        <f>VLOOKUP(I6840,[2]媒体政策预估表!A:N,MATCH(O6840,[2]媒体政策预估表!$A$2:$M$2,0),0)</f>
        <v>0</v>
      </c>
      <c r="AF6840" s="6">
        <f t="shared" si="1065"/>
        <v>0</v>
      </c>
      <c r="AG6840" s="14">
        <v>0</v>
      </c>
      <c r="AH6840" s="64">
        <f t="shared" si="1064"/>
        <v>0</v>
      </c>
      <c r="AJ6840" s="126" t="e">
        <v>#N/A</v>
      </c>
      <c r="AK6840" s="80">
        <f t="shared" si="1062"/>
        <v>0</v>
      </c>
      <c r="AL6840" s="85"/>
      <c r="AM6840" s="85"/>
    </row>
    <row r="6841" spans="1:39" s="86" customFormat="1" ht="13.25" hidden="1" customHeight="1" x14ac:dyDescent="0.3">
      <c r="A6841" s="89" t="s">
        <v>3978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066"/>
        <v>676.6</v>
      </c>
      <c r="X6841" s="6">
        <f t="shared" si="1067"/>
        <v>0</v>
      </c>
      <c r="Y6841" s="13">
        <f t="shared" si="1059"/>
        <v>0</v>
      </c>
      <c r="Z6841" s="14">
        <v>0</v>
      </c>
      <c r="AA6841" s="6">
        <v>0</v>
      </c>
      <c r="AB6841" s="4">
        <f t="shared" si="1061"/>
        <v>0</v>
      </c>
      <c r="AC6841" s="6">
        <f t="shared" si="1058"/>
        <v>0</v>
      </c>
      <c r="AD6841" s="6">
        <f t="shared" si="1063"/>
        <v>0</v>
      </c>
      <c r="AE6841" s="14">
        <f>VLOOKUP(I6841,[2]媒体政策预估表!A:N,MATCH(O6841,[2]媒体政策预估表!$A$2:$M$2,0),0)</f>
        <v>0</v>
      </c>
      <c r="AF6841" s="6">
        <f t="shared" si="1065"/>
        <v>0</v>
      </c>
      <c r="AG6841" s="14">
        <v>0</v>
      </c>
      <c r="AH6841" s="64">
        <f t="shared" si="1064"/>
        <v>0</v>
      </c>
      <c r="AJ6841" s="126" t="e">
        <v>#N/A</v>
      </c>
      <c r="AK6841" s="80">
        <f t="shared" si="1062"/>
        <v>0</v>
      </c>
      <c r="AL6841" s="85"/>
      <c r="AM6841" s="85"/>
    </row>
    <row r="6842" spans="1:39" s="86" customFormat="1" ht="13.25" hidden="1" customHeight="1" x14ac:dyDescent="0.3">
      <c r="A6842" s="89" t="s">
        <v>3978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066"/>
        <v>46.04</v>
      </c>
      <c r="X6842" s="6">
        <f t="shared" si="1067"/>
        <v>0</v>
      </c>
      <c r="Y6842" s="13">
        <f t="shared" si="1059"/>
        <v>0</v>
      </c>
      <c r="Z6842" s="14">
        <v>0</v>
      </c>
      <c r="AA6842" s="6">
        <v>0</v>
      </c>
      <c r="AB6842" s="4">
        <f t="shared" si="1061"/>
        <v>0</v>
      </c>
      <c r="AC6842" s="6">
        <f t="shared" si="1058"/>
        <v>0</v>
      </c>
      <c r="AD6842" s="6">
        <f t="shared" si="1063"/>
        <v>0</v>
      </c>
      <c r="AE6842" s="14">
        <f>VLOOKUP(I6842,[2]媒体政策预估表!A:N,MATCH(O6842,[2]媒体政策预估表!$A$2:$M$2,0),0)</f>
        <v>0</v>
      </c>
      <c r="AF6842" s="6">
        <f t="shared" si="1065"/>
        <v>0</v>
      </c>
      <c r="AG6842" s="14">
        <v>0</v>
      </c>
      <c r="AH6842" s="64">
        <f t="shared" si="1064"/>
        <v>0</v>
      </c>
      <c r="AJ6842" s="126" t="e">
        <v>#N/A</v>
      </c>
      <c r="AK6842" s="80">
        <f t="shared" si="1062"/>
        <v>0</v>
      </c>
      <c r="AL6842" s="85"/>
      <c r="AM6842" s="85"/>
    </row>
    <row r="6843" spans="1:39" s="86" customFormat="1" ht="13.25" hidden="1" customHeight="1" x14ac:dyDescent="0.3">
      <c r="A6843" s="89" t="s">
        <v>3792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066"/>
        <v>15624.1</v>
      </c>
      <c r="X6843" s="6">
        <f t="shared" si="1067"/>
        <v>0</v>
      </c>
      <c r="Y6843" s="13">
        <f t="shared" si="1059"/>
        <v>0</v>
      </c>
      <c r="Z6843" s="14">
        <v>0</v>
      </c>
      <c r="AA6843" s="6">
        <v>0</v>
      </c>
      <c r="AB6843" s="4">
        <f t="shared" si="1061"/>
        <v>0</v>
      </c>
      <c r="AC6843" s="6">
        <f t="shared" si="1058"/>
        <v>0</v>
      </c>
      <c r="AD6843" s="6">
        <f t="shared" si="1063"/>
        <v>0</v>
      </c>
      <c r="AE6843" s="14">
        <f>VLOOKUP(I6843,[2]媒体政策预估表!A:N,MATCH(O6843,[2]媒体政策预估表!$A$2:$M$2,0),0)</f>
        <v>0</v>
      </c>
      <c r="AF6843" s="6">
        <f t="shared" si="1065"/>
        <v>0</v>
      </c>
      <c r="AG6843" s="14">
        <v>0</v>
      </c>
      <c r="AH6843" s="64">
        <f t="shared" si="1064"/>
        <v>0</v>
      </c>
      <c r="AJ6843" s="126" t="e">
        <v>#N/A</v>
      </c>
      <c r="AK6843" s="80">
        <f t="shared" si="1062"/>
        <v>0</v>
      </c>
      <c r="AL6843" s="85"/>
      <c r="AM6843" s="85"/>
    </row>
    <row r="6844" spans="1:39" s="86" customFormat="1" ht="13.25" hidden="1" customHeight="1" x14ac:dyDescent="0.3">
      <c r="A6844" s="89" t="s">
        <v>3792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066"/>
        <v>105.94999999999982</v>
      </c>
      <c r="X6844" s="6">
        <f t="shared" si="1067"/>
        <v>0</v>
      </c>
      <c r="Y6844" s="13">
        <f t="shared" si="1059"/>
        <v>0</v>
      </c>
      <c r="Z6844" s="14">
        <v>0</v>
      </c>
      <c r="AA6844" s="6">
        <v>0</v>
      </c>
      <c r="AB6844" s="4">
        <f t="shared" si="1061"/>
        <v>0</v>
      </c>
      <c r="AC6844" s="6">
        <f t="shared" si="1058"/>
        <v>0</v>
      </c>
      <c r="AD6844" s="6">
        <f t="shared" si="1063"/>
        <v>0</v>
      </c>
      <c r="AE6844" s="14">
        <f>VLOOKUP(I6844,[2]媒体政策预估表!A:N,MATCH(O6844,[2]媒体政策预估表!$A$2:$M$2,0),0)</f>
        <v>0</v>
      </c>
      <c r="AF6844" s="6">
        <f t="shared" si="1065"/>
        <v>0</v>
      </c>
      <c r="AG6844" s="14">
        <v>0</v>
      </c>
      <c r="AH6844" s="64">
        <f t="shared" si="1064"/>
        <v>0</v>
      </c>
      <c r="AJ6844" s="126" t="e">
        <v>#N/A</v>
      </c>
      <c r="AK6844" s="80">
        <f t="shared" si="1062"/>
        <v>0</v>
      </c>
      <c r="AL6844" s="85"/>
      <c r="AM6844" s="85"/>
    </row>
    <row r="6845" spans="1:39" s="86" customFormat="1" ht="13.25" hidden="1" customHeight="1" x14ac:dyDescent="0.3">
      <c r="A6845" s="89" t="s">
        <v>3978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066"/>
        <v>691.69999999999982</v>
      </c>
      <c r="X6845" s="6">
        <f t="shared" si="1067"/>
        <v>0</v>
      </c>
      <c r="Y6845" s="13">
        <f t="shared" si="1059"/>
        <v>0</v>
      </c>
      <c r="Z6845" s="14">
        <v>0.05</v>
      </c>
      <c r="AA6845" s="6">
        <f t="shared" ref="AA6845:AA6847" si="1068">X6845*Z6845</f>
        <v>0</v>
      </c>
      <c r="AB6845" s="4">
        <f t="shared" si="1061"/>
        <v>0</v>
      </c>
      <c r="AC6845" s="6">
        <f t="shared" si="1058"/>
        <v>0</v>
      </c>
      <c r="AD6845" s="6">
        <f t="shared" si="1063"/>
        <v>0</v>
      </c>
      <c r="AE6845" s="14">
        <f>VLOOKUP(I6845,[2]媒体政策预估表!A:N,MATCH(O6845,[2]媒体政策预估表!$A$2:$M$2,0),0)</f>
        <v>0</v>
      </c>
      <c r="AF6845" s="6">
        <f t="shared" si="1065"/>
        <v>0</v>
      </c>
      <c r="AG6845" s="14">
        <v>0</v>
      </c>
      <c r="AH6845" s="64">
        <f t="shared" si="1064"/>
        <v>0</v>
      </c>
      <c r="AJ6845" s="126" t="e">
        <v>#N/A</v>
      </c>
      <c r="AK6845" s="80">
        <f t="shared" si="1062"/>
        <v>0</v>
      </c>
      <c r="AL6845" s="85"/>
      <c r="AM6845" s="85"/>
    </row>
    <row r="6846" spans="1:39" s="86" customFormat="1" ht="13.25" hidden="1" customHeight="1" x14ac:dyDescent="0.3">
      <c r="A6846" s="89" t="s">
        <v>3792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066"/>
        <v>20000</v>
      </c>
      <c r="X6846" s="6">
        <f t="shared" si="1067"/>
        <v>0</v>
      </c>
      <c r="Y6846" s="13">
        <f t="shared" si="1059"/>
        <v>0</v>
      </c>
      <c r="Z6846" s="14">
        <v>0.03</v>
      </c>
      <c r="AA6846" s="6">
        <f t="shared" si="1068"/>
        <v>0</v>
      </c>
      <c r="AB6846" s="4">
        <f t="shared" si="1061"/>
        <v>0</v>
      </c>
      <c r="AC6846" s="6">
        <f t="shared" ref="AC6846:AC6909" si="1069">IF(P6846="返现",X6846*Q6846,V6846-X6846)</f>
        <v>0</v>
      </c>
      <c r="AD6846" s="6">
        <f t="shared" si="1063"/>
        <v>0</v>
      </c>
      <c r="AE6846" s="14">
        <f>VLOOKUP(I6846,[2]媒体政策预估表!A:N,MATCH(O6846,[2]媒体政策预估表!$A$2:$M$2,0),0)</f>
        <v>0</v>
      </c>
      <c r="AF6846" s="6">
        <f t="shared" si="1065"/>
        <v>0</v>
      </c>
      <c r="AG6846" s="14">
        <v>0</v>
      </c>
      <c r="AH6846" s="64">
        <f t="shared" si="1064"/>
        <v>0</v>
      </c>
      <c r="AJ6846" s="126" t="e">
        <v>#N/A</v>
      </c>
      <c r="AK6846" s="80">
        <f t="shared" si="1062"/>
        <v>0</v>
      </c>
      <c r="AL6846" s="85"/>
      <c r="AM6846" s="85"/>
    </row>
    <row r="6847" spans="1:39" s="86" customFormat="1" ht="13.25" hidden="1" customHeight="1" x14ac:dyDescent="0.3">
      <c r="A6847" s="89" t="s">
        <v>3978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066"/>
        <v>12</v>
      </c>
      <c r="X6847" s="6">
        <f t="shared" si="1067"/>
        <v>0</v>
      </c>
      <c r="Y6847" s="13">
        <f t="shared" si="1059"/>
        <v>0</v>
      </c>
      <c r="Z6847" s="14">
        <v>0.02</v>
      </c>
      <c r="AA6847" s="6">
        <f t="shared" si="1068"/>
        <v>0</v>
      </c>
      <c r="AB6847" s="4">
        <f t="shared" si="1061"/>
        <v>0</v>
      </c>
      <c r="AC6847" s="6">
        <f t="shared" si="1069"/>
        <v>0</v>
      </c>
      <c r="AD6847" s="6">
        <f t="shared" si="1063"/>
        <v>0</v>
      </c>
      <c r="AE6847" s="14">
        <f>VLOOKUP(I6847,[2]媒体政策预估表!A:N,MATCH(O6847,[2]媒体政策预估表!$A$2:$M$2,0),0)</f>
        <v>0</v>
      </c>
      <c r="AF6847" s="6">
        <f t="shared" si="1065"/>
        <v>0</v>
      </c>
      <c r="AG6847" s="14">
        <v>0</v>
      </c>
      <c r="AH6847" s="64">
        <f t="shared" si="1064"/>
        <v>0</v>
      </c>
      <c r="AJ6847" s="126" t="e">
        <v>#N/A</v>
      </c>
      <c r="AK6847" s="80">
        <f t="shared" si="1062"/>
        <v>0</v>
      </c>
      <c r="AL6847" s="85"/>
      <c r="AM6847" s="85"/>
    </row>
    <row r="6848" spans="1:39" s="86" customFormat="1" ht="13.25" hidden="1" customHeight="1" x14ac:dyDescent="0.3">
      <c r="A6848" s="89" t="s">
        <v>3978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066"/>
        <v>-32</v>
      </c>
      <c r="X6848" s="6">
        <f t="shared" si="1067"/>
        <v>0</v>
      </c>
      <c r="Y6848" s="13">
        <f t="shared" si="1059"/>
        <v>0</v>
      </c>
      <c r="Z6848" s="14">
        <v>0</v>
      </c>
      <c r="AA6848" s="6">
        <v>0</v>
      </c>
      <c r="AB6848" s="4">
        <f t="shared" si="1061"/>
        <v>0</v>
      </c>
      <c r="AC6848" s="6">
        <f t="shared" si="1069"/>
        <v>0</v>
      </c>
      <c r="AD6848" s="6">
        <f t="shared" si="1063"/>
        <v>0</v>
      </c>
      <c r="AE6848" s="14">
        <f>VLOOKUP(I6848,[2]媒体政策预估表!A:N,MATCH(O6848,[2]媒体政策预估表!$A$2:$M$2,0),0)</f>
        <v>0</v>
      </c>
      <c r="AF6848" s="6">
        <f t="shared" si="1065"/>
        <v>0</v>
      </c>
      <c r="AG6848" s="14">
        <v>0</v>
      </c>
      <c r="AH6848" s="64">
        <f t="shared" si="1064"/>
        <v>0</v>
      </c>
      <c r="AJ6848" s="126" t="e">
        <v>#N/A</v>
      </c>
      <c r="AK6848" s="80">
        <f t="shared" si="1062"/>
        <v>0</v>
      </c>
      <c r="AL6848" s="85"/>
      <c r="AM6848" s="85"/>
    </row>
    <row r="6849" spans="1:39" s="86" customFormat="1" ht="13.25" hidden="1" customHeight="1" x14ac:dyDescent="0.3">
      <c r="A6849" s="89" t="s">
        <v>3792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066"/>
        <v>43.76</v>
      </c>
      <c r="X6849" s="6">
        <f t="shared" si="1067"/>
        <v>0</v>
      </c>
      <c r="Y6849" s="13">
        <f t="shared" si="1059"/>
        <v>0</v>
      </c>
      <c r="Z6849" s="14">
        <v>0</v>
      </c>
      <c r="AA6849" s="6">
        <v>0</v>
      </c>
      <c r="AB6849" s="4">
        <f t="shared" si="1061"/>
        <v>0</v>
      </c>
      <c r="AC6849" s="6">
        <f t="shared" si="1069"/>
        <v>0</v>
      </c>
      <c r="AD6849" s="6">
        <f t="shared" si="1063"/>
        <v>0</v>
      </c>
      <c r="AE6849" s="14">
        <f>VLOOKUP(I6849,[2]媒体政策预估表!A:N,MATCH(O6849,[2]媒体政策预估表!$A$2:$M$2,0),0)</f>
        <v>0</v>
      </c>
      <c r="AF6849" s="6">
        <f t="shared" si="1065"/>
        <v>0</v>
      </c>
      <c r="AG6849" s="14">
        <v>0</v>
      </c>
      <c r="AH6849" s="64">
        <f t="shared" si="1064"/>
        <v>0</v>
      </c>
      <c r="AJ6849" s="126" t="e">
        <v>#N/A</v>
      </c>
      <c r="AK6849" s="80">
        <f t="shared" si="1062"/>
        <v>0</v>
      </c>
      <c r="AL6849" s="85"/>
      <c r="AM6849" s="85"/>
    </row>
    <row r="6850" spans="1:39" s="86" customFormat="1" ht="13.25" hidden="1" customHeight="1" x14ac:dyDescent="0.3">
      <c r="A6850" s="89" t="s">
        <v>3792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066"/>
        <v>28038</v>
      </c>
      <c r="X6850" s="6">
        <f t="shared" si="1067"/>
        <v>0</v>
      </c>
      <c r="Y6850" s="13">
        <f t="shared" si="1059"/>
        <v>0</v>
      </c>
      <c r="Z6850" s="14">
        <v>0</v>
      </c>
      <c r="AA6850" s="6">
        <v>0</v>
      </c>
      <c r="AB6850" s="4">
        <f t="shared" si="1061"/>
        <v>0</v>
      </c>
      <c r="AC6850" s="6">
        <f t="shared" si="1069"/>
        <v>0</v>
      </c>
      <c r="AD6850" s="6">
        <f t="shared" si="1063"/>
        <v>0</v>
      </c>
      <c r="AE6850" s="14" t="e">
        <f>VLOOKUP(I6850,[2]媒体政策预估表!A:N,MATCH(O6850,[2]媒体政策预估表!$A$2:$M$2,0),0)</f>
        <v>#REF!</v>
      </c>
      <c r="AF6850" s="6" t="e">
        <f t="shared" si="1065"/>
        <v>#REF!</v>
      </c>
      <c r="AG6850" s="14">
        <v>0</v>
      </c>
      <c r="AH6850" s="64">
        <f t="shared" si="1064"/>
        <v>0</v>
      </c>
      <c r="AJ6850" s="126" t="e">
        <v>#N/A</v>
      </c>
      <c r="AK6850" s="80">
        <f t="shared" si="1062"/>
        <v>0</v>
      </c>
      <c r="AL6850" s="85"/>
      <c r="AM6850" s="85"/>
    </row>
    <row r="6851" spans="1:39" s="86" customFormat="1" ht="13.25" hidden="1" customHeight="1" x14ac:dyDescent="0.3">
      <c r="A6851" s="89" t="s">
        <v>3978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066"/>
        <v>6846.43</v>
      </c>
      <c r="X6851" s="6">
        <f t="shared" si="1067"/>
        <v>0</v>
      </c>
      <c r="Y6851" s="13">
        <f t="shared" ref="Y6851:Y6914" si="1070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071">X6851+AA6851</f>
        <v>0</v>
      </c>
      <c r="AC6851" s="6">
        <f t="shared" si="1069"/>
        <v>0</v>
      </c>
      <c r="AD6851" s="6">
        <f t="shared" si="1063"/>
        <v>0</v>
      </c>
      <c r="AE6851" s="14">
        <f>VLOOKUP(I6851,[2]媒体政策预估表!A:N,MATCH(O6851,[2]媒体政策预估表!$A$2:$M$2,0),0)</f>
        <v>0</v>
      </c>
      <c r="AF6851" s="6">
        <f t="shared" si="1065"/>
        <v>0</v>
      </c>
      <c r="AG6851" s="14">
        <v>0</v>
      </c>
      <c r="AH6851" s="64">
        <f t="shared" si="1064"/>
        <v>0</v>
      </c>
      <c r="AJ6851" s="126" t="e">
        <v>#N/A</v>
      </c>
      <c r="AK6851" s="80">
        <f t="shared" ref="AK6851:AK6914" si="1072">X6851+AA6851-AB6851</f>
        <v>0</v>
      </c>
      <c r="AL6851" s="85"/>
      <c r="AM6851" s="85"/>
    </row>
    <row r="6852" spans="1:39" s="86" customFormat="1" ht="13.25" hidden="1" customHeight="1" x14ac:dyDescent="0.3">
      <c r="A6852" s="89" t="s">
        <v>3792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066"/>
        <v>10000</v>
      </c>
      <c r="X6852" s="6">
        <f t="shared" si="1067"/>
        <v>0</v>
      </c>
      <c r="Y6852" s="13">
        <f t="shared" si="1070"/>
        <v>0</v>
      </c>
      <c r="Z6852" s="14">
        <v>0</v>
      </c>
      <c r="AA6852" s="6">
        <v>0</v>
      </c>
      <c r="AB6852" s="4">
        <f t="shared" si="1071"/>
        <v>0</v>
      </c>
      <c r="AC6852" s="6">
        <f t="shared" si="1069"/>
        <v>0</v>
      </c>
      <c r="AD6852" s="6">
        <f t="shared" si="1063"/>
        <v>0</v>
      </c>
      <c r="AE6852" s="14">
        <f>VLOOKUP(I6852,[2]媒体政策预估表!A:N,MATCH(O6852,[2]媒体政策预估表!$A$2:$M$2,0),0)</f>
        <v>0</v>
      </c>
      <c r="AF6852" s="6">
        <f t="shared" si="1065"/>
        <v>0</v>
      </c>
      <c r="AG6852" s="14">
        <v>0</v>
      </c>
      <c r="AH6852" s="64">
        <f t="shared" si="1064"/>
        <v>0</v>
      </c>
      <c r="AJ6852" s="126" t="e">
        <v>#N/A</v>
      </c>
      <c r="AK6852" s="80">
        <f t="shared" si="1072"/>
        <v>0</v>
      </c>
      <c r="AL6852" s="85"/>
      <c r="AM6852" s="85"/>
    </row>
    <row r="6853" spans="1:39" s="86" customFormat="1" ht="13.25" hidden="1" customHeight="1" x14ac:dyDescent="0.3">
      <c r="A6853" s="89" t="s">
        <v>3978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066"/>
        <v>35484</v>
      </c>
      <c r="X6853" s="6">
        <f t="shared" si="1067"/>
        <v>0</v>
      </c>
      <c r="Y6853" s="13">
        <f t="shared" si="1070"/>
        <v>0</v>
      </c>
      <c r="Z6853" s="14">
        <v>0</v>
      </c>
      <c r="AA6853" s="6">
        <v>0</v>
      </c>
      <c r="AB6853" s="4">
        <f t="shared" si="1071"/>
        <v>0</v>
      </c>
      <c r="AC6853" s="6">
        <f t="shared" si="1069"/>
        <v>0</v>
      </c>
      <c r="AD6853" s="6">
        <f t="shared" si="1063"/>
        <v>0</v>
      </c>
      <c r="AE6853" s="14">
        <f>VLOOKUP(I6853,[2]媒体政策预估表!A:N,MATCH(O6853,[2]媒体政策预估表!$A$2:$M$2,0),0)</f>
        <v>0</v>
      </c>
      <c r="AF6853" s="6">
        <f t="shared" si="1065"/>
        <v>0</v>
      </c>
      <c r="AG6853" s="14">
        <v>0</v>
      </c>
      <c r="AH6853" s="64">
        <f t="shared" si="1064"/>
        <v>0</v>
      </c>
      <c r="AJ6853" s="126" t="e">
        <v>#N/A</v>
      </c>
      <c r="AK6853" s="80">
        <f t="shared" si="1072"/>
        <v>0</v>
      </c>
      <c r="AL6853" s="85"/>
      <c r="AM6853" s="85"/>
    </row>
    <row r="6854" spans="1:39" s="86" customFormat="1" ht="13.25" hidden="1" customHeight="1" x14ac:dyDescent="0.3">
      <c r="A6854" s="89" t="s">
        <v>3978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066"/>
        <v>400000</v>
      </c>
      <c r="X6854" s="6">
        <f t="shared" si="1067"/>
        <v>0</v>
      </c>
      <c r="Y6854" s="13">
        <f t="shared" si="1070"/>
        <v>0</v>
      </c>
      <c r="Z6854" s="14">
        <v>0</v>
      </c>
      <c r="AA6854" s="6">
        <v>0</v>
      </c>
      <c r="AB6854" s="4">
        <f t="shared" si="1071"/>
        <v>0</v>
      </c>
      <c r="AC6854" s="6">
        <f t="shared" si="1069"/>
        <v>0</v>
      </c>
      <c r="AD6854" s="6">
        <f t="shared" si="1063"/>
        <v>0</v>
      </c>
      <c r="AE6854" s="14">
        <f>VLOOKUP(I6854,[2]媒体政策预估表!A:N,MATCH(O6854,[2]媒体政策预估表!$A$2:$M$2,0),0)</f>
        <v>0</v>
      </c>
      <c r="AF6854" s="6">
        <f t="shared" si="1065"/>
        <v>0</v>
      </c>
      <c r="AG6854" s="14">
        <v>0</v>
      </c>
      <c r="AH6854" s="64">
        <f t="shared" si="1064"/>
        <v>0</v>
      </c>
      <c r="AJ6854" s="126" t="e">
        <v>#N/A</v>
      </c>
      <c r="AK6854" s="80">
        <f t="shared" si="1072"/>
        <v>0</v>
      </c>
      <c r="AL6854" s="85"/>
      <c r="AM6854" s="85"/>
    </row>
    <row r="6855" spans="1:39" s="86" customFormat="1" ht="13.25" hidden="1" customHeight="1" x14ac:dyDescent="0.3">
      <c r="A6855" s="89" t="s">
        <v>3792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066"/>
        <v>10</v>
      </c>
      <c r="X6855" s="6">
        <f t="shared" si="1067"/>
        <v>0</v>
      </c>
      <c r="Y6855" s="13">
        <f t="shared" si="1070"/>
        <v>0</v>
      </c>
      <c r="Z6855" s="14">
        <v>0</v>
      </c>
      <c r="AA6855" s="6">
        <v>0</v>
      </c>
      <c r="AB6855" s="4">
        <f t="shared" si="1071"/>
        <v>0</v>
      </c>
      <c r="AC6855" s="6">
        <f t="shared" si="1069"/>
        <v>0</v>
      </c>
      <c r="AD6855" s="6">
        <f t="shared" si="1063"/>
        <v>0</v>
      </c>
      <c r="AE6855" s="14">
        <f>VLOOKUP(I6855,[2]媒体政策预估表!A:N,MATCH(O6855,[2]媒体政策预估表!$A$2:$M$2,0),0)</f>
        <v>0</v>
      </c>
      <c r="AF6855" s="6">
        <f t="shared" si="1065"/>
        <v>0</v>
      </c>
      <c r="AG6855" s="14">
        <v>0</v>
      </c>
      <c r="AH6855" s="64">
        <f t="shared" si="1064"/>
        <v>0</v>
      </c>
      <c r="AJ6855" s="126" t="e">
        <v>#N/A</v>
      </c>
      <c r="AK6855" s="80">
        <f t="shared" si="1072"/>
        <v>0</v>
      </c>
      <c r="AL6855" s="85"/>
      <c r="AM6855" s="85"/>
    </row>
    <row r="6856" spans="1:39" s="86" customFormat="1" ht="13.25" hidden="1" customHeight="1" x14ac:dyDescent="0.3">
      <c r="A6856" s="89" t="s">
        <v>3978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066"/>
        <v>148.93</v>
      </c>
      <c r="X6856" s="6">
        <f t="shared" si="1067"/>
        <v>0</v>
      </c>
      <c r="Y6856" s="13">
        <f t="shared" si="1070"/>
        <v>0</v>
      </c>
      <c r="Z6856" s="14">
        <v>0</v>
      </c>
      <c r="AA6856" s="6">
        <v>0</v>
      </c>
      <c r="AB6856" s="4">
        <f t="shared" si="1071"/>
        <v>0</v>
      </c>
      <c r="AC6856" s="6">
        <f t="shared" si="1069"/>
        <v>0</v>
      </c>
      <c r="AD6856" s="6">
        <f t="shared" si="1063"/>
        <v>0</v>
      </c>
      <c r="AE6856" s="14">
        <f>VLOOKUP(I6856,[2]媒体政策预估表!A:N,MATCH(O6856,[2]媒体政策预估表!$A$2:$M$2,0),0)</f>
        <v>0</v>
      </c>
      <c r="AF6856" s="6">
        <f t="shared" si="1065"/>
        <v>0</v>
      </c>
      <c r="AG6856" s="14">
        <v>0</v>
      </c>
      <c r="AH6856" s="64">
        <f t="shared" si="1064"/>
        <v>0</v>
      </c>
      <c r="AJ6856" s="126" t="e">
        <v>#N/A</v>
      </c>
      <c r="AK6856" s="80">
        <f t="shared" si="1072"/>
        <v>0</v>
      </c>
      <c r="AL6856" s="85"/>
      <c r="AM6856" s="85"/>
    </row>
    <row r="6857" spans="1:39" s="86" customFormat="1" ht="13.25" hidden="1" customHeight="1" x14ac:dyDescent="0.3">
      <c r="A6857" s="89" t="s">
        <v>3792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3986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066"/>
        <v>27650.010000000009</v>
      </c>
      <c r="X6857" s="6">
        <f t="shared" si="1067"/>
        <v>102988.64347826088</v>
      </c>
      <c r="Y6857" s="13">
        <f t="shared" si="1070"/>
        <v>0</v>
      </c>
      <c r="Z6857" s="14">
        <v>0</v>
      </c>
      <c r="AA6857" s="6">
        <v>0</v>
      </c>
      <c r="AB6857" s="4">
        <f t="shared" si="1071"/>
        <v>102988.64347826088</v>
      </c>
      <c r="AC6857" s="6">
        <f t="shared" si="1069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065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072"/>
        <v>0</v>
      </c>
      <c r="AL6857" s="85"/>
      <c r="AM6857" s="85"/>
    </row>
    <row r="6858" spans="1:39" s="86" customFormat="1" ht="13.25" hidden="1" customHeight="1" x14ac:dyDescent="0.3">
      <c r="A6858" s="89" t="s">
        <v>3978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3987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066"/>
        <v>8999.92</v>
      </c>
      <c r="X6858" s="6">
        <f t="shared" si="1067"/>
        <v>869.63478260869579</v>
      </c>
      <c r="Y6858" s="13">
        <f t="shared" si="1070"/>
        <v>0</v>
      </c>
      <c r="Z6858" s="14">
        <v>0</v>
      </c>
      <c r="AA6858" s="6">
        <v>0</v>
      </c>
      <c r="AB6858" s="4">
        <f t="shared" si="1071"/>
        <v>869.63478260869579</v>
      </c>
      <c r="AC6858" s="6">
        <f t="shared" si="1069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065"/>
        <v>100.00800000000001</v>
      </c>
      <c r="AG6858" s="14">
        <v>0.15</v>
      </c>
      <c r="AH6858" s="6">
        <f t="shared" ref="AH6858:AH6879" si="1073">V6858/(1+AG6858)</f>
        <v>869.63478260869579</v>
      </c>
      <c r="AJ6858" s="126" t="e">
        <v>#N/A</v>
      </c>
      <c r="AK6858" s="80">
        <f t="shared" si="1072"/>
        <v>0</v>
      </c>
      <c r="AL6858" s="85"/>
      <c r="AM6858" s="85"/>
    </row>
    <row r="6859" spans="1:39" s="86" customFormat="1" ht="13.25" hidden="1" customHeight="1" x14ac:dyDescent="0.3">
      <c r="A6859" s="89" t="s">
        <v>3792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3988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066"/>
        <v>31684.729999999996</v>
      </c>
      <c r="X6859" s="6">
        <f t="shared" si="1067"/>
        <v>59404.582608695659</v>
      </c>
      <c r="Y6859" s="13">
        <f t="shared" si="1070"/>
        <v>0</v>
      </c>
      <c r="Z6859" s="14">
        <v>0</v>
      </c>
      <c r="AA6859" s="6">
        <v>0</v>
      </c>
      <c r="AB6859" s="4">
        <f t="shared" si="1071"/>
        <v>59404.582608695659</v>
      </c>
      <c r="AC6859" s="6">
        <f t="shared" si="1069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065"/>
        <v>6831.527000000001</v>
      </c>
      <c r="AG6859" s="14">
        <v>0.15</v>
      </c>
      <c r="AH6859" s="6">
        <f t="shared" si="1073"/>
        <v>59404.582608695659</v>
      </c>
      <c r="AJ6859" s="126" t="e">
        <v>#N/A</v>
      </c>
      <c r="AK6859" s="80">
        <f t="shared" si="1072"/>
        <v>0</v>
      </c>
      <c r="AL6859" s="85"/>
      <c r="AM6859" s="85"/>
    </row>
    <row r="6860" spans="1:39" s="86" customFormat="1" ht="13.25" hidden="1" customHeight="1" x14ac:dyDescent="0.3">
      <c r="A6860" s="89" t="s">
        <v>3792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3989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066"/>
        <v>104392</v>
      </c>
      <c r="X6860" s="6">
        <f t="shared" si="1067"/>
        <v>39659.130434782615</v>
      </c>
      <c r="Y6860" s="13">
        <f t="shared" si="1070"/>
        <v>0</v>
      </c>
      <c r="Z6860" s="14">
        <v>0</v>
      </c>
      <c r="AA6860" s="6">
        <v>0</v>
      </c>
      <c r="AB6860" s="4">
        <f t="shared" si="1071"/>
        <v>39659.130434782615</v>
      </c>
      <c r="AC6860" s="6">
        <f t="shared" si="1069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065"/>
        <v>4560.8</v>
      </c>
      <c r="AG6860" s="14">
        <v>0.15</v>
      </c>
      <c r="AH6860" s="6">
        <f t="shared" si="1073"/>
        <v>39659.130434782615</v>
      </c>
      <c r="AJ6860" s="126" t="e">
        <v>#N/A</v>
      </c>
      <c r="AK6860" s="80">
        <f t="shared" si="1072"/>
        <v>0</v>
      </c>
      <c r="AL6860" s="85"/>
      <c r="AM6860" s="85"/>
    </row>
    <row r="6861" spans="1:39" s="86" customFormat="1" ht="13.25" hidden="1" customHeight="1" x14ac:dyDescent="0.3">
      <c r="A6861" s="89" t="s">
        <v>3792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066"/>
        <v>13970.909999999945</v>
      </c>
      <c r="X6861" s="6">
        <f t="shared" si="1067"/>
        <v>0</v>
      </c>
      <c r="Y6861" s="13">
        <f t="shared" si="1070"/>
        <v>0</v>
      </c>
      <c r="Z6861" s="14">
        <v>0</v>
      </c>
      <c r="AA6861" s="6">
        <v>0</v>
      </c>
      <c r="AB6861" s="4">
        <f t="shared" si="1071"/>
        <v>0</v>
      </c>
      <c r="AC6861" s="6">
        <f t="shared" si="1069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065"/>
        <v>0</v>
      </c>
      <c r="AG6861" s="14">
        <v>0.15</v>
      </c>
      <c r="AH6861" s="6">
        <f t="shared" si="1073"/>
        <v>0</v>
      </c>
      <c r="AJ6861" s="126" t="e">
        <v>#N/A</v>
      </c>
      <c r="AK6861" s="80">
        <f t="shared" si="1072"/>
        <v>0</v>
      </c>
      <c r="AL6861" s="85"/>
      <c r="AM6861" s="85"/>
    </row>
    <row r="6862" spans="1:39" s="86" customFormat="1" ht="13.25" hidden="1" customHeight="1" x14ac:dyDescent="0.3">
      <c r="A6862" s="89" t="s">
        <v>3978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3990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066"/>
        <v>49743.219999999987</v>
      </c>
      <c r="X6862" s="6">
        <f t="shared" si="1067"/>
        <v>83777.165217391317</v>
      </c>
      <c r="Y6862" s="13">
        <f t="shared" si="1070"/>
        <v>0</v>
      </c>
      <c r="Z6862" s="14">
        <v>0</v>
      </c>
      <c r="AA6862" s="6">
        <v>0</v>
      </c>
      <c r="AB6862" s="4">
        <f t="shared" si="1071"/>
        <v>83777.165217391317</v>
      </c>
      <c r="AC6862" s="6">
        <f t="shared" si="1069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065"/>
        <v>9634.3740000000016</v>
      </c>
      <c r="AG6862" s="14">
        <v>0.15</v>
      </c>
      <c r="AH6862" s="6">
        <f t="shared" si="1073"/>
        <v>83777.165217391317</v>
      </c>
      <c r="AJ6862" s="126" t="e">
        <v>#N/A</v>
      </c>
      <c r="AK6862" s="80">
        <f t="shared" si="1072"/>
        <v>0</v>
      </c>
      <c r="AL6862" s="85"/>
      <c r="AM6862" s="85"/>
    </row>
    <row r="6863" spans="1:39" s="86" customFormat="1" ht="13.25" hidden="1" customHeight="1" x14ac:dyDescent="0.3">
      <c r="A6863" s="89" t="s">
        <v>3978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066"/>
        <v>142849.30199999968</v>
      </c>
      <c r="X6863" s="6">
        <f t="shared" si="1067"/>
        <v>0</v>
      </c>
      <c r="Y6863" s="13">
        <f t="shared" si="1070"/>
        <v>0</v>
      </c>
      <c r="Z6863" s="14">
        <v>0</v>
      </c>
      <c r="AA6863" s="6">
        <v>0</v>
      </c>
      <c r="AB6863" s="4">
        <f t="shared" si="1071"/>
        <v>0</v>
      </c>
      <c r="AC6863" s="6">
        <f t="shared" si="1069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065"/>
        <v>0</v>
      </c>
      <c r="AG6863" s="14">
        <v>0.15</v>
      </c>
      <c r="AH6863" s="6">
        <f t="shared" si="1073"/>
        <v>0</v>
      </c>
      <c r="AJ6863" s="126" t="e">
        <v>#N/A</v>
      </c>
      <c r="AK6863" s="80">
        <f t="shared" si="1072"/>
        <v>0</v>
      </c>
      <c r="AL6863" s="85"/>
      <c r="AM6863" s="85"/>
    </row>
    <row r="6864" spans="1:39" s="86" customFormat="1" ht="13.25" hidden="1" customHeight="1" x14ac:dyDescent="0.3">
      <c r="A6864" s="89" t="s">
        <v>3978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066"/>
        <v>42751.920499999993</v>
      </c>
      <c r="X6864" s="6">
        <f t="shared" si="1067"/>
        <v>36154.379999999997</v>
      </c>
      <c r="Y6864" s="13">
        <f t="shared" si="1070"/>
        <v>4875.7899999999972</v>
      </c>
      <c r="Z6864" s="14">
        <v>0</v>
      </c>
      <c r="AA6864" s="6">
        <v>0</v>
      </c>
      <c r="AB6864" s="4">
        <f t="shared" si="1071"/>
        <v>36154.379999999997</v>
      </c>
      <c r="AC6864" s="6">
        <f t="shared" si="1069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065"/>
        <v>3127.8590000000004</v>
      </c>
      <c r="AG6864" s="14">
        <v>0.15</v>
      </c>
      <c r="AH6864" s="6">
        <f t="shared" si="1073"/>
        <v>34582.450434782608</v>
      </c>
      <c r="AJ6864" s="126" t="e">
        <v>#N/A</v>
      </c>
      <c r="AK6864" s="80">
        <f t="shared" si="1072"/>
        <v>0</v>
      </c>
      <c r="AL6864" s="85"/>
      <c r="AM6864" s="85"/>
    </row>
    <row r="6865" spans="1:39" s="86" customFormat="1" ht="13.25" hidden="1" customHeight="1" x14ac:dyDescent="0.3">
      <c r="A6865" s="89" t="s">
        <v>3792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066"/>
        <v>25450.725000000006</v>
      </c>
      <c r="X6865" s="6">
        <f t="shared" si="1067"/>
        <v>116683.1619047619</v>
      </c>
      <c r="Y6865" s="13">
        <f t="shared" si="1070"/>
        <v>0</v>
      </c>
      <c r="Z6865" s="14">
        <v>0</v>
      </c>
      <c r="AA6865" s="6">
        <v>0</v>
      </c>
      <c r="AB6865" s="4">
        <f t="shared" si="1071"/>
        <v>116683.1619047619</v>
      </c>
      <c r="AC6865" s="6">
        <f t="shared" si="1069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065"/>
        <v>12251.732000000002</v>
      </c>
      <c r="AG6865" s="14">
        <v>0.15</v>
      </c>
      <c r="AH6865" s="6">
        <f t="shared" si="1073"/>
        <v>106536.80000000002</v>
      </c>
      <c r="AJ6865" s="126" t="e">
        <v>#N/A</v>
      </c>
      <c r="AK6865" s="80">
        <f t="shared" si="1072"/>
        <v>0</v>
      </c>
      <c r="AL6865" s="85"/>
      <c r="AM6865" s="85"/>
    </row>
    <row r="6866" spans="1:39" s="86" customFormat="1" ht="13.25" hidden="1" customHeight="1" x14ac:dyDescent="0.3">
      <c r="A6866" s="89" t="s">
        <v>3792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066"/>
        <v>1781994.6389999997</v>
      </c>
      <c r="X6866" s="6">
        <f t="shared" si="1067"/>
        <v>298637.45217391307</v>
      </c>
      <c r="Y6866" s="13">
        <f t="shared" si="1070"/>
        <v>0</v>
      </c>
      <c r="Z6866" s="14">
        <v>0</v>
      </c>
      <c r="AA6866" s="6">
        <v>0</v>
      </c>
      <c r="AB6866" s="4">
        <f t="shared" si="1071"/>
        <v>298637.45217391307</v>
      </c>
      <c r="AC6866" s="6">
        <f t="shared" si="1069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065"/>
        <v>34343.307000000001</v>
      </c>
      <c r="AG6866" s="14">
        <v>0.15</v>
      </c>
      <c r="AH6866" s="6">
        <f t="shared" si="1073"/>
        <v>298637.45217391307</v>
      </c>
      <c r="AJ6866" s="126" t="e">
        <v>#N/A</v>
      </c>
      <c r="AK6866" s="80">
        <f t="shared" si="1072"/>
        <v>0</v>
      </c>
      <c r="AL6866" s="85"/>
      <c r="AM6866" s="85"/>
    </row>
    <row r="6867" spans="1:39" s="86" customFormat="1" ht="13.25" hidden="1" customHeight="1" x14ac:dyDescent="0.3">
      <c r="A6867" s="89" t="s">
        <v>3978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066"/>
        <v>0</v>
      </c>
      <c r="X6867" s="6">
        <f t="shared" si="1067"/>
        <v>7216.6319999999978</v>
      </c>
      <c r="Y6867" s="13">
        <f t="shared" si="1070"/>
        <v>7216.6319999999978</v>
      </c>
      <c r="Z6867" s="14">
        <v>0</v>
      </c>
      <c r="AA6867" s="6">
        <v>0</v>
      </c>
      <c r="AB6867" s="4">
        <f t="shared" si="1071"/>
        <v>7216.6319999999978</v>
      </c>
      <c r="AC6867" s="6">
        <f t="shared" si="1069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065"/>
        <v>0</v>
      </c>
      <c r="AG6867" s="14">
        <v>0.15</v>
      </c>
      <c r="AH6867" s="6">
        <f t="shared" si="1073"/>
        <v>6275.3321739130424</v>
      </c>
      <c r="AJ6867" s="126" t="e">
        <v>#N/A</v>
      </c>
      <c r="AK6867" s="80">
        <f t="shared" si="1072"/>
        <v>0</v>
      </c>
      <c r="AL6867" s="85"/>
      <c r="AM6867" s="85"/>
    </row>
    <row r="6868" spans="1:39" s="86" customFormat="1" ht="13.25" hidden="1" customHeight="1" x14ac:dyDescent="0.3">
      <c r="A6868" s="89" t="s">
        <v>3978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066"/>
        <v>41153.254499999981</v>
      </c>
      <c r="X6868" s="6">
        <f t="shared" si="1067"/>
        <v>0</v>
      </c>
      <c r="Y6868" s="13">
        <f t="shared" si="1070"/>
        <v>0</v>
      </c>
      <c r="Z6868" s="14">
        <v>0</v>
      </c>
      <c r="AA6868" s="6">
        <v>0</v>
      </c>
      <c r="AB6868" s="4">
        <f t="shared" si="1071"/>
        <v>0</v>
      </c>
      <c r="AC6868" s="6">
        <f t="shared" si="1069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065"/>
        <v>0</v>
      </c>
      <c r="AG6868" s="14">
        <v>0.15</v>
      </c>
      <c r="AH6868" s="6">
        <f t="shared" si="1073"/>
        <v>0</v>
      </c>
      <c r="AJ6868" s="126" t="e">
        <v>#N/A</v>
      </c>
      <c r="AK6868" s="80">
        <f t="shared" si="1072"/>
        <v>0</v>
      </c>
      <c r="AL6868" s="85"/>
      <c r="AM6868" s="85"/>
    </row>
    <row r="6869" spans="1:39" s="86" customFormat="1" ht="13.25" hidden="1" customHeight="1" x14ac:dyDescent="0.3">
      <c r="A6869" s="89" t="s">
        <v>3978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066"/>
        <v>45000.331500000029</v>
      </c>
      <c r="X6869" s="6">
        <f t="shared" si="1067"/>
        <v>0</v>
      </c>
      <c r="Y6869" s="13">
        <f t="shared" si="1070"/>
        <v>0</v>
      </c>
      <c r="Z6869" s="14">
        <v>0</v>
      </c>
      <c r="AA6869" s="6">
        <v>0</v>
      </c>
      <c r="AB6869" s="4">
        <f t="shared" si="1071"/>
        <v>0</v>
      </c>
      <c r="AC6869" s="6">
        <f t="shared" si="1069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065"/>
        <v>0</v>
      </c>
      <c r="AG6869" s="14">
        <v>0.15</v>
      </c>
      <c r="AH6869" s="6">
        <f t="shared" si="1073"/>
        <v>0</v>
      </c>
      <c r="AJ6869" s="126" t="e">
        <v>#N/A</v>
      </c>
      <c r="AK6869" s="80">
        <f t="shared" si="1072"/>
        <v>0</v>
      </c>
      <c r="AL6869" s="85"/>
      <c r="AM6869" s="85"/>
    </row>
    <row r="6870" spans="1:39" s="86" customFormat="1" ht="13.25" hidden="1" customHeight="1" x14ac:dyDescent="0.3">
      <c r="A6870" s="89" t="s">
        <v>3978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066"/>
        <v>-0.48100000011618249</v>
      </c>
      <c r="X6870" s="6">
        <f t="shared" si="1067"/>
        <v>0</v>
      </c>
      <c r="Y6870" s="13">
        <f t="shared" si="1070"/>
        <v>0</v>
      </c>
      <c r="Z6870" s="14">
        <v>0</v>
      </c>
      <c r="AA6870" s="6">
        <v>0</v>
      </c>
      <c r="AB6870" s="4">
        <f t="shared" si="1071"/>
        <v>0</v>
      </c>
      <c r="AC6870" s="6">
        <f t="shared" si="1069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065"/>
        <v>0</v>
      </c>
      <c r="AG6870" s="14">
        <v>0.15</v>
      </c>
      <c r="AH6870" s="6">
        <f t="shared" si="1073"/>
        <v>0</v>
      </c>
      <c r="AJ6870" s="126" t="e">
        <v>#N/A</v>
      </c>
      <c r="AK6870" s="80">
        <f t="shared" si="1072"/>
        <v>0</v>
      </c>
      <c r="AL6870" s="85"/>
      <c r="AM6870" s="85"/>
    </row>
    <row r="6871" spans="1:39" s="86" customFormat="1" ht="13.25" hidden="1" customHeight="1" x14ac:dyDescent="0.3">
      <c r="A6871" s="89" t="s">
        <v>3978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066"/>
        <v>675.27800000000207</v>
      </c>
      <c r="X6871" s="6">
        <f t="shared" si="1067"/>
        <v>0</v>
      </c>
      <c r="Y6871" s="13">
        <f t="shared" si="1070"/>
        <v>0</v>
      </c>
      <c r="Z6871" s="14">
        <v>0</v>
      </c>
      <c r="AA6871" s="6">
        <v>0</v>
      </c>
      <c r="AB6871" s="4">
        <f t="shared" si="1071"/>
        <v>0</v>
      </c>
      <c r="AC6871" s="6">
        <f t="shared" si="1069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065"/>
        <v>0</v>
      </c>
      <c r="AG6871" s="14">
        <v>0.15</v>
      </c>
      <c r="AH6871" s="6">
        <f t="shared" si="1073"/>
        <v>0</v>
      </c>
      <c r="AJ6871" s="126" t="e">
        <v>#N/A</v>
      </c>
      <c r="AK6871" s="80">
        <f t="shared" si="1072"/>
        <v>0</v>
      </c>
      <c r="AL6871" s="85"/>
      <c r="AM6871" s="85"/>
    </row>
    <row r="6872" spans="1:39" s="86" customFormat="1" ht="13.25" hidden="1" customHeight="1" x14ac:dyDescent="0.3">
      <c r="A6872" s="89" t="s">
        <v>3792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066"/>
        <v>13132.321499999998</v>
      </c>
      <c r="X6872" s="6">
        <f t="shared" si="1067"/>
        <v>0</v>
      </c>
      <c r="Y6872" s="13">
        <f t="shared" si="1070"/>
        <v>0</v>
      </c>
      <c r="Z6872" s="14">
        <v>0</v>
      </c>
      <c r="AA6872" s="6">
        <v>0</v>
      </c>
      <c r="AB6872" s="4">
        <f t="shared" si="1071"/>
        <v>0</v>
      </c>
      <c r="AC6872" s="6">
        <f t="shared" si="1069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065"/>
        <v>0</v>
      </c>
      <c r="AG6872" s="14">
        <v>0.15</v>
      </c>
      <c r="AH6872" s="6">
        <f t="shared" si="1073"/>
        <v>0</v>
      </c>
      <c r="AJ6872" s="126" t="e">
        <v>#N/A</v>
      </c>
      <c r="AK6872" s="80">
        <f t="shared" si="1072"/>
        <v>0</v>
      </c>
      <c r="AL6872" s="85"/>
      <c r="AM6872" s="85"/>
    </row>
    <row r="6873" spans="1:39" s="86" customFormat="1" ht="13.25" hidden="1" customHeight="1" x14ac:dyDescent="0.3">
      <c r="A6873" s="89" t="s">
        <v>3978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066"/>
        <v>1.4499999999088686E-2</v>
      </c>
      <c r="X6873" s="6">
        <f t="shared" si="1067"/>
        <v>0</v>
      </c>
      <c r="Y6873" s="13">
        <f t="shared" si="1070"/>
        <v>0</v>
      </c>
      <c r="Z6873" s="14">
        <v>0</v>
      </c>
      <c r="AA6873" s="6">
        <v>0</v>
      </c>
      <c r="AB6873" s="4">
        <f t="shared" si="1071"/>
        <v>0</v>
      </c>
      <c r="AC6873" s="6">
        <f t="shared" si="1069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065"/>
        <v>0</v>
      </c>
      <c r="AG6873" s="14">
        <v>0.15</v>
      </c>
      <c r="AH6873" s="6">
        <f t="shared" si="1073"/>
        <v>0</v>
      </c>
      <c r="AJ6873" s="126" t="e">
        <v>#N/A</v>
      </c>
      <c r="AK6873" s="80">
        <f t="shared" si="1072"/>
        <v>0</v>
      </c>
      <c r="AL6873" s="85"/>
      <c r="AM6873" s="85"/>
    </row>
    <row r="6874" spans="1:39" s="86" customFormat="1" ht="13.25" hidden="1" customHeight="1" x14ac:dyDescent="0.3">
      <c r="A6874" s="89" t="s">
        <v>3792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066"/>
        <v>1.3999999999668944E-2</v>
      </c>
      <c r="X6874" s="6">
        <f t="shared" si="1067"/>
        <v>0</v>
      </c>
      <c r="Y6874" s="13">
        <f t="shared" si="1070"/>
        <v>0</v>
      </c>
      <c r="Z6874" s="14">
        <v>0</v>
      </c>
      <c r="AA6874" s="6">
        <v>0</v>
      </c>
      <c r="AB6874" s="4">
        <f t="shared" si="1071"/>
        <v>0</v>
      </c>
      <c r="AC6874" s="6">
        <f t="shared" si="1069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065"/>
        <v>0</v>
      </c>
      <c r="AG6874" s="14">
        <v>0.15</v>
      </c>
      <c r="AH6874" s="6">
        <f t="shared" si="1073"/>
        <v>0</v>
      </c>
      <c r="AJ6874" s="126" t="e">
        <v>#N/A</v>
      </c>
      <c r="AK6874" s="80">
        <f t="shared" si="1072"/>
        <v>0</v>
      </c>
      <c r="AL6874" s="85"/>
      <c r="AM6874" s="85"/>
    </row>
    <row r="6875" spans="1:39" s="86" customFormat="1" ht="13.25" hidden="1" customHeight="1" x14ac:dyDescent="0.3">
      <c r="A6875" s="89" t="s">
        <v>3978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066"/>
        <v>9.9999999802093953E-3</v>
      </c>
      <c r="X6875" s="6">
        <f t="shared" si="1067"/>
        <v>0</v>
      </c>
      <c r="Y6875" s="13">
        <f t="shared" si="1070"/>
        <v>0</v>
      </c>
      <c r="Z6875" s="14">
        <v>0</v>
      </c>
      <c r="AA6875" s="6">
        <v>0</v>
      </c>
      <c r="AB6875" s="4">
        <f t="shared" si="1071"/>
        <v>0</v>
      </c>
      <c r="AC6875" s="6">
        <f t="shared" si="1069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065"/>
        <v>0</v>
      </c>
      <c r="AG6875" s="14">
        <v>0.2</v>
      </c>
      <c r="AH6875" s="6">
        <f t="shared" si="1073"/>
        <v>0</v>
      </c>
      <c r="AJ6875" s="126" t="e">
        <v>#N/A</v>
      </c>
      <c r="AK6875" s="80">
        <f t="shared" si="1072"/>
        <v>0</v>
      </c>
      <c r="AL6875" s="85"/>
      <c r="AM6875" s="85"/>
    </row>
    <row r="6876" spans="1:39" s="86" customFormat="1" ht="13.25" hidden="1" customHeight="1" x14ac:dyDescent="0.3">
      <c r="A6876" s="89" t="s">
        <v>3792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066"/>
        <v>-128.19200000000077</v>
      </c>
      <c r="X6876" s="6">
        <f t="shared" si="1067"/>
        <v>0</v>
      </c>
      <c r="Y6876" s="13">
        <f t="shared" si="1070"/>
        <v>0</v>
      </c>
      <c r="Z6876" s="14">
        <v>0</v>
      </c>
      <c r="AA6876" s="6">
        <v>0</v>
      </c>
      <c r="AB6876" s="4">
        <f t="shared" si="1071"/>
        <v>0</v>
      </c>
      <c r="AC6876" s="6">
        <f t="shared" si="1069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065"/>
        <v>0</v>
      </c>
      <c r="AG6876" s="14">
        <v>0.2</v>
      </c>
      <c r="AH6876" s="6">
        <f t="shared" si="1073"/>
        <v>0</v>
      </c>
      <c r="AJ6876" s="126" t="e">
        <v>#N/A</v>
      </c>
      <c r="AK6876" s="80">
        <f t="shared" si="1072"/>
        <v>0</v>
      </c>
      <c r="AL6876" s="85"/>
      <c r="AM6876" s="85"/>
    </row>
    <row r="6877" spans="1:39" s="86" customFormat="1" ht="13.25" hidden="1" customHeight="1" x14ac:dyDescent="0.3">
      <c r="A6877" s="89" t="s">
        <v>3978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066"/>
        <v>-0.314</v>
      </c>
      <c r="X6877" s="6">
        <f t="shared" si="1067"/>
        <v>0</v>
      </c>
      <c r="Y6877" s="13">
        <f t="shared" si="1070"/>
        <v>0</v>
      </c>
      <c r="Z6877" s="14">
        <v>0</v>
      </c>
      <c r="AA6877" s="6">
        <v>0</v>
      </c>
      <c r="AB6877" s="4">
        <f t="shared" si="1071"/>
        <v>0</v>
      </c>
      <c r="AC6877" s="6">
        <f t="shared" si="1069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065"/>
        <v>0</v>
      </c>
      <c r="AG6877" s="14">
        <v>0.2</v>
      </c>
      <c r="AH6877" s="6">
        <f t="shared" si="1073"/>
        <v>0</v>
      </c>
      <c r="AJ6877" s="126" t="e">
        <v>#N/A</v>
      </c>
      <c r="AK6877" s="80">
        <f t="shared" si="1072"/>
        <v>0</v>
      </c>
      <c r="AL6877" s="85"/>
      <c r="AM6877" s="85"/>
    </row>
    <row r="6878" spans="1:39" s="86" customFormat="1" ht="13.25" hidden="1" customHeight="1" x14ac:dyDescent="0.3">
      <c r="A6878" s="89" t="s">
        <v>3978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066"/>
        <v>8125.5360000000001</v>
      </c>
      <c r="X6878" s="6">
        <f t="shared" si="1067"/>
        <v>0</v>
      </c>
      <c r="Y6878" s="13">
        <f t="shared" si="1070"/>
        <v>0</v>
      </c>
      <c r="Z6878" s="14">
        <v>0</v>
      </c>
      <c r="AA6878" s="6">
        <v>0</v>
      </c>
      <c r="AB6878" s="4">
        <f t="shared" si="1071"/>
        <v>0</v>
      </c>
      <c r="AC6878" s="6">
        <f t="shared" si="1069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065"/>
        <v>0</v>
      </c>
      <c r="AG6878" s="14">
        <v>0.2</v>
      </c>
      <c r="AH6878" s="6">
        <f t="shared" si="1073"/>
        <v>0</v>
      </c>
      <c r="AJ6878" s="126" t="e">
        <v>#N/A</v>
      </c>
      <c r="AK6878" s="80">
        <f t="shared" si="1072"/>
        <v>0</v>
      </c>
      <c r="AL6878" s="85"/>
      <c r="AM6878" s="85"/>
    </row>
    <row r="6879" spans="1:39" s="86" customFormat="1" ht="13.25" hidden="1" customHeight="1" x14ac:dyDescent="0.3">
      <c r="A6879" s="89" t="s">
        <v>3978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066"/>
        <v>57026.803999999996</v>
      </c>
      <c r="X6879" s="6">
        <f t="shared" si="1067"/>
        <v>0</v>
      </c>
      <c r="Y6879" s="13">
        <f t="shared" si="1070"/>
        <v>0</v>
      </c>
      <c r="Z6879" s="14">
        <v>0</v>
      </c>
      <c r="AA6879" s="6">
        <v>0</v>
      </c>
      <c r="AB6879" s="4">
        <f t="shared" si="1071"/>
        <v>0</v>
      </c>
      <c r="AC6879" s="6">
        <f t="shared" si="1069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065"/>
        <v>0</v>
      </c>
      <c r="AG6879" s="14">
        <v>0.2</v>
      </c>
      <c r="AH6879" s="6">
        <f t="shared" si="1073"/>
        <v>0</v>
      </c>
      <c r="AJ6879" s="126" t="e">
        <v>#N/A</v>
      </c>
      <c r="AK6879" s="80">
        <f t="shared" si="1072"/>
        <v>0</v>
      </c>
      <c r="AL6879" s="85"/>
      <c r="AM6879" s="85"/>
    </row>
    <row r="6880" spans="1:39" s="86" customFormat="1" ht="13.25" hidden="1" customHeight="1" x14ac:dyDescent="0.3">
      <c r="A6880" s="89" t="s">
        <v>3792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3763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066"/>
        <v>67448.030000000042</v>
      </c>
      <c r="X6880" s="6">
        <f t="shared" si="1067"/>
        <v>74457.89</v>
      </c>
      <c r="Y6880" s="13">
        <f t="shared" si="1070"/>
        <v>0</v>
      </c>
      <c r="Z6880" s="66">
        <v>0</v>
      </c>
      <c r="AA6880" s="6">
        <v>0</v>
      </c>
      <c r="AB6880" s="4">
        <f t="shared" si="1071"/>
        <v>74457.89</v>
      </c>
      <c r="AC6880" s="6">
        <f t="shared" si="1069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065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072"/>
        <v>0</v>
      </c>
      <c r="AL6880" s="85"/>
      <c r="AM6880" s="85"/>
    </row>
    <row r="6881" spans="1:39" s="86" customFormat="1" ht="13.25" hidden="1" customHeight="1" x14ac:dyDescent="0.3">
      <c r="A6881" s="89" t="s">
        <v>3978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3763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066"/>
        <v>37388.820000000036</v>
      </c>
      <c r="X6881" s="6">
        <f t="shared" si="1067"/>
        <v>55714.129999999961</v>
      </c>
      <c r="Y6881" s="13">
        <f t="shared" si="1070"/>
        <v>0</v>
      </c>
      <c r="Z6881" s="66">
        <v>0</v>
      </c>
      <c r="AA6881" s="6">
        <v>0</v>
      </c>
      <c r="AB6881" s="4">
        <f t="shared" si="1071"/>
        <v>55714.129999999961</v>
      </c>
      <c r="AC6881" s="6">
        <f t="shared" si="1069"/>
        <v>0</v>
      </c>
      <c r="AD6881" s="6">
        <f t="shared" ref="AD6881:AD6944" si="1074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065"/>
        <v>7203.8370089999953</v>
      </c>
      <c r="AG6881" s="14">
        <v>0</v>
      </c>
      <c r="AH6881" s="64">
        <f t="shared" ref="AH6881:AH6944" si="1075">V6881</f>
        <v>55714.129999999961</v>
      </c>
      <c r="AJ6881" s="126" t="e">
        <v>#N/A</v>
      </c>
      <c r="AK6881" s="80">
        <f t="shared" si="1072"/>
        <v>0</v>
      </c>
      <c r="AL6881" s="85"/>
      <c r="AM6881" s="85"/>
    </row>
    <row r="6882" spans="1:39" s="86" customFormat="1" ht="13.25" hidden="1" customHeight="1" x14ac:dyDescent="0.3">
      <c r="A6882" s="89" t="s">
        <v>3792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3763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066"/>
        <v>26731.000000000036</v>
      </c>
      <c r="X6882" s="6">
        <f t="shared" si="1067"/>
        <v>61636.9</v>
      </c>
      <c r="Y6882" s="13">
        <f t="shared" si="1070"/>
        <v>0</v>
      </c>
      <c r="Z6882" s="66">
        <v>0</v>
      </c>
      <c r="AA6882" s="6">
        <v>0</v>
      </c>
      <c r="AB6882" s="4">
        <f t="shared" si="1071"/>
        <v>61636.9</v>
      </c>
      <c r="AC6882" s="6">
        <f t="shared" si="1069"/>
        <v>0</v>
      </c>
      <c r="AD6882" s="6">
        <f t="shared" si="1074"/>
        <v>61636.9</v>
      </c>
      <c r="AE6882" s="14">
        <f>VLOOKUP(I6882,[2]媒体政策预估表!A:N,MATCH(O6882,[2]媒体政策预估表!$A$2:$M$2,0),0)</f>
        <v>0.1293</v>
      </c>
      <c r="AF6882" s="6">
        <f t="shared" si="1065"/>
        <v>7969.6511700000001</v>
      </c>
      <c r="AG6882" s="14">
        <v>0</v>
      </c>
      <c r="AH6882" s="64">
        <f t="shared" si="1075"/>
        <v>61636.9</v>
      </c>
      <c r="AJ6882" s="126" t="e">
        <v>#N/A</v>
      </c>
      <c r="AK6882" s="80">
        <f t="shared" si="1072"/>
        <v>0</v>
      </c>
      <c r="AL6882" s="85"/>
      <c r="AM6882" s="85"/>
    </row>
    <row r="6883" spans="1:39" s="86" customFormat="1" ht="13.25" hidden="1" customHeight="1" x14ac:dyDescent="0.3">
      <c r="A6883" s="89" t="s">
        <v>3978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3763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066"/>
        <v>138794.40000000014</v>
      </c>
      <c r="X6883" s="6">
        <f t="shared" si="1067"/>
        <v>538046.5</v>
      </c>
      <c r="Y6883" s="13">
        <f t="shared" si="1070"/>
        <v>0</v>
      </c>
      <c r="Z6883" s="66">
        <v>0</v>
      </c>
      <c r="AA6883" s="6">
        <v>0</v>
      </c>
      <c r="AB6883" s="4">
        <f t="shared" si="1071"/>
        <v>538046.5</v>
      </c>
      <c r="AC6883" s="6">
        <f t="shared" si="1069"/>
        <v>0</v>
      </c>
      <c r="AD6883" s="6">
        <f t="shared" si="1074"/>
        <v>538046.5</v>
      </c>
      <c r="AE6883" s="14">
        <f>VLOOKUP(I6883,[2]媒体政策预估表!A:N,MATCH(O6883,[2]媒体政策预估表!$A$2:$M$2,0),0)</f>
        <v>0.1293</v>
      </c>
      <c r="AF6883" s="6">
        <f t="shared" si="1065"/>
        <v>69569.412450000003</v>
      </c>
      <c r="AG6883" s="14">
        <v>0</v>
      </c>
      <c r="AH6883" s="64">
        <f t="shared" si="1075"/>
        <v>538046.5</v>
      </c>
      <c r="AJ6883" s="126" t="e">
        <v>#N/A</v>
      </c>
      <c r="AK6883" s="80">
        <f t="shared" si="1072"/>
        <v>0</v>
      </c>
      <c r="AL6883" s="85"/>
      <c r="AM6883" s="85"/>
    </row>
    <row r="6884" spans="1:39" s="86" customFormat="1" ht="13.25" hidden="1" customHeight="1" x14ac:dyDescent="0.3">
      <c r="A6884" s="89" t="s">
        <v>3792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3763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066"/>
        <v>17356.800000000025</v>
      </c>
      <c r="X6884" s="6">
        <f t="shared" si="1067"/>
        <v>27455.9</v>
      </c>
      <c r="Y6884" s="13">
        <f t="shared" si="1070"/>
        <v>0</v>
      </c>
      <c r="Z6884" s="66">
        <v>0</v>
      </c>
      <c r="AA6884" s="6">
        <v>0</v>
      </c>
      <c r="AB6884" s="4">
        <f t="shared" si="1071"/>
        <v>27455.9</v>
      </c>
      <c r="AC6884" s="6">
        <f t="shared" si="1069"/>
        <v>0</v>
      </c>
      <c r="AD6884" s="6">
        <f t="shared" si="1074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076">AD6884*AE6884</f>
        <v>3550.0478700000003</v>
      </c>
      <c r="AG6884" s="14">
        <v>0</v>
      </c>
      <c r="AH6884" s="64">
        <f t="shared" si="1075"/>
        <v>27455.9</v>
      </c>
      <c r="AJ6884" s="126" t="e">
        <v>#N/A</v>
      </c>
      <c r="AK6884" s="80">
        <f t="shared" si="1072"/>
        <v>0</v>
      </c>
      <c r="AL6884" s="85"/>
      <c r="AM6884" s="85"/>
    </row>
    <row r="6885" spans="1:39" s="86" customFormat="1" ht="13.25" hidden="1" customHeight="1" x14ac:dyDescent="0.3">
      <c r="A6885" s="89" t="s">
        <v>3792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3763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066"/>
        <v>28640.910000000011</v>
      </c>
      <c r="X6885" s="6">
        <f t="shared" si="1067"/>
        <v>36091</v>
      </c>
      <c r="Y6885" s="13">
        <f t="shared" si="1070"/>
        <v>0</v>
      </c>
      <c r="Z6885" s="66">
        <v>0</v>
      </c>
      <c r="AA6885" s="6">
        <v>0</v>
      </c>
      <c r="AB6885" s="4">
        <f t="shared" si="1071"/>
        <v>36091</v>
      </c>
      <c r="AC6885" s="6">
        <f t="shared" si="1069"/>
        <v>0</v>
      </c>
      <c r="AD6885" s="6">
        <f t="shared" si="1074"/>
        <v>36091</v>
      </c>
      <c r="AE6885" s="14">
        <f>VLOOKUP(I6885,[2]媒体政策预估表!A:N,MATCH(O6885,[2]媒体政策预估表!$A$2:$M$2,0),0)</f>
        <v>0.1293</v>
      </c>
      <c r="AF6885" s="6">
        <f t="shared" si="1076"/>
        <v>4666.5662999999995</v>
      </c>
      <c r="AG6885" s="14">
        <v>0</v>
      </c>
      <c r="AH6885" s="64">
        <f t="shared" si="1075"/>
        <v>36091</v>
      </c>
      <c r="AJ6885" s="126" t="e">
        <v>#N/A</v>
      </c>
      <c r="AK6885" s="80">
        <f t="shared" si="1072"/>
        <v>0</v>
      </c>
      <c r="AL6885" s="85"/>
      <c r="AM6885" s="85"/>
    </row>
    <row r="6886" spans="1:39" s="86" customFormat="1" ht="13.25" hidden="1" customHeight="1" x14ac:dyDescent="0.3">
      <c r="A6886" s="89" t="s">
        <v>3978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3763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066"/>
        <v>15560.320000000003</v>
      </c>
      <c r="X6886" s="6">
        <f t="shared" si="1067"/>
        <v>11542.490196078432</v>
      </c>
      <c r="Y6886" s="13">
        <f t="shared" si="1070"/>
        <v>0</v>
      </c>
      <c r="Z6886" s="66">
        <v>0</v>
      </c>
      <c r="AA6886" s="6">
        <v>0</v>
      </c>
      <c r="AB6886" s="4">
        <f t="shared" si="1071"/>
        <v>11542.490196078432</v>
      </c>
      <c r="AC6886" s="6">
        <f t="shared" si="1069"/>
        <v>230.84980392156831</v>
      </c>
      <c r="AD6886" s="6">
        <f t="shared" si="1074"/>
        <v>11773.34</v>
      </c>
      <c r="AE6886" s="14">
        <f>VLOOKUP(I6886,[2]媒体政策预估表!A:N,MATCH(O6886,[2]媒体政策预估表!$A$2:$M$2,0),0)</f>
        <v>0.1293</v>
      </c>
      <c r="AF6886" s="6">
        <f t="shared" si="1076"/>
        <v>1522.292862</v>
      </c>
      <c r="AG6886" s="14">
        <v>0</v>
      </c>
      <c r="AH6886" s="64">
        <f t="shared" si="1075"/>
        <v>11773.34</v>
      </c>
      <c r="AJ6886" s="126" t="e">
        <v>#N/A</v>
      </c>
      <c r="AK6886" s="80">
        <f t="shared" si="1072"/>
        <v>0</v>
      </c>
      <c r="AL6886" s="85"/>
      <c r="AM6886" s="85"/>
    </row>
    <row r="6887" spans="1:39" s="86" customFormat="1" ht="13.25" hidden="1" customHeight="1" x14ac:dyDescent="0.3">
      <c r="A6887" s="89" t="s">
        <v>3792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3763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066"/>
        <v>210473.59000000003</v>
      </c>
      <c r="X6887" s="6">
        <f t="shared" si="1067"/>
        <v>92561.2</v>
      </c>
      <c r="Y6887" s="13">
        <f t="shared" si="1070"/>
        <v>0</v>
      </c>
      <c r="Z6887" s="66">
        <v>0</v>
      </c>
      <c r="AA6887" s="6">
        <v>0</v>
      </c>
      <c r="AB6887" s="4">
        <f t="shared" si="1071"/>
        <v>92561.2</v>
      </c>
      <c r="AC6887" s="6">
        <f t="shared" si="1069"/>
        <v>0</v>
      </c>
      <c r="AD6887" s="6">
        <f t="shared" si="1074"/>
        <v>92561.2</v>
      </c>
      <c r="AE6887" s="14">
        <f>VLOOKUP(I6887,[2]媒体政策预估表!A:N,MATCH(O6887,[2]媒体政策预估表!$A$2:$M$2,0),0)</f>
        <v>0.1293</v>
      </c>
      <c r="AF6887" s="6">
        <f t="shared" si="1076"/>
        <v>11968.16316</v>
      </c>
      <c r="AG6887" s="14">
        <v>0</v>
      </c>
      <c r="AH6887" s="64">
        <f t="shared" si="1075"/>
        <v>92561.2</v>
      </c>
      <c r="AJ6887" s="126" t="e">
        <v>#N/A</v>
      </c>
      <c r="AK6887" s="80">
        <f t="shared" si="1072"/>
        <v>0</v>
      </c>
      <c r="AL6887" s="85"/>
      <c r="AM6887" s="85"/>
    </row>
    <row r="6888" spans="1:39" s="86" customFormat="1" ht="13.25" hidden="1" customHeight="1" x14ac:dyDescent="0.3">
      <c r="A6888" s="89" t="s">
        <v>3978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3763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066"/>
        <v>50576.669999999984</v>
      </c>
      <c r="X6888" s="6">
        <f t="shared" si="1067"/>
        <v>125415.02941176471</v>
      </c>
      <c r="Y6888" s="13">
        <f t="shared" si="1070"/>
        <v>0</v>
      </c>
      <c r="Z6888" s="66">
        <v>0</v>
      </c>
      <c r="AA6888" s="6">
        <v>0</v>
      </c>
      <c r="AB6888" s="4">
        <f t="shared" si="1071"/>
        <v>125415.02941176471</v>
      </c>
      <c r="AC6888" s="6">
        <f t="shared" si="1069"/>
        <v>2508.3005882353027</v>
      </c>
      <c r="AD6888" s="6">
        <f t="shared" si="1074"/>
        <v>127923.33000000002</v>
      </c>
      <c r="AE6888" s="14">
        <f>VLOOKUP(I6888,[2]媒体政策预估表!A:N,MATCH(O6888,[2]媒体政策预估表!$A$2:$M$2,0),0)</f>
        <v>0.1293</v>
      </c>
      <c r="AF6888" s="6">
        <f t="shared" si="1076"/>
        <v>16540.486569000001</v>
      </c>
      <c r="AG6888" s="14">
        <v>0</v>
      </c>
      <c r="AH6888" s="64">
        <f t="shared" si="1075"/>
        <v>127923.33000000002</v>
      </c>
      <c r="AJ6888" s="126" t="e">
        <v>#N/A</v>
      </c>
      <c r="AK6888" s="80">
        <f t="shared" si="1072"/>
        <v>0</v>
      </c>
      <c r="AL6888" s="85"/>
      <c r="AM6888" s="85"/>
    </row>
    <row r="6889" spans="1:39" s="86" customFormat="1" ht="13.25" hidden="1" customHeight="1" x14ac:dyDescent="0.3">
      <c r="A6889" s="89" t="s">
        <v>3792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3991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3763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066"/>
        <v>6209.2100000000046</v>
      </c>
      <c r="X6889" s="6">
        <f t="shared" si="1067"/>
        <v>13790.789999999995</v>
      </c>
      <c r="Y6889" s="13">
        <f t="shared" si="1070"/>
        <v>0</v>
      </c>
      <c r="Z6889" s="66">
        <v>0</v>
      </c>
      <c r="AA6889" s="6">
        <v>0</v>
      </c>
      <c r="AB6889" s="4">
        <f t="shared" si="1071"/>
        <v>13790.789999999995</v>
      </c>
      <c r="AC6889" s="6">
        <f t="shared" si="1069"/>
        <v>0</v>
      </c>
      <c r="AD6889" s="6">
        <f t="shared" si="1074"/>
        <v>13790.789999999995</v>
      </c>
      <c r="AE6889" s="14">
        <f>VLOOKUP(I6889,[2]媒体政策预估表!A:N,MATCH(O6889,[2]媒体政策预估表!$A$2:$M$2,0),0)</f>
        <v>0.1293</v>
      </c>
      <c r="AF6889" s="6">
        <f t="shared" si="1076"/>
        <v>1783.1491469999994</v>
      </c>
      <c r="AG6889" s="14">
        <v>0</v>
      </c>
      <c r="AH6889" s="64">
        <f t="shared" si="1075"/>
        <v>13790.789999999995</v>
      </c>
      <c r="AJ6889" s="126" t="e">
        <v>#N/A</v>
      </c>
      <c r="AK6889" s="80">
        <f t="shared" si="1072"/>
        <v>0</v>
      </c>
      <c r="AL6889" s="85"/>
      <c r="AM6889" s="85"/>
    </row>
    <row r="6890" spans="1:39" s="86" customFormat="1" ht="13.25" hidden="1" customHeight="1" x14ac:dyDescent="0.3">
      <c r="A6890" s="89" t="s">
        <v>3792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3763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066"/>
        <v>76633.990000000078</v>
      </c>
      <c r="X6890" s="6">
        <f t="shared" si="1067"/>
        <v>48308.97</v>
      </c>
      <c r="Y6890" s="13">
        <f t="shared" si="1070"/>
        <v>0</v>
      </c>
      <c r="Z6890" s="66">
        <v>0</v>
      </c>
      <c r="AA6890" s="6">
        <v>0</v>
      </c>
      <c r="AB6890" s="4">
        <f t="shared" si="1071"/>
        <v>48308.97</v>
      </c>
      <c r="AC6890" s="6">
        <f t="shared" si="1069"/>
        <v>0</v>
      </c>
      <c r="AD6890" s="6">
        <f t="shared" si="1074"/>
        <v>48308.97</v>
      </c>
      <c r="AE6890" s="14">
        <f>VLOOKUP(I6890,[2]媒体政策预估表!A:N,MATCH(O6890,[2]媒体政策预估表!$A$2:$M$2,0),0)</f>
        <v>0.1293</v>
      </c>
      <c r="AF6890" s="6">
        <f t="shared" si="1076"/>
        <v>6246.3498209999998</v>
      </c>
      <c r="AG6890" s="14">
        <v>0</v>
      </c>
      <c r="AH6890" s="64">
        <f t="shared" si="1075"/>
        <v>48308.97</v>
      </c>
      <c r="AJ6890" s="126" t="e">
        <v>#N/A</v>
      </c>
      <c r="AK6890" s="80">
        <f t="shared" si="1072"/>
        <v>0</v>
      </c>
      <c r="AL6890" s="85"/>
      <c r="AM6890" s="85"/>
    </row>
    <row r="6891" spans="1:39" s="86" customFormat="1" ht="13.25" hidden="1" customHeight="1" x14ac:dyDescent="0.3">
      <c r="A6891" s="89" t="s">
        <v>3792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3763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066"/>
        <v>5243.119999999999</v>
      </c>
      <c r="X6891" s="6">
        <f t="shared" si="1067"/>
        <v>2402.3000000000002</v>
      </c>
      <c r="Y6891" s="13">
        <f t="shared" si="1070"/>
        <v>0</v>
      </c>
      <c r="Z6891" s="66">
        <v>0</v>
      </c>
      <c r="AA6891" s="6">
        <v>0</v>
      </c>
      <c r="AB6891" s="4">
        <f t="shared" si="1071"/>
        <v>2402.3000000000002</v>
      </c>
      <c r="AC6891" s="6">
        <f t="shared" si="1069"/>
        <v>0</v>
      </c>
      <c r="AD6891" s="6">
        <f t="shared" si="1074"/>
        <v>2402.3000000000002</v>
      </c>
      <c r="AE6891" s="14">
        <f>VLOOKUP(I6891,[2]媒体政策预估表!A:N,MATCH(O6891,[2]媒体政策预估表!$A$2:$M$2,0),0)</f>
        <v>0.1293</v>
      </c>
      <c r="AF6891" s="6">
        <f t="shared" si="1076"/>
        <v>310.61739</v>
      </c>
      <c r="AG6891" s="14">
        <v>0</v>
      </c>
      <c r="AH6891" s="64">
        <f t="shared" si="1075"/>
        <v>2402.3000000000002</v>
      </c>
      <c r="AJ6891" s="126" t="e">
        <v>#N/A</v>
      </c>
      <c r="AK6891" s="80">
        <f t="shared" si="1072"/>
        <v>0</v>
      </c>
      <c r="AL6891" s="85"/>
      <c r="AM6891" s="85"/>
    </row>
    <row r="6892" spans="1:39" s="86" customFormat="1" ht="13.25" hidden="1" customHeight="1" x14ac:dyDescent="0.3">
      <c r="A6892" s="89" t="s">
        <v>3978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3763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066"/>
        <v>2141.74010000001</v>
      </c>
      <c r="X6892" s="6">
        <f t="shared" si="1067"/>
        <v>13294.459900000002</v>
      </c>
      <c r="Y6892" s="13">
        <f t="shared" si="1070"/>
        <v>0</v>
      </c>
      <c r="Z6892" s="66">
        <v>0.02</v>
      </c>
      <c r="AA6892" s="6">
        <f>X6892/(1-Z6892)*Z6892</f>
        <v>271.31550816326535</v>
      </c>
      <c r="AB6892" s="4">
        <f t="shared" si="1071"/>
        <v>13565.775408163267</v>
      </c>
      <c r="AC6892" s="6">
        <f t="shared" si="1069"/>
        <v>0</v>
      </c>
      <c r="AD6892" s="6">
        <f t="shared" si="1074"/>
        <v>13294.459900000002</v>
      </c>
      <c r="AE6892" s="14">
        <f>VLOOKUP(I6892,[2]媒体政策预估表!A:N,MATCH(O6892,[2]媒体政策预估表!$A$2:$M$2,0),0)</f>
        <v>0.1293</v>
      </c>
      <c r="AF6892" s="6">
        <f t="shared" si="1076"/>
        <v>1718.9736650700002</v>
      </c>
      <c r="AG6892" s="14">
        <v>0</v>
      </c>
      <c r="AH6892" s="64">
        <f t="shared" si="1075"/>
        <v>13294.459900000002</v>
      </c>
      <c r="AJ6892" s="126" t="e">
        <v>#N/A</v>
      </c>
      <c r="AK6892" s="80">
        <f t="shared" si="1072"/>
        <v>0</v>
      </c>
      <c r="AL6892" s="85"/>
      <c r="AM6892" s="85"/>
    </row>
    <row r="6893" spans="1:39" s="86" customFormat="1" ht="13.25" hidden="1" customHeight="1" x14ac:dyDescent="0.3">
      <c r="A6893" s="89" t="s">
        <v>3978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3763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066"/>
        <v>12844.060300000019</v>
      </c>
      <c r="X6893" s="6">
        <f t="shared" si="1067"/>
        <v>53893.772277227719</v>
      </c>
      <c r="Y6893" s="13">
        <f t="shared" si="1070"/>
        <v>0</v>
      </c>
      <c r="Z6893" s="66">
        <v>0</v>
      </c>
      <c r="AA6893" s="6">
        <v>0</v>
      </c>
      <c r="AB6893" s="4">
        <f t="shared" si="1071"/>
        <v>53893.772277227719</v>
      </c>
      <c r="AC6893" s="6">
        <f t="shared" si="1069"/>
        <v>538.93772277227981</v>
      </c>
      <c r="AD6893" s="6">
        <f t="shared" si="1074"/>
        <v>54432.71</v>
      </c>
      <c r="AE6893" s="14">
        <f>VLOOKUP(I6893,[2]媒体政策预估表!A:N,MATCH(O6893,[2]媒体政策预估表!$A$2:$M$2,0),0)</f>
        <v>0.1293</v>
      </c>
      <c r="AF6893" s="6">
        <f t="shared" si="1076"/>
        <v>7038.1494029999994</v>
      </c>
      <c r="AG6893" s="14">
        <v>0</v>
      </c>
      <c r="AH6893" s="64">
        <f t="shared" si="1075"/>
        <v>54432.71</v>
      </c>
      <c r="AJ6893" s="126" t="e">
        <v>#N/A</v>
      </c>
      <c r="AK6893" s="80">
        <f t="shared" si="1072"/>
        <v>0</v>
      </c>
      <c r="AL6893" s="85"/>
      <c r="AM6893" s="85"/>
    </row>
    <row r="6894" spans="1:39" s="86" customFormat="1" ht="13.25" hidden="1" customHeight="1" x14ac:dyDescent="0.3">
      <c r="A6894" s="89" t="s">
        <v>3978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3763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067"/>
        <v>14506.110000000015</v>
      </c>
      <c r="Y6894" s="13">
        <f t="shared" si="1070"/>
        <v>0</v>
      </c>
      <c r="Z6894" s="66">
        <v>0</v>
      </c>
      <c r="AA6894" s="6">
        <v>0</v>
      </c>
      <c r="AB6894" s="4">
        <f t="shared" si="1071"/>
        <v>14506.110000000015</v>
      </c>
      <c r="AC6894" s="6">
        <f t="shared" si="1069"/>
        <v>0</v>
      </c>
      <c r="AD6894" s="6">
        <f t="shared" si="1074"/>
        <v>14506.110000000015</v>
      </c>
      <c r="AE6894" s="14">
        <f>VLOOKUP(I6894,[2]媒体政策预估表!A:N,MATCH(O6894,[2]媒体政策预估表!$A$2:$M$2,0),0)</f>
        <v>0.1293</v>
      </c>
      <c r="AF6894" s="6">
        <f t="shared" si="1076"/>
        <v>1875.640023000002</v>
      </c>
      <c r="AG6894" s="14">
        <v>0</v>
      </c>
      <c r="AH6894" s="64">
        <f t="shared" si="1075"/>
        <v>14506.110000000015</v>
      </c>
      <c r="AJ6894" s="126" t="e">
        <v>#N/A</v>
      </c>
      <c r="AK6894" s="80">
        <f t="shared" si="1072"/>
        <v>0</v>
      </c>
      <c r="AL6894" s="85"/>
      <c r="AM6894" s="85"/>
    </row>
    <row r="6895" spans="1:39" s="86" customFormat="1" ht="13.25" hidden="1" customHeight="1" x14ac:dyDescent="0.3">
      <c r="A6895" s="89" t="s">
        <v>3792</v>
      </c>
      <c r="B6895" s="86" t="s">
        <v>35</v>
      </c>
      <c r="C6895" s="86" t="s">
        <v>184</v>
      </c>
      <c r="D6895" s="86" t="s">
        <v>54</v>
      </c>
      <c r="E6895" s="86" t="s">
        <v>3983</v>
      </c>
      <c r="F6895" s="86" t="s">
        <v>3992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3763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066"/>
        <v>8981.640000000014</v>
      </c>
      <c r="X6895" s="6">
        <f t="shared" si="1067"/>
        <v>6018.359999999986</v>
      </c>
      <c r="Y6895" s="13">
        <f t="shared" si="1070"/>
        <v>0</v>
      </c>
      <c r="Z6895" s="66">
        <v>0</v>
      </c>
      <c r="AA6895" s="6">
        <v>0</v>
      </c>
      <c r="AB6895" s="4">
        <f t="shared" si="1071"/>
        <v>6018.359999999986</v>
      </c>
      <c r="AC6895" s="6">
        <f t="shared" si="1069"/>
        <v>0</v>
      </c>
      <c r="AD6895" s="6">
        <f t="shared" si="1074"/>
        <v>6018.359999999986</v>
      </c>
      <c r="AE6895" s="14">
        <f>VLOOKUP(I6895,[2]媒体政策预估表!A:N,MATCH(O6895,[2]媒体政策预估表!$A$2:$M$2,0),0)</f>
        <v>0.1293</v>
      </c>
      <c r="AF6895" s="6">
        <f t="shared" si="1076"/>
        <v>778.17394799999818</v>
      </c>
      <c r="AG6895" s="14">
        <v>0</v>
      </c>
      <c r="AH6895" s="64">
        <f t="shared" si="1075"/>
        <v>6018.359999999986</v>
      </c>
      <c r="AJ6895" s="126" t="e">
        <v>#N/A</v>
      </c>
      <c r="AK6895" s="80">
        <f t="shared" si="1072"/>
        <v>0</v>
      </c>
      <c r="AL6895" s="85"/>
      <c r="AM6895" s="85"/>
    </row>
    <row r="6896" spans="1:39" s="86" customFormat="1" ht="13.25" hidden="1" customHeight="1" x14ac:dyDescent="0.3">
      <c r="A6896" s="89" t="s">
        <v>3978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3993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3763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077">T6896+U6896-V6896</f>
        <v>47143.799999999996</v>
      </c>
      <c r="X6896" s="6">
        <f t="shared" ref="X6896:X6959" si="1078">IF(P6896="折扣",V6896*Q6896,IF(P6896="返现",V6896,V6896/(1+Q6896)))</f>
        <v>2856.2000000000044</v>
      </c>
      <c r="Y6896" s="13">
        <f t="shared" si="1070"/>
        <v>0</v>
      </c>
      <c r="Z6896" s="66">
        <v>0</v>
      </c>
      <c r="AA6896" s="6">
        <v>0</v>
      </c>
      <c r="AB6896" s="4">
        <f t="shared" si="1071"/>
        <v>2856.2000000000044</v>
      </c>
      <c r="AC6896" s="6">
        <f t="shared" si="1069"/>
        <v>0</v>
      </c>
      <c r="AD6896" s="6">
        <f t="shared" si="1074"/>
        <v>2856.2000000000044</v>
      </c>
      <c r="AE6896" s="14">
        <f>VLOOKUP(I6896,[2]媒体政策预估表!A:N,MATCH(O6896,[2]媒体政策预估表!$A$2:$M$2,0),0)</f>
        <v>0.1293</v>
      </c>
      <c r="AF6896" s="6">
        <f t="shared" si="1076"/>
        <v>369.30666000000053</v>
      </c>
      <c r="AG6896" s="14">
        <v>0</v>
      </c>
      <c r="AH6896" s="64">
        <f t="shared" si="1075"/>
        <v>2856.2000000000044</v>
      </c>
      <c r="AJ6896" s="126" t="e">
        <v>#N/A</v>
      </c>
      <c r="AK6896" s="80">
        <f t="shared" si="1072"/>
        <v>0</v>
      </c>
      <c r="AL6896" s="85"/>
      <c r="AM6896" s="85"/>
    </row>
    <row r="6897" spans="1:39" s="86" customFormat="1" ht="13.25" hidden="1" customHeight="1" x14ac:dyDescent="0.3">
      <c r="A6897" s="89" t="s">
        <v>3978</v>
      </c>
      <c r="B6897" s="86" t="s">
        <v>35</v>
      </c>
      <c r="C6897" s="86" t="s">
        <v>184</v>
      </c>
      <c r="D6897" s="86" t="s">
        <v>3849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3763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077"/>
        <v>8138.8100000000049</v>
      </c>
      <c r="X6897" s="6">
        <f t="shared" si="1078"/>
        <v>21106.01</v>
      </c>
      <c r="Y6897" s="13">
        <f t="shared" si="1070"/>
        <v>0</v>
      </c>
      <c r="Z6897" s="66">
        <v>0</v>
      </c>
      <c r="AA6897" s="6">
        <v>0</v>
      </c>
      <c r="AB6897" s="4">
        <f t="shared" si="1071"/>
        <v>21106.01</v>
      </c>
      <c r="AC6897" s="6">
        <f t="shared" si="1069"/>
        <v>0</v>
      </c>
      <c r="AD6897" s="6">
        <f t="shared" si="1074"/>
        <v>21106.01</v>
      </c>
      <c r="AE6897" s="14">
        <f>VLOOKUP(I6897,[2]媒体政策预估表!A:N,MATCH(O6897,[2]媒体政策预估表!$A$2:$M$2,0),0)</f>
        <v>0.1293</v>
      </c>
      <c r="AF6897" s="6">
        <f t="shared" si="1076"/>
        <v>2729.0070929999997</v>
      </c>
      <c r="AG6897" s="14">
        <v>0</v>
      </c>
      <c r="AH6897" s="64">
        <f t="shared" si="1075"/>
        <v>21106.01</v>
      </c>
      <c r="AJ6897" s="126" t="e">
        <v>#N/A</v>
      </c>
      <c r="AK6897" s="80">
        <f t="shared" si="1072"/>
        <v>0</v>
      </c>
      <c r="AL6897" s="85"/>
      <c r="AM6897" s="85"/>
    </row>
    <row r="6898" spans="1:39" s="86" customFormat="1" ht="13.25" hidden="1" customHeight="1" x14ac:dyDescent="0.3">
      <c r="A6898" s="89" t="s">
        <v>3978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3763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077"/>
        <v>6391.16</v>
      </c>
      <c r="X6898" s="6">
        <f t="shared" si="1078"/>
        <v>2897.3340000000003</v>
      </c>
      <c r="Y6898" s="13">
        <f t="shared" si="1070"/>
        <v>0</v>
      </c>
      <c r="Z6898" s="66">
        <v>0</v>
      </c>
      <c r="AA6898" s="6">
        <v>0</v>
      </c>
      <c r="AB6898" s="4">
        <f t="shared" si="1071"/>
        <v>2897.3340000000003</v>
      </c>
      <c r="AC6898" s="6">
        <f t="shared" si="1069"/>
        <v>321.92599999999993</v>
      </c>
      <c r="AD6898" s="6">
        <f t="shared" si="1074"/>
        <v>3219.26</v>
      </c>
      <c r="AE6898" s="14">
        <f>VLOOKUP(I6898,[2]媒体政策预估表!A:N,MATCH(O6898,[2]媒体政策预估表!$A$2:$M$2,0),0)</f>
        <v>0.1293</v>
      </c>
      <c r="AF6898" s="6">
        <f t="shared" si="1076"/>
        <v>416.25031800000005</v>
      </c>
      <c r="AG6898" s="14">
        <v>0</v>
      </c>
      <c r="AH6898" s="64">
        <f t="shared" si="1075"/>
        <v>3219.26</v>
      </c>
      <c r="AJ6898" s="126" t="e">
        <v>#N/A</v>
      </c>
      <c r="AK6898" s="80">
        <f t="shared" si="1072"/>
        <v>0</v>
      </c>
      <c r="AL6898" s="85"/>
      <c r="AM6898" s="85"/>
    </row>
    <row r="6899" spans="1:39" s="86" customFormat="1" ht="13.25" hidden="1" customHeight="1" x14ac:dyDescent="0.3">
      <c r="A6899" s="89" t="s">
        <v>3978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3763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077"/>
        <v>2894.6999999999962</v>
      </c>
      <c r="X6899" s="6">
        <f t="shared" si="1078"/>
        <v>2059.7220000000002</v>
      </c>
      <c r="Y6899" s="13">
        <f t="shared" si="1070"/>
        <v>0</v>
      </c>
      <c r="Z6899" s="66">
        <v>0</v>
      </c>
      <c r="AA6899" s="6">
        <v>0</v>
      </c>
      <c r="AB6899" s="4">
        <f t="shared" si="1071"/>
        <v>2059.7220000000002</v>
      </c>
      <c r="AC6899" s="6">
        <f t="shared" si="1069"/>
        <v>228.85799999999972</v>
      </c>
      <c r="AD6899" s="6">
        <f t="shared" si="1074"/>
        <v>2288.58</v>
      </c>
      <c r="AE6899" s="14">
        <f>VLOOKUP(I6899,[2]媒体政策预估表!A:N,MATCH(O6899,[2]媒体政策预估表!$A$2:$M$2,0),0)</f>
        <v>0.1293</v>
      </c>
      <c r="AF6899" s="6">
        <f t="shared" si="1076"/>
        <v>295.91339399999998</v>
      </c>
      <c r="AG6899" s="14">
        <v>0</v>
      </c>
      <c r="AH6899" s="64">
        <f t="shared" si="1075"/>
        <v>2288.58</v>
      </c>
      <c r="AJ6899" s="126" t="e">
        <v>#N/A</v>
      </c>
      <c r="AK6899" s="80">
        <f t="shared" si="1072"/>
        <v>0</v>
      </c>
      <c r="AL6899" s="85"/>
      <c r="AM6899" s="85"/>
    </row>
    <row r="6900" spans="1:39" s="86" customFormat="1" ht="13.25" hidden="1" customHeight="1" x14ac:dyDescent="0.3">
      <c r="A6900" s="89" t="s">
        <v>3792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3763</v>
      </c>
      <c r="L6900" s="1" t="s">
        <v>701</v>
      </c>
      <c r="M6900" s="86" t="s">
        <v>3994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077"/>
        <v>3845.33</v>
      </c>
      <c r="X6900" s="6">
        <f t="shared" si="1078"/>
        <v>1039.2030000000002</v>
      </c>
      <c r="Y6900" s="13">
        <f t="shared" si="1070"/>
        <v>0</v>
      </c>
      <c r="Z6900" s="66">
        <v>0</v>
      </c>
      <c r="AA6900" s="6">
        <v>0</v>
      </c>
      <c r="AB6900" s="4">
        <f t="shared" si="1071"/>
        <v>1039.2030000000002</v>
      </c>
      <c r="AC6900" s="6">
        <f t="shared" si="1069"/>
        <v>115.46699999999987</v>
      </c>
      <c r="AD6900" s="6">
        <f t="shared" si="1074"/>
        <v>1154.67</v>
      </c>
      <c r="AE6900" s="14">
        <f>VLOOKUP(I6900,[2]媒体政策预估表!A:N,MATCH(O6900,[2]媒体政策预估表!$A$2:$M$2,0),0)</f>
        <v>0.1293</v>
      </c>
      <c r="AF6900" s="6">
        <f t="shared" si="1076"/>
        <v>149.29883100000001</v>
      </c>
      <c r="AG6900" s="14">
        <v>0</v>
      </c>
      <c r="AH6900" s="64">
        <f t="shared" si="1075"/>
        <v>1154.67</v>
      </c>
      <c r="AJ6900" s="126" t="e">
        <v>#N/A</v>
      </c>
      <c r="AK6900" s="80">
        <f t="shared" si="1072"/>
        <v>0</v>
      </c>
      <c r="AL6900" s="85"/>
      <c r="AM6900" s="85"/>
    </row>
    <row r="6901" spans="1:39" s="86" customFormat="1" ht="13.25" hidden="1" customHeight="1" x14ac:dyDescent="0.3">
      <c r="A6901" s="89" t="s">
        <v>3978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3763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077"/>
        <v>3445.5100000000011</v>
      </c>
      <c r="X6901" s="6">
        <f t="shared" si="1078"/>
        <v>1534.6980000000001</v>
      </c>
      <c r="Y6901" s="13">
        <f t="shared" si="1070"/>
        <v>0</v>
      </c>
      <c r="Z6901" s="66">
        <v>0</v>
      </c>
      <c r="AA6901" s="6">
        <v>0</v>
      </c>
      <c r="AB6901" s="4">
        <f t="shared" si="1071"/>
        <v>1534.6980000000001</v>
      </c>
      <c r="AC6901" s="6">
        <f t="shared" si="1069"/>
        <v>170.52199999999993</v>
      </c>
      <c r="AD6901" s="6">
        <f t="shared" si="1074"/>
        <v>1705.22</v>
      </c>
      <c r="AE6901" s="14">
        <f>VLOOKUP(I6901,[2]媒体政策预估表!A:N,MATCH(O6901,[2]媒体政策预估表!$A$2:$M$2,0),0)</f>
        <v>0.1293</v>
      </c>
      <c r="AF6901" s="6">
        <f t="shared" si="1076"/>
        <v>220.48494600000001</v>
      </c>
      <c r="AG6901" s="14">
        <v>0</v>
      </c>
      <c r="AH6901" s="64">
        <f t="shared" si="1075"/>
        <v>1705.22</v>
      </c>
      <c r="AJ6901" s="126" t="e">
        <v>#N/A</v>
      </c>
      <c r="AK6901" s="80">
        <f t="shared" si="1072"/>
        <v>0</v>
      </c>
      <c r="AL6901" s="85"/>
      <c r="AM6901" s="85"/>
    </row>
    <row r="6902" spans="1:39" s="86" customFormat="1" ht="13.25" hidden="1" customHeight="1" x14ac:dyDescent="0.3">
      <c r="A6902" s="89" t="s">
        <v>3792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3763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077"/>
        <v>7545.5899999999947</v>
      </c>
      <c r="X6902" s="6">
        <f t="shared" si="1078"/>
        <v>7015.9770000000008</v>
      </c>
      <c r="Y6902" s="13">
        <f t="shared" si="1070"/>
        <v>0</v>
      </c>
      <c r="Z6902" s="66">
        <v>0</v>
      </c>
      <c r="AA6902" s="6">
        <v>0</v>
      </c>
      <c r="AB6902" s="4">
        <f t="shared" si="1071"/>
        <v>7015.9770000000008</v>
      </c>
      <c r="AC6902" s="6">
        <f t="shared" si="1069"/>
        <v>779.55299999999988</v>
      </c>
      <c r="AD6902" s="6">
        <f t="shared" si="1074"/>
        <v>7795.5300000000007</v>
      </c>
      <c r="AE6902" s="14">
        <f>VLOOKUP(I6902,[2]媒体政策预估表!A:N,MATCH(O6902,[2]媒体政策预估表!$A$2:$M$2,0),0)</f>
        <v>0.1293</v>
      </c>
      <c r="AF6902" s="6">
        <f t="shared" si="1076"/>
        <v>1007.962029</v>
      </c>
      <c r="AG6902" s="14">
        <v>0</v>
      </c>
      <c r="AH6902" s="64">
        <f t="shared" si="1075"/>
        <v>7795.5300000000007</v>
      </c>
      <c r="AJ6902" s="126" t="e">
        <v>#N/A</v>
      </c>
      <c r="AK6902" s="80">
        <f t="shared" si="1072"/>
        <v>0</v>
      </c>
      <c r="AL6902" s="85"/>
      <c r="AM6902" s="85"/>
    </row>
    <row r="6903" spans="1:39" s="86" customFormat="1" ht="13.25" hidden="1" customHeight="1" x14ac:dyDescent="0.3">
      <c r="A6903" s="89" t="s">
        <v>3978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3763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077"/>
        <v>3758.4999999999982</v>
      </c>
      <c r="X6903" s="6">
        <f t="shared" si="1078"/>
        <v>9673.2900000000009</v>
      </c>
      <c r="Y6903" s="13">
        <f t="shared" si="1070"/>
        <v>0</v>
      </c>
      <c r="Z6903" s="66">
        <v>0</v>
      </c>
      <c r="AA6903" s="6">
        <v>0</v>
      </c>
      <c r="AB6903" s="4">
        <f t="shared" si="1071"/>
        <v>9673.2900000000009</v>
      </c>
      <c r="AC6903" s="6">
        <f t="shared" si="1069"/>
        <v>1074.8099999999995</v>
      </c>
      <c r="AD6903" s="6">
        <f t="shared" si="1074"/>
        <v>10748.1</v>
      </c>
      <c r="AE6903" s="14">
        <f>VLOOKUP(I6903,[2]媒体政策预估表!A:N,MATCH(O6903,[2]媒体政策预估表!$A$2:$M$2,0),0)</f>
        <v>0.1293</v>
      </c>
      <c r="AF6903" s="6">
        <f t="shared" si="1076"/>
        <v>1389.7293300000001</v>
      </c>
      <c r="AG6903" s="14">
        <v>0</v>
      </c>
      <c r="AH6903" s="64">
        <f t="shared" si="1075"/>
        <v>10748.1</v>
      </c>
      <c r="AJ6903" s="126" t="e">
        <v>#N/A</v>
      </c>
      <c r="AK6903" s="80">
        <f t="shared" si="1072"/>
        <v>0</v>
      </c>
      <c r="AL6903" s="85"/>
      <c r="AM6903" s="85"/>
    </row>
    <row r="6904" spans="1:39" s="86" customFormat="1" ht="13.25" hidden="1" customHeight="1" x14ac:dyDescent="0.3">
      <c r="A6904" s="89" t="s">
        <v>3792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3763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077"/>
        <v>0</v>
      </c>
      <c r="X6904" s="6">
        <f t="shared" si="1078"/>
        <v>0</v>
      </c>
      <c r="Y6904" s="13">
        <f t="shared" si="1070"/>
        <v>0</v>
      </c>
      <c r="Z6904" s="66">
        <v>0</v>
      </c>
      <c r="AA6904" s="6">
        <v>0</v>
      </c>
      <c r="AB6904" s="4">
        <f t="shared" si="1071"/>
        <v>0</v>
      </c>
      <c r="AC6904" s="6">
        <f t="shared" si="1069"/>
        <v>0</v>
      </c>
      <c r="AD6904" s="6">
        <f t="shared" si="1074"/>
        <v>0</v>
      </c>
      <c r="AE6904" s="14">
        <f>VLOOKUP(I6904,[2]媒体政策预估表!A:N,MATCH(O6904,[2]媒体政策预估表!$A$2:$M$2,0),0)</f>
        <v>0.1293</v>
      </c>
      <c r="AF6904" s="6">
        <f t="shared" si="1076"/>
        <v>0</v>
      </c>
      <c r="AG6904" s="14">
        <v>0</v>
      </c>
      <c r="AH6904" s="64">
        <f t="shared" si="1075"/>
        <v>0</v>
      </c>
      <c r="AJ6904" s="126" t="e">
        <v>#N/A</v>
      </c>
      <c r="AK6904" s="80">
        <f t="shared" si="1072"/>
        <v>0</v>
      </c>
      <c r="AL6904" s="85"/>
      <c r="AM6904" s="85"/>
    </row>
    <row r="6905" spans="1:39" s="86" customFormat="1" ht="13.25" hidden="1" customHeight="1" x14ac:dyDescent="0.3">
      <c r="A6905" s="89" t="s">
        <v>3978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3763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077"/>
        <v>10000</v>
      </c>
      <c r="X6905" s="6">
        <f t="shared" si="1078"/>
        <v>0</v>
      </c>
      <c r="Y6905" s="13">
        <f t="shared" si="1070"/>
        <v>0</v>
      </c>
      <c r="Z6905" s="66">
        <v>0</v>
      </c>
      <c r="AA6905" s="6">
        <v>0</v>
      </c>
      <c r="AB6905" s="4">
        <f t="shared" si="1071"/>
        <v>0</v>
      </c>
      <c r="AC6905" s="6">
        <f t="shared" si="1069"/>
        <v>0</v>
      </c>
      <c r="AD6905" s="6">
        <f t="shared" si="1074"/>
        <v>0</v>
      </c>
      <c r="AE6905" s="14">
        <f>VLOOKUP(I6905,[2]媒体政策预估表!A:N,MATCH(O6905,[2]媒体政策预估表!$A$2:$M$2,0),0)</f>
        <v>0.1293</v>
      </c>
      <c r="AF6905" s="6">
        <f t="shared" si="1076"/>
        <v>0</v>
      </c>
      <c r="AG6905" s="14">
        <v>0</v>
      </c>
      <c r="AH6905" s="64">
        <f t="shared" si="1075"/>
        <v>0</v>
      </c>
      <c r="AJ6905" s="126" t="e">
        <v>#N/A</v>
      </c>
      <c r="AK6905" s="80">
        <f t="shared" si="1072"/>
        <v>0</v>
      </c>
      <c r="AL6905" s="85"/>
      <c r="AM6905" s="85"/>
    </row>
    <row r="6906" spans="1:39" s="86" customFormat="1" ht="13.25" hidden="1" customHeight="1" x14ac:dyDescent="0.3">
      <c r="A6906" s="89" t="s">
        <v>3978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3763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077"/>
        <v>641505.9</v>
      </c>
      <c r="X6906" s="6">
        <f t="shared" si="1078"/>
        <v>982906.20000000007</v>
      </c>
      <c r="Y6906" s="13">
        <f t="shared" si="1070"/>
        <v>0</v>
      </c>
      <c r="Z6906" s="66">
        <v>0</v>
      </c>
      <c r="AA6906" s="6">
        <v>0</v>
      </c>
      <c r="AB6906" s="4">
        <f t="shared" si="1071"/>
        <v>982906.20000000007</v>
      </c>
      <c r="AC6906" s="6">
        <f t="shared" si="1069"/>
        <v>98290.62000000001</v>
      </c>
      <c r="AD6906" s="6">
        <f t="shared" si="1074"/>
        <v>982906.20000000007</v>
      </c>
      <c r="AE6906" s="14">
        <f>VLOOKUP(I6906,[2]媒体政策预估表!A:N,MATCH(O6906,[2]媒体政策预估表!$A$2:$M$2,0),0)</f>
        <v>0.1293</v>
      </c>
      <c r="AF6906" s="6">
        <f t="shared" si="1076"/>
        <v>127089.77166000001</v>
      </c>
      <c r="AG6906" s="14">
        <v>0</v>
      </c>
      <c r="AH6906" s="64">
        <f t="shared" si="1075"/>
        <v>982906.20000000007</v>
      </c>
      <c r="AJ6906" s="126" t="e">
        <v>#N/A</v>
      </c>
      <c r="AK6906" s="80">
        <f t="shared" si="1072"/>
        <v>0</v>
      </c>
      <c r="AL6906" s="85"/>
      <c r="AM6906" s="85"/>
    </row>
    <row r="6907" spans="1:39" s="86" customFormat="1" ht="13.25" hidden="1" customHeight="1" x14ac:dyDescent="0.3">
      <c r="A6907" s="89" t="s">
        <v>3978</v>
      </c>
      <c r="B6907" s="86" t="s">
        <v>701</v>
      </c>
      <c r="C6907" s="86" t="s">
        <v>59</v>
      </c>
      <c r="D6907" s="86" t="s">
        <v>60</v>
      </c>
      <c r="E6907" s="86" t="s">
        <v>3995</v>
      </c>
      <c r="F6907" s="86" t="s">
        <v>3995</v>
      </c>
      <c r="G6907" s="86" t="s">
        <v>3995</v>
      </c>
      <c r="H6907" s="144">
        <v>83</v>
      </c>
      <c r="I6907" s="86" t="s">
        <v>78</v>
      </c>
      <c r="J6907" s="1" t="s">
        <v>3303</v>
      </c>
      <c r="K6907" s="1" t="s">
        <v>3763</v>
      </c>
      <c r="L6907" s="1" t="s">
        <v>701</v>
      </c>
      <c r="M6907" s="86" t="s">
        <v>3995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077"/>
        <v>831.92000000000007</v>
      </c>
      <c r="X6907" s="6">
        <f t="shared" si="1078"/>
        <v>1168.08</v>
      </c>
      <c r="Y6907" s="13">
        <f t="shared" si="1070"/>
        <v>0</v>
      </c>
      <c r="Z6907" s="66">
        <v>0</v>
      </c>
      <c r="AA6907" s="6">
        <v>0</v>
      </c>
      <c r="AB6907" s="4">
        <f t="shared" si="1071"/>
        <v>1168.08</v>
      </c>
      <c r="AC6907" s="6">
        <f t="shared" si="1069"/>
        <v>0</v>
      </c>
      <c r="AD6907" s="6">
        <f t="shared" si="1074"/>
        <v>1168.08</v>
      </c>
      <c r="AE6907" s="14">
        <f>VLOOKUP(I6907,[2]媒体政策预估表!A:N,MATCH(O6907,[2]媒体政策预估表!$A$2:$M$2,0),0)</f>
        <v>0.1293</v>
      </c>
      <c r="AF6907" s="6">
        <f t="shared" si="1076"/>
        <v>151.03274399999998</v>
      </c>
      <c r="AG6907" s="14">
        <v>0</v>
      </c>
      <c r="AH6907" s="64">
        <f t="shared" si="1075"/>
        <v>1168.08</v>
      </c>
      <c r="AJ6907" s="126" t="e">
        <v>#N/A</v>
      </c>
      <c r="AK6907" s="80">
        <f t="shared" si="1072"/>
        <v>0</v>
      </c>
      <c r="AL6907" s="85"/>
      <c r="AM6907" s="85"/>
    </row>
    <row r="6908" spans="1:39" s="86" customFormat="1" ht="13.25" hidden="1" customHeight="1" x14ac:dyDescent="0.3">
      <c r="A6908" s="89" t="s">
        <v>3978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3763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077"/>
        <v>14782.900000000001</v>
      </c>
      <c r="X6908" s="6">
        <f t="shared" si="1078"/>
        <v>16568.504672897194</v>
      </c>
      <c r="Y6908" s="13">
        <f t="shared" si="1070"/>
        <v>0</v>
      </c>
      <c r="Z6908" s="66">
        <v>0</v>
      </c>
      <c r="AA6908" s="6">
        <v>0</v>
      </c>
      <c r="AB6908" s="4">
        <f t="shared" si="1071"/>
        <v>16568.504672897194</v>
      </c>
      <c r="AC6908" s="6">
        <f t="shared" si="1069"/>
        <v>1159.7953271028055</v>
      </c>
      <c r="AD6908" s="6">
        <f t="shared" si="1074"/>
        <v>17728.3</v>
      </c>
      <c r="AE6908" s="14">
        <f>VLOOKUP(I6908,[2]媒体政策预估表!A:N,MATCH(O6908,[2]媒体政策预估表!$A$2:$M$2,0),0)</f>
        <v>0.1293</v>
      </c>
      <c r="AF6908" s="6">
        <f t="shared" si="1076"/>
        <v>2292.26919</v>
      </c>
      <c r="AG6908" s="14">
        <v>0</v>
      </c>
      <c r="AH6908" s="64">
        <f t="shared" si="1075"/>
        <v>17728.3</v>
      </c>
      <c r="AJ6908" s="126" t="e">
        <v>#N/A</v>
      </c>
      <c r="AK6908" s="80">
        <f t="shared" si="1072"/>
        <v>0</v>
      </c>
      <c r="AL6908" s="85"/>
      <c r="AM6908" s="85"/>
    </row>
    <row r="6909" spans="1:39" s="86" customFormat="1" ht="13.25" hidden="1" customHeight="1" x14ac:dyDescent="0.3">
      <c r="A6909" s="89" t="s">
        <v>3792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3763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077"/>
        <v>103980.39999999997</v>
      </c>
      <c r="X6909" s="6">
        <f t="shared" si="1078"/>
        <v>337153.6448598131</v>
      </c>
      <c r="Y6909" s="13">
        <f t="shared" si="1070"/>
        <v>0</v>
      </c>
      <c r="Z6909" s="66">
        <v>0</v>
      </c>
      <c r="AA6909" s="6">
        <v>0</v>
      </c>
      <c r="AB6909" s="4">
        <f t="shared" si="1071"/>
        <v>337153.6448598131</v>
      </c>
      <c r="AC6909" s="6">
        <f t="shared" si="1069"/>
        <v>23600.755140186928</v>
      </c>
      <c r="AD6909" s="6">
        <f t="shared" si="1074"/>
        <v>360754.4</v>
      </c>
      <c r="AE6909" s="14">
        <f>VLOOKUP(I6909,[2]媒体政策预估表!A:N,MATCH(O6909,[2]媒体政策预估表!$A$2:$M$2,0),0)</f>
        <v>0.1293</v>
      </c>
      <c r="AF6909" s="6">
        <f t="shared" si="1076"/>
        <v>46645.543920000004</v>
      </c>
      <c r="AG6909" s="14">
        <v>0</v>
      </c>
      <c r="AH6909" s="64">
        <f t="shared" si="1075"/>
        <v>360754.4</v>
      </c>
      <c r="AJ6909" s="126" t="e">
        <v>#N/A</v>
      </c>
      <c r="AK6909" s="80">
        <f t="shared" si="1072"/>
        <v>0</v>
      </c>
      <c r="AL6909" s="85"/>
      <c r="AM6909" s="85"/>
    </row>
    <row r="6910" spans="1:39" s="86" customFormat="1" ht="13.25" hidden="1" customHeight="1" x14ac:dyDescent="0.3">
      <c r="A6910" s="89" t="s">
        <v>3978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3763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077"/>
        <v>159259.13000000012</v>
      </c>
      <c r="X6910" s="6">
        <f t="shared" si="1078"/>
        <v>593858.81308411201</v>
      </c>
      <c r="Y6910" s="13">
        <f t="shared" si="1070"/>
        <v>0</v>
      </c>
      <c r="Z6910" s="66">
        <v>0</v>
      </c>
      <c r="AA6910" s="6">
        <v>0</v>
      </c>
      <c r="AB6910" s="4">
        <f t="shared" si="1071"/>
        <v>593858.81308411201</v>
      </c>
      <c r="AC6910" s="6">
        <f t="shared" ref="AC6910:AC6973" si="1079">IF(P6910="返现",X6910*Q6910,V6910-X6910)</f>
        <v>41570.11691588792</v>
      </c>
      <c r="AD6910" s="6">
        <f t="shared" si="1074"/>
        <v>635428.92999999993</v>
      </c>
      <c r="AE6910" s="14">
        <f>VLOOKUP(I6910,[2]媒体政策预估表!A:N,MATCH(O6910,[2]媒体政策预估表!$A$2:$M$2,0),0)</f>
        <v>0.1293</v>
      </c>
      <c r="AF6910" s="6">
        <f t="shared" si="1076"/>
        <v>82160.960648999986</v>
      </c>
      <c r="AG6910" s="14">
        <v>0</v>
      </c>
      <c r="AH6910" s="64">
        <f t="shared" si="1075"/>
        <v>635428.92999999993</v>
      </c>
      <c r="AJ6910" s="126" t="e">
        <v>#N/A</v>
      </c>
      <c r="AK6910" s="80">
        <f t="shared" si="1072"/>
        <v>0</v>
      </c>
      <c r="AL6910" s="85"/>
      <c r="AM6910" s="85"/>
    </row>
    <row r="6911" spans="1:39" s="86" customFormat="1" ht="13.25" hidden="1" customHeight="1" x14ac:dyDescent="0.3">
      <c r="A6911" s="89" t="s">
        <v>3978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3763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077"/>
        <v>71844.45000000007</v>
      </c>
      <c r="X6911" s="6">
        <f t="shared" si="1078"/>
        <v>263332.3551401869</v>
      </c>
      <c r="Y6911" s="13">
        <f t="shared" si="1070"/>
        <v>0</v>
      </c>
      <c r="Z6911" s="66">
        <v>0</v>
      </c>
      <c r="AA6911" s="6">
        <v>0</v>
      </c>
      <c r="AB6911" s="4">
        <f t="shared" si="1071"/>
        <v>263332.3551401869</v>
      </c>
      <c r="AC6911" s="6">
        <f t="shared" si="1079"/>
        <v>18433.264859813091</v>
      </c>
      <c r="AD6911" s="6">
        <f t="shared" si="1074"/>
        <v>281765.62</v>
      </c>
      <c r="AE6911" s="14">
        <f>VLOOKUP(I6911,[2]媒体政策预估表!A:N,MATCH(O6911,[2]媒体政策预估表!$A$2:$M$2,0),0)</f>
        <v>0.1293</v>
      </c>
      <c r="AF6911" s="6">
        <f t="shared" si="1076"/>
        <v>36432.294666000002</v>
      </c>
      <c r="AG6911" s="14">
        <v>0</v>
      </c>
      <c r="AH6911" s="64">
        <f t="shared" si="1075"/>
        <v>281765.62</v>
      </c>
      <c r="AJ6911" s="126" t="e">
        <v>#N/A</v>
      </c>
      <c r="AK6911" s="80">
        <f t="shared" si="1072"/>
        <v>0</v>
      </c>
      <c r="AL6911" s="85"/>
      <c r="AM6911" s="85"/>
    </row>
    <row r="6912" spans="1:39" s="86" customFormat="1" ht="13.25" hidden="1" customHeight="1" x14ac:dyDescent="0.3">
      <c r="A6912" s="89" t="s">
        <v>3978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3763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077"/>
        <v>49497.180000000008</v>
      </c>
      <c r="X6912" s="6">
        <f t="shared" si="1078"/>
        <v>49858.619999999995</v>
      </c>
      <c r="Y6912" s="13">
        <f t="shared" si="1070"/>
        <v>0</v>
      </c>
      <c r="Z6912" s="66">
        <v>0</v>
      </c>
      <c r="AA6912" s="6">
        <v>0</v>
      </c>
      <c r="AB6912" s="4">
        <f t="shared" si="1071"/>
        <v>49858.619999999995</v>
      </c>
      <c r="AC6912" s="6">
        <f t="shared" si="1079"/>
        <v>0</v>
      </c>
      <c r="AD6912" s="6">
        <f t="shared" si="1074"/>
        <v>49858.619999999995</v>
      </c>
      <c r="AE6912" s="14">
        <f>VLOOKUP(I6912,[2]媒体政策预估表!A:N,MATCH(O6912,[2]媒体政策预估表!$A$2:$M$2,0),0)</f>
        <v>0.1293</v>
      </c>
      <c r="AF6912" s="6">
        <f t="shared" si="1076"/>
        <v>6446.7195659999998</v>
      </c>
      <c r="AG6912" s="14">
        <v>0</v>
      </c>
      <c r="AH6912" s="64">
        <f t="shared" si="1075"/>
        <v>49858.619999999995</v>
      </c>
      <c r="AJ6912" s="126" t="e">
        <v>#N/A</v>
      </c>
      <c r="AK6912" s="80">
        <f t="shared" si="1072"/>
        <v>0</v>
      </c>
      <c r="AL6912" s="85"/>
      <c r="AM6912" s="85"/>
    </row>
    <row r="6913" spans="1:39" s="86" customFormat="1" ht="13.25" hidden="1" customHeight="1" x14ac:dyDescent="0.3">
      <c r="A6913" s="89" t="s">
        <v>3978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3763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077"/>
        <v>6147.0999999999913</v>
      </c>
      <c r="X6913" s="6">
        <f t="shared" si="1078"/>
        <v>46065.5</v>
      </c>
      <c r="Y6913" s="13">
        <f t="shared" si="1070"/>
        <v>0</v>
      </c>
      <c r="Z6913" s="66">
        <v>0</v>
      </c>
      <c r="AA6913" s="6">
        <v>0</v>
      </c>
      <c r="AB6913" s="4">
        <f t="shared" si="1071"/>
        <v>46065.5</v>
      </c>
      <c r="AC6913" s="6">
        <f t="shared" si="1079"/>
        <v>0</v>
      </c>
      <c r="AD6913" s="6">
        <f t="shared" si="1074"/>
        <v>46065.5</v>
      </c>
      <c r="AE6913" s="14">
        <f>VLOOKUP(I6913,[2]媒体政策预估表!A:N,MATCH(O6913,[2]媒体政策预估表!$A$2:$M$2,0),0)</f>
        <v>0.1293</v>
      </c>
      <c r="AF6913" s="6">
        <f t="shared" si="1076"/>
        <v>5956.2691500000001</v>
      </c>
      <c r="AG6913" s="14">
        <v>0</v>
      </c>
      <c r="AH6913" s="64">
        <f t="shared" si="1075"/>
        <v>46065.5</v>
      </c>
      <c r="AJ6913" s="126" t="e">
        <v>#N/A</v>
      </c>
      <c r="AK6913" s="80">
        <f t="shared" si="1072"/>
        <v>0</v>
      </c>
      <c r="AL6913" s="85"/>
      <c r="AM6913" s="85"/>
    </row>
    <row r="6914" spans="1:39" s="86" customFormat="1" ht="13.25" hidden="1" customHeight="1" x14ac:dyDescent="0.3">
      <c r="A6914" s="89" t="s">
        <v>3792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3763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077"/>
        <v>0</v>
      </c>
      <c r="X6914" s="6">
        <f t="shared" si="1078"/>
        <v>0</v>
      </c>
      <c r="Y6914" s="13">
        <f t="shared" si="1070"/>
        <v>0</v>
      </c>
      <c r="Z6914" s="66">
        <v>0</v>
      </c>
      <c r="AA6914" s="6">
        <v>0</v>
      </c>
      <c r="AB6914" s="4">
        <f t="shared" si="1071"/>
        <v>0</v>
      </c>
      <c r="AC6914" s="6">
        <f t="shared" si="1079"/>
        <v>0</v>
      </c>
      <c r="AD6914" s="6">
        <f t="shared" si="1074"/>
        <v>0</v>
      </c>
      <c r="AE6914" s="14">
        <f>VLOOKUP(I6914,[2]媒体政策预估表!A:N,MATCH(O6914,[2]媒体政策预估表!$A$2:$M$2,0),0)</f>
        <v>0.1293</v>
      </c>
      <c r="AF6914" s="6">
        <f t="shared" si="1076"/>
        <v>0</v>
      </c>
      <c r="AG6914" s="14">
        <v>0</v>
      </c>
      <c r="AH6914" s="64">
        <f t="shared" si="1075"/>
        <v>0</v>
      </c>
      <c r="AJ6914" s="126" t="e">
        <v>#N/A</v>
      </c>
      <c r="AK6914" s="80">
        <f t="shared" si="1072"/>
        <v>0</v>
      </c>
      <c r="AL6914" s="85"/>
      <c r="AM6914" s="85"/>
    </row>
    <row r="6915" spans="1:39" s="86" customFormat="1" ht="13.25" hidden="1" customHeight="1" x14ac:dyDescent="0.3">
      <c r="A6915" s="89" t="s">
        <v>3978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3763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077"/>
        <v>66787.999999999913</v>
      </c>
      <c r="X6915" s="6">
        <f t="shared" si="1078"/>
        <v>140469.94</v>
      </c>
      <c r="Y6915" s="13">
        <f t="shared" ref="Y6915:Y6978" si="1080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081">X6915+AA6915</f>
        <v>140469.94</v>
      </c>
      <c r="AC6915" s="6">
        <f t="shared" si="1079"/>
        <v>0</v>
      </c>
      <c r="AD6915" s="6">
        <f t="shared" si="1074"/>
        <v>140469.94</v>
      </c>
      <c r="AE6915" s="14">
        <f>VLOOKUP(I6915,[2]媒体政策预估表!A:N,MATCH(O6915,[2]媒体政策预估表!$A$2:$M$2,0),0)</f>
        <v>0.1293</v>
      </c>
      <c r="AF6915" s="6">
        <f t="shared" si="1076"/>
        <v>18162.763242000001</v>
      </c>
      <c r="AG6915" s="14">
        <v>0</v>
      </c>
      <c r="AH6915" s="64">
        <f t="shared" si="1075"/>
        <v>140469.94</v>
      </c>
      <c r="AJ6915" s="126" t="e">
        <v>#N/A</v>
      </c>
      <c r="AK6915" s="80">
        <f t="shared" ref="AK6915:AK6978" si="1082">X6915+AA6915-AB6915</f>
        <v>0</v>
      </c>
      <c r="AL6915" s="85"/>
      <c r="AM6915" s="85"/>
    </row>
    <row r="6916" spans="1:39" s="86" customFormat="1" ht="13.25" hidden="1" customHeight="1" x14ac:dyDescent="0.3">
      <c r="A6916" s="89" t="s">
        <v>3792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3763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077"/>
        <v>9740.9699999998556</v>
      </c>
      <c r="X6916" s="6">
        <f t="shared" si="1078"/>
        <v>69996.11</v>
      </c>
      <c r="Y6916" s="13">
        <f t="shared" si="1080"/>
        <v>0</v>
      </c>
      <c r="Z6916" s="66">
        <v>0</v>
      </c>
      <c r="AA6916" s="6">
        <v>0</v>
      </c>
      <c r="AB6916" s="4">
        <f t="shared" si="1081"/>
        <v>69996.11</v>
      </c>
      <c r="AC6916" s="6">
        <f t="shared" si="1079"/>
        <v>0</v>
      </c>
      <c r="AD6916" s="6">
        <f t="shared" si="1074"/>
        <v>69996.11</v>
      </c>
      <c r="AE6916" s="14">
        <f>VLOOKUP(I6916,[2]媒体政策预估表!A:N,MATCH(O6916,[2]媒体政策预估表!$A$2:$M$2,0),0)</f>
        <v>0.1293</v>
      </c>
      <c r="AF6916" s="6">
        <f t="shared" si="1076"/>
        <v>9050.4970229999999</v>
      </c>
      <c r="AG6916" s="14">
        <v>0</v>
      </c>
      <c r="AH6916" s="64">
        <f t="shared" si="1075"/>
        <v>69996.11</v>
      </c>
      <c r="AJ6916" s="126" t="e">
        <v>#N/A</v>
      </c>
      <c r="AK6916" s="80">
        <f t="shared" si="1082"/>
        <v>0</v>
      </c>
      <c r="AL6916" s="85"/>
      <c r="AM6916" s="85"/>
    </row>
    <row r="6917" spans="1:39" s="86" customFormat="1" ht="13.25" hidden="1" customHeight="1" x14ac:dyDescent="0.3">
      <c r="A6917" s="89" t="s">
        <v>3792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3763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077"/>
        <v>-3.637978807091713E-12</v>
      </c>
      <c r="X6917" s="6">
        <f t="shared" si="1078"/>
        <v>0</v>
      </c>
      <c r="Y6917" s="13">
        <f t="shared" si="1080"/>
        <v>0</v>
      </c>
      <c r="Z6917" s="66">
        <v>0</v>
      </c>
      <c r="AA6917" s="6">
        <v>0</v>
      </c>
      <c r="AB6917" s="4">
        <f t="shared" si="1081"/>
        <v>0</v>
      </c>
      <c r="AC6917" s="6">
        <f t="shared" si="1079"/>
        <v>0</v>
      </c>
      <c r="AD6917" s="6">
        <f t="shared" si="1074"/>
        <v>0</v>
      </c>
      <c r="AE6917" s="14">
        <f>VLOOKUP(I6917,[2]媒体政策预估表!A:N,MATCH(O6917,[2]媒体政策预估表!$A$2:$M$2,0),0)</f>
        <v>0.1293</v>
      </c>
      <c r="AF6917" s="6">
        <f t="shared" si="1076"/>
        <v>0</v>
      </c>
      <c r="AG6917" s="14">
        <v>0</v>
      </c>
      <c r="AH6917" s="64">
        <f t="shared" si="1075"/>
        <v>0</v>
      </c>
      <c r="AJ6917" s="126" t="e">
        <v>#N/A</v>
      </c>
      <c r="AK6917" s="80">
        <f t="shared" si="1082"/>
        <v>0</v>
      </c>
      <c r="AL6917" s="85"/>
      <c r="AM6917" s="85"/>
    </row>
    <row r="6918" spans="1:39" s="86" customFormat="1" ht="13.25" hidden="1" customHeight="1" x14ac:dyDescent="0.3">
      <c r="A6918" s="89" t="s">
        <v>3978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3763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077"/>
        <v>1.8189894035458565E-11</v>
      </c>
      <c r="X6918" s="6">
        <f t="shared" si="1078"/>
        <v>0</v>
      </c>
      <c r="Y6918" s="13">
        <f t="shared" si="1080"/>
        <v>0</v>
      </c>
      <c r="Z6918" s="66">
        <v>0</v>
      </c>
      <c r="AA6918" s="6">
        <v>0</v>
      </c>
      <c r="AB6918" s="4">
        <f t="shared" si="1081"/>
        <v>0</v>
      </c>
      <c r="AC6918" s="6">
        <f t="shared" si="1079"/>
        <v>0</v>
      </c>
      <c r="AD6918" s="6">
        <f t="shared" si="1074"/>
        <v>0</v>
      </c>
      <c r="AE6918" s="14">
        <f>VLOOKUP(I6918,[2]媒体政策预估表!A:N,MATCH(O6918,[2]媒体政策预估表!$A$2:$M$2,0),0)</f>
        <v>0.1293</v>
      </c>
      <c r="AF6918" s="6">
        <f t="shared" si="1076"/>
        <v>0</v>
      </c>
      <c r="AG6918" s="14">
        <v>0</v>
      </c>
      <c r="AH6918" s="64">
        <f t="shared" si="1075"/>
        <v>0</v>
      </c>
      <c r="AJ6918" s="126" t="e">
        <v>#N/A</v>
      </c>
      <c r="AK6918" s="80">
        <f t="shared" si="1082"/>
        <v>0</v>
      </c>
      <c r="AL6918" s="85"/>
      <c r="AM6918" s="85"/>
    </row>
    <row r="6919" spans="1:39" s="86" customFormat="1" ht="13.25" hidden="1" customHeight="1" x14ac:dyDescent="0.3">
      <c r="A6919" s="89" t="s">
        <v>3792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3763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078"/>
        <v>0</v>
      </c>
      <c r="Y6919" s="13">
        <f t="shared" si="1080"/>
        <v>0</v>
      </c>
      <c r="Z6919" s="66">
        <v>0</v>
      </c>
      <c r="AA6919" s="6">
        <v>0</v>
      </c>
      <c r="AB6919" s="4">
        <f t="shared" si="1081"/>
        <v>0</v>
      </c>
      <c r="AC6919" s="6">
        <f t="shared" si="1079"/>
        <v>0</v>
      </c>
      <c r="AD6919" s="6">
        <f t="shared" si="1074"/>
        <v>0</v>
      </c>
      <c r="AE6919" s="14">
        <f>VLOOKUP(I6919,[2]媒体政策预估表!A:N,MATCH(O6919,[2]媒体政策预估表!$A$2:$M$2,0),0)</f>
        <v>0.1293</v>
      </c>
      <c r="AF6919" s="6">
        <f t="shared" si="1076"/>
        <v>0</v>
      </c>
      <c r="AG6919" s="14">
        <v>0</v>
      </c>
      <c r="AH6919" s="64">
        <f t="shared" si="1075"/>
        <v>0</v>
      </c>
      <c r="AJ6919" s="126" t="e">
        <v>#N/A</v>
      </c>
      <c r="AK6919" s="80">
        <f t="shared" si="1082"/>
        <v>0</v>
      </c>
      <c r="AL6919" s="85"/>
      <c r="AM6919" s="85"/>
    </row>
    <row r="6920" spans="1:39" s="86" customFormat="1" ht="13.25" hidden="1" customHeight="1" x14ac:dyDescent="0.3">
      <c r="A6920" s="89" t="s">
        <v>3978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3763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077"/>
        <v>3203.3000000000011</v>
      </c>
      <c r="X6920" s="6">
        <f t="shared" si="1078"/>
        <v>10520.980392156862</v>
      </c>
      <c r="Y6920" s="13">
        <f t="shared" si="1080"/>
        <v>0</v>
      </c>
      <c r="Z6920" s="66">
        <v>0</v>
      </c>
      <c r="AA6920" s="6">
        <v>0</v>
      </c>
      <c r="AB6920" s="4">
        <f t="shared" si="1081"/>
        <v>10520.980392156862</v>
      </c>
      <c r="AC6920" s="6">
        <f t="shared" si="1079"/>
        <v>210.41960784313778</v>
      </c>
      <c r="AD6920" s="6">
        <f t="shared" si="1074"/>
        <v>10731.4</v>
      </c>
      <c r="AE6920" s="14">
        <f>VLOOKUP(I6920,[2]媒体政策预估表!A:N,MATCH(O6920,[2]媒体政策预估表!$A$2:$M$2,0),0)</f>
        <v>0.1293</v>
      </c>
      <c r="AF6920" s="6">
        <f t="shared" si="1076"/>
        <v>1387.5700199999999</v>
      </c>
      <c r="AG6920" s="14">
        <v>0</v>
      </c>
      <c r="AH6920" s="64">
        <f t="shared" si="1075"/>
        <v>10731.4</v>
      </c>
      <c r="AJ6920" s="126" t="e">
        <v>#N/A</v>
      </c>
      <c r="AK6920" s="80">
        <f t="shared" si="1082"/>
        <v>0</v>
      </c>
      <c r="AL6920" s="85"/>
      <c r="AM6920" s="85"/>
    </row>
    <row r="6921" spans="1:39" s="86" customFormat="1" ht="13.25" hidden="1" customHeight="1" x14ac:dyDescent="0.3">
      <c r="A6921" s="89" t="s">
        <v>3792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3763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077"/>
        <v>8416.6</v>
      </c>
      <c r="X6921" s="6">
        <f t="shared" si="1078"/>
        <v>1583.4</v>
      </c>
      <c r="Y6921" s="13">
        <f t="shared" si="1080"/>
        <v>0</v>
      </c>
      <c r="Z6921" s="66">
        <v>0</v>
      </c>
      <c r="AA6921" s="6">
        <v>0</v>
      </c>
      <c r="AB6921" s="4">
        <f t="shared" si="1081"/>
        <v>1583.4</v>
      </c>
      <c r="AC6921" s="6">
        <f t="shared" si="1079"/>
        <v>0</v>
      </c>
      <c r="AD6921" s="6">
        <f t="shared" si="1074"/>
        <v>1583.4</v>
      </c>
      <c r="AE6921" s="14">
        <f>VLOOKUP(I6921,[2]媒体政策预估表!A:N,MATCH(O6921,[2]媒体政策预估表!$A$2:$M$2,0),0)</f>
        <v>0.1293</v>
      </c>
      <c r="AF6921" s="6">
        <f t="shared" si="1076"/>
        <v>204.73362</v>
      </c>
      <c r="AG6921" s="14">
        <v>0</v>
      </c>
      <c r="AH6921" s="64">
        <f t="shared" si="1075"/>
        <v>1583.4</v>
      </c>
      <c r="AJ6921" s="126" t="e">
        <v>#N/A</v>
      </c>
      <c r="AK6921" s="80">
        <f t="shared" si="1082"/>
        <v>0</v>
      </c>
      <c r="AL6921" s="85"/>
      <c r="AM6921" s="85"/>
    </row>
    <row r="6922" spans="1:39" s="86" customFormat="1" ht="13.25" hidden="1" customHeight="1" x14ac:dyDescent="0.3">
      <c r="A6922" s="89" t="s">
        <v>3978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3763</v>
      </c>
      <c r="L6922" s="1" t="s">
        <v>701</v>
      </c>
      <c r="M6922" s="86" t="s">
        <v>3996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077"/>
        <v>4747.3999999999996</v>
      </c>
      <c r="X6922" s="6">
        <f t="shared" si="1078"/>
        <v>5345.6862745098042</v>
      </c>
      <c r="Y6922" s="13">
        <f t="shared" si="1080"/>
        <v>0</v>
      </c>
      <c r="Z6922" s="66">
        <v>0</v>
      </c>
      <c r="AA6922" s="6">
        <v>0</v>
      </c>
      <c r="AB6922" s="4">
        <f t="shared" si="1081"/>
        <v>5345.6862745098042</v>
      </c>
      <c r="AC6922" s="6">
        <f t="shared" si="1079"/>
        <v>106.91372549019616</v>
      </c>
      <c r="AD6922" s="6">
        <f t="shared" si="1074"/>
        <v>5452.6</v>
      </c>
      <c r="AE6922" s="14">
        <f>VLOOKUP(I6922,[2]媒体政策预估表!A:N,MATCH(O6922,[2]媒体政策预估表!$A$2:$M$2,0),0)</f>
        <v>0.1293</v>
      </c>
      <c r="AF6922" s="6">
        <f t="shared" si="1076"/>
        <v>705.02118000000007</v>
      </c>
      <c r="AG6922" s="14">
        <v>0</v>
      </c>
      <c r="AH6922" s="64">
        <f t="shared" si="1075"/>
        <v>5452.6</v>
      </c>
      <c r="AJ6922" s="126" t="e">
        <v>#N/A</v>
      </c>
      <c r="AK6922" s="80">
        <f t="shared" si="1082"/>
        <v>0</v>
      </c>
      <c r="AL6922" s="85"/>
      <c r="AM6922" s="85"/>
    </row>
    <row r="6923" spans="1:39" s="86" customFormat="1" ht="13.25" hidden="1" customHeight="1" x14ac:dyDescent="0.3">
      <c r="A6923" s="89" t="s">
        <v>3978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3763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077"/>
        <v>0</v>
      </c>
      <c r="X6923" s="6">
        <f t="shared" si="1078"/>
        <v>0</v>
      </c>
      <c r="Y6923" s="13">
        <f t="shared" si="1080"/>
        <v>0</v>
      </c>
      <c r="Z6923" s="66">
        <v>0</v>
      </c>
      <c r="AA6923" s="6">
        <v>0</v>
      </c>
      <c r="AB6923" s="4">
        <f t="shared" si="1081"/>
        <v>0</v>
      </c>
      <c r="AC6923" s="6">
        <f t="shared" si="1079"/>
        <v>0</v>
      </c>
      <c r="AD6923" s="6">
        <f t="shared" si="1074"/>
        <v>0</v>
      </c>
      <c r="AE6923" s="14">
        <f>VLOOKUP(I6923,[2]媒体政策预估表!A:N,MATCH(O6923,[2]媒体政策预估表!$A$2:$M$2,0),0)</f>
        <v>0.1293</v>
      </c>
      <c r="AF6923" s="6">
        <f t="shared" si="1076"/>
        <v>0</v>
      </c>
      <c r="AG6923" s="14">
        <v>0</v>
      </c>
      <c r="AH6923" s="64">
        <f t="shared" si="1075"/>
        <v>0</v>
      </c>
      <c r="AJ6923" s="126" t="e">
        <v>#N/A</v>
      </c>
      <c r="AK6923" s="80">
        <f t="shared" si="1082"/>
        <v>0</v>
      </c>
      <c r="AL6923" s="85"/>
      <c r="AM6923" s="85"/>
    </row>
    <row r="6924" spans="1:39" s="86" customFormat="1" ht="13.25" hidden="1" customHeight="1" x14ac:dyDescent="0.3">
      <c r="A6924" s="89" t="s">
        <v>3978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3763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077"/>
        <v>10764.600000000002</v>
      </c>
      <c r="X6924" s="6">
        <f t="shared" si="1078"/>
        <v>28772.399999999998</v>
      </c>
      <c r="Y6924" s="13">
        <f t="shared" si="1080"/>
        <v>0</v>
      </c>
      <c r="Z6924" s="66">
        <v>0</v>
      </c>
      <c r="AA6924" s="6">
        <v>0</v>
      </c>
      <c r="AB6924" s="4">
        <f t="shared" si="1081"/>
        <v>28772.399999999998</v>
      </c>
      <c r="AC6924" s="6">
        <f t="shared" si="1079"/>
        <v>0</v>
      </c>
      <c r="AD6924" s="6">
        <f t="shared" si="1074"/>
        <v>28772.399999999998</v>
      </c>
      <c r="AE6924" s="14">
        <f>VLOOKUP(I6924,[2]媒体政策预估表!A:N,MATCH(O6924,[2]媒体政策预估表!$A$2:$M$2,0),0)</f>
        <v>0.1293</v>
      </c>
      <c r="AF6924" s="6">
        <f t="shared" si="1076"/>
        <v>3720.2713199999998</v>
      </c>
      <c r="AG6924" s="14">
        <v>0</v>
      </c>
      <c r="AH6924" s="64">
        <f t="shared" si="1075"/>
        <v>28772.399999999998</v>
      </c>
      <c r="AJ6924" s="126" t="e">
        <v>#N/A</v>
      </c>
      <c r="AK6924" s="80">
        <f t="shared" si="1082"/>
        <v>0</v>
      </c>
      <c r="AL6924" s="85"/>
      <c r="AM6924" s="85"/>
    </row>
    <row r="6925" spans="1:39" s="86" customFormat="1" ht="13.25" hidden="1" customHeight="1" x14ac:dyDescent="0.3">
      <c r="A6925" s="89" t="s">
        <v>3978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3763</v>
      </c>
      <c r="L6925" s="1" t="s">
        <v>701</v>
      </c>
      <c r="M6925" s="86" t="s">
        <v>3997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077"/>
        <v>8336.7999999999993</v>
      </c>
      <c r="X6925" s="6">
        <f t="shared" si="1078"/>
        <v>1663.2</v>
      </c>
      <c r="Y6925" s="13">
        <f t="shared" si="1080"/>
        <v>0</v>
      </c>
      <c r="Z6925" s="66">
        <v>0</v>
      </c>
      <c r="AA6925" s="6">
        <v>0</v>
      </c>
      <c r="AB6925" s="4">
        <f t="shared" si="1081"/>
        <v>1663.2</v>
      </c>
      <c r="AC6925" s="6">
        <f t="shared" si="1079"/>
        <v>0</v>
      </c>
      <c r="AD6925" s="6">
        <f t="shared" si="1074"/>
        <v>1663.2</v>
      </c>
      <c r="AE6925" s="14">
        <f>VLOOKUP(I6925,[2]媒体政策预估表!A:N,MATCH(O6925,[2]媒体政策预估表!$A$2:$M$2,0),0)</f>
        <v>0.1293</v>
      </c>
      <c r="AF6925" s="6">
        <f t="shared" si="1076"/>
        <v>215.05176</v>
      </c>
      <c r="AG6925" s="14">
        <v>0</v>
      </c>
      <c r="AH6925" s="64">
        <f t="shared" si="1075"/>
        <v>1663.2</v>
      </c>
      <c r="AJ6925" s="126" t="e">
        <v>#N/A</v>
      </c>
      <c r="AK6925" s="80">
        <f t="shared" si="1082"/>
        <v>0</v>
      </c>
      <c r="AL6925" s="85"/>
      <c r="AM6925" s="85"/>
    </row>
    <row r="6926" spans="1:39" s="86" customFormat="1" ht="13.25" hidden="1" customHeight="1" x14ac:dyDescent="0.3">
      <c r="A6926" s="89" t="s">
        <v>3792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3763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077"/>
        <v>10000</v>
      </c>
      <c r="X6926" s="6">
        <f t="shared" si="1078"/>
        <v>0</v>
      </c>
      <c r="Y6926" s="13">
        <f t="shared" si="1080"/>
        <v>0</v>
      </c>
      <c r="Z6926" s="66">
        <v>0</v>
      </c>
      <c r="AA6926" s="6">
        <v>0</v>
      </c>
      <c r="AB6926" s="4">
        <f t="shared" si="1081"/>
        <v>0</v>
      </c>
      <c r="AC6926" s="6">
        <f t="shared" si="1079"/>
        <v>0</v>
      </c>
      <c r="AD6926" s="6">
        <f t="shared" si="1074"/>
        <v>0</v>
      </c>
      <c r="AE6926" s="14">
        <f>VLOOKUP(I6926,[2]媒体政策预估表!A:N,MATCH(O6926,[2]媒体政策预估表!$A$2:$M$2,0),0)</f>
        <v>0.1293</v>
      </c>
      <c r="AF6926" s="6">
        <f t="shared" si="1076"/>
        <v>0</v>
      </c>
      <c r="AG6926" s="14">
        <v>0</v>
      </c>
      <c r="AH6926" s="64">
        <f t="shared" si="1075"/>
        <v>0</v>
      </c>
      <c r="AJ6926" s="126" t="e">
        <v>#N/A</v>
      </c>
      <c r="AK6926" s="80">
        <f t="shared" si="1082"/>
        <v>0</v>
      </c>
      <c r="AL6926" s="85"/>
      <c r="AM6926" s="85"/>
    </row>
    <row r="6927" spans="1:39" s="86" customFormat="1" ht="13.25" hidden="1" customHeight="1" x14ac:dyDescent="0.3">
      <c r="A6927" s="89" t="s">
        <v>3978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3763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077"/>
        <v>11315</v>
      </c>
      <c r="X6927" s="6">
        <f t="shared" si="1078"/>
        <v>8685</v>
      </c>
      <c r="Y6927" s="13">
        <f t="shared" si="1080"/>
        <v>0</v>
      </c>
      <c r="Z6927" s="66">
        <v>0</v>
      </c>
      <c r="AA6927" s="6">
        <v>0</v>
      </c>
      <c r="AB6927" s="4">
        <f t="shared" si="1081"/>
        <v>8685</v>
      </c>
      <c r="AC6927" s="6">
        <f t="shared" si="1079"/>
        <v>0</v>
      </c>
      <c r="AD6927" s="6">
        <f t="shared" si="1074"/>
        <v>8685</v>
      </c>
      <c r="AE6927" s="14">
        <f>VLOOKUP(I6927,[2]媒体政策预估表!A:N,MATCH(O6927,[2]媒体政策预估表!$A$2:$M$2,0),0)</f>
        <v>0.1293</v>
      </c>
      <c r="AF6927" s="6">
        <f t="shared" si="1076"/>
        <v>1122.9704999999999</v>
      </c>
      <c r="AG6927" s="14">
        <v>0</v>
      </c>
      <c r="AH6927" s="64">
        <f t="shared" si="1075"/>
        <v>8685</v>
      </c>
      <c r="AJ6927" s="126" t="e">
        <v>#N/A</v>
      </c>
      <c r="AK6927" s="80">
        <f t="shared" si="1082"/>
        <v>0</v>
      </c>
      <c r="AL6927" s="85"/>
      <c r="AM6927" s="85"/>
    </row>
    <row r="6928" spans="1:39" s="86" customFormat="1" ht="13.25" hidden="1" customHeight="1" x14ac:dyDescent="0.3">
      <c r="A6928" s="89" t="s">
        <v>3792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3763</v>
      </c>
      <c r="L6928" s="1" t="s">
        <v>701</v>
      </c>
      <c r="M6928" s="86" t="s">
        <v>3998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077"/>
        <v>0</v>
      </c>
      <c r="X6928" s="6">
        <f t="shared" si="1078"/>
        <v>0</v>
      </c>
      <c r="Y6928" s="13">
        <f t="shared" si="1080"/>
        <v>0</v>
      </c>
      <c r="Z6928" s="66">
        <v>0</v>
      </c>
      <c r="AA6928" s="6">
        <v>0</v>
      </c>
      <c r="AB6928" s="4">
        <f t="shared" si="1081"/>
        <v>0</v>
      </c>
      <c r="AC6928" s="6">
        <f t="shared" si="1079"/>
        <v>0</v>
      </c>
      <c r="AD6928" s="6">
        <f t="shared" si="1074"/>
        <v>0</v>
      </c>
      <c r="AE6928" s="14">
        <f>VLOOKUP(I6928,[2]媒体政策预估表!A:N,MATCH(O6928,[2]媒体政策预估表!$A$2:$M$2,0),0)</f>
        <v>0.1293</v>
      </c>
      <c r="AF6928" s="6">
        <f t="shared" si="1076"/>
        <v>0</v>
      </c>
      <c r="AG6928" s="14">
        <v>0</v>
      </c>
      <c r="AH6928" s="64">
        <f t="shared" si="1075"/>
        <v>0</v>
      </c>
      <c r="AJ6928" s="126" t="e">
        <v>#N/A</v>
      </c>
      <c r="AK6928" s="80">
        <f t="shared" si="1082"/>
        <v>0</v>
      </c>
      <c r="AL6928" s="85"/>
      <c r="AM6928" s="85"/>
    </row>
    <row r="6929" spans="1:39" s="86" customFormat="1" ht="13.25" hidden="1" customHeight="1" x14ac:dyDescent="0.3">
      <c r="A6929" s="89" t="s">
        <v>3978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3763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077"/>
        <v>3211.6999999999971</v>
      </c>
      <c r="X6929" s="6">
        <f t="shared" si="1078"/>
        <v>20261</v>
      </c>
      <c r="Y6929" s="13">
        <f t="shared" si="1080"/>
        <v>0</v>
      </c>
      <c r="Z6929" s="66">
        <v>0</v>
      </c>
      <c r="AA6929" s="6">
        <v>0</v>
      </c>
      <c r="AB6929" s="4">
        <f t="shared" si="1081"/>
        <v>20261</v>
      </c>
      <c r="AC6929" s="6">
        <f t="shared" si="1079"/>
        <v>0</v>
      </c>
      <c r="AD6929" s="6">
        <f t="shared" si="1074"/>
        <v>20261</v>
      </c>
      <c r="AE6929" s="14">
        <f>VLOOKUP(I6929,[2]媒体政策预估表!A:N,MATCH(O6929,[2]媒体政策预估表!$A$2:$M$2,0),0)</f>
        <v>0.1293</v>
      </c>
      <c r="AF6929" s="6">
        <f t="shared" si="1076"/>
        <v>2619.7473</v>
      </c>
      <c r="AG6929" s="14">
        <v>0</v>
      </c>
      <c r="AH6929" s="64">
        <f t="shared" si="1075"/>
        <v>20261</v>
      </c>
      <c r="AJ6929" s="126" t="e">
        <v>#N/A</v>
      </c>
      <c r="AK6929" s="80">
        <f t="shared" si="1082"/>
        <v>0</v>
      </c>
      <c r="AL6929" s="85"/>
      <c r="AM6929" s="85"/>
    </row>
    <row r="6930" spans="1:39" s="86" customFormat="1" ht="13.25" hidden="1" customHeight="1" x14ac:dyDescent="0.3">
      <c r="A6930" s="89" t="s">
        <v>3792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3763</v>
      </c>
      <c r="L6930" s="1" t="s">
        <v>701</v>
      </c>
      <c r="M6930" s="86" t="s">
        <v>3999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077"/>
        <v>37126.660000000003</v>
      </c>
      <c r="X6930" s="6">
        <f t="shared" si="1078"/>
        <v>22873.34</v>
      </c>
      <c r="Y6930" s="13">
        <f t="shared" si="1080"/>
        <v>0</v>
      </c>
      <c r="Z6930" s="66">
        <v>0</v>
      </c>
      <c r="AA6930" s="6">
        <v>0</v>
      </c>
      <c r="AB6930" s="4">
        <f t="shared" si="1081"/>
        <v>22873.34</v>
      </c>
      <c r="AC6930" s="6">
        <f t="shared" si="1079"/>
        <v>0</v>
      </c>
      <c r="AD6930" s="6">
        <f t="shared" si="1074"/>
        <v>22873.34</v>
      </c>
      <c r="AE6930" s="14">
        <f>VLOOKUP(I6930,[2]媒体政策预估表!A:N,MATCH(O6930,[2]媒体政策预估表!$A$2:$M$2,0),0)</f>
        <v>0.1293</v>
      </c>
      <c r="AF6930" s="6">
        <f t="shared" si="1076"/>
        <v>2957.5228619999998</v>
      </c>
      <c r="AG6930" s="14">
        <v>0</v>
      </c>
      <c r="AH6930" s="64">
        <f t="shared" si="1075"/>
        <v>22873.34</v>
      </c>
      <c r="AJ6930" s="126" t="e">
        <v>#N/A</v>
      </c>
      <c r="AK6930" s="80">
        <f t="shared" si="1082"/>
        <v>0</v>
      </c>
      <c r="AL6930" s="85"/>
      <c r="AM6930" s="85"/>
    </row>
    <row r="6931" spans="1:39" s="86" customFormat="1" ht="13.25" hidden="1" customHeight="1" x14ac:dyDescent="0.3">
      <c r="A6931" s="89" t="s">
        <v>3978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3763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077"/>
        <v>11264.6</v>
      </c>
      <c r="X6931" s="6">
        <f t="shared" si="1078"/>
        <v>2367</v>
      </c>
      <c r="Y6931" s="13">
        <f t="shared" si="1080"/>
        <v>0</v>
      </c>
      <c r="Z6931" s="66">
        <v>0</v>
      </c>
      <c r="AA6931" s="6">
        <v>0</v>
      </c>
      <c r="AB6931" s="4">
        <f t="shared" si="1081"/>
        <v>2367</v>
      </c>
      <c r="AC6931" s="6">
        <f t="shared" si="1079"/>
        <v>0</v>
      </c>
      <c r="AD6931" s="6">
        <f t="shared" si="1074"/>
        <v>2367</v>
      </c>
      <c r="AE6931" s="14">
        <f>VLOOKUP(I6931,[2]媒体政策预估表!A:N,MATCH(O6931,[2]媒体政策预估表!$A$2:$M$2,0),0)</f>
        <v>0.1293</v>
      </c>
      <c r="AF6931" s="6">
        <f t="shared" si="1076"/>
        <v>306.05309999999997</v>
      </c>
      <c r="AG6931" s="14">
        <v>0</v>
      </c>
      <c r="AH6931" s="64">
        <f t="shared" si="1075"/>
        <v>2367</v>
      </c>
      <c r="AJ6931" s="126" t="e">
        <v>#N/A</v>
      </c>
      <c r="AK6931" s="80">
        <f t="shared" si="1082"/>
        <v>0</v>
      </c>
      <c r="AL6931" s="85"/>
      <c r="AM6931" s="85"/>
    </row>
    <row r="6932" spans="1:39" s="86" customFormat="1" ht="13.25" hidden="1" customHeight="1" x14ac:dyDescent="0.3">
      <c r="A6932" s="89" t="s">
        <v>3792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3763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077"/>
        <v>2361.8000000000002</v>
      </c>
      <c r="X6932" s="6">
        <f t="shared" si="1078"/>
        <v>7638.2</v>
      </c>
      <c r="Y6932" s="13">
        <f t="shared" si="1080"/>
        <v>0</v>
      </c>
      <c r="Z6932" s="66">
        <v>0</v>
      </c>
      <c r="AA6932" s="6">
        <v>0</v>
      </c>
      <c r="AB6932" s="4">
        <f t="shared" si="1081"/>
        <v>7638.2</v>
      </c>
      <c r="AC6932" s="6">
        <f t="shared" si="1079"/>
        <v>0</v>
      </c>
      <c r="AD6932" s="6">
        <f t="shared" si="1074"/>
        <v>7638.2</v>
      </c>
      <c r="AE6932" s="14">
        <f>VLOOKUP(I6932,[2]媒体政策预估表!A:N,MATCH(O6932,[2]媒体政策预估表!$A$2:$M$2,0),0)</f>
        <v>0.1293</v>
      </c>
      <c r="AF6932" s="6">
        <f t="shared" si="1076"/>
        <v>987.61925999999994</v>
      </c>
      <c r="AG6932" s="14">
        <v>0</v>
      </c>
      <c r="AH6932" s="64">
        <f t="shared" si="1075"/>
        <v>7638.2</v>
      </c>
      <c r="AJ6932" s="126" t="e">
        <v>#N/A</v>
      </c>
      <c r="AK6932" s="80">
        <f t="shared" si="1082"/>
        <v>0</v>
      </c>
      <c r="AL6932" s="85"/>
      <c r="AM6932" s="85"/>
    </row>
    <row r="6933" spans="1:39" s="86" customFormat="1" ht="13.25" hidden="1" customHeight="1" x14ac:dyDescent="0.3">
      <c r="A6933" s="89" t="s">
        <v>3978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3763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077"/>
        <v>20926.399999999998</v>
      </c>
      <c r="X6933" s="6">
        <f t="shared" si="1078"/>
        <v>9319.5</v>
      </c>
      <c r="Y6933" s="13">
        <f t="shared" si="1080"/>
        <v>0</v>
      </c>
      <c r="Z6933" s="66">
        <v>0</v>
      </c>
      <c r="AA6933" s="6">
        <v>0</v>
      </c>
      <c r="AB6933" s="4">
        <f t="shared" si="1081"/>
        <v>9319.5</v>
      </c>
      <c r="AC6933" s="6">
        <f t="shared" si="1079"/>
        <v>0</v>
      </c>
      <c r="AD6933" s="6">
        <f t="shared" si="1074"/>
        <v>9319.5</v>
      </c>
      <c r="AE6933" s="14">
        <f>VLOOKUP(I6933,[2]媒体政策预估表!A:N,MATCH(O6933,[2]媒体政策预估表!$A$2:$M$2,0),0)</f>
        <v>0.1293</v>
      </c>
      <c r="AF6933" s="6">
        <f t="shared" si="1076"/>
        <v>1205.01135</v>
      </c>
      <c r="AG6933" s="14">
        <v>0</v>
      </c>
      <c r="AH6933" s="64">
        <f t="shared" si="1075"/>
        <v>9319.5</v>
      </c>
      <c r="AJ6933" s="126" t="e">
        <v>#N/A</v>
      </c>
      <c r="AK6933" s="80">
        <f t="shared" si="1082"/>
        <v>0</v>
      </c>
      <c r="AL6933" s="85"/>
      <c r="AM6933" s="85"/>
    </row>
    <row r="6934" spans="1:39" s="86" customFormat="1" ht="13.25" hidden="1" customHeight="1" x14ac:dyDescent="0.3">
      <c r="A6934" s="89" t="s">
        <v>3978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3763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077"/>
        <v>531.33000000000175</v>
      </c>
      <c r="X6934" s="6">
        <f t="shared" si="1078"/>
        <v>19468.669999999998</v>
      </c>
      <c r="Y6934" s="13">
        <f t="shared" si="1080"/>
        <v>0</v>
      </c>
      <c r="Z6934" s="66">
        <v>0</v>
      </c>
      <c r="AA6934" s="6">
        <v>0</v>
      </c>
      <c r="AB6934" s="4">
        <f t="shared" si="1081"/>
        <v>19468.669999999998</v>
      </c>
      <c r="AC6934" s="6">
        <f t="shared" si="1079"/>
        <v>0</v>
      </c>
      <c r="AD6934" s="6">
        <f t="shared" si="1074"/>
        <v>19468.669999999998</v>
      </c>
      <c r="AE6934" s="14">
        <f>VLOOKUP(I6934,[2]媒体政策预估表!A:N,MATCH(O6934,[2]媒体政策预估表!$A$2:$M$2,0),0)</f>
        <v>0.1293</v>
      </c>
      <c r="AF6934" s="6">
        <f t="shared" si="1076"/>
        <v>2517.2990309999996</v>
      </c>
      <c r="AG6934" s="14">
        <v>0</v>
      </c>
      <c r="AH6934" s="64">
        <f t="shared" si="1075"/>
        <v>19468.669999999998</v>
      </c>
      <c r="AJ6934" s="126" t="e">
        <v>#N/A</v>
      </c>
      <c r="AK6934" s="80">
        <f t="shared" si="1082"/>
        <v>0</v>
      </c>
      <c r="AL6934" s="85"/>
      <c r="AM6934" s="85"/>
    </row>
    <row r="6935" spans="1:39" s="86" customFormat="1" ht="13.25" hidden="1" customHeight="1" x14ac:dyDescent="0.3">
      <c r="A6935" s="89" t="s">
        <v>3792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3763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077"/>
        <v>127419.92010000005</v>
      </c>
      <c r="X6935" s="6">
        <f t="shared" si="1078"/>
        <v>60584.155339805817</v>
      </c>
      <c r="Y6935" s="13">
        <f t="shared" si="1080"/>
        <v>0</v>
      </c>
      <c r="Z6935" s="66">
        <v>0</v>
      </c>
      <c r="AA6935" s="6">
        <v>0</v>
      </c>
      <c r="AB6935" s="4">
        <f t="shared" si="1081"/>
        <v>60584.155339805817</v>
      </c>
      <c r="AC6935" s="6">
        <f t="shared" si="1079"/>
        <v>1817.5246601941762</v>
      </c>
      <c r="AD6935" s="6">
        <f t="shared" si="1074"/>
        <v>62401.679999999993</v>
      </c>
      <c r="AE6935" s="14">
        <f>VLOOKUP(I6935,[2]媒体政策预估表!A:N,MATCH(O6935,[2]媒体政策预估表!$A$2:$M$2,0),0)</f>
        <v>0.1293</v>
      </c>
      <c r="AF6935" s="6">
        <f t="shared" si="1076"/>
        <v>8068.5372239999988</v>
      </c>
      <c r="AG6935" s="14">
        <v>0</v>
      </c>
      <c r="AH6935" s="64">
        <f t="shared" si="1075"/>
        <v>62401.679999999993</v>
      </c>
      <c r="AJ6935" s="126" t="e">
        <v>#N/A</v>
      </c>
      <c r="AK6935" s="80">
        <f t="shared" si="1082"/>
        <v>0</v>
      </c>
      <c r="AL6935" s="85"/>
      <c r="AM6935" s="85"/>
    </row>
    <row r="6936" spans="1:39" s="86" customFormat="1" ht="13.25" hidden="1" customHeight="1" x14ac:dyDescent="0.3">
      <c r="A6936" s="89" t="s">
        <v>3978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3763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077"/>
        <v>10009.800000000003</v>
      </c>
      <c r="X6936" s="6">
        <f t="shared" si="1078"/>
        <v>45542.452830188675</v>
      </c>
      <c r="Y6936" s="13">
        <f t="shared" si="1080"/>
        <v>0</v>
      </c>
      <c r="Z6936" s="66">
        <v>0</v>
      </c>
      <c r="AA6936" s="6">
        <v>0</v>
      </c>
      <c r="AB6936" s="4">
        <f t="shared" si="1081"/>
        <v>45542.452830188675</v>
      </c>
      <c r="AC6936" s="6">
        <f t="shared" si="1079"/>
        <v>2732.5471698113251</v>
      </c>
      <c r="AD6936" s="6">
        <f t="shared" si="1074"/>
        <v>48275</v>
      </c>
      <c r="AE6936" s="14">
        <f>VLOOKUP(I6936,[2]媒体政策预估表!A:N,MATCH(O6936,[2]媒体政策预估表!$A$2:$M$2,0),0)</f>
        <v>0.1293</v>
      </c>
      <c r="AF6936" s="6">
        <f t="shared" si="1076"/>
        <v>6241.9574999999995</v>
      </c>
      <c r="AG6936" s="14">
        <v>0</v>
      </c>
      <c r="AH6936" s="64">
        <f t="shared" si="1075"/>
        <v>48275</v>
      </c>
      <c r="AJ6936" s="126" t="e">
        <v>#N/A</v>
      </c>
      <c r="AK6936" s="80">
        <f t="shared" si="1082"/>
        <v>0</v>
      </c>
      <c r="AL6936" s="85"/>
      <c r="AM6936" s="85"/>
    </row>
    <row r="6937" spans="1:39" s="86" customFormat="1" ht="13.25" hidden="1" customHeight="1" x14ac:dyDescent="0.3">
      <c r="A6937" s="89" t="s">
        <v>3978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3763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077"/>
        <v>108122.55000000002</v>
      </c>
      <c r="X6937" s="6">
        <f t="shared" si="1078"/>
        <v>110378.72</v>
      </c>
      <c r="Y6937" s="13">
        <f t="shared" si="1080"/>
        <v>0</v>
      </c>
      <c r="Z6937" s="66">
        <v>0</v>
      </c>
      <c r="AA6937" s="6">
        <v>0</v>
      </c>
      <c r="AB6937" s="4">
        <f t="shared" si="1081"/>
        <v>110378.72</v>
      </c>
      <c r="AC6937" s="6">
        <f t="shared" si="1079"/>
        <v>0</v>
      </c>
      <c r="AD6937" s="6">
        <f t="shared" si="1074"/>
        <v>110378.72</v>
      </c>
      <c r="AE6937" s="14">
        <f>VLOOKUP(I6937,[2]媒体政策预估表!A:N,MATCH(O6937,[2]媒体政策预估表!$A$2:$M$2,0),0)</f>
        <v>0.1293</v>
      </c>
      <c r="AF6937" s="6">
        <f t="shared" si="1076"/>
        <v>14271.968496</v>
      </c>
      <c r="AG6937" s="14">
        <v>0</v>
      </c>
      <c r="AH6937" s="64">
        <f t="shared" si="1075"/>
        <v>110378.72</v>
      </c>
      <c r="AJ6937" s="126" t="e">
        <v>#N/A</v>
      </c>
      <c r="AK6937" s="80">
        <f t="shared" si="1082"/>
        <v>0</v>
      </c>
      <c r="AL6937" s="85"/>
      <c r="AM6937" s="85"/>
    </row>
    <row r="6938" spans="1:39" s="86" customFormat="1" ht="13.25" hidden="1" customHeight="1" x14ac:dyDescent="0.3">
      <c r="A6938" s="89" t="s">
        <v>3978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3763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077"/>
        <v>144676.30000000005</v>
      </c>
      <c r="X6938" s="6">
        <f t="shared" si="1078"/>
        <v>283601.3</v>
      </c>
      <c r="Y6938" s="13">
        <f t="shared" si="1080"/>
        <v>0</v>
      </c>
      <c r="Z6938" s="66">
        <v>0</v>
      </c>
      <c r="AA6938" s="6">
        <v>0</v>
      </c>
      <c r="AB6938" s="4">
        <f t="shared" si="1081"/>
        <v>283601.3</v>
      </c>
      <c r="AC6938" s="6">
        <f t="shared" si="1079"/>
        <v>0</v>
      </c>
      <c r="AD6938" s="6">
        <f t="shared" si="1074"/>
        <v>283601.3</v>
      </c>
      <c r="AE6938" s="14">
        <f>VLOOKUP(I6938,[2]媒体政策预估表!A:N,MATCH(O6938,[2]媒体政策预估表!$A$2:$M$2,0),0)</f>
        <v>0.1293</v>
      </c>
      <c r="AF6938" s="6">
        <f t="shared" si="1076"/>
        <v>36669.648089999995</v>
      </c>
      <c r="AG6938" s="14">
        <v>0</v>
      </c>
      <c r="AH6938" s="64">
        <f t="shared" si="1075"/>
        <v>283601.3</v>
      </c>
      <c r="AJ6938" s="126" t="e">
        <v>#N/A</v>
      </c>
      <c r="AK6938" s="80">
        <f t="shared" si="1082"/>
        <v>0</v>
      </c>
      <c r="AL6938" s="85"/>
      <c r="AM6938" s="85"/>
    </row>
    <row r="6939" spans="1:39" s="86" customFormat="1" ht="13.25" hidden="1" customHeight="1" x14ac:dyDescent="0.3">
      <c r="A6939" s="89" t="s">
        <v>3978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3763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077"/>
        <v>15467.640000000003</v>
      </c>
      <c r="X6939" s="6">
        <f t="shared" si="1078"/>
        <v>3355.71</v>
      </c>
      <c r="Y6939" s="13">
        <f t="shared" si="1080"/>
        <v>0</v>
      </c>
      <c r="Z6939" s="66">
        <v>0</v>
      </c>
      <c r="AA6939" s="6">
        <v>0</v>
      </c>
      <c r="AB6939" s="4"/>
      <c r="AC6939" s="6">
        <f t="shared" si="1079"/>
        <v>0</v>
      </c>
      <c r="AD6939" s="6">
        <f t="shared" si="1074"/>
        <v>3355.71</v>
      </c>
      <c r="AE6939" s="14">
        <f>VLOOKUP(I6939,[2]媒体政策预估表!A:N,MATCH(O6939,[2]媒体政策预估表!$A$2:$M$2,0),0)</f>
        <v>0.1293</v>
      </c>
      <c r="AF6939" s="6">
        <f t="shared" si="1076"/>
        <v>433.893303</v>
      </c>
      <c r="AG6939" s="14">
        <v>0</v>
      </c>
      <c r="AH6939" s="64">
        <f t="shared" si="1075"/>
        <v>3355.71</v>
      </c>
      <c r="AJ6939" s="126">
        <v>107</v>
      </c>
      <c r="AK6939" s="80">
        <f t="shared" si="1082"/>
        <v>3355.71</v>
      </c>
      <c r="AL6939" s="85"/>
      <c r="AM6939" s="85"/>
    </row>
    <row r="6940" spans="1:39" s="86" customFormat="1" ht="13.25" hidden="1" customHeight="1" x14ac:dyDescent="0.3">
      <c r="A6940" s="89" t="s">
        <v>3792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3763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077"/>
        <v>3977.6</v>
      </c>
      <c r="X6940" s="6">
        <f t="shared" si="1078"/>
        <v>1022.4</v>
      </c>
      <c r="Y6940" s="13">
        <f t="shared" si="1080"/>
        <v>0</v>
      </c>
      <c r="Z6940" s="66">
        <v>0</v>
      </c>
      <c r="AA6940" s="6">
        <v>0</v>
      </c>
      <c r="AB6940" s="4">
        <f t="shared" si="1081"/>
        <v>1022.4</v>
      </c>
      <c r="AC6940" s="6">
        <f t="shared" si="1079"/>
        <v>0</v>
      </c>
      <c r="AD6940" s="6">
        <f t="shared" si="1074"/>
        <v>1022.4</v>
      </c>
      <c r="AE6940" s="14">
        <f>VLOOKUP(I6940,[2]媒体政策预估表!A:N,MATCH(O6940,[2]媒体政策预估表!$A$2:$M$2,0),0)</f>
        <v>0.1293</v>
      </c>
      <c r="AF6940" s="6">
        <f t="shared" si="1076"/>
        <v>132.19631999999999</v>
      </c>
      <c r="AG6940" s="14">
        <v>0</v>
      </c>
      <c r="AH6940" s="64">
        <f t="shared" si="1075"/>
        <v>1022.4</v>
      </c>
      <c r="AJ6940" s="126" t="e">
        <v>#N/A</v>
      </c>
      <c r="AK6940" s="80">
        <f t="shared" si="1082"/>
        <v>0</v>
      </c>
      <c r="AL6940" s="85"/>
      <c r="AM6940" s="85"/>
    </row>
    <row r="6941" spans="1:39" s="86" customFormat="1" ht="13.25" hidden="1" customHeight="1" x14ac:dyDescent="0.3">
      <c r="A6941" s="89" t="s">
        <v>3978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3763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077"/>
        <v>13222.53</v>
      </c>
      <c r="X6941" s="6">
        <f t="shared" si="1078"/>
        <v>6777.4699999999993</v>
      </c>
      <c r="Y6941" s="13">
        <f t="shared" si="1080"/>
        <v>0</v>
      </c>
      <c r="Z6941" s="66">
        <v>0</v>
      </c>
      <c r="AA6941" s="6">
        <v>0</v>
      </c>
      <c r="AB6941" s="4"/>
      <c r="AC6941" s="6">
        <f t="shared" si="1079"/>
        <v>0</v>
      </c>
      <c r="AD6941" s="6">
        <f t="shared" si="1074"/>
        <v>6777.4699999999993</v>
      </c>
      <c r="AE6941" s="14">
        <f>VLOOKUP(I6941,[2]媒体政策预估表!A:N,MATCH(O6941,[2]媒体政策预估表!$A$2:$M$2,0),0)</f>
        <v>0.1293</v>
      </c>
      <c r="AF6941" s="6">
        <f t="shared" si="1076"/>
        <v>876.32687099999987</v>
      </c>
      <c r="AG6941" s="14">
        <v>0</v>
      </c>
      <c r="AH6941" s="64">
        <f t="shared" si="1075"/>
        <v>6777.4699999999993</v>
      </c>
      <c r="AJ6941" s="126">
        <v>104</v>
      </c>
      <c r="AK6941" s="80">
        <f t="shared" si="1082"/>
        <v>6777.4699999999993</v>
      </c>
      <c r="AL6941" s="85"/>
      <c r="AM6941" s="85"/>
    </row>
    <row r="6942" spans="1:39" s="86" customFormat="1" ht="13.25" hidden="1" customHeight="1" x14ac:dyDescent="0.3">
      <c r="A6942" s="89" t="s">
        <v>3792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3763</v>
      </c>
      <c r="L6942" s="1" t="s">
        <v>701</v>
      </c>
      <c r="M6942" s="86" t="s">
        <v>4000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077"/>
        <v>5804.2</v>
      </c>
      <c r="X6942" s="6">
        <f t="shared" si="1078"/>
        <v>4195.8</v>
      </c>
      <c r="Y6942" s="13">
        <f t="shared" si="1080"/>
        <v>0</v>
      </c>
      <c r="Z6942" s="66">
        <v>0</v>
      </c>
      <c r="AA6942" s="6">
        <v>0</v>
      </c>
      <c r="AB6942" s="4"/>
      <c r="AC6942" s="6">
        <f t="shared" si="1079"/>
        <v>0</v>
      </c>
      <c r="AD6942" s="6">
        <f t="shared" si="1074"/>
        <v>4195.8</v>
      </c>
      <c r="AE6942" s="14">
        <f>VLOOKUP(I6942,[2]媒体政策预估表!A:N,MATCH(O6942,[2]媒体政策预估表!$A$2:$M$2,0),0)</f>
        <v>0.1293</v>
      </c>
      <c r="AF6942" s="6">
        <f t="shared" si="1076"/>
        <v>542.51693999999998</v>
      </c>
      <c r="AG6942" s="14">
        <v>0</v>
      </c>
      <c r="AH6942" s="64">
        <f t="shared" si="1075"/>
        <v>4195.8</v>
      </c>
      <c r="AJ6942" s="126">
        <v>104</v>
      </c>
      <c r="AK6942" s="80">
        <f t="shared" si="1082"/>
        <v>4195.8</v>
      </c>
      <c r="AL6942" s="85"/>
      <c r="AM6942" s="85"/>
    </row>
    <row r="6943" spans="1:39" s="86" customFormat="1" ht="13.25" hidden="1" customHeight="1" x14ac:dyDescent="0.3">
      <c r="A6943" s="89" t="s">
        <v>3978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3763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077"/>
        <v>22384.930000000004</v>
      </c>
      <c r="X6943" s="6">
        <f t="shared" si="1078"/>
        <v>11101.666666666668</v>
      </c>
      <c r="Y6943" s="13">
        <f t="shared" si="1080"/>
        <v>0</v>
      </c>
      <c r="Z6943" s="66">
        <v>0</v>
      </c>
      <c r="AA6943" s="6">
        <v>0</v>
      </c>
      <c r="AB6943" s="4">
        <f t="shared" si="1081"/>
        <v>11101.666666666668</v>
      </c>
      <c r="AC6943" s="6">
        <f t="shared" si="1079"/>
        <v>222.03333333333285</v>
      </c>
      <c r="AD6943" s="6">
        <f t="shared" si="1074"/>
        <v>11323.7</v>
      </c>
      <c r="AE6943" s="14">
        <f>VLOOKUP(I6943,[2]媒体政策预估表!A:N,MATCH(O6943,[2]媒体政策预估表!$A$2:$M$2,0),0)</f>
        <v>0.1293</v>
      </c>
      <c r="AF6943" s="6">
        <f t="shared" si="1076"/>
        <v>1464.1544100000001</v>
      </c>
      <c r="AG6943" s="14">
        <v>0</v>
      </c>
      <c r="AH6943" s="64">
        <f t="shared" si="1075"/>
        <v>11323.7</v>
      </c>
      <c r="AJ6943" s="126" t="e">
        <v>#N/A</v>
      </c>
      <c r="AK6943" s="80">
        <f t="shared" si="1082"/>
        <v>0</v>
      </c>
      <c r="AL6943" s="85"/>
      <c r="AM6943" s="85"/>
    </row>
    <row r="6944" spans="1:39" s="86" customFormat="1" ht="13.25" hidden="1" customHeight="1" x14ac:dyDescent="0.3">
      <c r="A6944" s="89" t="s">
        <v>3978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3763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077"/>
        <v>18275.100000000009</v>
      </c>
      <c r="X6944" s="6">
        <f t="shared" si="1078"/>
        <v>18151.079999999998</v>
      </c>
      <c r="Y6944" s="13">
        <f t="shared" si="1080"/>
        <v>0</v>
      </c>
      <c r="Z6944" s="66">
        <v>0</v>
      </c>
      <c r="AA6944" s="6">
        <v>0</v>
      </c>
      <c r="AB6944" s="4">
        <f t="shared" si="1081"/>
        <v>18151.079999999998</v>
      </c>
      <c r="AC6944" s="6">
        <f t="shared" si="1079"/>
        <v>0</v>
      </c>
      <c r="AD6944" s="6">
        <f t="shared" si="1074"/>
        <v>18151.079999999998</v>
      </c>
      <c r="AE6944" s="14">
        <f>VLOOKUP(I6944,[2]媒体政策预估表!A:N,MATCH(O6944,[2]媒体政策预估表!$A$2:$M$2,0),0)</f>
        <v>0.1293</v>
      </c>
      <c r="AF6944" s="6">
        <f t="shared" si="1076"/>
        <v>2346.9346439999999</v>
      </c>
      <c r="AG6944" s="14">
        <v>0</v>
      </c>
      <c r="AH6944" s="64">
        <f t="shared" si="1075"/>
        <v>18151.079999999998</v>
      </c>
      <c r="AJ6944" s="126" t="e">
        <v>#N/A</v>
      </c>
      <c r="AK6944" s="80">
        <f t="shared" si="1082"/>
        <v>0</v>
      </c>
      <c r="AL6944" s="85"/>
      <c r="AM6944" s="85"/>
    </row>
    <row r="6945" spans="1:39" s="86" customFormat="1" ht="13.25" hidden="1" customHeight="1" x14ac:dyDescent="0.3">
      <c r="A6945" s="89" t="s">
        <v>3792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3763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077"/>
        <v>11683.650000000001</v>
      </c>
      <c r="X6945" s="6">
        <f t="shared" si="1078"/>
        <v>12406.86</v>
      </c>
      <c r="Y6945" s="13">
        <f t="shared" si="1080"/>
        <v>0</v>
      </c>
      <c r="Z6945" s="66">
        <v>0</v>
      </c>
      <c r="AA6945" s="6">
        <v>0</v>
      </c>
      <c r="AB6945" s="4">
        <f t="shared" si="1081"/>
        <v>12406.86</v>
      </c>
      <c r="AC6945" s="6">
        <f t="shared" si="1079"/>
        <v>0</v>
      </c>
      <c r="AD6945" s="6">
        <f t="shared" ref="AD6945:AD7008" si="1083">V6945</f>
        <v>12406.86</v>
      </c>
      <c r="AE6945" s="14">
        <f>VLOOKUP(I6945,[2]媒体政策预估表!A:N,MATCH(O6945,[2]媒体政策预估表!$A$2:$M$2,0),0)</f>
        <v>0.1293</v>
      </c>
      <c r="AF6945" s="6">
        <f t="shared" si="1076"/>
        <v>1604.2069980000001</v>
      </c>
      <c r="AG6945" s="14">
        <v>0</v>
      </c>
      <c r="AH6945" s="64">
        <f t="shared" ref="AH6945:AH7008" si="1084">V6945</f>
        <v>12406.86</v>
      </c>
      <c r="AJ6945" s="126" t="e">
        <v>#N/A</v>
      </c>
      <c r="AK6945" s="80">
        <f t="shared" si="1082"/>
        <v>0</v>
      </c>
      <c r="AL6945" s="85"/>
      <c r="AM6945" s="85"/>
    </row>
    <row r="6946" spans="1:39" s="86" customFormat="1" ht="13.25" hidden="1" customHeight="1" x14ac:dyDescent="0.3">
      <c r="A6946" s="89" t="s">
        <v>3792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3763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077"/>
        <v>7183.9599999999991</v>
      </c>
      <c r="X6946" s="6">
        <f t="shared" si="1078"/>
        <v>36125.980000000003</v>
      </c>
      <c r="Y6946" s="13">
        <f t="shared" si="1080"/>
        <v>0</v>
      </c>
      <c r="Z6946" s="66">
        <v>0</v>
      </c>
      <c r="AA6946" s="6">
        <v>0</v>
      </c>
      <c r="AB6946" s="4">
        <f t="shared" si="1081"/>
        <v>36125.980000000003</v>
      </c>
      <c r="AC6946" s="6">
        <f t="shared" si="1079"/>
        <v>0</v>
      </c>
      <c r="AD6946" s="6">
        <f t="shared" si="1083"/>
        <v>36125.980000000003</v>
      </c>
      <c r="AE6946" s="14">
        <f>VLOOKUP(I6946,[2]媒体政策预估表!A:N,MATCH(O6946,[2]媒体政策预估表!$A$2:$M$2,0),0)</f>
        <v>0.1293</v>
      </c>
      <c r="AF6946" s="6">
        <f t="shared" si="1076"/>
        <v>4671.0892140000005</v>
      </c>
      <c r="AG6946" s="14">
        <v>0</v>
      </c>
      <c r="AH6946" s="64">
        <f t="shared" si="1084"/>
        <v>36125.980000000003</v>
      </c>
      <c r="AJ6946" s="126" t="e">
        <v>#N/A</v>
      </c>
      <c r="AK6946" s="80">
        <f t="shared" si="1082"/>
        <v>0</v>
      </c>
      <c r="AL6946" s="85"/>
      <c r="AM6946" s="85"/>
    </row>
    <row r="6947" spans="1:39" s="86" customFormat="1" ht="13.25" hidden="1" customHeight="1" x14ac:dyDescent="0.3">
      <c r="A6947" s="89" t="s">
        <v>3978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3763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077"/>
        <v>10950.3</v>
      </c>
      <c r="X6947" s="6">
        <f t="shared" si="1078"/>
        <v>19845.900000000001</v>
      </c>
      <c r="Y6947" s="13">
        <f t="shared" si="1080"/>
        <v>0</v>
      </c>
      <c r="Z6947" s="66">
        <v>0</v>
      </c>
      <c r="AA6947" s="6">
        <v>0</v>
      </c>
      <c r="AB6947" s="4">
        <f t="shared" si="1081"/>
        <v>19845.900000000001</v>
      </c>
      <c r="AC6947" s="6">
        <f t="shared" si="1079"/>
        <v>0</v>
      </c>
      <c r="AD6947" s="6">
        <f t="shared" si="1083"/>
        <v>19845.900000000001</v>
      </c>
      <c r="AE6947" s="14">
        <f>VLOOKUP(I6947,[2]媒体政策预估表!A:N,MATCH(O6947,[2]媒体政策预估表!$A$2:$M$2,0),0)</f>
        <v>0.1293</v>
      </c>
      <c r="AF6947" s="6">
        <f t="shared" si="1076"/>
        <v>2566.0748700000004</v>
      </c>
      <c r="AG6947" s="14">
        <v>0</v>
      </c>
      <c r="AH6947" s="64">
        <f t="shared" si="1084"/>
        <v>19845.900000000001</v>
      </c>
      <c r="AJ6947" s="126" t="e">
        <v>#N/A</v>
      </c>
      <c r="AK6947" s="80">
        <f t="shared" si="1082"/>
        <v>0</v>
      </c>
      <c r="AL6947" s="85"/>
      <c r="AM6947" s="85"/>
    </row>
    <row r="6948" spans="1:39" s="86" customFormat="1" ht="13.25" hidden="1" customHeight="1" x14ac:dyDescent="0.3">
      <c r="A6948" s="89" t="s">
        <v>3978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3763</v>
      </c>
      <c r="L6948" s="1" t="s">
        <v>701</v>
      </c>
      <c r="M6948" s="86" t="s">
        <v>4001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077"/>
        <v>0</v>
      </c>
      <c r="X6948" s="6">
        <f t="shared" si="1078"/>
        <v>5000</v>
      </c>
      <c r="Y6948" s="13">
        <f t="shared" si="1080"/>
        <v>0</v>
      </c>
      <c r="Z6948" s="66">
        <v>0</v>
      </c>
      <c r="AA6948" s="6">
        <v>0</v>
      </c>
      <c r="AB6948" s="4">
        <f t="shared" si="1081"/>
        <v>5000</v>
      </c>
      <c r="AC6948" s="6">
        <f t="shared" si="1079"/>
        <v>0</v>
      </c>
      <c r="AD6948" s="6">
        <f t="shared" si="1083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085">AD6948*AE6948</f>
        <v>646.5</v>
      </c>
      <c r="AG6948" s="14">
        <v>0</v>
      </c>
      <c r="AH6948" s="64">
        <f t="shared" si="1084"/>
        <v>5000</v>
      </c>
      <c r="AJ6948" s="126" t="e">
        <v>#N/A</v>
      </c>
      <c r="AK6948" s="80">
        <f t="shared" si="1082"/>
        <v>0</v>
      </c>
      <c r="AL6948" s="85"/>
      <c r="AM6948" s="85"/>
    </row>
    <row r="6949" spans="1:39" s="86" customFormat="1" ht="13.25" hidden="1" customHeight="1" x14ac:dyDescent="0.3">
      <c r="A6949" s="89" t="s">
        <v>3978</v>
      </c>
      <c r="B6949" s="86" t="s">
        <v>701</v>
      </c>
      <c r="C6949" s="86" t="s">
        <v>164</v>
      </c>
      <c r="D6949" s="86" t="s">
        <v>305</v>
      </c>
      <c r="E6949" s="86" t="s">
        <v>3875</v>
      </c>
      <c r="F6949" s="86" t="s">
        <v>3875</v>
      </c>
      <c r="G6949" s="86" t="s">
        <v>3875</v>
      </c>
      <c r="H6949" s="144">
        <v>83</v>
      </c>
      <c r="I6949" s="86" t="s">
        <v>78</v>
      </c>
      <c r="J6949" s="1" t="s">
        <v>3303</v>
      </c>
      <c r="K6949" s="1" t="s">
        <v>3763</v>
      </c>
      <c r="L6949" s="1" t="s">
        <v>701</v>
      </c>
      <c r="M6949" s="86" t="s">
        <v>3875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077"/>
        <v>23257.4</v>
      </c>
      <c r="X6949" s="6">
        <f t="shared" si="1078"/>
        <v>6675.8415841584165</v>
      </c>
      <c r="Y6949" s="13">
        <f t="shared" si="1080"/>
        <v>0</v>
      </c>
      <c r="Z6949" s="66">
        <v>0</v>
      </c>
      <c r="AA6949" s="6">
        <v>0</v>
      </c>
      <c r="AB6949" s="4">
        <f t="shared" si="1081"/>
        <v>6675.8415841584165</v>
      </c>
      <c r="AC6949" s="6">
        <f t="shared" si="1079"/>
        <v>66.758415841583883</v>
      </c>
      <c r="AD6949" s="6">
        <f t="shared" si="1083"/>
        <v>6742.6</v>
      </c>
      <c r="AE6949" s="14">
        <f>VLOOKUP(I6949,[2]媒体政策预估表!A:N,MATCH(O6949,[2]媒体政策预估表!$A$2:$M$2,0),0)</f>
        <v>0.1293</v>
      </c>
      <c r="AF6949" s="6">
        <f t="shared" si="1085"/>
        <v>871.81817999999998</v>
      </c>
      <c r="AG6949" s="14">
        <v>0</v>
      </c>
      <c r="AH6949" s="64">
        <f t="shared" si="1084"/>
        <v>6742.6</v>
      </c>
      <c r="AJ6949" s="126" t="e">
        <v>#N/A</v>
      </c>
      <c r="AK6949" s="80">
        <f t="shared" si="1082"/>
        <v>0</v>
      </c>
      <c r="AL6949" s="85"/>
      <c r="AM6949" s="85"/>
    </row>
    <row r="6950" spans="1:39" s="86" customFormat="1" ht="13.25" hidden="1" customHeight="1" x14ac:dyDescent="0.3">
      <c r="A6950" s="89" t="s">
        <v>3978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3763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077"/>
        <v>9340.700000000008</v>
      </c>
      <c r="X6950" s="6">
        <f t="shared" si="1078"/>
        <v>23844.316831683165</v>
      </c>
      <c r="Y6950" s="13">
        <f t="shared" si="1080"/>
        <v>0</v>
      </c>
      <c r="Z6950" s="66">
        <v>0</v>
      </c>
      <c r="AA6950" s="6">
        <v>0</v>
      </c>
      <c r="AB6950" s="4">
        <f t="shared" si="1081"/>
        <v>23844.316831683165</v>
      </c>
      <c r="AC6950" s="6">
        <f t="shared" si="1079"/>
        <v>238.44316831683318</v>
      </c>
      <c r="AD6950" s="6">
        <f t="shared" si="1083"/>
        <v>24082.76</v>
      </c>
      <c r="AE6950" s="14">
        <f>VLOOKUP(I6950,[2]媒体政策预估表!A:N,MATCH(O6950,[2]媒体政策预估表!$A$2:$M$2,0),0)</f>
        <v>0.1293</v>
      </c>
      <c r="AF6950" s="6">
        <f t="shared" si="1085"/>
        <v>3113.9008679999997</v>
      </c>
      <c r="AG6950" s="14">
        <v>0</v>
      </c>
      <c r="AH6950" s="64">
        <f t="shared" si="1084"/>
        <v>24082.76</v>
      </c>
      <c r="AJ6950" s="126" t="e">
        <v>#N/A</v>
      </c>
      <c r="AK6950" s="80">
        <f t="shared" si="1082"/>
        <v>0</v>
      </c>
      <c r="AL6950" s="85"/>
      <c r="AM6950" s="85"/>
    </row>
    <row r="6951" spans="1:39" s="86" customFormat="1" ht="13.25" hidden="1" customHeight="1" x14ac:dyDescent="0.3">
      <c r="A6951" s="89" t="s">
        <v>3978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3763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077"/>
        <v>7235.6</v>
      </c>
      <c r="X6951" s="6">
        <f t="shared" si="1078"/>
        <v>6387.6</v>
      </c>
      <c r="Y6951" s="13">
        <f t="shared" si="1080"/>
        <v>0</v>
      </c>
      <c r="Z6951" s="66">
        <v>0</v>
      </c>
      <c r="AA6951" s="6">
        <v>0</v>
      </c>
      <c r="AB6951" s="4">
        <f t="shared" si="1081"/>
        <v>6387.6</v>
      </c>
      <c r="AC6951" s="6">
        <f t="shared" si="1079"/>
        <v>0</v>
      </c>
      <c r="AD6951" s="6">
        <f t="shared" si="1083"/>
        <v>6387.6</v>
      </c>
      <c r="AE6951" s="14">
        <f>VLOOKUP(I6951,[2]媒体政策预估表!A:N,MATCH(O6951,[2]媒体政策预估表!$A$2:$M$2,0),0)</f>
        <v>0.1293</v>
      </c>
      <c r="AF6951" s="6">
        <f t="shared" si="1085"/>
        <v>825.91668000000004</v>
      </c>
      <c r="AG6951" s="14">
        <v>0</v>
      </c>
      <c r="AH6951" s="64">
        <f t="shared" si="1084"/>
        <v>6387.6</v>
      </c>
      <c r="AJ6951" s="126" t="e">
        <v>#N/A</v>
      </c>
      <c r="AK6951" s="80">
        <f t="shared" si="1082"/>
        <v>0</v>
      </c>
      <c r="AL6951" s="85"/>
      <c r="AM6951" s="85"/>
    </row>
    <row r="6952" spans="1:39" s="86" customFormat="1" ht="13.25" hidden="1" customHeight="1" x14ac:dyDescent="0.3">
      <c r="A6952" s="89" t="s">
        <v>3792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3763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077"/>
        <v>9638.8999999999978</v>
      </c>
      <c r="X6952" s="6">
        <f t="shared" si="1078"/>
        <v>2265.6999999999998</v>
      </c>
      <c r="Y6952" s="13">
        <f t="shared" si="1080"/>
        <v>0</v>
      </c>
      <c r="Z6952" s="66">
        <v>0</v>
      </c>
      <c r="AA6952" s="6">
        <v>0</v>
      </c>
      <c r="AB6952" s="4">
        <f t="shared" si="1081"/>
        <v>2265.6999999999998</v>
      </c>
      <c r="AC6952" s="6">
        <f t="shared" si="1079"/>
        <v>0</v>
      </c>
      <c r="AD6952" s="6">
        <f t="shared" si="1083"/>
        <v>2265.6999999999998</v>
      </c>
      <c r="AE6952" s="14">
        <f>VLOOKUP(I6952,[2]媒体政策预估表!A:N,MATCH(O6952,[2]媒体政策预估表!$A$2:$M$2,0),0)</f>
        <v>0.1293</v>
      </c>
      <c r="AF6952" s="6">
        <f t="shared" si="1085"/>
        <v>292.95500999999996</v>
      </c>
      <c r="AG6952" s="14">
        <v>0</v>
      </c>
      <c r="AH6952" s="64">
        <f t="shared" si="1084"/>
        <v>2265.6999999999998</v>
      </c>
      <c r="AJ6952" s="126" t="e">
        <v>#N/A</v>
      </c>
      <c r="AK6952" s="80">
        <f t="shared" si="1082"/>
        <v>0</v>
      </c>
      <c r="AL6952" s="85"/>
      <c r="AM6952" s="85"/>
    </row>
    <row r="6953" spans="1:39" s="86" customFormat="1" ht="13.25" hidden="1" customHeight="1" x14ac:dyDescent="0.3">
      <c r="A6953" s="89" t="s">
        <v>3792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3763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077"/>
        <v>7328.899999999996</v>
      </c>
      <c r="X6953" s="6">
        <f t="shared" si="1078"/>
        <v>14719.199999999999</v>
      </c>
      <c r="Y6953" s="13">
        <f t="shared" si="1080"/>
        <v>0</v>
      </c>
      <c r="Z6953" s="66">
        <v>0</v>
      </c>
      <c r="AA6953" s="6">
        <v>0</v>
      </c>
      <c r="AB6953" s="4">
        <f t="shared" si="1081"/>
        <v>14719.199999999999</v>
      </c>
      <c r="AC6953" s="6">
        <f t="shared" si="1079"/>
        <v>0</v>
      </c>
      <c r="AD6953" s="6">
        <f t="shared" si="1083"/>
        <v>14719.199999999999</v>
      </c>
      <c r="AE6953" s="14">
        <f>VLOOKUP(I6953,[2]媒体政策预估表!A:N,MATCH(O6953,[2]媒体政策预估表!$A$2:$M$2,0),0)</f>
        <v>0.1293</v>
      </c>
      <c r="AF6953" s="6">
        <f t="shared" si="1085"/>
        <v>1903.1925599999997</v>
      </c>
      <c r="AG6953" s="14">
        <v>0</v>
      </c>
      <c r="AH6953" s="64">
        <f t="shared" si="1084"/>
        <v>14719.199999999999</v>
      </c>
      <c r="AJ6953" s="126" t="e">
        <v>#N/A</v>
      </c>
      <c r="AK6953" s="80">
        <f t="shared" si="1082"/>
        <v>0</v>
      </c>
      <c r="AL6953" s="85"/>
      <c r="AM6953" s="85"/>
    </row>
    <row r="6954" spans="1:39" s="86" customFormat="1" ht="13.25" hidden="1" customHeight="1" x14ac:dyDescent="0.3">
      <c r="A6954" s="89" t="s">
        <v>3792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3763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077"/>
        <v>23596.6</v>
      </c>
      <c r="X6954" s="6">
        <f t="shared" si="1078"/>
        <v>11732.277227722772</v>
      </c>
      <c r="Y6954" s="13">
        <f t="shared" si="1080"/>
        <v>0</v>
      </c>
      <c r="Z6954" s="66">
        <v>0</v>
      </c>
      <c r="AA6954" s="6">
        <v>0</v>
      </c>
      <c r="AB6954" s="4">
        <f t="shared" si="1081"/>
        <v>11732.277227722772</v>
      </c>
      <c r="AC6954" s="6">
        <f t="shared" si="1079"/>
        <v>117.32277227722807</v>
      </c>
      <c r="AD6954" s="6">
        <f t="shared" si="1083"/>
        <v>11849.6</v>
      </c>
      <c r="AE6954" s="14">
        <f>VLOOKUP(I6954,[2]媒体政策预估表!A:N,MATCH(O6954,[2]媒体政策预估表!$A$2:$M$2,0),0)</f>
        <v>0.1293</v>
      </c>
      <c r="AF6954" s="6">
        <f t="shared" si="1085"/>
        <v>1532.15328</v>
      </c>
      <c r="AG6954" s="14">
        <v>0</v>
      </c>
      <c r="AH6954" s="64">
        <f t="shared" si="1084"/>
        <v>11849.6</v>
      </c>
      <c r="AJ6954" s="126" t="e">
        <v>#N/A</v>
      </c>
      <c r="AK6954" s="80">
        <f t="shared" si="1082"/>
        <v>0</v>
      </c>
      <c r="AL6954" s="85"/>
      <c r="AM6954" s="85"/>
    </row>
    <row r="6955" spans="1:39" s="86" customFormat="1" ht="13.25" hidden="1" customHeight="1" x14ac:dyDescent="0.3">
      <c r="A6955" s="89" t="s">
        <v>3792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3763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077"/>
        <v>964.64999999999782</v>
      </c>
      <c r="X6955" s="6">
        <f t="shared" si="1078"/>
        <v>14495.880000000001</v>
      </c>
      <c r="Y6955" s="13">
        <f t="shared" si="1080"/>
        <v>0</v>
      </c>
      <c r="Z6955" s="66">
        <v>0</v>
      </c>
      <c r="AA6955" s="6">
        <v>0</v>
      </c>
      <c r="AB6955" s="4">
        <f t="shared" si="1081"/>
        <v>14495.880000000001</v>
      </c>
      <c r="AC6955" s="6">
        <f t="shared" si="1079"/>
        <v>0</v>
      </c>
      <c r="AD6955" s="6">
        <f t="shared" si="1083"/>
        <v>14495.880000000001</v>
      </c>
      <c r="AE6955" s="14">
        <f>VLOOKUP(I6955,[2]媒体政策预估表!A:N,MATCH(O6955,[2]媒体政策预估表!$A$2:$M$2,0),0)</f>
        <v>0.1293</v>
      </c>
      <c r="AF6955" s="6">
        <f t="shared" si="1085"/>
        <v>1874.3172840000002</v>
      </c>
      <c r="AG6955" s="14">
        <v>0</v>
      </c>
      <c r="AH6955" s="64">
        <f t="shared" si="1084"/>
        <v>14495.880000000001</v>
      </c>
      <c r="AJ6955" s="126" t="e">
        <v>#N/A</v>
      </c>
      <c r="AK6955" s="80">
        <f t="shared" si="1082"/>
        <v>0</v>
      </c>
      <c r="AL6955" s="85"/>
      <c r="AM6955" s="85"/>
    </row>
    <row r="6956" spans="1:39" s="86" customFormat="1" ht="13.25" hidden="1" customHeight="1" x14ac:dyDescent="0.3">
      <c r="A6956" s="89" t="s">
        <v>3792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3763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077"/>
        <v>28607.25</v>
      </c>
      <c r="X6956" s="6">
        <f t="shared" si="1078"/>
        <v>27708.11</v>
      </c>
      <c r="Y6956" s="13">
        <f t="shared" si="1080"/>
        <v>0</v>
      </c>
      <c r="Z6956" s="66">
        <v>0</v>
      </c>
      <c r="AA6956" s="6">
        <v>0</v>
      </c>
      <c r="AB6956" s="4">
        <f t="shared" si="1081"/>
        <v>27708.11</v>
      </c>
      <c r="AC6956" s="6">
        <f t="shared" si="1079"/>
        <v>0</v>
      </c>
      <c r="AD6956" s="6">
        <f t="shared" si="1083"/>
        <v>27708.11</v>
      </c>
      <c r="AE6956" s="14">
        <f>VLOOKUP(I6956,[2]媒体政策预估表!A:N,MATCH(O6956,[2]媒体政策预估表!$A$2:$M$2,0),0)</f>
        <v>0.1293</v>
      </c>
      <c r="AF6956" s="6">
        <f t="shared" si="1085"/>
        <v>3582.6586229999998</v>
      </c>
      <c r="AG6956" s="14">
        <v>0</v>
      </c>
      <c r="AH6956" s="64">
        <f t="shared" si="1084"/>
        <v>27708.11</v>
      </c>
      <c r="AJ6956" s="126" t="e">
        <v>#N/A</v>
      </c>
      <c r="AK6956" s="80">
        <f t="shared" si="1082"/>
        <v>0</v>
      </c>
      <c r="AL6956" s="85"/>
      <c r="AM6956" s="85"/>
    </row>
    <row r="6957" spans="1:39" s="86" customFormat="1" ht="13.25" hidden="1" customHeight="1" x14ac:dyDescent="0.3">
      <c r="A6957" s="89" t="s">
        <v>3792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3763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077"/>
        <v>32493.710000000021</v>
      </c>
      <c r="X6957" s="6">
        <f t="shared" si="1078"/>
        <v>111285.84</v>
      </c>
      <c r="Y6957" s="13">
        <f t="shared" si="1080"/>
        <v>0</v>
      </c>
      <c r="Z6957" s="66">
        <v>0</v>
      </c>
      <c r="AA6957" s="6">
        <v>0</v>
      </c>
      <c r="AB6957" s="4">
        <f t="shared" si="1081"/>
        <v>111285.84</v>
      </c>
      <c r="AC6957" s="6">
        <f t="shared" si="1079"/>
        <v>0</v>
      </c>
      <c r="AD6957" s="6">
        <f t="shared" si="1083"/>
        <v>111285.84</v>
      </c>
      <c r="AE6957" s="14">
        <f>VLOOKUP(I6957,[2]媒体政策预估表!A:N,MATCH(O6957,[2]媒体政策预估表!$A$2:$M$2,0),0)</f>
        <v>0.1293</v>
      </c>
      <c r="AF6957" s="6">
        <f t="shared" si="1085"/>
        <v>14389.259112</v>
      </c>
      <c r="AG6957" s="14">
        <v>0</v>
      </c>
      <c r="AH6957" s="64">
        <f t="shared" si="1084"/>
        <v>111285.84</v>
      </c>
      <c r="AJ6957" s="126" t="e">
        <v>#N/A</v>
      </c>
      <c r="AK6957" s="80">
        <f t="shared" si="1082"/>
        <v>0</v>
      </c>
      <c r="AL6957" s="85"/>
      <c r="AM6957" s="85"/>
    </row>
    <row r="6958" spans="1:39" s="86" customFormat="1" ht="13.25" hidden="1" customHeight="1" x14ac:dyDescent="0.3">
      <c r="A6958" s="89" t="s">
        <v>3792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3763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077"/>
        <v>8114.02</v>
      </c>
      <c r="X6958" s="6">
        <f t="shared" si="1078"/>
        <v>17192.59</v>
      </c>
      <c r="Y6958" s="13">
        <f t="shared" si="1080"/>
        <v>0</v>
      </c>
      <c r="Z6958" s="66">
        <v>0</v>
      </c>
      <c r="AA6958" s="6">
        <v>0</v>
      </c>
      <c r="AB6958" s="4">
        <f t="shared" si="1081"/>
        <v>17192.59</v>
      </c>
      <c r="AC6958" s="6">
        <f t="shared" si="1079"/>
        <v>0</v>
      </c>
      <c r="AD6958" s="6">
        <f t="shared" si="1083"/>
        <v>17192.59</v>
      </c>
      <c r="AE6958" s="14">
        <f>VLOOKUP(I6958,[2]媒体政策预估表!A:N,MATCH(O6958,[2]媒体政策预估表!$A$2:$M$2,0),0)</f>
        <v>0.1293</v>
      </c>
      <c r="AF6958" s="6">
        <f t="shared" si="1085"/>
        <v>2223.0018869999999</v>
      </c>
      <c r="AG6958" s="14">
        <v>0</v>
      </c>
      <c r="AH6958" s="64">
        <f t="shared" si="1084"/>
        <v>17192.59</v>
      </c>
      <c r="AJ6958" s="126" t="e">
        <v>#N/A</v>
      </c>
      <c r="AK6958" s="80">
        <f t="shared" si="1082"/>
        <v>0</v>
      </c>
      <c r="AL6958" s="85"/>
      <c r="AM6958" s="85"/>
    </row>
    <row r="6959" spans="1:39" s="86" customFormat="1" ht="13.25" hidden="1" customHeight="1" x14ac:dyDescent="0.3">
      <c r="A6959" s="89" t="s">
        <v>3792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3763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077"/>
        <v>0</v>
      </c>
      <c r="X6959" s="6">
        <f t="shared" si="1078"/>
        <v>0</v>
      </c>
      <c r="Y6959" s="13">
        <f t="shared" si="1080"/>
        <v>0</v>
      </c>
      <c r="Z6959" s="66">
        <v>0</v>
      </c>
      <c r="AA6959" s="6">
        <v>0</v>
      </c>
      <c r="AB6959" s="4">
        <f t="shared" si="1081"/>
        <v>0</v>
      </c>
      <c r="AC6959" s="6">
        <f t="shared" si="1079"/>
        <v>0</v>
      </c>
      <c r="AD6959" s="6">
        <f t="shared" si="1083"/>
        <v>0</v>
      </c>
      <c r="AE6959" s="14">
        <f>VLOOKUP(I6959,[2]媒体政策预估表!A:N,MATCH(O6959,[2]媒体政策预估表!$A$2:$M$2,0),0)</f>
        <v>0.1293</v>
      </c>
      <c r="AF6959" s="6">
        <f t="shared" si="1085"/>
        <v>0</v>
      </c>
      <c r="AG6959" s="14">
        <v>0</v>
      </c>
      <c r="AH6959" s="64">
        <f t="shared" si="1084"/>
        <v>0</v>
      </c>
      <c r="AJ6959" s="126" t="e">
        <v>#N/A</v>
      </c>
      <c r="AK6959" s="80">
        <f t="shared" si="1082"/>
        <v>0</v>
      </c>
      <c r="AL6959" s="85"/>
      <c r="AM6959" s="85"/>
    </row>
    <row r="6960" spans="1:39" s="86" customFormat="1" ht="13.25" hidden="1" customHeight="1" x14ac:dyDescent="0.3">
      <c r="A6960" s="89" t="s">
        <v>3978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3763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086">T6960+U6960-V6960</f>
        <v>8579.409999999998</v>
      </c>
      <c r="X6960" s="6">
        <f t="shared" ref="X6960:X7023" si="1087">IF(P6960="折扣",V6960*Q6960,IF(P6960="返现",V6960,V6960/(1+Q6960)))</f>
        <v>10342.35</v>
      </c>
      <c r="Y6960" s="13">
        <f t="shared" si="1080"/>
        <v>0</v>
      </c>
      <c r="Z6960" s="66">
        <v>0</v>
      </c>
      <c r="AA6960" s="6">
        <v>0</v>
      </c>
      <c r="AB6960" s="4">
        <f t="shared" si="1081"/>
        <v>10342.35</v>
      </c>
      <c r="AC6960" s="6">
        <f t="shared" si="1079"/>
        <v>0</v>
      </c>
      <c r="AD6960" s="6">
        <f t="shared" si="1083"/>
        <v>10342.35</v>
      </c>
      <c r="AE6960" s="14">
        <f>VLOOKUP(I6960,[2]媒体政策预估表!A:N,MATCH(O6960,[2]媒体政策预估表!$A$2:$M$2,0),0)</f>
        <v>0.1293</v>
      </c>
      <c r="AF6960" s="6">
        <f t="shared" si="1085"/>
        <v>1337.2658550000001</v>
      </c>
      <c r="AG6960" s="14">
        <v>0</v>
      </c>
      <c r="AH6960" s="64">
        <f t="shared" si="1084"/>
        <v>10342.35</v>
      </c>
      <c r="AJ6960" s="126" t="e">
        <v>#N/A</v>
      </c>
      <c r="AK6960" s="80">
        <f t="shared" si="1082"/>
        <v>0</v>
      </c>
      <c r="AL6960" s="85"/>
      <c r="AM6960" s="85"/>
    </row>
    <row r="6961" spans="1:39" s="86" customFormat="1" ht="13.25" hidden="1" customHeight="1" x14ac:dyDescent="0.3">
      <c r="A6961" s="89" t="s">
        <v>3978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3763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086"/>
        <v>4996.7999999999993</v>
      </c>
      <c r="X6961" s="6">
        <f t="shared" si="1087"/>
        <v>15003.2</v>
      </c>
      <c r="Y6961" s="13">
        <f t="shared" si="1080"/>
        <v>0</v>
      </c>
      <c r="Z6961" s="66">
        <v>0</v>
      </c>
      <c r="AA6961" s="6">
        <v>0</v>
      </c>
      <c r="AB6961" s="4">
        <f t="shared" si="1081"/>
        <v>15003.2</v>
      </c>
      <c r="AC6961" s="6">
        <f t="shared" si="1079"/>
        <v>0</v>
      </c>
      <c r="AD6961" s="6">
        <f t="shared" si="1083"/>
        <v>15003.2</v>
      </c>
      <c r="AE6961" s="14">
        <f>VLOOKUP(I6961,[2]媒体政策预估表!A:N,MATCH(O6961,[2]媒体政策预估表!$A$2:$M$2,0),0)</f>
        <v>0.1293</v>
      </c>
      <c r="AF6961" s="6">
        <f t="shared" si="1085"/>
        <v>1939.9137600000001</v>
      </c>
      <c r="AG6961" s="14">
        <v>0</v>
      </c>
      <c r="AH6961" s="64">
        <f t="shared" si="1084"/>
        <v>15003.2</v>
      </c>
      <c r="AJ6961" s="126" t="e">
        <v>#N/A</v>
      </c>
      <c r="AK6961" s="80">
        <f t="shared" si="1082"/>
        <v>0</v>
      </c>
      <c r="AL6961" s="85"/>
      <c r="AM6961" s="85"/>
    </row>
    <row r="6962" spans="1:39" s="86" customFormat="1" ht="13.25" hidden="1" customHeight="1" x14ac:dyDescent="0.3">
      <c r="A6962" s="89" t="s">
        <v>3792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3763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086"/>
        <v>2220.3900000000021</v>
      </c>
      <c r="X6962" s="6">
        <f t="shared" si="1087"/>
        <v>5659.61</v>
      </c>
      <c r="Y6962" s="13">
        <f t="shared" si="1080"/>
        <v>0</v>
      </c>
      <c r="Z6962" s="66">
        <v>0</v>
      </c>
      <c r="AA6962" s="6">
        <v>0</v>
      </c>
      <c r="AB6962" s="4">
        <f t="shared" si="1081"/>
        <v>5659.61</v>
      </c>
      <c r="AC6962" s="6">
        <f t="shared" si="1079"/>
        <v>0</v>
      </c>
      <c r="AD6962" s="6">
        <f t="shared" si="1083"/>
        <v>5659.61</v>
      </c>
      <c r="AE6962" s="14">
        <f>VLOOKUP(I6962,[2]媒体政策预估表!A:N,MATCH(O6962,[2]媒体政策预估表!$A$2:$M$2,0),0)</f>
        <v>0.1293</v>
      </c>
      <c r="AF6962" s="6">
        <f t="shared" si="1085"/>
        <v>731.78757299999995</v>
      </c>
      <c r="AG6962" s="14">
        <v>0</v>
      </c>
      <c r="AH6962" s="64">
        <f t="shared" si="1084"/>
        <v>5659.61</v>
      </c>
      <c r="AJ6962" s="126" t="e">
        <v>#N/A</v>
      </c>
      <c r="AK6962" s="80">
        <f t="shared" si="1082"/>
        <v>0</v>
      </c>
      <c r="AL6962" s="85"/>
      <c r="AM6962" s="85"/>
    </row>
    <row r="6963" spans="1:39" s="86" customFormat="1" ht="13.25" hidden="1" customHeight="1" x14ac:dyDescent="0.3">
      <c r="A6963" s="89" t="s">
        <v>3978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3763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086"/>
        <v>2503.5699999999997</v>
      </c>
      <c r="X6963" s="6">
        <f t="shared" si="1087"/>
        <v>12902.630000000001</v>
      </c>
      <c r="Y6963" s="13">
        <f t="shared" si="1080"/>
        <v>0</v>
      </c>
      <c r="Z6963" s="66">
        <v>0</v>
      </c>
      <c r="AA6963" s="6">
        <v>0</v>
      </c>
      <c r="AB6963" s="4">
        <v>12902.630000000001</v>
      </c>
      <c r="AC6963" s="6">
        <f t="shared" si="1079"/>
        <v>0</v>
      </c>
      <c r="AD6963" s="6">
        <f t="shared" si="1083"/>
        <v>12902.630000000001</v>
      </c>
      <c r="AE6963" s="14">
        <f>VLOOKUP(I6963,[2]媒体政策预估表!A:N,MATCH(O6963,[2]媒体政策预估表!$A$2:$M$2,0),0)</f>
        <v>0.1293</v>
      </c>
      <c r="AF6963" s="6">
        <f t="shared" si="1085"/>
        <v>1668.3100590000001</v>
      </c>
      <c r="AG6963" s="14">
        <v>0</v>
      </c>
      <c r="AH6963" s="64">
        <f t="shared" si="1084"/>
        <v>12902.630000000001</v>
      </c>
      <c r="AJ6963" s="126" t="s">
        <v>4217</v>
      </c>
      <c r="AK6963" s="80">
        <f t="shared" si="1082"/>
        <v>0</v>
      </c>
      <c r="AL6963" s="85"/>
      <c r="AM6963" s="85"/>
    </row>
    <row r="6964" spans="1:39" s="86" customFormat="1" ht="13.25" hidden="1" customHeight="1" x14ac:dyDescent="0.3">
      <c r="A6964" s="89" t="s">
        <v>3792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3763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086"/>
        <v>4596.699999999998</v>
      </c>
      <c r="X6964" s="6">
        <f t="shared" si="1087"/>
        <v>5165.8</v>
      </c>
      <c r="Y6964" s="13">
        <f t="shared" si="1080"/>
        <v>0</v>
      </c>
      <c r="Z6964" s="66">
        <v>0</v>
      </c>
      <c r="AA6964" s="6">
        <v>0</v>
      </c>
      <c r="AB6964" s="4">
        <v>3602.638627450986</v>
      </c>
      <c r="AC6964" s="6">
        <f t="shared" si="1079"/>
        <v>0</v>
      </c>
      <c r="AD6964" s="6">
        <f t="shared" si="1083"/>
        <v>5165.8</v>
      </c>
      <c r="AE6964" s="14">
        <f>VLOOKUP(I6964,[2]媒体政策预估表!A:N,MATCH(O6964,[2]媒体政策预估表!$A$2:$M$2,0),0)</f>
        <v>0.1293</v>
      </c>
      <c r="AF6964" s="6">
        <f t="shared" si="1085"/>
        <v>667.93794000000003</v>
      </c>
      <c r="AG6964" s="14">
        <v>0</v>
      </c>
      <c r="AH6964" s="64">
        <f t="shared" si="1084"/>
        <v>5165.8</v>
      </c>
      <c r="AJ6964" s="126" t="s">
        <v>4217</v>
      </c>
      <c r="AK6964" s="80">
        <f t="shared" si="1082"/>
        <v>1563.1613725490142</v>
      </c>
      <c r="AL6964" s="85"/>
      <c r="AM6964" s="85"/>
    </row>
    <row r="6965" spans="1:39" s="86" customFormat="1" ht="13.25" hidden="1" customHeight="1" x14ac:dyDescent="0.3">
      <c r="A6965" s="89" t="s">
        <v>3978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3763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086"/>
        <v>28954.200000000019</v>
      </c>
      <c r="X6965" s="6">
        <f t="shared" si="1087"/>
        <v>41447.07</v>
      </c>
      <c r="Y6965" s="13">
        <f t="shared" si="1080"/>
        <v>0</v>
      </c>
      <c r="Z6965" s="66">
        <v>0</v>
      </c>
      <c r="AA6965" s="6">
        <v>0</v>
      </c>
      <c r="AB6965" s="4">
        <f t="shared" si="1081"/>
        <v>41447.07</v>
      </c>
      <c r="AC6965" s="6">
        <f t="shared" si="1079"/>
        <v>0</v>
      </c>
      <c r="AD6965" s="6">
        <f t="shared" si="1083"/>
        <v>41447.07</v>
      </c>
      <c r="AE6965" s="14">
        <f>VLOOKUP(I6965,[2]媒体政策预估表!A:N,MATCH(O6965,[2]媒体政策预估表!$A$2:$M$2,0),0)</f>
        <v>0.1293</v>
      </c>
      <c r="AF6965" s="6">
        <f t="shared" si="1085"/>
        <v>5359.106151</v>
      </c>
      <c r="AG6965" s="14">
        <v>0</v>
      </c>
      <c r="AH6965" s="64">
        <f t="shared" si="1084"/>
        <v>41447.07</v>
      </c>
      <c r="AJ6965" s="126" t="e">
        <v>#N/A</v>
      </c>
      <c r="AK6965" s="80">
        <f t="shared" si="1082"/>
        <v>0</v>
      </c>
      <c r="AL6965" s="85"/>
      <c r="AM6965" s="85"/>
    </row>
    <row r="6966" spans="1:39" s="86" customFormat="1" ht="13.25" hidden="1" customHeight="1" x14ac:dyDescent="0.3">
      <c r="A6966" s="89" t="s">
        <v>3792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3763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086"/>
        <v>38913.170000000013</v>
      </c>
      <c r="X6966" s="6">
        <f t="shared" si="1087"/>
        <v>97636.650485436898</v>
      </c>
      <c r="Y6966" s="13">
        <f t="shared" si="1080"/>
        <v>0</v>
      </c>
      <c r="Z6966" s="66">
        <v>0</v>
      </c>
      <c r="AA6966" s="6">
        <v>0</v>
      </c>
      <c r="AB6966" s="4">
        <f t="shared" si="1081"/>
        <v>97636.650485436898</v>
      </c>
      <c r="AC6966" s="6">
        <f t="shared" si="1079"/>
        <v>2929.0995145631023</v>
      </c>
      <c r="AD6966" s="6">
        <f t="shared" si="1083"/>
        <v>100565.75</v>
      </c>
      <c r="AE6966" s="14">
        <f>VLOOKUP(I6966,[2]媒体政策预估表!A:N,MATCH(O6966,[2]媒体政策预估表!$A$2:$M$2,0),0)</f>
        <v>0.1293</v>
      </c>
      <c r="AF6966" s="6">
        <f t="shared" si="1085"/>
        <v>13003.151475000001</v>
      </c>
      <c r="AG6966" s="14">
        <v>0</v>
      </c>
      <c r="AH6966" s="64">
        <f t="shared" si="1084"/>
        <v>100565.75</v>
      </c>
      <c r="AJ6966" s="126" t="e">
        <v>#N/A</v>
      </c>
      <c r="AK6966" s="80">
        <f t="shared" si="1082"/>
        <v>0</v>
      </c>
      <c r="AL6966" s="85"/>
      <c r="AM6966" s="85"/>
    </row>
    <row r="6967" spans="1:39" s="86" customFormat="1" ht="13.25" hidden="1" customHeight="1" x14ac:dyDescent="0.3">
      <c r="A6967" s="89" t="s">
        <v>3792</v>
      </c>
      <c r="B6967" s="86" t="s">
        <v>701</v>
      </c>
      <c r="C6967" s="86" t="s">
        <v>164</v>
      </c>
      <c r="D6967" s="86" t="s">
        <v>174</v>
      </c>
      <c r="E6967" s="86" t="s">
        <v>4002</v>
      </c>
      <c r="F6967" s="86" t="s">
        <v>4002</v>
      </c>
      <c r="G6967" s="86" t="s">
        <v>4002</v>
      </c>
      <c r="H6967" s="144">
        <v>83</v>
      </c>
      <c r="I6967" s="86" t="s">
        <v>78</v>
      </c>
      <c r="J6967" s="1" t="s">
        <v>3303</v>
      </c>
      <c r="K6967" s="1" t="s">
        <v>3763</v>
      </c>
      <c r="L6967" s="1" t="s">
        <v>701</v>
      </c>
      <c r="M6967" s="86" t="s">
        <v>4003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086"/>
        <v>8943.9599999999991</v>
      </c>
      <c r="X6967" s="6">
        <f t="shared" si="1087"/>
        <v>1056.04</v>
      </c>
      <c r="Y6967" s="13">
        <f t="shared" si="1080"/>
        <v>0</v>
      </c>
      <c r="Z6967" s="66">
        <v>0</v>
      </c>
      <c r="AA6967" s="6">
        <v>0</v>
      </c>
      <c r="AB6967" s="4">
        <f t="shared" si="1081"/>
        <v>1056.04</v>
      </c>
      <c r="AC6967" s="6">
        <f t="shared" si="1079"/>
        <v>0</v>
      </c>
      <c r="AD6967" s="6">
        <f t="shared" si="1083"/>
        <v>1056.04</v>
      </c>
      <c r="AE6967" s="14">
        <f>VLOOKUP(I6967,[2]媒体政策预估表!A:N,MATCH(O6967,[2]媒体政策预估表!$A$2:$M$2,0),0)</f>
        <v>0.1293</v>
      </c>
      <c r="AF6967" s="6">
        <f t="shared" si="1085"/>
        <v>136.54597200000001</v>
      </c>
      <c r="AG6967" s="14">
        <v>0</v>
      </c>
      <c r="AH6967" s="64">
        <f t="shared" si="1084"/>
        <v>1056.04</v>
      </c>
      <c r="AJ6967" s="126" t="e">
        <v>#N/A</v>
      </c>
      <c r="AK6967" s="80">
        <f t="shared" si="1082"/>
        <v>0</v>
      </c>
      <c r="AL6967" s="85"/>
      <c r="AM6967" s="85"/>
    </row>
    <row r="6968" spans="1:39" s="86" customFormat="1" ht="13.25" hidden="1" customHeight="1" x14ac:dyDescent="0.3">
      <c r="A6968" s="89" t="s">
        <v>3792</v>
      </c>
      <c r="B6968" s="86" t="s">
        <v>701</v>
      </c>
      <c r="C6968" s="86" t="s">
        <v>164</v>
      </c>
      <c r="D6968" s="86" t="s">
        <v>174</v>
      </c>
      <c r="E6968" s="86" t="s">
        <v>4002</v>
      </c>
      <c r="F6968" s="86" t="s">
        <v>4002</v>
      </c>
      <c r="G6968" s="86" t="s">
        <v>4002</v>
      </c>
      <c r="H6968" s="144">
        <v>83</v>
      </c>
      <c r="I6968" s="86" t="s">
        <v>78</v>
      </c>
      <c r="J6968" s="1" t="s">
        <v>3303</v>
      </c>
      <c r="K6968" s="1" t="s">
        <v>3763</v>
      </c>
      <c r="L6968" s="1" t="s">
        <v>701</v>
      </c>
      <c r="M6968" s="86" t="s">
        <v>4002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086"/>
        <v>11519.27</v>
      </c>
      <c r="X6968" s="6">
        <f t="shared" si="1087"/>
        <v>8480.73</v>
      </c>
      <c r="Y6968" s="13">
        <f t="shared" si="1080"/>
        <v>0</v>
      </c>
      <c r="Z6968" s="66">
        <v>0</v>
      </c>
      <c r="AA6968" s="6">
        <v>0</v>
      </c>
      <c r="AB6968" s="4">
        <f t="shared" si="1081"/>
        <v>8480.73</v>
      </c>
      <c r="AC6968" s="6">
        <f t="shared" si="1079"/>
        <v>0</v>
      </c>
      <c r="AD6968" s="6">
        <f t="shared" si="1083"/>
        <v>8480.73</v>
      </c>
      <c r="AE6968" s="14">
        <f>VLOOKUP(I6968,[2]媒体政策预估表!A:N,MATCH(O6968,[2]媒体政策预估表!$A$2:$M$2,0),0)</f>
        <v>0.1293</v>
      </c>
      <c r="AF6968" s="6">
        <f t="shared" si="1085"/>
        <v>1096.558389</v>
      </c>
      <c r="AG6968" s="14">
        <v>0</v>
      </c>
      <c r="AH6968" s="64">
        <f t="shared" si="1084"/>
        <v>8480.73</v>
      </c>
      <c r="AJ6968" s="126" t="e">
        <v>#N/A</v>
      </c>
      <c r="AK6968" s="80">
        <f t="shared" si="1082"/>
        <v>0</v>
      </c>
      <c r="AL6968" s="85"/>
      <c r="AM6968" s="85"/>
    </row>
    <row r="6969" spans="1:39" s="86" customFormat="1" ht="13.25" hidden="1" customHeight="1" x14ac:dyDescent="0.3">
      <c r="A6969" s="89" t="s">
        <v>3792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3763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086"/>
        <v>18176.839999999997</v>
      </c>
      <c r="X6969" s="6">
        <f t="shared" si="1087"/>
        <v>14047</v>
      </c>
      <c r="Y6969" s="13">
        <f t="shared" si="1080"/>
        <v>0</v>
      </c>
      <c r="Z6969" s="66">
        <v>0</v>
      </c>
      <c r="AA6969" s="6">
        <v>0</v>
      </c>
      <c r="AB6969" s="4">
        <f t="shared" si="1081"/>
        <v>14047</v>
      </c>
      <c r="AC6969" s="6">
        <f t="shared" si="1079"/>
        <v>0</v>
      </c>
      <c r="AD6969" s="6">
        <f t="shared" si="1083"/>
        <v>14047</v>
      </c>
      <c r="AE6969" s="14">
        <f>VLOOKUP(I6969,[2]媒体政策预估表!A:N,MATCH(O6969,[2]媒体政策预估表!$A$2:$M$2,0),0)</f>
        <v>0.1293</v>
      </c>
      <c r="AF6969" s="6">
        <f t="shared" si="1085"/>
        <v>1816.2771</v>
      </c>
      <c r="AG6969" s="14">
        <v>0</v>
      </c>
      <c r="AH6969" s="64">
        <f t="shared" si="1084"/>
        <v>14047</v>
      </c>
      <c r="AJ6969" s="126" t="e">
        <v>#N/A</v>
      </c>
      <c r="AK6969" s="80">
        <f t="shared" si="1082"/>
        <v>0</v>
      </c>
      <c r="AL6969" s="85"/>
      <c r="AM6969" s="85"/>
    </row>
    <row r="6970" spans="1:39" s="86" customFormat="1" ht="13.25" hidden="1" customHeight="1" x14ac:dyDescent="0.3">
      <c r="A6970" s="89" t="s">
        <v>3978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3763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086"/>
        <v>14187.92</v>
      </c>
      <c r="X6970" s="6">
        <f t="shared" si="1087"/>
        <v>5128.42</v>
      </c>
      <c r="Y6970" s="13">
        <f t="shared" si="1080"/>
        <v>0</v>
      </c>
      <c r="Z6970" s="66">
        <v>0</v>
      </c>
      <c r="AA6970" s="6">
        <v>0</v>
      </c>
      <c r="AB6970" s="4">
        <f t="shared" si="1081"/>
        <v>5128.42</v>
      </c>
      <c r="AC6970" s="6">
        <f t="shared" si="1079"/>
        <v>0</v>
      </c>
      <c r="AD6970" s="6">
        <f t="shared" si="1083"/>
        <v>5128.42</v>
      </c>
      <c r="AE6970" s="14">
        <f>VLOOKUP(I6970,[2]媒体政策预估表!A:N,MATCH(O6970,[2]媒体政策预估表!$A$2:$M$2,0),0)</f>
        <v>0.1293</v>
      </c>
      <c r="AF6970" s="6">
        <f t="shared" si="1085"/>
        <v>663.10470599999996</v>
      </c>
      <c r="AG6970" s="14">
        <v>0</v>
      </c>
      <c r="AH6970" s="64">
        <f t="shared" si="1084"/>
        <v>5128.42</v>
      </c>
      <c r="AJ6970" s="126" t="e">
        <v>#N/A</v>
      </c>
      <c r="AK6970" s="80">
        <f t="shared" si="1082"/>
        <v>0</v>
      </c>
      <c r="AL6970" s="85"/>
      <c r="AM6970" s="85"/>
    </row>
    <row r="6971" spans="1:39" s="86" customFormat="1" ht="13.25" hidden="1" customHeight="1" x14ac:dyDescent="0.3">
      <c r="A6971" s="89" t="s">
        <v>3978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3763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086"/>
        <v>0</v>
      </c>
      <c r="X6971" s="6">
        <f t="shared" si="1087"/>
        <v>0</v>
      </c>
      <c r="Y6971" s="13">
        <f t="shared" si="1080"/>
        <v>0</v>
      </c>
      <c r="Z6971" s="66">
        <v>0</v>
      </c>
      <c r="AA6971" s="6">
        <v>0</v>
      </c>
      <c r="AB6971" s="4">
        <f t="shared" si="1081"/>
        <v>0</v>
      </c>
      <c r="AC6971" s="6">
        <f t="shared" si="1079"/>
        <v>0</v>
      </c>
      <c r="AD6971" s="6">
        <f t="shared" si="1083"/>
        <v>0</v>
      </c>
      <c r="AE6971" s="14">
        <f>VLOOKUP(I6971,[2]媒体政策预估表!A:N,MATCH(O6971,[2]媒体政策预估表!$A$2:$M$2,0),0)</f>
        <v>0.1293</v>
      </c>
      <c r="AF6971" s="6">
        <f t="shared" si="1085"/>
        <v>0</v>
      </c>
      <c r="AG6971" s="14">
        <v>0</v>
      </c>
      <c r="AH6971" s="64">
        <f t="shared" si="1084"/>
        <v>0</v>
      </c>
      <c r="AJ6971" s="126" t="e">
        <v>#N/A</v>
      </c>
      <c r="AK6971" s="80">
        <f t="shared" si="1082"/>
        <v>0</v>
      </c>
      <c r="AL6971" s="85"/>
      <c r="AM6971" s="85"/>
    </row>
    <row r="6972" spans="1:39" s="86" customFormat="1" ht="13.25" hidden="1" customHeight="1" x14ac:dyDescent="0.3">
      <c r="A6972" s="89" t="s">
        <v>3978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3763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086"/>
        <v>3893.2000000000007</v>
      </c>
      <c r="X6972" s="6">
        <f t="shared" si="1087"/>
        <v>4350.5</v>
      </c>
      <c r="Y6972" s="13">
        <f t="shared" si="1080"/>
        <v>0</v>
      </c>
      <c r="Z6972" s="66">
        <v>0</v>
      </c>
      <c r="AA6972" s="6">
        <v>0</v>
      </c>
      <c r="AB6972" s="4">
        <f t="shared" si="1081"/>
        <v>4350.5</v>
      </c>
      <c r="AC6972" s="6">
        <f t="shared" si="1079"/>
        <v>0</v>
      </c>
      <c r="AD6972" s="6">
        <f t="shared" si="1083"/>
        <v>4350.5</v>
      </c>
      <c r="AE6972" s="14">
        <f>VLOOKUP(I6972,[2]媒体政策预估表!A:N,MATCH(O6972,[2]媒体政策预估表!$A$2:$M$2,0),0)</f>
        <v>0.1293</v>
      </c>
      <c r="AF6972" s="6">
        <f t="shared" si="1085"/>
        <v>562.51964999999996</v>
      </c>
      <c r="AG6972" s="14">
        <v>0</v>
      </c>
      <c r="AH6972" s="64">
        <f t="shared" si="1084"/>
        <v>4350.5</v>
      </c>
      <c r="AJ6972" s="126" t="e">
        <v>#N/A</v>
      </c>
      <c r="AK6972" s="80">
        <f t="shared" si="1082"/>
        <v>0</v>
      </c>
      <c r="AL6972" s="85"/>
      <c r="AM6972" s="85"/>
    </row>
    <row r="6973" spans="1:39" s="86" customFormat="1" ht="13.25" hidden="1" customHeight="1" x14ac:dyDescent="0.3">
      <c r="A6973" s="89" t="s">
        <v>3792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3763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086"/>
        <v>278.75</v>
      </c>
      <c r="X6973" s="6">
        <f t="shared" si="1087"/>
        <v>6722.9</v>
      </c>
      <c r="Y6973" s="13">
        <f t="shared" si="1080"/>
        <v>0</v>
      </c>
      <c r="Z6973" s="66">
        <v>0</v>
      </c>
      <c r="AA6973" s="6">
        <v>0</v>
      </c>
      <c r="AB6973" s="4">
        <f t="shared" si="1081"/>
        <v>6722.9</v>
      </c>
      <c r="AC6973" s="6">
        <f t="shared" si="1079"/>
        <v>0</v>
      </c>
      <c r="AD6973" s="6">
        <f t="shared" si="1083"/>
        <v>6722.9</v>
      </c>
      <c r="AE6973" s="14">
        <f>VLOOKUP(I6973,[2]媒体政策预估表!A:N,MATCH(O6973,[2]媒体政策预估表!$A$2:$M$2,0),0)</f>
        <v>0.1293</v>
      </c>
      <c r="AF6973" s="6">
        <f t="shared" si="1085"/>
        <v>869.27096999999992</v>
      </c>
      <c r="AG6973" s="14">
        <v>0</v>
      </c>
      <c r="AH6973" s="64">
        <f t="shared" si="1084"/>
        <v>6722.9</v>
      </c>
      <c r="AJ6973" s="126" t="e">
        <v>#N/A</v>
      </c>
      <c r="AK6973" s="80">
        <f t="shared" si="1082"/>
        <v>0</v>
      </c>
      <c r="AL6973" s="85"/>
      <c r="AM6973" s="85"/>
    </row>
    <row r="6974" spans="1:39" s="86" customFormat="1" ht="13.25" hidden="1" customHeight="1" x14ac:dyDescent="0.3">
      <c r="A6974" s="89" t="s">
        <v>3978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3765</v>
      </c>
      <c r="J6974" s="47" t="s">
        <v>4204</v>
      </c>
      <c r="K6974" s="47" t="s">
        <v>3764</v>
      </c>
      <c r="L6974" s="47" t="s">
        <v>701</v>
      </c>
      <c r="M6974" s="86" t="s">
        <v>4004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086"/>
        <v>112180</v>
      </c>
      <c r="X6974" s="6">
        <f t="shared" si="1087"/>
        <v>393161.90476190473</v>
      </c>
      <c r="Y6974" s="13">
        <f t="shared" si="1080"/>
        <v>0</v>
      </c>
      <c r="Z6974" s="66">
        <v>0</v>
      </c>
      <c r="AA6974" s="6">
        <v>0</v>
      </c>
      <c r="AB6974" s="4">
        <f t="shared" si="1081"/>
        <v>393161.90476190473</v>
      </c>
      <c r="AC6974" s="6">
        <f t="shared" ref="AC6974:AC7037" si="1088">IF(P6974="返现",X6974*Q6974,V6974-X6974)</f>
        <v>19658.095238095266</v>
      </c>
      <c r="AD6974" s="6">
        <f t="shared" si="1083"/>
        <v>412820</v>
      </c>
      <c r="AE6974" s="14">
        <f>VLOOKUP(I6974,[2]媒体政策预估表!A:N,MATCH(O6974,[2]媒体政策预估表!$A$2:$M$2,0),0)</f>
        <v>7.0000000000000007E-2</v>
      </c>
      <c r="AF6974" s="6">
        <f t="shared" si="1085"/>
        <v>28897.4</v>
      </c>
      <c r="AG6974" s="14">
        <v>0</v>
      </c>
      <c r="AH6974" s="64">
        <f t="shared" si="1084"/>
        <v>412820</v>
      </c>
      <c r="AJ6974" s="126" t="e">
        <v>#N/A</v>
      </c>
      <c r="AK6974" s="80">
        <f t="shared" si="1082"/>
        <v>0</v>
      </c>
      <c r="AL6974" s="85"/>
      <c r="AM6974" s="85"/>
    </row>
    <row r="6975" spans="1:39" s="86" customFormat="1" ht="13.25" hidden="1" customHeight="1" x14ac:dyDescent="0.3">
      <c r="A6975" s="89" t="s">
        <v>3792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3765</v>
      </c>
      <c r="J6975" s="47" t="s">
        <v>3303</v>
      </c>
      <c r="K6975" s="47" t="s">
        <v>3764</v>
      </c>
      <c r="L6975" s="47" t="s">
        <v>701</v>
      </c>
      <c r="M6975" s="86" t="s">
        <v>4005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086"/>
        <v>127744.19999999995</v>
      </c>
      <c r="X6975" s="6">
        <f t="shared" si="1087"/>
        <v>328338.85714285716</v>
      </c>
      <c r="Y6975" s="13">
        <f t="shared" si="1080"/>
        <v>0</v>
      </c>
      <c r="Z6975" s="66">
        <v>0</v>
      </c>
      <c r="AA6975" s="6">
        <v>0</v>
      </c>
      <c r="AB6975" s="4">
        <f t="shared" si="1081"/>
        <v>328338.85714285716</v>
      </c>
      <c r="AC6975" s="6">
        <f t="shared" si="1088"/>
        <v>16416.942857142887</v>
      </c>
      <c r="AD6975" s="6">
        <f t="shared" si="1083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085"/>
        <v>24132.906000000006</v>
      </c>
      <c r="AG6975" s="14">
        <v>0</v>
      </c>
      <c r="AH6975" s="64">
        <f t="shared" si="1084"/>
        <v>344755.80000000005</v>
      </c>
      <c r="AJ6975" s="126" t="e">
        <v>#N/A</v>
      </c>
      <c r="AK6975" s="80">
        <f t="shared" si="1082"/>
        <v>0</v>
      </c>
      <c r="AL6975" s="85"/>
      <c r="AM6975" s="85"/>
    </row>
    <row r="6976" spans="1:39" s="86" customFormat="1" ht="13.25" hidden="1" customHeight="1" x14ac:dyDescent="0.3">
      <c r="A6976" s="89" t="s">
        <v>3792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3763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086"/>
        <v>0</v>
      </c>
      <c r="X6976" s="6">
        <f t="shared" si="1087"/>
        <v>0</v>
      </c>
      <c r="Y6976" s="13">
        <f t="shared" si="1080"/>
        <v>0</v>
      </c>
      <c r="Z6976" s="66">
        <v>0</v>
      </c>
      <c r="AA6976" s="6">
        <v>0</v>
      </c>
      <c r="AB6976" s="4">
        <f t="shared" si="1081"/>
        <v>0</v>
      </c>
      <c r="AC6976" s="6">
        <f t="shared" si="1088"/>
        <v>0</v>
      </c>
      <c r="AD6976" s="6">
        <f t="shared" si="1083"/>
        <v>0</v>
      </c>
      <c r="AE6976" s="14">
        <f>VLOOKUP(I6976,[2]媒体政策预估表!A:N,MATCH(O6976,[2]媒体政策预估表!$A$2:$M$2,0),0)</f>
        <v>0.1293</v>
      </c>
      <c r="AF6976" s="6">
        <f t="shared" si="1085"/>
        <v>0</v>
      </c>
      <c r="AG6976" s="14">
        <v>0</v>
      </c>
      <c r="AH6976" s="64">
        <f t="shared" si="1084"/>
        <v>0</v>
      </c>
      <c r="AJ6976" s="126" t="e">
        <v>#N/A</v>
      </c>
      <c r="AK6976" s="80">
        <f t="shared" si="1082"/>
        <v>0</v>
      </c>
      <c r="AL6976" s="85"/>
      <c r="AM6976" s="85"/>
    </row>
    <row r="6977" spans="1:39" s="86" customFormat="1" ht="13.25" hidden="1" customHeight="1" x14ac:dyDescent="0.3">
      <c r="A6977" s="89" t="s">
        <v>3978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4006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3763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086"/>
        <v>4454.9999999999936</v>
      </c>
      <c r="X6977" s="6">
        <f t="shared" si="1087"/>
        <v>545.00000000000637</v>
      </c>
      <c r="Y6977" s="13">
        <f t="shared" si="1080"/>
        <v>0</v>
      </c>
      <c r="Z6977" s="66">
        <v>0</v>
      </c>
      <c r="AA6977" s="6">
        <v>0</v>
      </c>
      <c r="AB6977" s="4">
        <f t="shared" si="1081"/>
        <v>545.00000000000637</v>
      </c>
      <c r="AC6977" s="6">
        <f t="shared" si="1088"/>
        <v>0</v>
      </c>
      <c r="AD6977" s="6">
        <f t="shared" si="1083"/>
        <v>545.00000000000637</v>
      </c>
      <c r="AE6977" s="14">
        <f>VLOOKUP(I6977,[2]媒体政策预估表!A:N,MATCH(O6977,[2]媒体政策预估表!$A$2:$M$2,0),0)</f>
        <v>0.1293</v>
      </c>
      <c r="AF6977" s="6">
        <f t="shared" si="1085"/>
        <v>70.468500000000816</v>
      </c>
      <c r="AG6977" s="14">
        <v>0</v>
      </c>
      <c r="AH6977" s="64">
        <f t="shared" si="1084"/>
        <v>545.00000000000637</v>
      </c>
      <c r="AJ6977" s="126" t="e">
        <v>#N/A</v>
      </c>
      <c r="AK6977" s="80">
        <f t="shared" si="1082"/>
        <v>0</v>
      </c>
      <c r="AL6977" s="85"/>
      <c r="AM6977" s="85"/>
    </row>
    <row r="6978" spans="1:39" s="86" customFormat="1" ht="13.25" hidden="1" customHeight="1" x14ac:dyDescent="0.3">
      <c r="A6978" s="89" t="s">
        <v>3792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3763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086"/>
        <v>84994.939999999973</v>
      </c>
      <c r="X6978" s="6">
        <f t="shared" si="1087"/>
        <v>113397.82</v>
      </c>
      <c r="Y6978" s="13">
        <f t="shared" si="1080"/>
        <v>0</v>
      </c>
      <c r="Z6978" s="66">
        <v>0</v>
      </c>
      <c r="AA6978" s="6">
        <v>0</v>
      </c>
      <c r="AB6978" s="4">
        <f t="shared" si="1081"/>
        <v>113397.82</v>
      </c>
      <c r="AC6978" s="6">
        <f t="shared" si="1088"/>
        <v>0</v>
      </c>
      <c r="AD6978" s="6">
        <f t="shared" si="1083"/>
        <v>113397.82</v>
      </c>
      <c r="AE6978" s="14">
        <f>VLOOKUP(I6978,[2]媒体政策预估表!A:N,MATCH(O6978,[2]媒体政策预估表!$A$2:$M$2,0),0)</f>
        <v>0.1293</v>
      </c>
      <c r="AF6978" s="6">
        <f t="shared" si="1085"/>
        <v>14662.338126000001</v>
      </c>
      <c r="AG6978" s="14">
        <v>0</v>
      </c>
      <c r="AH6978" s="64">
        <f t="shared" si="1084"/>
        <v>113397.82</v>
      </c>
      <c r="AJ6978" s="126" t="e">
        <v>#N/A</v>
      </c>
      <c r="AK6978" s="80">
        <f t="shared" si="1082"/>
        <v>0</v>
      </c>
      <c r="AL6978" s="85"/>
      <c r="AM6978" s="85"/>
    </row>
    <row r="6979" spans="1:39" s="86" customFormat="1" ht="13.25" hidden="1" customHeight="1" x14ac:dyDescent="0.3">
      <c r="A6979" s="89" t="s">
        <v>3978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3763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086"/>
        <v>68130.650000000023</v>
      </c>
      <c r="X6979" s="6">
        <f t="shared" si="1087"/>
        <v>221506.40000000002</v>
      </c>
      <c r="Y6979" s="13">
        <f t="shared" ref="Y6979:Y7042" si="1089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090">X6979+AA6979</f>
        <v>221506.40000000002</v>
      </c>
      <c r="AC6979" s="6">
        <f t="shared" si="1088"/>
        <v>0</v>
      </c>
      <c r="AD6979" s="6">
        <f t="shared" si="1083"/>
        <v>221506.40000000002</v>
      </c>
      <c r="AE6979" s="14">
        <f>VLOOKUP(I6979,[2]媒体政策预估表!A:N,MATCH(O6979,[2]媒体政策预估表!$A$2:$M$2,0),0)</f>
        <v>0.1293</v>
      </c>
      <c r="AF6979" s="6">
        <f t="shared" si="1085"/>
        <v>28640.777520000003</v>
      </c>
      <c r="AG6979" s="14">
        <v>0</v>
      </c>
      <c r="AH6979" s="64">
        <f t="shared" si="1084"/>
        <v>221506.40000000002</v>
      </c>
      <c r="AJ6979" s="126" t="e">
        <v>#N/A</v>
      </c>
      <c r="AK6979" s="80">
        <f t="shared" ref="AK6979:AK7042" si="1091">X6979+AA6979-AB6979</f>
        <v>0</v>
      </c>
      <c r="AL6979" s="85"/>
      <c r="AM6979" s="85"/>
    </row>
    <row r="6980" spans="1:39" s="86" customFormat="1" ht="13.25" hidden="1" customHeight="1" x14ac:dyDescent="0.3">
      <c r="A6980" s="89" t="s">
        <v>3978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3763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086"/>
        <v>27519.159999999996</v>
      </c>
      <c r="X6980" s="6">
        <f t="shared" si="1087"/>
        <v>13342.9</v>
      </c>
      <c r="Y6980" s="13">
        <f t="shared" si="1089"/>
        <v>0</v>
      </c>
      <c r="Z6980" s="66">
        <v>0</v>
      </c>
      <c r="AA6980" s="6">
        <v>0</v>
      </c>
      <c r="AB6980" s="4">
        <f t="shared" si="1090"/>
        <v>13342.9</v>
      </c>
      <c r="AC6980" s="6">
        <f t="shared" si="1088"/>
        <v>0</v>
      </c>
      <c r="AD6980" s="6">
        <f t="shared" si="1083"/>
        <v>13342.9</v>
      </c>
      <c r="AE6980" s="14">
        <f>VLOOKUP(I6980,[2]媒体政策预估表!A:N,MATCH(O6980,[2]媒体政策预估表!$A$2:$M$2,0),0)</f>
        <v>0.1293</v>
      </c>
      <c r="AF6980" s="6">
        <f t="shared" si="1085"/>
        <v>1725.2369699999999</v>
      </c>
      <c r="AG6980" s="14">
        <v>0</v>
      </c>
      <c r="AH6980" s="64">
        <f t="shared" si="1084"/>
        <v>13342.9</v>
      </c>
      <c r="AJ6980" s="126" t="e">
        <v>#N/A</v>
      </c>
      <c r="AK6980" s="80">
        <f t="shared" si="1091"/>
        <v>0</v>
      </c>
      <c r="AL6980" s="85"/>
      <c r="AM6980" s="85"/>
    </row>
    <row r="6981" spans="1:39" s="86" customFormat="1" ht="13.25" hidden="1" customHeight="1" x14ac:dyDescent="0.3">
      <c r="A6981" s="89" t="s">
        <v>3978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3763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086"/>
        <v>83859.699999999983</v>
      </c>
      <c r="X6981" s="6">
        <f t="shared" si="1087"/>
        <v>86098.1</v>
      </c>
      <c r="Y6981" s="13">
        <f t="shared" si="1089"/>
        <v>0</v>
      </c>
      <c r="Z6981" s="66">
        <v>0</v>
      </c>
      <c r="AA6981" s="6">
        <v>0</v>
      </c>
      <c r="AB6981" s="4">
        <f t="shared" si="1090"/>
        <v>86098.1</v>
      </c>
      <c r="AC6981" s="6">
        <f t="shared" si="1088"/>
        <v>0</v>
      </c>
      <c r="AD6981" s="6">
        <f t="shared" si="1083"/>
        <v>86098.1</v>
      </c>
      <c r="AE6981" s="14">
        <f>VLOOKUP(I6981,[2]媒体政策预估表!A:N,MATCH(O6981,[2]媒体政策预估表!$A$2:$M$2,0),0)</f>
        <v>0.1293</v>
      </c>
      <c r="AF6981" s="6">
        <f t="shared" si="1085"/>
        <v>11132.484330000001</v>
      </c>
      <c r="AG6981" s="14">
        <v>0</v>
      </c>
      <c r="AH6981" s="64">
        <f t="shared" si="1084"/>
        <v>86098.1</v>
      </c>
      <c r="AJ6981" s="126" t="e">
        <v>#N/A</v>
      </c>
      <c r="AK6981" s="80">
        <f t="shared" si="1091"/>
        <v>0</v>
      </c>
      <c r="AL6981" s="85"/>
      <c r="AM6981" s="85"/>
    </row>
    <row r="6982" spans="1:39" s="86" customFormat="1" ht="13.25" hidden="1" customHeight="1" x14ac:dyDescent="0.3">
      <c r="A6982" s="89" t="s">
        <v>3792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3763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086"/>
        <v>4850.1002999999982</v>
      </c>
      <c r="X6982" s="6">
        <f t="shared" si="1087"/>
        <v>50427.76699029126</v>
      </c>
      <c r="Y6982" s="13">
        <f t="shared" si="1089"/>
        <v>0</v>
      </c>
      <c r="Z6982" s="66">
        <v>0</v>
      </c>
      <c r="AA6982" s="6">
        <v>0</v>
      </c>
      <c r="AB6982" s="4">
        <f t="shared" si="1090"/>
        <v>50427.76699029126</v>
      </c>
      <c r="AC6982" s="6">
        <f t="shared" si="1088"/>
        <v>1512.8330097087382</v>
      </c>
      <c r="AD6982" s="6">
        <f t="shared" si="1083"/>
        <v>51940.6</v>
      </c>
      <c r="AE6982" s="14">
        <f>VLOOKUP(I6982,[2]媒体政策预估表!A:N,MATCH(O6982,[2]媒体政策预估表!$A$2:$M$2,0),0)</f>
        <v>0.1293</v>
      </c>
      <c r="AF6982" s="6">
        <f t="shared" si="1085"/>
        <v>6715.9195799999998</v>
      </c>
      <c r="AG6982" s="14">
        <v>0</v>
      </c>
      <c r="AH6982" s="64">
        <f t="shared" si="1084"/>
        <v>51940.6</v>
      </c>
      <c r="AJ6982" s="126" t="e">
        <v>#N/A</v>
      </c>
      <c r="AK6982" s="80">
        <f t="shared" si="1091"/>
        <v>0</v>
      </c>
      <c r="AL6982" s="85"/>
      <c r="AM6982" s="85"/>
    </row>
    <row r="6983" spans="1:39" s="86" customFormat="1" ht="13.25" hidden="1" customHeight="1" x14ac:dyDescent="0.3">
      <c r="A6983" s="89" t="s">
        <v>3792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3763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086"/>
        <v>7843.6500000000015</v>
      </c>
      <c r="X6983" s="6">
        <f t="shared" si="1087"/>
        <v>20064.939999999999</v>
      </c>
      <c r="Y6983" s="13">
        <f t="shared" si="1089"/>
        <v>0</v>
      </c>
      <c r="Z6983" s="66">
        <v>0</v>
      </c>
      <c r="AA6983" s="6">
        <v>0</v>
      </c>
      <c r="AB6983" s="4">
        <f t="shared" si="1090"/>
        <v>20064.939999999999</v>
      </c>
      <c r="AC6983" s="6">
        <f t="shared" si="1088"/>
        <v>0</v>
      </c>
      <c r="AD6983" s="6">
        <f t="shared" si="1083"/>
        <v>20064.939999999999</v>
      </c>
      <c r="AE6983" s="14">
        <f>VLOOKUP(I6983,[2]媒体政策预估表!A:N,MATCH(O6983,[2]媒体政策预估表!$A$2:$M$2,0),0)</f>
        <v>0.1293</v>
      </c>
      <c r="AF6983" s="6">
        <f t="shared" si="1085"/>
        <v>2594.3967419999999</v>
      </c>
      <c r="AG6983" s="14">
        <v>0</v>
      </c>
      <c r="AH6983" s="64">
        <f t="shared" si="1084"/>
        <v>20064.939999999999</v>
      </c>
      <c r="AJ6983" s="126" t="e">
        <v>#N/A</v>
      </c>
      <c r="AK6983" s="80">
        <f t="shared" si="1091"/>
        <v>0</v>
      </c>
      <c r="AL6983" s="85"/>
      <c r="AM6983" s="85"/>
    </row>
    <row r="6984" spans="1:39" s="86" customFormat="1" ht="13.25" hidden="1" customHeight="1" x14ac:dyDescent="0.3">
      <c r="A6984" s="89" t="s">
        <v>3792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3763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086"/>
        <v>13191.260000000002</v>
      </c>
      <c r="X6984" s="6">
        <f t="shared" si="1087"/>
        <v>50716.98</v>
      </c>
      <c r="Y6984" s="13">
        <f t="shared" si="1089"/>
        <v>0</v>
      </c>
      <c r="Z6984" s="66">
        <v>0</v>
      </c>
      <c r="AA6984" s="6">
        <v>0</v>
      </c>
      <c r="AB6984" s="4">
        <f t="shared" si="1090"/>
        <v>50716.98</v>
      </c>
      <c r="AC6984" s="6">
        <f t="shared" si="1088"/>
        <v>0</v>
      </c>
      <c r="AD6984" s="6">
        <f t="shared" si="1083"/>
        <v>50716.98</v>
      </c>
      <c r="AE6984" s="14">
        <f>VLOOKUP(I6984,[2]媒体政策预估表!A:N,MATCH(O6984,[2]媒体政策预估表!$A$2:$M$2,0),0)</f>
        <v>0.1293</v>
      </c>
      <c r="AF6984" s="6">
        <f t="shared" si="1085"/>
        <v>6557.7055140000002</v>
      </c>
      <c r="AG6984" s="14">
        <v>0</v>
      </c>
      <c r="AH6984" s="64">
        <f t="shared" si="1084"/>
        <v>50716.98</v>
      </c>
      <c r="AJ6984" s="126" t="e">
        <v>#N/A</v>
      </c>
      <c r="AK6984" s="80">
        <f t="shared" si="1091"/>
        <v>0</v>
      </c>
      <c r="AL6984" s="85"/>
      <c r="AM6984" s="85"/>
    </row>
    <row r="6985" spans="1:39" s="86" customFormat="1" ht="13.25" hidden="1" customHeight="1" x14ac:dyDescent="0.3">
      <c r="A6985" s="89" t="s">
        <v>3978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3763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086"/>
        <v>26620.710100000004</v>
      </c>
      <c r="X6985" s="6">
        <f t="shared" si="1087"/>
        <v>38803.519999999997</v>
      </c>
      <c r="Y6985" s="13">
        <f t="shared" si="1089"/>
        <v>0</v>
      </c>
      <c r="Z6985" s="66">
        <v>0</v>
      </c>
      <c r="AA6985" s="6">
        <v>0</v>
      </c>
      <c r="AB6985" s="4">
        <f t="shared" si="1090"/>
        <v>38803.519999999997</v>
      </c>
      <c r="AC6985" s="6">
        <f t="shared" si="1088"/>
        <v>0</v>
      </c>
      <c r="AD6985" s="6">
        <f t="shared" si="1083"/>
        <v>38803.519999999997</v>
      </c>
      <c r="AE6985" s="14">
        <f>VLOOKUP(I6985,[2]媒体政策预估表!A:N,MATCH(O6985,[2]媒体政策预估表!$A$2:$M$2,0),0)</f>
        <v>0.1293</v>
      </c>
      <c r="AF6985" s="6">
        <f t="shared" si="1085"/>
        <v>5017.2951359999997</v>
      </c>
      <c r="AG6985" s="14">
        <v>0</v>
      </c>
      <c r="AH6985" s="64">
        <f t="shared" si="1084"/>
        <v>38803.519999999997</v>
      </c>
      <c r="AJ6985" s="126" t="e">
        <v>#N/A</v>
      </c>
      <c r="AK6985" s="80">
        <f t="shared" si="1091"/>
        <v>0</v>
      </c>
      <c r="AL6985" s="85"/>
      <c r="AM6985" s="85"/>
    </row>
    <row r="6986" spans="1:39" s="86" customFormat="1" ht="13.25" hidden="1" customHeight="1" x14ac:dyDescent="0.3">
      <c r="A6986" s="89" t="s">
        <v>3978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3763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086"/>
        <v>60925.8</v>
      </c>
      <c r="X6986" s="6">
        <f t="shared" si="1087"/>
        <v>28504.117647058825</v>
      </c>
      <c r="Y6986" s="13">
        <f t="shared" si="1089"/>
        <v>0</v>
      </c>
      <c r="Z6986" s="66">
        <v>0</v>
      </c>
      <c r="AA6986" s="6">
        <v>0</v>
      </c>
      <c r="AB6986" s="4">
        <f t="shared" si="1090"/>
        <v>28504.117647058825</v>
      </c>
      <c r="AC6986" s="6">
        <f t="shared" si="1088"/>
        <v>570.08235294117549</v>
      </c>
      <c r="AD6986" s="6">
        <f t="shared" si="1083"/>
        <v>29074.2</v>
      </c>
      <c r="AE6986" s="14">
        <f>VLOOKUP(I6986,[2]媒体政策预估表!A:N,MATCH(O6986,[2]媒体政策预估表!$A$2:$M$2,0),0)</f>
        <v>0.1293</v>
      </c>
      <c r="AF6986" s="6">
        <f t="shared" si="1085"/>
        <v>3759.2940600000002</v>
      </c>
      <c r="AG6986" s="14">
        <v>0</v>
      </c>
      <c r="AH6986" s="64">
        <f t="shared" si="1084"/>
        <v>29074.2</v>
      </c>
      <c r="AJ6986" s="126" t="e">
        <v>#N/A</v>
      </c>
      <c r="AK6986" s="80">
        <f t="shared" si="1091"/>
        <v>0</v>
      </c>
      <c r="AL6986" s="85"/>
      <c r="AM6986" s="85"/>
    </row>
    <row r="6987" spans="1:39" s="86" customFormat="1" ht="13.25" hidden="1" customHeight="1" x14ac:dyDescent="0.3">
      <c r="A6987" s="89" t="s">
        <v>3978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3763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086"/>
        <v>11801.199999999997</v>
      </c>
      <c r="X6987" s="6">
        <f t="shared" si="1087"/>
        <v>37449.803921568629</v>
      </c>
      <c r="Y6987" s="13">
        <f t="shared" si="1089"/>
        <v>0</v>
      </c>
      <c r="Z6987" s="66">
        <v>0</v>
      </c>
      <c r="AA6987" s="6">
        <v>0</v>
      </c>
      <c r="AB6987" s="4">
        <f t="shared" si="1090"/>
        <v>37449.803921568629</v>
      </c>
      <c r="AC6987" s="6">
        <f t="shared" si="1088"/>
        <v>748.99607843137346</v>
      </c>
      <c r="AD6987" s="6">
        <f t="shared" si="1083"/>
        <v>38198.800000000003</v>
      </c>
      <c r="AE6987" s="14">
        <f>VLOOKUP(I6987,[2]媒体政策预估表!A:N,MATCH(O6987,[2]媒体政策预估表!$A$2:$M$2,0),0)</f>
        <v>0.1293</v>
      </c>
      <c r="AF6987" s="6">
        <f t="shared" si="1085"/>
        <v>4939.10484</v>
      </c>
      <c r="AG6987" s="14">
        <v>0</v>
      </c>
      <c r="AH6987" s="64">
        <f t="shared" si="1084"/>
        <v>38198.800000000003</v>
      </c>
      <c r="AJ6987" s="126" t="e">
        <v>#N/A</v>
      </c>
      <c r="AK6987" s="80">
        <f t="shared" si="1091"/>
        <v>0</v>
      </c>
      <c r="AL6987" s="85"/>
      <c r="AM6987" s="85"/>
    </row>
    <row r="6988" spans="1:39" s="86" customFormat="1" ht="13.25" hidden="1" customHeight="1" x14ac:dyDescent="0.3">
      <c r="A6988" s="89" t="s">
        <v>3978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3763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086"/>
        <v>20040.100000000002</v>
      </c>
      <c r="X6988" s="6">
        <f t="shared" si="1087"/>
        <v>6849.7058823529405</v>
      </c>
      <c r="Y6988" s="13">
        <f t="shared" si="1089"/>
        <v>0</v>
      </c>
      <c r="Z6988" s="66">
        <v>0</v>
      </c>
      <c r="AA6988" s="6">
        <v>0</v>
      </c>
      <c r="AB6988" s="4">
        <f t="shared" si="1090"/>
        <v>6849.7058823529405</v>
      </c>
      <c r="AC6988" s="6">
        <f t="shared" si="1088"/>
        <v>136.99411764705928</v>
      </c>
      <c r="AD6988" s="6">
        <f t="shared" si="1083"/>
        <v>6986.7</v>
      </c>
      <c r="AE6988" s="14">
        <f>VLOOKUP(I6988,[2]媒体政策预估表!A:N,MATCH(O6988,[2]媒体政策预估表!$A$2:$M$2,0),0)</f>
        <v>0.1293</v>
      </c>
      <c r="AF6988" s="6">
        <f t="shared" si="1085"/>
        <v>903.38031000000001</v>
      </c>
      <c r="AG6988" s="14">
        <v>0</v>
      </c>
      <c r="AH6988" s="64">
        <f t="shared" si="1084"/>
        <v>6986.7</v>
      </c>
      <c r="AJ6988" s="126" t="e">
        <v>#N/A</v>
      </c>
      <c r="AK6988" s="80">
        <f t="shared" si="1091"/>
        <v>0</v>
      </c>
      <c r="AL6988" s="85"/>
      <c r="AM6988" s="85"/>
    </row>
    <row r="6989" spans="1:39" s="86" customFormat="1" ht="13.25" hidden="1" customHeight="1" x14ac:dyDescent="0.3">
      <c r="A6989" s="89" t="s">
        <v>3978</v>
      </c>
      <c r="B6989" s="86" t="s">
        <v>701</v>
      </c>
      <c r="C6989" s="86" t="s">
        <v>184</v>
      </c>
      <c r="D6989" s="86" t="s">
        <v>3849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3763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086"/>
        <v>12161.719999999972</v>
      </c>
      <c r="X6989" s="6">
        <f t="shared" si="1087"/>
        <v>24903.72277227723</v>
      </c>
      <c r="Y6989" s="13">
        <f t="shared" si="1089"/>
        <v>0</v>
      </c>
      <c r="Z6989" s="66">
        <v>0</v>
      </c>
      <c r="AA6989" s="6">
        <v>0</v>
      </c>
      <c r="AB6989" s="4">
        <f t="shared" si="1090"/>
        <v>24903.72277227723</v>
      </c>
      <c r="AC6989" s="6">
        <f t="shared" si="1088"/>
        <v>249.03722772277251</v>
      </c>
      <c r="AD6989" s="6">
        <f t="shared" si="1083"/>
        <v>25152.760000000002</v>
      </c>
      <c r="AE6989" s="14">
        <f>VLOOKUP(I6989,[2]媒体政策预估表!A:N,MATCH(O6989,[2]媒体政策预估表!$A$2:$M$2,0),0)</f>
        <v>0.1293</v>
      </c>
      <c r="AF6989" s="6">
        <f t="shared" si="1085"/>
        <v>3252.2518680000003</v>
      </c>
      <c r="AG6989" s="14">
        <v>0</v>
      </c>
      <c r="AH6989" s="64">
        <f t="shared" si="1084"/>
        <v>25152.760000000002</v>
      </c>
      <c r="AJ6989" s="126" t="e">
        <v>#N/A</v>
      </c>
      <c r="AK6989" s="80">
        <f t="shared" si="1091"/>
        <v>0</v>
      </c>
      <c r="AL6989" s="85"/>
      <c r="AM6989" s="85"/>
    </row>
    <row r="6990" spans="1:39" s="86" customFormat="1" ht="13.25" hidden="1" customHeight="1" x14ac:dyDescent="0.3">
      <c r="A6990" s="89" t="s">
        <v>3792</v>
      </c>
      <c r="B6990" s="86" t="s">
        <v>35</v>
      </c>
      <c r="C6990" s="86" t="s">
        <v>184</v>
      </c>
      <c r="D6990" s="86" t="s">
        <v>3849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3763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086"/>
        <v>6023.8099999999831</v>
      </c>
      <c r="X6990" s="6">
        <f t="shared" si="1087"/>
        <v>28982.607843137255</v>
      </c>
      <c r="Y6990" s="13">
        <f t="shared" si="1089"/>
        <v>0</v>
      </c>
      <c r="Z6990" s="14">
        <v>0</v>
      </c>
      <c r="AA6990" s="6">
        <v>0</v>
      </c>
      <c r="AB6990" s="4">
        <f t="shared" si="1090"/>
        <v>28982.607843137255</v>
      </c>
      <c r="AC6990" s="6">
        <f t="shared" si="1088"/>
        <v>579.65215686274678</v>
      </c>
      <c r="AD6990" s="6">
        <f t="shared" si="1083"/>
        <v>29562.260000000002</v>
      </c>
      <c r="AE6990" s="14">
        <f>VLOOKUP(I6990,[2]媒体政策预估表!A:N,MATCH(O6990,[2]媒体政策预估表!$A$2:$M$2,0),0)</f>
        <v>0.1293</v>
      </c>
      <c r="AF6990" s="6">
        <f t="shared" si="1085"/>
        <v>3822.4002180000002</v>
      </c>
      <c r="AG6990" s="14">
        <v>0</v>
      </c>
      <c r="AH6990" s="64">
        <f t="shared" si="1084"/>
        <v>29562.260000000002</v>
      </c>
      <c r="AJ6990" s="126" t="e">
        <v>#N/A</v>
      </c>
      <c r="AK6990" s="80">
        <f t="shared" si="1091"/>
        <v>0</v>
      </c>
      <c r="AL6990" s="85"/>
      <c r="AM6990" s="85"/>
    </row>
    <row r="6991" spans="1:39" s="86" customFormat="1" ht="13.25" hidden="1" customHeight="1" x14ac:dyDescent="0.3">
      <c r="A6991" s="89" t="s">
        <v>3978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3763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086"/>
        <v>0</v>
      </c>
      <c r="X6991" s="6">
        <f t="shared" si="1087"/>
        <v>4435.2699999999895</v>
      </c>
      <c r="Y6991" s="13">
        <f t="shared" si="1089"/>
        <v>0</v>
      </c>
      <c r="Z6991" s="14">
        <v>0</v>
      </c>
      <c r="AA6991" s="6">
        <v>0</v>
      </c>
      <c r="AB6991" s="4">
        <f t="shared" si="1090"/>
        <v>4435.2699999999895</v>
      </c>
      <c r="AC6991" s="6">
        <f t="shared" si="1088"/>
        <v>0</v>
      </c>
      <c r="AD6991" s="6">
        <f t="shared" si="1083"/>
        <v>4435.2699999999895</v>
      </c>
      <c r="AE6991" s="14">
        <f>VLOOKUP(I6991,[2]媒体政策预估表!A:N,MATCH(O6991,[2]媒体政策预估表!$A$2:$M$2,0),0)</f>
        <v>0.1293</v>
      </c>
      <c r="AF6991" s="6">
        <f t="shared" si="1085"/>
        <v>573.48041099999864</v>
      </c>
      <c r="AG6991" s="14">
        <v>0</v>
      </c>
      <c r="AH6991" s="64">
        <f t="shared" si="1084"/>
        <v>4435.2699999999895</v>
      </c>
      <c r="AJ6991" s="126" t="e">
        <v>#N/A</v>
      </c>
      <c r="AK6991" s="80">
        <f t="shared" si="1091"/>
        <v>0</v>
      </c>
      <c r="AL6991" s="85"/>
      <c r="AM6991" s="85"/>
    </row>
    <row r="6992" spans="1:39" s="86" customFormat="1" ht="13.25" hidden="1" customHeight="1" x14ac:dyDescent="0.3">
      <c r="A6992" s="89" t="s">
        <v>3792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3763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086"/>
        <v>18529.580000000002</v>
      </c>
      <c r="X6992" s="6">
        <f t="shared" si="1087"/>
        <v>12860.199000000001</v>
      </c>
      <c r="Y6992" s="13">
        <f t="shared" si="1089"/>
        <v>0</v>
      </c>
      <c r="Z6992" s="14">
        <v>0</v>
      </c>
      <c r="AA6992" s="6">
        <v>0</v>
      </c>
      <c r="AB6992" s="4">
        <f t="shared" si="1090"/>
        <v>12860.199000000001</v>
      </c>
      <c r="AC6992" s="6">
        <f t="shared" si="1088"/>
        <v>1428.9110000000001</v>
      </c>
      <c r="AD6992" s="6">
        <f t="shared" si="1083"/>
        <v>14289.11</v>
      </c>
      <c r="AE6992" s="14">
        <f>VLOOKUP(I6992,[2]媒体政策预估表!A:N,MATCH(O6992,[2]媒体政策预估表!$A$2:$M$2,0),0)</f>
        <v>0.1293</v>
      </c>
      <c r="AF6992" s="6">
        <f t="shared" si="1085"/>
        <v>1847.581923</v>
      </c>
      <c r="AG6992" s="14">
        <v>0</v>
      </c>
      <c r="AH6992" s="64">
        <f t="shared" si="1084"/>
        <v>14289.11</v>
      </c>
      <c r="AJ6992" s="126" t="e">
        <v>#N/A</v>
      </c>
      <c r="AK6992" s="80">
        <f t="shared" si="1091"/>
        <v>0</v>
      </c>
      <c r="AL6992" s="85"/>
      <c r="AM6992" s="85"/>
    </row>
    <row r="6993" spans="1:39" s="86" customFormat="1" ht="13.25" hidden="1" customHeight="1" x14ac:dyDescent="0.3">
      <c r="A6993" s="89" t="s">
        <v>3978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3763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086"/>
        <v>12739.77</v>
      </c>
      <c r="X6993" s="6">
        <f t="shared" si="1087"/>
        <v>1144.7909999999999</v>
      </c>
      <c r="Y6993" s="13">
        <f t="shared" si="1089"/>
        <v>0</v>
      </c>
      <c r="Z6993" s="14">
        <v>0</v>
      </c>
      <c r="AA6993" s="6">
        <v>0</v>
      </c>
      <c r="AB6993" s="4">
        <f t="shared" si="1090"/>
        <v>1144.7909999999999</v>
      </c>
      <c r="AC6993" s="6">
        <f t="shared" si="1088"/>
        <v>127.19900000000007</v>
      </c>
      <c r="AD6993" s="6">
        <f t="shared" si="1083"/>
        <v>1271.99</v>
      </c>
      <c r="AE6993" s="14">
        <f>VLOOKUP(I6993,[2]媒体政策预估表!A:N,MATCH(O6993,[2]媒体政策预估表!$A$2:$M$2,0),0)</f>
        <v>0.1293</v>
      </c>
      <c r="AF6993" s="6">
        <f t="shared" si="1085"/>
        <v>164.46830700000001</v>
      </c>
      <c r="AG6993" s="14">
        <v>0</v>
      </c>
      <c r="AH6993" s="64">
        <f t="shared" si="1084"/>
        <v>1271.99</v>
      </c>
      <c r="AJ6993" s="126" t="e">
        <v>#N/A</v>
      </c>
      <c r="AK6993" s="80">
        <f t="shared" si="1091"/>
        <v>0</v>
      </c>
      <c r="AL6993" s="85"/>
      <c r="AM6993" s="85"/>
    </row>
    <row r="6994" spans="1:39" s="86" customFormat="1" ht="13.25" hidden="1" customHeight="1" x14ac:dyDescent="0.3">
      <c r="A6994" s="89" t="s">
        <v>3978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3763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086"/>
        <v>2104.1600000000003</v>
      </c>
      <c r="X6994" s="6">
        <f t="shared" si="1087"/>
        <v>1921.5630000000001</v>
      </c>
      <c r="Y6994" s="13">
        <f t="shared" si="1089"/>
        <v>0</v>
      </c>
      <c r="Z6994" s="14">
        <v>0</v>
      </c>
      <c r="AA6994" s="6">
        <v>0</v>
      </c>
      <c r="AB6994" s="4">
        <f t="shared" si="1090"/>
        <v>1921.5630000000001</v>
      </c>
      <c r="AC6994" s="6">
        <f t="shared" si="1088"/>
        <v>213.50700000000006</v>
      </c>
      <c r="AD6994" s="6">
        <f t="shared" si="1083"/>
        <v>2135.0700000000002</v>
      </c>
      <c r="AE6994" s="14">
        <f>VLOOKUP(I6994,[2]媒体政策预估表!A:N,MATCH(O6994,[2]媒体政策预估表!$A$2:$M$2,0),0)</f>
        <v>0.1293</v>
      </c>
      <c r="AF6994" s="6">
        <f t="shared" si="1085"/>
        <v>276.06455099999999</v>
      </c>
      <c r="AG6994" s="14">
        <v>0</v>
      </c>
      <c r="AH6994" s="64">
        <f t="shared" si="1084"/>
        <v>2135.0700000000002</v>
      </c>
      <c r="AJ6994" s="126" t="e">
        <v>#N/A</v>
      </c>
      <c r="AK6994" s="80">
        <f t="shared" si="1091"/>
        <v>0</v>
      </c>
      <c r="AL6994" s="85"/>
      <c r="AM6994" s="85"/>
    </row>
    <row r="6995" spans="1:39" s="86" customFormat="1" ht="13.25" hidden="1" customHeight="1" x14ac:dyDescent="0.3">
      <c r="A6995" s="89" t="s">
        <v>3978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3763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086"/>
        <v>5848.2700000000032</v>
      </c>
      <c r="X6995" s="6">
        <f t="shared" si="1087"/>
        <v>3836.1510000000003</v>
      </c>
      <c r="Y6995" s="13">
        <f t="shared" si="1089"/>
        <v>0</v>
      </c>
      <c r="Z6995" s="14">
        <v>0</v>
      </c>
      <c r="AA6995" s="6">
        <v>0</v>
      </c>
      <c r="AB6995" s="4">
        <f t="shared" si="1090"/>
        <v>3836.1510000000003</v>
      </c>
      <c r="AC6995" s="6">
        <f t="shared" si="1088"/>
        <v>426.23900000000003</v>
      </c>
      <c r="AD6995" s="6">
        <f t="shared" si="1083"/>
        <v>4262.3900000000003</v>
      </c>
      <c r="AE6995" s="14">
        <f>VLOOKUP(I6995,[2]媒体政策预估表!A:N,MATCH(O6995,[2]媒体政策预估表!$A$2:$M$2,0),0)</f>
        <v>0.1293</v>
      </c>
      <c r="AF6995" s="6">
        <f t="shared" si="1085"/>
        <v>551.127027</v>
      </c>
      <c r="AG6995" s="14">
        <v>0</v>
      </c>
      <c r="AH6995" s="64">
        <f t="shared" si="1084"/>
        <v>4262.3900000000003</v>
      </c>
      <c r="AJ6995" s="126" t="e">
        <v>#N/A</v>
      </c>
      <c r="AK6995" s="80">
        <f t="shared" si="1091"/>
        <v>0</v>
      </c>
      <c r="AL6995" s="85"/>
      <c r="AM6995" s="85"/>
    </row>
    <row r="6996" spans="1:39" s="86" customFormat="1" ht="13.25" hidden="1" customHeight="1" x14ac:dyDescent="0.3">
      <c r="A6996" s="89" t="s">
        <v>3792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3763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086"/>
        <v>115022.62000000002</v>
      </c>
      <c r="X6996" s="6">
        <f t="shared" si="1087"/>
        <v>2372.5</v>
      </c>
      <c r="Y6996" s="13">
        <f t="shared" si="1089"/>
        <v>0</v>
      </c>
      <c r="Z6996" s="14">
        <v>0</v>
      </c>
      <c r="AA6996" s="6">
        <v>0</v>
      </c>
      <c r="AB6996" s="4">
        <f t="shared" si="1090"/>
        <v>2372.5</v>
      </c>
      <c r="AC6996" s="6">
        <f t="shared" si="1088"/>
        <v>0</v>
      </c>
      <c r="AD6996" s="6">
        <f t="shared" si="1083"/>
        <v>2372.5</v>
      </c>
      <c r="AE6996" s="14">
        <f>VLOOKUP(I6996,[2]媒体政策预估表!A:N,MATCH(O6996,[2]媒体政策预估表!$A$2:$M$2,0),0)</f>
        <v>0.1293</v>
      </c>
      <c r="AF6996" s="6">
        <f t="shared" si="1085"/>
        <v>306.76425</v>
      </c>
      <c r="AG6996" s="14">
        <v>0</v>
      </c>
      <c r="AH6996" s="64">
        <f t="shared" si="1084"/>
        <v>2372.5</v>
      </c>
      <c r="AJ6996" s="126" t="e">
        <v>#N/A</v>
      </c>
      <c r="AK6996" s="80">
        <f t="shared" si="1091"/>
        <v>0</v>
      </c>
      <c r="AL6996" s="85"/>
      <c r="AM6996" s="85"/>
    </row>
    <row r="6997" spans="1:39" s="86" customFormat="1" ht="13.25" hidden="1" customHeight="1" x14ac:dyDescent="0.3">
      <c r="A6997" s="89" t="s">
        <v>3978</v>
      </c>
      <c r="B6997" s="86" t="s">
        <v>701</v>
      </c>
      <c r="C6997" s="86" t="s">
        <v>184</v>
      </c>
      <c r="D6997" s="86" t="s">
        <v>3849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3763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086"/>
        <v>521029.64</v>
      </c>
      <c r="X6997" s="6">
        <f t="shared" si="1087"/>
        <v>157062.04</v>
      </c>
      <c r="Y6997" s="13">
        <f t="shared" si="1089"/>
        <v>0</v>
      </c>
      <c r="Z6997" s="14">
        <v>0</v>
      </c>
      <c r="AA6997" s="6">
        <v>0</v>
      </c>
      <c r="AB6997" s="4">
        <f t="shared" si="1090"/>
        <v>157062.04</v>
      </c>
      <c r="AC6997" s="6">
        <f t="shared" si="1088"/>
        <v>0</v>
      </c>
      <c r="AD6997" s="6">
        <f t="shared" si="1083"/>
        <v>157062.04</v>
      </c>
      <c r="AE6997" s="14">
        <f>VLOOKUP(I6997,[2]媒体政策预估表!A:N,MATCH(O6997,[2]媒体政策预估表!$A$2:$M$2,0),0)</f>
        <v>0.1293</v>
      </c>
      <c r="AF6997" s="6">
        <f t="shared" si="1085"/>
        <v>20308.121772000002</v>
      </c>
      <c r="AG6997" s="14">
        <v>0</v>
      </c>
      <c r="AH6997" s="64">
        <f t="shared" si="1084"/>
        <v>157062.04</v>
      </c>
      <c r="AJ6997" s="126" t="e">
        <v>#N/A</v>
      </c>
      <c r="AK6997" s="80">
        <f t="shared" si="1091"/>
        <v>0</v>
      </c>
      <c r="AL6997" s="85"/>
      <c r="AM6997" s="85"/>
    </row>
    <row r="6998" spans="1:39" s="86" customFormat="1" ht="13.25" hidden="1" customHeight="1" x14ac:dyDescent="0.3">
      <c r="A6998" s="89" t="s">
        <v>3792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3763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086"/>
        <v>10054</v>
      </c>
      <c r="X6998" s="6">
        <f t="shared" si="1087"/>
        <v>0</v>
      </c>
      <c r="Y6998" s="13">
        <f t="shared" si="1089"/>
        <v>0</v>
      </c>
      <c r="Z6998" s="14">
        <v>0</v>
      </c>
      <c r="AA6998" s="6">
        <v>0</v>
      </c>
      <c r="AB6998" s="4"/>
      <c r="AC6998" s="6">
        <f t="shared" si="1088"/>
        <v>0</v>
      </c>
      <c r="AD6998" s="6">
        <f t="shared" si="1083"/>
        <v>0</v>
      </c>
      <c r="AE6998" s="14">
        <f>VLOOKUP(I6998,[2]媒体政策预估表!A:N,MATCH(O6998,[2]媒体政策预估表!$A$2:$M$2,0),0)</f>
        <v>0.1293</v>
      </c>
      <c r="AF6998" s="6">
        <f t="shared" si="1085"/>
        <v>0</v>
      </c>
      <c r="AG6998" s="14">
        <v>0</v>
      </c>
      <c r="AH6998" s="64">
        <f t="shared" si="1084"/>
        <v>0</v>
      </c>
      <c r="AJ6998" s="126">
        <v>116</v>
      </c>
      <c r="AK6998" s="80">
        <f t="shared" si="1091"/>
        <v>0</v>
      </c>
      <c r="AL6998" s="85"/>
      <c r="AM6998" s="85"/>
    </row>
    <row r="6999" spans="1:39" s="86" customFormat="1" ht="13.25" hidden="1" customHeight="1" x14ac:dyDescent="0.3">
      <c r="A6999" s="89" t="s">
        <v>3792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3763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086"/>
        <v>14112.099999999999</v>
      </c>
      <c r="X6999" s="6">
        <f t="shared" si="1087"/>
        <v>0</v>
      </c>
      <c r="Y6999" s="13">
        <f t="shared" si="1089"/>
        <v>0</v>
      </c>
      <c r="Z6999" s="14">
        <v>0</v>
      </c>
      <c r="AA6999" s="6">
        <v>0</v>
      </c>
      <c r="AB6999" s="4">
        <f t="shared" si="1090"/>
        <v>0</v>
      </c>
      <c r="AC6999" s="6">
        <f t="shared" si="1088"/>
        <v>0</v>
      </c>
      <c r="AD6999" s="6">
        <f t="shared" si="1083"/>
        <v>0</v>
      </c>
      <c r="AE6999" s="14">
        <f>VLOOKUP(I6999,[2]媒体政策预估表!A:N,MATCH(O6999,[2]媒体政策预估表!$A$2:$M$2,0),0)</f>
        <v>0.1293</v>
      </c>
      <c r="AF6999" s="6">
        <f t="shared" si="1085"/>
        <v>0</v>
      </c>
      <c r="AG6999" s="14">
        <v>0</v>
      </c>
      <c r="AH6999" s="64">
        <f t="shared" si="1084"/>
        <v>0</v>
      </c>
      <c r="AJ6999" s="126" t="e">
        <v>#N/A</v>
      </c>
      <c r="AK6999" s="80">
        <f t="shared" si="1091"/>
        <v>0</v>
      </c>
      <c r="AL6999" s="85"/>
      <c r="AM6999" s="85"/>
    </row>
    <row r="7000" spans="1:39" s="86" customFormat="1" ht="13.25" hidden="1" customHeight="1" x14ac:dyDescent="0.3">
      <c r="A7000" s="89" t="s">
        <v>3978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3763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086"/>
        <v>7923.6299999999992</v>
      </c>
      <c r="X7000" s="6">
        <f t="shared" si="1087"/>
        <v>2076.3700000000003</v>
      </c>
      <c r="Y7000" s="13">
        <f t="shared" si="1089"/>
        <v>0</v>
      </c>
      <c r="Z7000" s="14">
        <v>0</v>
      </c>
      <c r="AA7000" s="6">
        <v>0</v>
      </c>
      <c r="AB7000" s="4">
        <f t="shared" si="1090"/>
        <v>2076.3700000000003</v>
      </c>
      <c r="AC7000" s="6">
        <f t="shared" si="1088"/>
        <v>0</v>
      </c>
      <c r="AD7000" s="6">
        <f t="shared" si="1083"/>
        <v>2076.3700000000003</v>
      </c>
      <c r="AE7000" s="14">
        <f>VLOOKUP(I7000,[2]媒体政策预估表!A:N,MATCH(O7000,[2]媒体政策预估表!$A$2:$M$2,0),0)</f>
        <v>0.1293</v>
      </c>
      <c r="AF7000" s="6">
        <f t="shared" si="1085"/>
        <v>268.47464100000002</v>
      </c>
      <c r="AG7000" s="14">
        <v>0</v>
      </c>
      <c r="AH7000" s="64">
        <f t="shared" si="1084"/>
        <v>2076.3700000000003</v>
      </c>
      <c r="AJ7000" s="126" t="e">
        <v>#N/A</v>
      </c>
      <c r="AK7000" s="80">
        <f t="shared" si="1091"/>
        <v>0</v>
      </c>
      <c r="AL7000" s="85"/>
      <c r="AM7000" s="85"/>
    </row>
    <row r="7001" spans="1:39" s="86" customFormat="1" ht="13.25" hidden="1" customHeight="1" x14ac:dyDescent="0.3">
      <c r="A7001" s="89" t="s">
        <v>3792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3763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087"/>
        <v>0</v>
      </c>
      <c r="Y7001" s="13">
        <f t="shared" si="1089"/>
        <v>0</v>
      </c>
      <c r="Z7001" s="14">
        <v>0</v>
      </c>
      <c r="AA7001" s="6">
        <v>0</v>
      </c>
      <c r="AB7001" s="4">
        <f t="shared" si="1090"/>
        <v>0</v>
      </c>
      <c r="AC7001" s="6">
        <f t="shared" si="1088"/>
        <v>0</v>
      </c>
      <c r="AD7001" s="6">
        <f t="shared" si="1083"/>
        <v>0</v>
      </c>
      <c r="AE7001" s="14">
        <f>VLOOKUP(I7001,[2]媒体政策预估表!A:N,MATCH(O7001,[2]媒体政策预估表!$A$2:$M$2,0),0)</f>
        <v>0.1293</v>
      </c>
      <c r="AF7001" s="6">
        <f t="shared" si="1085"/>
        <v>0</v>
      </c>
      <c r="AG7001" s="14">
        <v>0</v>
      </c>
      <c r="AH7001" s="64">
        <f t="shared" si="1084"/>
        <v>0</v>
      </c>
      <c r="AJ7001" s="126" t="e">
        <v>#N/A</v>
      </c>
      <c r="AK7001" s="80">
        <f t="shared" si="1091"/>
        <v>0</v>
      </c>
      <c r="AL7001" s="85"/>
      <c r="AM7001" s="85"/>
    </row>
    <row r="7002" spans="1:39" s="86" customFormat="1" ht="13.25" hidden="1" customHeight="1" x14ac:dyDescent="0.3">
      <c r="A7002" s="89" t="s">
        <v>3978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3763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086"/>
        <v>32887.509999999995</v>
      </c>
      <c r="X7002" s="6">
        <f t="shared" si="1087"/>
        <v>49651.61</v>
      </c>
      <c r="Y7002" s="13">
        <f t="shared" si="1089"/>
        <v>0</v>
      </c>
      <c r="Z7002" s="14">
        <v>0</v>
      </c>
      <c r="AA7002" s="6">
        <v>0</v>
      </c>
      <c r="AB7002" s="4">
        <f t="shared" si="1090"/>
        <v>49651.61</v>
      </c>
      <c r="AC7002" s="6">
        <f t="shared" si="1088"/>
        <v>0</v>
      </c>
      <c r="AD7002" s="6">
        <f t="shared" si="1083"/>
        <v>49651.61</v>
      </c>
      <c r="AE7002" s="14">
        <f>VLOOKUP(I7002,[2]媒体政策预估表!A:N,MATCH(O7002,[2]媒体政策预估表!$A$2:$M$2,0),0)</f>
        <v>0.1293</v>
      </c>
      <c r="AF7002" s="6">
        <f t="shared" si="1085"/>
        <v>6419.9531729999999</v>
      </c>
      <c r="AG7002" s="14">
        <v>0</v>
      </c>
      <c r="AH7002" s="64">
        <f t="shared" si="1084"/>
        <v>49651.61</v>
      </c>
      <c r="AJ7002" s="126" t="e">
        <v>#N/A</v>
      </c>
      <c r="AK7002" s="80">
        <f t="shared" si="1091"/>
        <v>0</v>
      </c>
      <c r="AL7002" s="85"/>
      <c r="AM7002" s="85"/>
    </row>
    <row r="7003" spans="1:39" s="86" customFormat="1" ht="13.25" hidden="1" customHeight="1" x14ac:dyDescent="0.3">
      <c r="A7003" s="89" t="s">
        <v>3978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3763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086"/>
        <v>7104.5999999999967</v>
      </c>
      <c r="X7003" s="6">
        <f t="shared" si="1087"/>
        <v>0</v>
      </c>
      <c r="Y7003" s="13">
        <f t="shared" si="1089"/>
        <v>0</v>
      </c>
      <c r="Z7003" s="14">
        <v>0</v>
      </c>
      <c r="AA7003" s="6">
        <v>0</v>
      </c>
      <c r="AB7003" s="4">
        <f t="shared" si="1090"/>
        <v>0</v>
      </c>
      <c r="AC7003" s="6">
        <f t="shared" si="1088"/>
        <v>0</v>
      </c>
      <c r="AD7003" s="6">
        <f t="shared" si="1083"/>
        <v>0</v>
      </c>
      <c r="AE7003" s="14">
        <f>VLOOKUP(I7003,[2]媒体政策预估表!A:N,MATCH(O7003,[2]媒体政策预估表!$A$2:$M$2,0),0)</f>
        <v>0.1293</v>
      </c>
      <c r="AF7003" s="6">
        <f t="shared" si="1085"/>
        <v>0</v>
      </c>
      <c r="AG7003" s="14">
        <v>0</v>
      </c>
      <c r="AH7003" s="64">
        <f t="shared" si="1084"/>
        <v>0</v>
      </c>
      <c r="AJ7003" s="126" t="e">
        <v>#N/A</v>
      </c>
      <c r="AK7003" s="80">
        <f t="shared" si="1091"/>
        <v>0</v>
      </c>
      <c r="AL7003" s="85"/>
      <c r="AM7003" s="85"/>
    </row>
    <row r="7004" spans="1:39" s="86" customFormat="1" ht="13.25" hidden="1" customHeight="1" x14ac:dyDescent="0.3">
      <c r="A7004" s="89" t="s">
        <v>3978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3763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086"/>
        <v>9711.0000000000091</v>
      </c>
      <c r="X7004" s="6">
        <f t="shared" si="1087"/>
        <v>7415.7425742574251</v>
      </c>
      <c r="Y7004" s="13">
        <f t="shared" si="1089"/>
        <v>0</v>
      </c>
      <c r="Z7004" s="14">
        <v>0</v>
      </c>
      <c r="AA7004" s="6">
        <v>0</v>
      </c>
      <c r="AB7004" s="4">
        <f t="shared" si="1090"/>
        <v>7415.7425742574251</v>
      </c>
      <c r="AC7004" s="6">
        <f t="shared" si="1088"/>
        <v>74.15742574257456</v>
      </c>
      <c r="AD7004" s="6">
        <f t="shared" si="1083"/>
        <v>7489.9</v>
      </c>
      <c r="AE7004" s="14">
        <f>VLOOKUP(I7004,[2]媒体政策预估表!A:N,MATCH(O7004,[2]媒体政策预估表!$A$2:$M$2,0),0)</f>
        <v>0.1293</v>
      </c>
      <c r="AF7004" s="6">
        <f t="shared" si="1085"/>
        <v>968.4440699999999</v>
      </c>
      <c r="AG7004" s="14">
        <v>0</v>
      </c>
      <c r="AH7004" s="64">
        <f t="shared" si="1084"/>
        <v>7489.9</v>
      </c>
      <c r="AJ7004" s="126" t="e">
        <v>#N/A</v>
      </c>
      <c r="AK7004" s="80">
        <f t="shared" si="1091"/>
        <v>0</v>
      </c>
      <c r="AL7004" s="85"/>
      <c r="AM7004" s="85"/>
    </row>
    <row r="7005" spans="1:39" s="86" customFormat="1" ht="13.25" hidden="1" customHeight="1" x14ac:dyDescent="0.3">
      <c r="A7005" s="89" t="s">
        <v>3792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3763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086"/>
        <v>1373.5500000000002</v>
      </c>
      <c r="X7005" s="6">
        <f t="shared" si="1087"/>
        <v>3653.3823529411761</v>
      </c>
      <c r="Y7005" s="13">
        <f t="shared" si="1089"/>
        <v>0</v>
      </c>
      <c r="Z7005" s="14">
        <v>0</v>
      </c>
      <c r="AA7005" s="6">
        <v>0</v>
      </c>
      <c r="AB7005" s="4">
        <f t="shared" si="1090"/>
        <v>3653.3823529411761</v>
      </c>
      <c r="AC7005" s="6">
        <f t="shared" si="1088"/>
        <v>73.067647058823695</v>
      </c>
      <c r="AD7005" s="6">
        <f t="shared" si="1083"/>
        <v>3726.45</v>
      </c>
      <c r="AE7005" s="14">
        <f>VLOOKUP(I7005,[2]媒体政策预估表!A:N,MATCH(O7005,[2]媒体政策预估表!$A$2:$M$2,0),0)</f>
        <v>0.1293</v>
      </c>
      <c r="AF7005" s="6">
        <f t="shared" si="1085"/>
        <v>481.82998499999997</v>
      </c>
      <c r="AG7005" s="14">
        <v>0</v>
      </c>
      <c r="AH7005" s="64">
        <f t="shared" si="1084"/>
        <v>3726.45</v>
      </c>
      <c r="AJ7005" s="126" t="e">
        <v>#N/A</v>
      </c>
      <c r="AK7005" s="80">
        <f t="shared" si="1091"/>
        <v>0</v>
      </c>
      <c r="AL7005" s="85"/>
      <c r="AM7005" s="85"/>
    </row>
    <row r="7006" spans="1:39" s="86" customFormat="1" ht="13.25" hidden="1" customHeight="1" x14ac:dyDescent="0.3">
      <c r="A7006" s="89" t="s">
        <v>3792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3763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086"/>
        <v>18041.100000000002</v>
      </c>
      <c r="X7006" s="6">
        <f t="shared" si="1087"/>
        <v>796.8</v>
      </c>
      <c r="Y7006" s="13">
        <f t="shared" si="1089"/>
        <v>0</v>
      </c>
      <c r="Z7006" s="14">
        <v>0</v>
      </c>
      <c r="AA7006" s="6">
        <v>0</v>
      </c>
      <c r="AB7006" s="4">
        <f t="shared" si="1090"/>
        <v>796.8</v>
      </c>
      <c r="AC7006" s="6">
        <f t="shared" si="1088"/>
        <v>0</v>
      </c>
      <c r="AD7006" s="6">
        <f t="shared" si="1083"/>
        <v>796.8</v>
      </c>
      <c r="AE7006" s="14">
        <f>VLOOKUP(I7006,[2]媒体政策预估表!A:N,MATCH(O7006,[2]媒体政策预估表!$A$2:$M$2,0),0)</f>
        <v>0.1293</v>
      </c>
      <c r="AF7006" s="6">
        <f t="shared" si="1085"/>
        <v>103.02623999999999</v>
      </c>
      <c r="AG7006" s="14">
        <v>0</v>
      </c>
      <c r="AH7006" s="64">
        <f t="shared" si="1084"/>
        <v>796.8</v>
      </c>
      <c r="AJ7006" s="126" t="e">
        <v>#N/A</v>
      </c>
      <c r="AK7006" s="80">
        <f t="shared" si="1091"/>
        <v>0</v>
      </c>
      <c r="AL7006" s="85"/>
      <c r="AM7006" s="85"/>
    </row>
    <row r="7007" spans="1:39" s="86" customFormat="1" ht="13.25" hidden="1" customHeight="1" x14ac:dyDescent="0.3">
      <c r="A7007" s="89" t="s">
        <v>3978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3763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086"/>
        <v>15627.530000000002</v>
      </c>
      <c r="X7007" s="6">
        <f t="shared" si="1087"/>
        <v>14379.560000000001</v>
      </c>
      <c r="Y7007" s="13">
        <f t="shared" si="1089"/>
        <v>0</v>
      </c>
      <c r="Z7007" s="14">
        <v>0</v>
      </c>
      <c r="AA7007" s="6">
        <v>0</v>
      </c>
      <c r="AB7007" s="4">
        <f t="shared" si="1090"/>
        <v>14379.560000000001</v>
      </c>
      <c r="AC7007" s="6">
        <f t="shared" si="1088"/>
        <v>0</v>
      </c>
      <c r="AD7007" s="6">
        <f t="shared" si="1083"/>
        <v>14379.560000000001</v>
      </c>
      <c r="AE7007" s="14">
        <f>VLOOKUP(I7007,[2]媒体政策预估表!A:N,MATCH(O7007,[2]媒体政策预估表!$A$2:$M$2,0),0)</f>
        <v>0.1293</v>
      </c>
      <c r="AF7007" s="6">
        <f t="shared" si="1085"/>
        <v>1859.2771080000002</v>
      </c>
      <c r="AG7007" s="14">
        <v>0</v>
      </c>
      <c r="AH7007" s="64">
        <f t="shared" si="1084"/>
        <v>14379.560000000001</v>
      </c>
      <c r="AJ7007" s="126" t="e">
        <v>#N/A</v>
      </c>
      <c r="AK7007" s="80">
        <f t="shared" si="1091"/>
        <v>0</v>
      </c>
      <c r="AL7007" s="85"/>
      <c r="AM7007" s="85"/>
    </row>
    <row r="7008" spans="1:39" s="86" customFormat="1" ht="13.25" hidden="1" customHeight="1" x14ac:dyDescent="0.3">
      <c r="A7008" s="89" t="s">
        <v>3978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3763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086"/>
        <v>78692.5</v>
      </c>
      <c r="X7008" s="6">
        <f t="shared" si="1087"/>
        <v>16686.5</v>
      </c>
      <c r="Y7008" s="13">
        <f t="shared" si="1089"/>
        <v>0</v>
      </c>
      <c r="Z7008" s="14">
        <v>0</v>
      </c>
      <c r="AA7008" s="6">
        <v>0</v>
      </c>
      <c r="AB7008" s="4">
        <f t="shared" si="1090"/>
        <v>16686.5</v>
      </c>
      <c r="AC7008" s="6">
        <f t="shared" si="1088"/>
        <v>0</v>
      </c>
      <c r="AD7008" s="6">
        <f t="shared" si="1083"/>
        <v>16686.5</v>
      </c>
      <c r="AE7008" s="14">
        <f>VLOOKUP(I7008,[2]媒体政策预估表!A:N,MATCH(O7008,[2]媒体政策预估表!$A$2:$M$2,0),0)</f>
        <v>0.1293</v>
      </c>
      <c r="AF7008" s="6">
        <f t="shared" si="1085"/>
        <v>2157.5644499999999</v>
      </c>
      <c r="AG7008" s="14">
        <v>0</v>
      </c>
      <c r="AH7008" s="64">
        <f t="shared" si="1084"/>
        <v>16686.5</v>
      </c>
      <c r="AJ7008" s="126" t="e">
        <v>#N/A</v>
      </c>
      <c r="AK7008" s="80">
        <f t="shared" si="1091"/>
        <v>0</v>
      </c>
      <c r="AL7008" s="85"/>
      <c r="AM7008" s="85"/>
    </row>
    <row r="7009" spans="1:39" s="86" customFormat="1" ht="13.25" hidden="1" customHeight="1" x14ac:dyDescent="0.3">
      <c r="A7009" s="89" t="s">
        <v>3792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3763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086"/>
        <v>19679.199999999993</v>
      </c>
      <c r="X7009" s="6">
        <f t="shared" si="1087"/>
        <v>17618.7</v>
      </c>
      <c r="Y7009" s="13">
        <f t="shared" si="1089"/>
        <v>0</v>
      </c>
      <c r="Z7009" s="14">
        <v>0</v>
      </c>
      <c r="AA7009" s="6">
        <v>0</v>
      </c>
      <c r="AB7009" s="4">
        <f t="shared" si="1090"/>
        <v>17618.7</v>
      </c>
      <c r="AC7009" s="6">
        <f t="shared" si="1088"/>
        <v>0</v>
      </c>
      <c r="AD7009" s="6">
        <f t="shared" ref="AD7009:AD7072" si="1092">V7009</f>
        <v>17618.7</v>
      </c>
      <c r="AE7009" s="14">
        <f>VLOOKUP(I7009,[2]媒体政策预估表!A:N,MATCH(O7009,[2]媒体政策预估表!$A$2:$M$2,0),0)</f>
        <v>0.1293</v>
      </c>
      <c r="AF7009" s="6">
        <f t="shared" si="1085"/>
        <v>2278.09791</v>
      </c>
      <c r="AG7009" s="14">
        <v>0</v>
      </c>
      <c r="AH7009" s="64">
        <f t="shared" ref="AH7009:AH7072" si="1093">V7009</f>
        <v>17618.7</v>
      </c>
      <c r="AJ7009" s="126" t="e">
        <v>#N/A</v>
      </c>
      <c r="AK7009" s="80">
        <f t="shared" si="1091"/>
        <v>0</v>
      </c>
      <c r="AL7009" s="85"/>
      <c r="AM7009" s="85"/>
    </row>
    <row r="7010" spans="1:39" s="86" customFormat="1" ht="13.25" hidden="1" customHeight="1" x14ac:dyDescent="0.3">
      <c r="A7010" s="89" t="s">
        <v>3978</v>
      </c>
      <c r="B7010" s="86" t="s">
        <v>701</v>
      </c>
      <c r="C7010" s="86" t="s">
        <v>184</v>
      </c>
      <c r="D7010" s="86" t="s">
        <v>3849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3763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086"/>
        <v>19376.670000000006</v>
      </c>
      <c r="X7010" s="6">
        <f t="shared" si="1087"/>
        <v>33963.9</v>
      </c>
      <c r="Y7010" s="13">
        <f t="shared" si="1089"/>
        <v>0</v>
      </c>
      <c r="Z7010" s="14">
        <v>0</v>
      </c>
      <c r="AA7010" s="6">
        <v>0</v>
      </c>
      <c r="AB7010" s="4">
        <f t="shared" si="1090"/>
        <v>33963.9</v>
      </c>
      <c r="AC7010" s="6">
        <f t="shared" si="1088"/>
        <v>0</v>
      </c>
      <c r="AD7010" s="6">
        <f t="shared" si="1092"/>
        <v>33963.9</v>
      </c>
      <c r="AE7010" s="14">
        <f>VLOOKUP(I7010,[2]媒体政策预估表!A:N,MATCH(O7010,[2]媒体政策预估表!$A$2:$M$2,0),0)</f>
        <v>0.1293</v>
      </c>
      <c r="AF7010" s="6">
        <f t="shared" si="1085"/>
        <v>4391.5322699999997</v>
      </c>
      <c r="AG7010" s="14">
        <v>0</v>
      </c>
      <c r="AH7010" s="64">
        <f t="shared" si="1093"/>
        <v>33963.9</v>
      </c>
      <c r="AJ7010" s="126" t="e">
        <v>#N/A</v>
      </c>
      <c r="AK7010" s="80">
        <f t="shared" si="1091"/>
        <v>0</v>
      </c>
      <c r="AL7010" s="85"/>
      <c r="AM7010" s="85"/>
    </row>
    <row r="7011" spans="1:39" s="86" customFormat="1" ht="13.25" hidden="1" customHeight="1" x14ac:dyDescent="0.3">
      <c r="A7011" s="89" t="s">
        <v>3978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3763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086"/>
        <v>25964.369999999988</v>
      </c>
      <c r="X7011" s="6">
        <f t="shared" si="1087"/>
        <v>30631.289719626162</v>
      </c>
      <c r="Y7011" s="13">
        <f t="shared" si="1089"/>
        <v>0</v>
      </c>
      <c r="Z7011" s="14">
        <v>0</v>
      </c>
      <c r="AA7011" s="6">
        <v>0</v>
      </c>
      <c r="AB7011" s="4">
        <f t="shared" si="1090"/>
        <v>30631.289719626162</v>
      </c>
      <c r="AC7011" s="6">
        <f t="shared" si="1088"/>
        <v>2144.190280373834</v>
      </c>
      <c r="AD7011" s="6">
        <f t="shared" si="1092"/>
        <v>32775.479999999996</v>
      </c>
      <c r="AE7011" s="14">
        <f>VLOOKUP(I7011,[2]媒体政策预估表!A:N,MATCH(O7011,[2]媒体政策预估表!$A$2:$M$2,0),0)</f>
        <v>0.1293</v>
      </c>
      <c r="AF7011" s="6">
        <f t="shared" si="1085"/>
        <v>4237.8695639999996</v>
      </c>
      <c r="AG7011" s="14">
        <v>0</v>
      </c>
      <c r="AH7011" s="64">
        <f t="shared" si="1093"/>
        <v>32775.479999999996</v>
      </c>
      <c r="AJ7011" s="126" t="e">
        <v>#N/A</v>
      </c>
      <c r="AK7011" s="80">
        <f t="shared" si="1091"/>
        <v>0</v>
      </c>
      <c r="AL7011" s="85"/>
      <c r="AM7011" s="85"/>
    </row>
    <row r="7012" spans="1:39" s="86" customFormat="1" ht="13.25" hidden="1" customHeight="1" x14ac:dyDescent="0.3">
      <c r="A7012" s="89" t="s">
        <v>3978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3763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086"/>
        <v>2002302.3100000005</v>
      </c>
      <c r="X7012" s="6">
        <f t="shared" si="1087"/>
        <v>1818416.0093457941</v>
      </c>
      <c r="Y7012" s="13">
        <f t="shared" si="1089"/>
        <v>0</v>
      </c>
      <c r="Z7012" s="14">
        <v>0</v>
      </c>
      <c r="AA7012" s="6">
        <v>0</v>
      </c>
      <c r="AB7012" s="4">
        <f t="shared" si="1090"/>
        <v>1818416.0093457941</v>
      </c>
      <c r="AC7012" s="6">
        <f t="shared" si="1088"/>
        <v>127289.12065420579</v>
      </c>
      <c r="AD7012" s="6">
        <f t="shared" si="1092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094">AD7012*AE7012</f>
        <v>251579.67330899998</v>
      </c>
      <c r="AG7012" s="14">
        <v>0</v>
      </c>
      <c r="AH7012" s="64">
        <f t="shared" si="1093"/>
        <v>1945705.13</v>
      </c>
      <c r="AJ7012" s="126" t="e">
        <v>#N/A</v>
      </c>
      <c r="AK7012" s="80">
        <f t="shared" si="1091"/>
        <v>0</v>
      </c>
      <c r="AL7012" s="85"/>
      <c r="AM7012" s="85"/>
    </row>
    <row r="7013" spans="1:39" s="86" customFormat="1" ht="13.25" hidden="1" customHeight="1" x14ac:dyDescent="0.3">
      <c r="A7013" s="89" t="s">
        <v>3792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3763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086"/>
        <v>213155.27999999991</v>
      </c>
      <c r="X7013" s="6">
        <f t="shared" si="1087"/>
        <v>154246.13084112148</v>
      </c>
      <c r="Y7013" s="13">
        <f t="shared" si="1089"/>
        <v>0</v>
      </c>
      <c r="Z7013" s="14">
        <v>0</v>
      </c>
      <c r="AA7013" s="6">
        <v>0</v>
      </c>
      <c r="AB7013" s="4">
        <f t="shared" si="1090"/>
        <v>154246.13084112148</v>
      </c>
      <c r="AC7013" s="6">
        <f t="shared" si="1088"/>
        <v>10797.229158878501</v>
      </c>
      <c r="AD7013" s="6">
        <f t="shared" si="1092"/>
        <v>165043.35999999999</v>
      </c>
      <c r="AE7013" s="14">
        <f>VLOOKUP(I7013,[2]媒体政策预估表!A:N,MATCH(O7013,[2]媒体政策预估表!$A$2:$M$2,0),0)</f>
        <v>0.1293</v>
      </c>
      <c r="AF7013" s="6">
        <f t="shared" si="1094"/>
        <v>21340.106447999999</v>
      </c>
      <c r="AG7013" s="14">
        <v>0</v>
      </c>
      <c r="AH7013" s="64">
        <f t="shared" si="1093"/>
        <v>165043.35999999999</v>
      </c>
      <c r="AJ7013" s="126" t="e">
        <v>#N/A</v>
      </c>
      <c r="AK7013" s="80">
        <f t="shared" si="1091"/>
        <v>0</v>
      </c>
      <c r="AL7013" s="85"/>
      <c r="AM7013" s="85"/>
    </row>
    <row r="7014" spans="1:39" s="86" customFormat="1" ht="13.25" hidden="1" customHeight="1" x14ac:dyDescent="0.3">
      <c r="A7014" s="89" t="s">
        <v>3792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3763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086"/>
        <v>315898.54999999993</v>
      </c>
      <c r="X7014" s="6">
        <f t="shared" si="1087"/>
        <v>592361.06542056077</v>
      </c>
      <c r="Y7014" s="13">
        <f t="shared" si="1089"/>
        <v>0</v>
      </c>
      <c r="Z7014" s="14">
        <v>0</v>
      </c>
      <c r="AA7014" s="6">
        <v>0</v>
      </c>
      <c r="AB7014" s="4">
        <f t="shared" si="1090"/>
        <v>592361.06542056077</v>
      </c>
      <c r="AC7014" s="6">
        <f t="shared" si="1088"/>
        <v>41465.274579439312</v>
      </c>
      <c r="AD7014" s="6">
        <f t="shared" si="1092"/>
        <v>633826.34000000008</v>
      </c>
      <c r="AE7014" s="14">
        <f>VLOOKUP(I7014,[2]媒体政策预估表!A:N,MATCH(O7014,[2]媒体政策预估表!$A$2:$M$2,0),0)</f>
        <v>0.1293</v>
      </c>
      <c r="AF7014" s="6">
        <f t="shared" si="1094"/>
        <v>81953.745762000006</v>
      </c>
      <c r="AG7014" s="14">
        <v>0</v>
      </c>
      <c r="AH7014" s="64">
        <f t="shared" si="1093"/>
        <v>633826.34000000008</v>
      </c>
      <c r="AJ7014" s="126" t="e">
        <v>#N/A</v>
      </c>
      <c r="AK7014" s="80">
        <f t="shared" si="1091"/>
        <v>0</v>
      </c>
      <c r="AL7014" s="85"/>
      <c r="AM7014" s="85"/>
    </row>
    <row r="7015" spans="1:39" s="86" customFormat="1" ht="13.25" hidden="1" customHeight="1" x14ac:dyDescent="0.3">
      <c r="A7015" s="89" t="s">
        <v>3978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3763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086"/>
        <v>23492.380000000005</v>
      </c>
      <c r="X7015" s="6">
        <f t="shared" si="1087"/>
        <v>11712.03</v>
      </c>
      <c r="Y7015" s="13">
        <f t="shared" si="1089"/>
        <v>0</v>
      </c>
      <c r="Z7015" s="14">
        <v>0</v>
      </c>
      <c r="AA7015" s="6">
        <v>0</v>
      </c>
      <c r="AB7015" s="4">
        <f t="shared" si="1090"/>
        <v>11712.03</v>
      </c>
      <c r="AC7015" s="6">
        <f t="shared" si="1088"/>
        <v>0</v>
      </c>
      <c r="AD7015" s="6">
        <f t="shared" si="1092"/>
        <v>11712.03</v>
      </c>
      <c r="AE7015" s="14">
        <f>VLOOKUP(I7015,[2]媒体政策预估表!A:N,MATCH(O7015,[2]媒体政策预估表!$A$2:$M$2,0),0)</f>
        <v>0.1293</v>
      </c>
      <c r="AF7015" s="6">
        <f t="shared" si="1094"/>
        <v>1514.3654790000001</v>
      </c>
      <c r="AG7015" s="14">
        <v>0</v>
      </c>
      <c r="AH7015" s="64">
        <f t="shared" si="1093"/>
        <v>11712.03</v>
      </c>
      <c r="AJ7015" s="126" t="e">
        <v>#N/A</v>
      </c>
      <c r="AK7015" s="80">
        <f t="shared" si="1091"/>
        <v>0</v>
      </c>
      <c r="AL7015" s="85"/>
      <c r="AM7015" s="85"/>
    </row>
    <row r="7016" spans="1:39" s="86" customFormat="1" ht="13.25" hidden="1" customHeight="1" x14ac:dyDescent="0.3">
      <c r="A7016" s="89" t="s">
        <v>3978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3763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086"/>
        <v>26631.5</v>
      </c>
      <c r="X7016" s="6">
        <f t="shared" si="1087"/>
        <v>498.1</v>
      </c>
      <c r="Y7016" s="13">
        <f t="shared" si="1089"/>
        <v>0</v>
      </c>
      <c r="Z7016" s="14">
        <v>0</v>
      </c>
      <c r="AA7016" s="6">
        <v>0</v>
      </c>
      <c r="AB7016" s="4">
        <f t="shared" si="1090"/>
        <v>498.1</v>
      </c>
      <c r="AC7016" s="6">
        <f t="shared" si="1088"/>
        <v>0</v>
      </c>
      <c r="AD7016" s="6">
        <f t="shared" si="1092"/>
        <v>498.1</v>
      </c>
      <c r="AE7016" s="14">
        <f>VLOOKUP(I7016,[2]媒体政策预估表!A:N,MATCH(O7016,[2]媒体政策预估表!$A$2:$M$2,0),0)</f>
        <v>0.1293</v>
      </c>
      <c r="AF7016" s="6">
        <f t="shared" si="1094"/>
        <v>64.404330000000002</v>
      </c>
      <c r="AG7016" s="14">
        <v>0</v>
      </c>
      <c r="AH7016" s="64">
        <f t="shared" si="1093"/>
        <v>498.1</v>
      </c>
      <c r="AJ7016" s="126" t="e">
        <v>#N/A</v>
      </c>
      <c r="AK7016" s="80">
        <f t="shared" si="1091"/>
        <v>0</v>
      </c>
      <c r="AL7016" s="85"/>
      <c r="AM7016" s="85"/>
    </row>
    <row r="7017" spans="1:39" s="86" customFormat="1" ht="13.25" hidden="1" customHeight="1" x14ac:dyDescent="0.3">
      <c r="A7017" s="89" t="s">
        <v>3978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3763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086"/>
        <v>0</v>
      </c>
      <c r="X7017" s="6">
        <f t="shared" si="1087"/>
        <v>670</v>
      </c>
      <c r="Y7017" s="13">
        <f t="shared" si="1089"/>
        <v>0</v>
      </c>
      <c r="Z7017" s="14">
        <v>0</v>
      </c>
      <c r="AA7017" s="6">
        <v>0</v>
      </c>
      <c r="AB7017" s="4"/>
      <c r="AC7017" s="6">
        <f t="shared" si="1088"/>
        <v>0</v>
      </c>
      <c r="AD7017" s="6">
        <f t="shared" si="1092"/>
        <v>670</v>
      </c>
      <c r="AE7017" s="14">
        <f>VLOOKUP(I7017,[2]媒体政策预估表!A:N,MATCH(O7017,[2]媒体政策预估表!$A$2:$M$2,0),0)</f>
        <v>0.1293</v>
      </c>
      <c r="AF7017" s="6">
        <f t="shared" si="1094"/>
        <v>86.631</v>
      </c>
      <c r="AG7017" s="14">
        <v>0</v>
      </c>
      <c r="AH7017" s="64">
        <f t="shared" si="1093"/>
        <v>670</v>
      </c>
      <c r="AJ7017" s="126">
        <v>93</v>
      </c>
      <c r="AK7017" s="80">
        <f t="shared" si="1091"/>
        <v>670</v>
      </c>
      <c r="AL7017" s="85"/>
      <c r="AM7017" s="85"/>
    </row>
    <row r="7018" spans="1:39" s="86" customFormat="1" ht="13.25" hidden="1" customHeight="1" x14ac:dyDescent="0.3">
      <c r="A7018" s="89" t="s">
        <v>3792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3763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086"/>
        <v>422.6000000000007</v>
      </c>
      <c r="X7018" s="6">
        <f t="shared" si="1087"/>
        <v>899.6</v>
      </c>
      <c r="Y7018" s="13">
        <f t="shared" si="1089"/>
        <v>0</v>
      </c>
      <c r="Z7018" s="14">
        <v>0</v>
      </c>
      <c r="AA7018" s="6">
        <v>0</v>
      </c>
      <c r="AB7018" s="4"/>
      <c r="AC7018" s="6">
        <f t="shared" si="1088"/>
        <v>0</v>
      </c>
      <c r="AD7018" s="6">
        <f t="shared" si="1092"/>
        <v>899.6</v>
      </c>
      <c r="AE7018" s="14">
        <f>VLOOKUP(I7018,[2]媒体政策预估表!A:N,MATCH(O7018,[2]媒体政策预估表!$A$2:$M$2,0),0)</f>
        <v>0.1293</v>
      </c>
      <c r="AF7018" s="6">
        <f t="shared" si="1094"/>
        <v>116.31828</v>
      </c>
      <c r="AG7018" s="14">
        <v>0</v>
      </c>
      <c r="AH7018" s="64">
        <f t="shared" si="1093"/>
        <v>899.6</v>
      </c>
      <c r="AJ7018" s="126">
        <v>93</v>
      </c>
      <c r="AK7018" s="80">
        <f t="shared" si="1091"/>
        <v>899.6</v>
      </c>
      <c r="AL7018" s="85"/>
      <c r="AM7018" s="85"/>
    </row>
    <row r="7019" spans="1:39" s="86" customFormat="1" ht="13.25" hidden="1" customHeight="1" x14ac:dyDescent="0.3">
      <c r="A7019" s="89" t="s">
        <v>3978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3763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086"/>
        <v>8075.9400000000005</v>
      </c>
      <c r="X7019" s="6">
        <f t="shared" si="1087"/>
        <v>532.16</v>
      </c>
      <c r="Y7019" s="13">
        <f t="shared" si="1089"/>
        <v>0</v>
      </c>
      <c r="Z7019" s="14">
        <v>0</v>
      </c>
      <c r="AA7019" s="6">
        <v>0</v>
      </c>
      <c r="AB7019" s="4">
        <f t="shared" si="1090"/>
        <v>532.16</v>
      </c>
      <c r="AC7019" s="6">
        <f t="shared" si="1088"/>
        <v>0</v>
      </c>
      <c r="AD7019" s="6">
        <f t="shared" si="1092"/>
        <v>532.16</v>
      </c>
      <c r="AE7019" s="14">
        <f>VLOOKUP(I7019,[2]媒体政策预估表!A:N,MATCH(O7019,[2]媒体政策预估表!$A$2:$M$2,0),0)</f>
        <v>0.1293</v>
      </c>
      <c r="AF7019" s="6">
        <f t="shared" si="1094"/>
        <v>68.80828799999999</v>
      </c>
      <c r="AG7019" s="14">
        <v>0</v>
      </c>
      <c r="AH7019" s="64">
        <f t="shared" si="1093"/>
        <v>532.16</v>
      </c>
      <c r="AJ7019" s="126" t="e">
        <v>#N/A</v>
      </c>
      <c r="AK7019" s="80">
        <f t="shared" si="1091"/>
        <v>0</v>
      </c>
      <c r="AL7019" s="85"/>
      <c r="AM7019" s="85"/>
    </row>
    <row r="7020" spans="1:39" s="86" customFormat="1" ht="13.25" hidden="1" customHeight="1" x14ac:dyDescent="0.3">
      <c r="A7020" s="89" t="s">
        <v>3792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3763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086"/>
        <v>2009.599999999999</v>
      </c>
      <c r="X7020" s="6">
        <f t="shared" si="1087"/>
        <v>2538.4</v>
      </c>
      <c r="Y7020" s="13">
        <f t="shared" si="1089"/>
        <v>0</v>
      </c>
      <c r="Z7020" s="14">
        <v>0</v>
      </c>
      <c r="AA7020" s="6">
        <v>0</v>
      </c>
      <c r="AB7020" s="4">
        <f t="shared" si="1090"/>
        <v>2538.4</v>
      </c>
      <c r="AC7020" s="6">
        <f t="shared" si="1088"/>
        <v>0</v>
      </c>
      <c r="AD7020" s="6">
        <f t="shared" si="1092"/>
        <v>2538.4</v>
      </c>
      <c r="AE7020" s="14">
        <f>VLOOKUP(I7020,[2]媒体政策预估表!A:N,MATCH(O7020,[2]媒体政策预估表!$A$2:$M$2,0),0)</f>
        <v>0.1293</v>
      </c>
      <c r="AF7020" s="6">
        <f t="shared" si="1094"/>
        <v>328.21512000000001</v>
      </c>
      <c r="AG7020" s="14">
        <v>0</v>
      </c>
      <c r="AH7020" s="64">
        <f t="shared" si="1093"/>
        <v>2538.4</v>
      </c>
      <c r="AJ7020" s="126" t="e">
        <v>#N/A</v>
      </c>
      <c r="AK7020" s="80">
        <f t="shared" si="1091"/>
        <v>0</v>
      </c>
      <c r="AL7020" s="85"/>
      <c r="AM7020" s="85"/>
    </row>
    <row r="7021" spans="1:39" s="86" customFormat="1" ht="13.25" hidden="1" customHeight="1" x14ac:dyDescent="0.3">
      <c r="A7021" s="89" t="s">
        <v>3978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3763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086"/>
        <v>86451.699999999983</v>
      </c>
      <c r="X7021" s="6">
        <f t="shared" si="1087"/>
        <v>73223.137254901972</v>
      </c>
      <c r="Y7021" s="13">
        <f t="shared" si="1089"/>
        <v>0</v>
      </c>
      <c r="Z7021" s="14">
        <v>0</v>
      </c>
      <c r="AA7021" s="6">
        <v>0</v>
      </c>
      <c r="AB7021" s="4">
        <f t="shared" si="1090"/>
        <v>73223.137254901972</v>
      </c>
      <c r="AC7021" s="6">
        <f t="shared" si="1088"/>
        <v>1464.4627450980333</v>
      </c>
      <c r="AD7021" s="6">
        <f t="shared" si="1092"/>
        <v>74687.600000000006</v>
      </c>
      <c r="AE7021" s="14">
        <f>VLOOKUP(I7021,[2]媒体政策预估表!A:N,MATCH(O7021,[2]媒体政策预估表!$A$2:$M$2,0),0)</f>
        <v>0.1293</v>
      </c>
      <c r="AF7021" s="6">
        <f t="shared" si="1094"/>
        <v>9657.1066800000008</v>
      </c>
      <c r="AG7021" s="14">
        <v>0</v>
      </c>
      <c r="AH7021" s="64">
        <f t="shared" si="1093"/>
        <v>74687.600000000006</v>
      </c>
      <c r="AJ7021" s="126" t="e">
        <v>#N/A</v>
      </c>
      <c r="AK7021" s="80">
        <f t="shared" si="1091"/>
        <v>0</v>
      </c>
      <c r="AL7021" s="85"/>
      <c r="AM7021" s="85"/>
    </row>
    <row r="7022" spans="1:39" s="86" customFormat="1" ht="13.25" hidden="1" customHeight="1" x14ac:dyDescent="0.3">
      <c r="A7022" s="89" t="s">
        <v>3978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3763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086"/>
        <v>36591.730000000003</v>
      </c>
      <c r="X7022" s="6">
        <f t="shared" si="1087"/>
        <v>7882.2</v>
      </c>
      <c r="Y7022" s="13">
        <f t="shared" si="1089"/>
        <v>0</v>
      </c>
      <c r="Z7022" s="14">
        <v>0</v>
      </c>
      <c r="AA7022" s="6">
        <v>0</v>
      </c>
      <c r="AB7022" s="4">
        <f t="shared" si="1090"/>
        <v>7882.2</v>
      </c>
      <c r="AC7022" s="6">
        <f t="shared" si="1088"/>
        <v>0</v>
      </c>
      <c r="AD7022" s="6">
        <f t="shared" si="1092"/>
        <v>7882.2</v>
      </c>
      <c r="AE7022" s="14">
        <f>VLOOKUP(I7022,[2]媒体政策预估表!A:N,MATCH(O7022,[2]媒体政策预估表!$A$2:$M$2,0),0)</f>
        <v>0.1293</v>
      </c>
      <c r="AF7022" s="6">
        <f t="shared" si="1094"/>
        <v>1019.16846</v>
      </c>
      <c r="AG7022" s="14">
        <v>0</v>
      </c>
      <c r="AH7022" s="64">
        <f t="shared" si="1093"/>
        <v>7882.2</v>
      </c>
      <c r="AJ7022" s="126" t="e">
        <v>#N/A</v>
      </c>
      <c r="AK7022" s="80">
        <f t="shared" si="1091"/>
        <v>0</v>
      </c>
      <c r="AL7022" s="85"/>
      <c r="AM7022" s="85"/>
    </row>
    <row r="7023" spans="1:39" s="86" customFormat="1" ht="13.25" hidden="1" customHeight="1" x14ac:dyDescent="0.3">
      <c r="A7023" s="89" t="s">
        <v>3978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3763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086"/>
        <v>1629.0999999999985</v>
      </c>
      <c r="X7023" s="6">
        <f t="shared" si="1087"/>
        <v>1866.9</v>
      </c>
      <c r="Y7023" s="13">
        <f t="shared" si="1089"/>
        <v>0</v>
      </c>
      <c r="Z7023" s="14">
        <v>0</v>
      </c>
      <c r="AA7023" s="6">
        <v>0</v>
      </c>
      <c r="AB7023" s="4">
        <f t="shared" si="1090"/>
        <v>1866.9</v>
      </c>
      <c r="AC7023" s="6">
        <f t="shared" si="1088"/>
        <v>0</v>
      </c>
      <c r="AD7023" s="6">
        <f t="shared" si="1092"/>
        <v>1866.9</v>
      </c>
      <c r="AE7023" s="14">
        <f>VLOOKUP(I7023,[2]媒体政策预估表!A:N,MATCH(O7023,[2]媒体政策预估表!$A$2:$M$2,0),0)</f>
        <v>0.1293</v>
      </c>
      <c r="AF7023" s="6">
        <f t="shared" si="1094"/>
        <v>241.39017000000001</v>
      </c>
      <c r="AG7023" s="14">
        <v>0</v>
      </c>
      <c r="AH7023" s="64">
        <f t="shared" si="1093"/>
        <v>1866.9</v>
      </c>
      <c r="AJ7023" s="126" t="e">
        <v>#N/A</v>
      </c>
      <c r="AK7023" s="80">
        <f t="shared" si="1091"/>
        <v>0</v>
      </c>
      <c r="AL7023" s="85"/>
      <c r="AM7023" s="85"/>
    </row>
    <row r="7024" spans="1:39" s="86" customFormat="1" ht="13.25" hidden="1" customHeight="1" x14ac:dyDescent="0.3">
      <c r="A7024" s="89" t="s">
        <v>3792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3763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095">T7024+U7024-V7024</f>
        <v>9157.1700000000019</v>
      </c>
      <c r="X7024" s="6">
        <f t="shared" ref="X7024:X7087" si="1096">IF(P7024="折扣",V7024*Q7024,IF(P7024="返现",V7024,V7024/(1+Q7024)))</f>
        <v>1860.5882352941176</v>
      </c>
      <c r="Y7024" s="13">
        <f t="shared" si="1089"/>
        <v>0</v>
      </c>
      <c r="Z7024" s="14">
        <v>0</v>
      </c>
      <c r="AA7024" s="6">
        <v>0</v>
      </c>
      <c r="AB7024" s="4">
        <f t="shared" si="1090"/>
        <v>1860.5882352941176</v>
      </c>
      <c r="AC7024" s="6">
        <f t="shared" si="1088"/>
        <v>37.211764705882388</v>
      </c>
      <c r="AD7024" s="6">
        <f t="shared" si="1092"/>
        <v>1897.8</v>
      </c>
      <c r="AE7024" s="14">
        <f>VLOOKUP(I7024,[2]媒体政策预估表!A:N,MATCH(O7024,[2]媒体政策预估表!$A$2:$M$2,0),0)</f>
        <v>0.1293</v>
      </c>
      <c r="AF7024" s="6">
        <f t="shared" si="1094"/>
        <v>245.38553999999999</v>
      </c>
      <c r="AG7024" s="14">
        <v>0</v>
      </c>
      <c r="AH7024" s="64">
        <f t="shared" si="1093"/>
        <v>1897.8</v>
      </c>
      <c r="AJ7024" s="126" t="e">
        <v>#N/A</v>
      </c>
      <c r="AK7024" s="80">
        <f t="shared" si="1091"/>
        <v>0</v>
      </c>
      <c r="AL7024" s="85"/>
      <c r="AM7024" s="85"/>
    </row>
    <row r="7025" spans="1:39" s="86" customFormat="1" ht="13.25" hidden="1" customHeight="1" x14ac:dyDescent="0.3">
      <c r="A7025" s="89" t="s">
        <v>3978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3763</v>
      </c>
      <c r="L7025" s="1" t="s">
        <v>701</v>
      </c>
      <c r="M7025" s="86" t="s">
        <v>2826</v>
      </c>
      <c r="O7025" s="47" t="s">
        <v>410</v>
      </c>
      <c r="P7025" s="47" t="s">
        <v>41</v>
      </c>
      <c r="Q7025" s="14">
        <v>0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095"/>
        <v>0</v>
      </c>
      <c r="X7025" s="6">
        <f t="shared" si="1096"/>
        <v>70.529999999998836</v>
      </c>
      <c r="Y7025" s="13">
        <f t="shared" si="1089"/>
        <v>0</v>
      </c>
      <c r="Z7025" s="14">
        <v>0</v>
      </c>
      <c r="AA7025" s="6">
        <v>0</v>
      </c>
      <c r="AB7025" s="4">
        <f t="shared" si="1090"/>
        <v>70.529999999998836</v>
      </c>
      <c r="AC7025" s="6">
        <f t="shared" si="1088"/>
        <v>0</v>
      </c>
      <c r="AD7025" s="6">
        <f t="shared" si="1092"/>
        <v>70.529999999998836</v>
      </c>
      <c r="AE7025" s="14">
        <f>VLOOKUP(I7025,[2]媒体政策预估表!A:N,MATCH(O7025,[2]媒体政策预估表!$A$2:$M$2,0),0)</f>
        <v>0.1293</v>
      </c>
      <c r="AF7025" s="6">
        <f t="shared" si="1094"/>
        <v>9.119528999999849</v>
      </c>
      <c r="AG7025" s="14">
        <v>0</v>
      </c>
      <c r="AH7025" s="64">
        <f t="shared" si="1093"/>
        <v>70.529999999998836</v>
      </c>
      <c r="AJ7025" s="126" t="e">
        <v>#N/A</v>
      </c>
      <c r="AK7025" s="80">
        <f t="shared" si="1091"/>
        <v>0</v>
      </c>
      <c r="AL7025" s="85"/>
      <c r="AM7025" s="85"/>
    </row>
    <row r="7026" spans="1:39" s="86" customFormat="1" ht="13.25" hidden="1" customHeight="1" x14ac:dyDescent="0.3">
      <c r="A7026" s="89" t="s">
        <v>3978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3763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095"/>
        <v>4589.13</v>
      </c>
      <c r="X7026" s="6">
        <f t="shared" si="1096"/>
        <v>246.16</v>
      </c>
      <c r="Y7026" s="13">
        <f t="shared" si="1089"/>
        <v>0</v>
      </c>
      <c r="Z7026" s="14">
        <v>0</v>
      </c>
      <c r="AA7026" s="6">
        <v>0</v>
      </c>
      <c r="AB7026" s="4">
        <f t="shared" si="1090"/>
        <v>246.16</v>
      </c>
      <c r="AC7026" s="6">
        <f t="shared" si="1088"/>
        <v>0</v>
      </c>
      <c r="AD7026" s="6">
        <f t="shared" si="1092"/>
        <v>246.16</v>
      </c>
      <c r="AE7026" s="14">
        <f>VLOOKUP(I7026,[2]媒体政策预估表!A:N,MATCH(O7026,[2]媒体政策预估表!$A$2:$M$2,0),0)</f>
        <v>0.1293</v>
      </c>
      <c r="AF7026" s="6">
        <f t="shared" si="1094"/>
        <v>31.828488</v>
      </c>
      <c r="AG7026" s="14">
        <v>0</v>
      </c>
      <c r="AH7026" s="64">
        <f t="shared" si="1093"/>
        <v>246.16</v>
      </c>
      <c r="AJ7026" s="126" t="e">
        <v>#N/A</v>
      </c>
      <c r="AK7026" s="80">
        <f t="shared" si="1091"/>
        <v>0</v>
      </c>
      <c r="AL7026" s="85"/>
      <c r="AM7026" s="85"/>
    </row>
    <row r="7027" spans="1:39" s="86" customFormat="1" ht="13.25" hidden="1" customHeight="1" x14ac:dyDescent="0.3">
      <c r="A7027" s="89" t="s">
        <v>3978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3763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095"/>
        <v>3854.6200000000013</v>
      </c>
      <c r="X7027" s="6">
        <f t="shared" si="1096"/>
        <v>3012.19</v>
      </c>
      <c r="Y7027" s="13">
        <f t="shared" si="1089"/>
        <v>0</v>
      </c>
      <c r="Z7027" s="14">
        <v>0</v>
      </c>
      <c r="AA7027" s="6">
        <v>0</v>
      </c>
      <c r="AB7027" s="4">
        <f t="shared" si="1090"/>
        <v>3012.19</v>
      </c>
      <c r="AC7027" s="6">
        <f t="shared" si="1088"/>
        <v>0</v>
      </c>
      <c r="AD7027" s="6">
        <f t="shared" si="1092"/>
        <v>3012.19</v>
      </c>
      <c r="AE7027" s="14">
        <f>VLOOKUP(I7027,[2]媒体政策预估表!A:N,MATCH(O7027,[2]媒体政策预估表!$A$2:$M$2,0),0)</f>
        <v>0.1293</v>
      </c>
      <c r="AF7027" s="6">
        <f t="shared" si="1094"/>
        <v>389.47616699999998</v>
      </c>
      <c r="AG7027" s="14">
        <v>0</v>
      </c>
      <c r="AH7027" s="64">
        <f t="shared" si="1093"/>
        <v>3012.19</v>
      </c>
      <c r="AJ7027" s="126" t="e">
        <v>#N/A</v>
      </c>
      <c r="AK7027" s="80">
        <f t="shared" si="1091"/>
        <v>0</v>
      </c>
      <c r="AL7027" s="85"/>
      <c r="AM7027" s="85"/>
    </row>
    <row r="7028" spans="1:39" s="86" customFormat="1" ht="13.25" hidden="1" customHeight="1" x14ac:dyDescent="0.3">
      <c r="A7028" s="89" t="s">
        <v>3792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3763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095"/>
        <v>35656.98000000001</v>
      </c>
      <c r="X7028" s="6">
        <f t="shared" si="1096"/>
        <v>0</v>
      </c>
      <c r="Y7028" s="13">
        <f t="shared" si="1089"/>
        <v>0</v>
      </c>
      <c r="Z7028" s="14">
        <v>0</v>
      </c>
      <c r="AA7028" s="6">
        <v>0</v>
      </c>
      <c r="AB7028" s="4">
        <f t="shared" si="1090"/>
        <v>0</v>
      </c>
      <c r="AC7028" s="6">
        <f t="shared" si="1088"/>
        <v>0</v>
      </c>
      <c r="AD7028" s="6">
        <f t="shared" si="1092"/>
        <v>0</v>
      </c>
      <c r="AE7028" s="14">
        <f>VLOOKUP(I7028,[2]媒体政策预估表!A:N,MATCH(O7028,[2]媒体政策预估表!$A$2:$M$2,0),0)</f>
        <v>0.1293</v>
      </c>
      <c r="AF7028" s="6">
        <f t="shared" si="1094"/>
        <v>0</v>
      </c>
      <c r="AG7028" s="14">
        <v>0</v>
      </c>
      <c r="AH7028" s="64">
        <f t="shared" si="1093"/>
        <v>0</v>
      </c>
      <c r="AJ7028" s="126" t="e">
        <v>#N/A</v>
      </c>
      <c r="AK7028" s="80">
        <f t="shared" si="1091"/>
        <v>0</v>
      </c>
      <c r="AL7028" s="85"/>
      <c r="AM7028" s="85"/>
    </row>
    <row r="7029" spans="1:39" s="86" customFormat="1" ht="13.25" hidden="1" customHeight="1" x14ac:dyDescent="0.3">
      <c r="A7029" s="89" t="s">
        <v>3978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3763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095"/>
        <v>3859.4000999999994</v>
      </c>
      <c r="X7029" s="6">
        <f t="shared" si="1096"/>
        <v>3130.9</v>
      </c>
      <c r="Y7029" s="13">
        <f t="shared" si="1089"/>
        <v>0</v>
      </c>
      <c r="Z7029" s="14">
        <v>0</v>
      </c>
      <c r="AA7029" s="6">
        <v>0</v>
      </c>
      <c r="AB7029" s="4">
        <f t="shared" si="1090"/>
        <v>3130.9</v>
      </c>
      <c r="AC7029" s="6">
        <f t="shared" si="1088"/>
        <v>0</v>
      </c>
      <c r="AD7029" s="6">
        <f t="shared" si="1092"/>
        <v>3130.9</v>
      </c>
      <c r="AE7029" s="14">
        <f>VLOOKUP(I7029,[2]媒体政策预估表!A:N,MATCH(O7029,[2]媒体政策预估表!$A$2:$M$2,0),0)</f>
        <v>0.1293</v>
      </c>
      <c r="AF7029" s="6">
        <f t="shared" si="1094"/>
        <v>404.82537000000002</v>
      </c>
      <c r="AG7029" s="14">
        <v>0</v>
      </c>
      <c r="AH7029" s="64">
        <f t="shared" si="1093"/>
        <v>3130.9</v>
      </c>
      <c r="AJ7029" s="126" t="e">
        <v>#N/A</v>
      </c>
      <c r="AK7029" s="80">
        <f t="shared" si="1091"/>
        <v>0</v>
      </c>
      <c r="AL7029" s="85"/>
      <c r="AM7029" s="85"/>
    </row>
    <row r="7030" spans="1:39" s="86" customFormat="1" ht="13.25" hidden="1" customHeight="1" x14ac:dyDescent="0.3">
      <c r="A7030" s="89" t="s">
        <v>3792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3763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095"/>
        <v>12341.600000000013</v>
      </c>
      <c r="X7030" s="6">
        <f t="shared" si="1096"/>
        <v>15500</v>
      </c>
      <c r="Y7030" s="13">
        <f t="shared" si="1089"/>
        <v>0</v>
      </c>
      <c r="Z7030" s="14">
        <v>0</v>
      </c>
      <c r="AA7030" s="6">
        <v>0</v>
      </c>
      <c r="AB7030" s="4">
        <f t="shared" si="1090"/>
        <v>15500</v>
      </c>
      <c r="AC7030" s="6">
        <f t="shared" si="1088"/>
        <v>0</v>
      </c>
      <c r="AD7030" s="6">
        <f t="shared" si="1092"/>
        <v>15500</v>
      </c>
      <c r="AE7030" s="14">
        <f>VLOOKUP(I7030,[2]媒体政策预估表!A:N,MATCH(O7030,[2]媒体政策预估表!$A$2:$M$2,0),0)</f>
        <v>0.1293</v>
      </c>
      <c r="AF7030" s="6">
        <f t="shared" si="1094"/>
        <v>2004.1499999999999</v>
      </c>
      <c r="AG7030" s="14">
        <v>0</v>
      </c>
      <c r="AH7030" s="64">
        <f t="shared" si="1093"/>
        <v>15500</v>
      </c>
      <c r="AJ7030" s="126" t="e">
        <v>#N/A</v>
      </c>
      <c r="AK7030" s="80">
        <f t="shared" si="1091"/>
        <v>0</v>
      </c>
      <c r="AL7030" s="85"/>
      <c r="AM7030" s="85"/>
    </row>
    <row r="7031" spans="1:39" s="86" customFormat="1" ht="13.25" hidden="1" customHeight="1" x14ac:dyDescent="0.3">
      <c r="A7031" s="89" t="s">
        <v>3978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3763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095"/>
        <v>10828.7</v>
      </c>
      <c r="X7031" s="6">
        <f t="shared" si="1096"/>
        <v>3299.7</v>
      </c>
      <c r="Y7031" s="13">
        <f t="shared" si="1089"/>
        <v>0</v>
      </c>
      <c r="Z7031" s="14">
        <v>0</v>
      </c>
      <c r="AA7031" s="6">
        <v>0</v>
      </c>
      <c r="AB7031" s="4">
        <f t="shared" si="1090"/>
        <v>3299.7</v>
      </c>
      <c r="AC7031" s="6">
        <f t="shared" si="1088"/>
        <v>0</v>
      </c>
      <c r="AD7031" s="6">
        <f t="shared" si="1092"/>
        <v>3299.7</v>
      </c>
      <c r="AE7031" s="14">
        <f>VLOOKUP(I7031,[2]媒体政策预估表!A:N,MATCH(O7031,[2]媒体政策预估表!$A$2:$M$2,0),0)</f>
        <v>0.1293</v>
      </c>
      <c r="AF7031" s="6">
        <f t="shared" si="1094"/>
        <v>426.65120999999999</v>
      </c>
      <c r="AG7031" s="14">
        <v>0</v>
      </c>
      <c r="AH7031" s="64">
        <f t="shared" si="1093"/>
        <v>3299.7</v>
      </c>
      <c r="AJ7031" s="126" t="e">
        <v>#N/A</v>
      </c>
      <c r="AK7031" s="80">
        <f t="shared" si="1091"/>
        <v>0</v>
      </c>
      <c r="AL7031" s="85"/>
      <c r="AM7031" s="85"/>
    </row>
    <row r="7032" spans="1:39" s="86" customFormat="1" ht="13.25" hidden="1" customHeight="1" x14ac:dyDescent="0.3">
      <c r="A7032" s="89" t="s">
        <v>3978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3763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095"/>
        <v>14594.199999999999</v>
      </c>
      <c r="X7032" s="6">
        <f t="shared" si="1096"/>
        <v>1667.5</v>
      </c>
      <c r="Y7032" s="13">
        <f t="shared" si="1089"/>
        <v>0</v>
      </c>
      <c r="Z7032" s="14">
        <v>0</v>
      </c>
      <c r="AA7032" s="6">
        <v>0</v>
      </c>
      <c r="AB7032" s="4">
        <f t="shared" si="1090"/>
        <v>1667.5</v>
      </c>
      <c r="AC7032" s="6">
        <f t="shared" si="1088"/>
        <v>0</v>
      </c>
      <c r="AD7032" s="6">
        <f t="shared" si="1092"/>
        <v>1667.5</v>
      </c>
      <c r="AE7032" s="14">
        <f>VLOOKUP(I7032,[2]媒体政策预估表!A:N,MATCH(O7032,[2]媒体政策预估表!$A$2:$M$2,0),0)</f>
        <v>0.1293</v>
      </c>
      <c r="AF7032" s="6">
        <f t="shared" si="1094"/>
        <v>215.60775000000001</v>
      </c>
      <c r="AG7032" s="14">
        <v>0</v>
      </c>
      <c r="AH7032" s="64">
        <f t="shared" si="1093"/>
        <v>1667.5</v>
      </c>
      <c r="AJ7032" s="126" t="e">
        <v>#N/A</v>
      </c>
      <c r="AK7032" s="80">
        <f t="shared" si="1091"/>
        <v>0</v>
      </c>
      <c r="AL7032" s="85"/>
      <c r="AM7032" s="85"/>
    </row>
    <row r="7033" spans="1:39" s="86" customFormat="1" ht="13.25" hidden="1" customHeight="1" x14ac:dyDescent="0.3">
      <c r="A7033" s="89" t="s">
        <v>3978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3763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095"/>
        <v>164848.75</v>
      </c>
      <c r="X7033" s="6">
        <f t="shared" si="1096"/>
        <v>0</v>
      </c>
      <c r="Y7033" s="13">
        <f t="shared" si="1089"/>
        <v>0</v>
      </c>
      <c r="Z7033" s="14">
        <v>0</v>
      </c>
      <c r="AA7033" s="6">
        <v>0</v>
      </c>
      <c r="AB7033" s="4">
        <f t="shared" si="1090"/>
        <v>0</v>
      </c>
      <c r="AC7033" s="6">
        <f t="shared" si="1088"/>
        <v>0</v>
      </c>
      <c r="AD7033" s="6">
        <f t="shared" si="1092"/>
        <v>0</v>
      </c>
      <c r="AE7033" s="14">
        <f>VLOOKUP(I7033,[2]媒体政策预估表!A:N,MATCH(O7033,[2]媒体政策预估表!$A$2:$M$2,0),0)</f>
        <v>0.1293</v>
      </c>
      <c r="AF7033" s="6">
        <f t="shared" si="1094"/>
        <v>0</v>
      </c>
      <c r="AG7033" s="14">
        <v>0</v>
      </c>
      <c r="AH7033" s="64">
        <f t="shared" si="1093"/>
        <v>0</v>
      </c>
      <c r="AJ7033" s="126" t="e">
        <v>#N/A</v>
      </c>
      <c r="AK7033" s="80">
        <f t="shared" si="1091"/>
        <v>0</v>
      </c>
      <c r="AL7033" s="85"/>
      <c r="AM7033" s="85"/>
    </row>
    <row r="7034" spans="1:39" s="86" customFormat="1" ht="13.25" hidden="1" customHeight="1" x14ac:dyDescent="0.3">
      <c r="A7034" s="89" t="s">
        <v>3792</v>
      </c>
      <c r="B7034" s="86" t="s">
        <v>701</v>
      </c>
      <c r="C7034" s="86" t="s">
        <v>184</v>
      </c>
      <c r="D7034" s="86" t="s">
        <v>3849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3763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095"/>
        <v>49827.88</v>
      </c>
      <c r="X7034" s="6">
        <f t="shared" si="1096"/>
        <v>0</v>
      </c>
      <c r="Y7034" s="13">
        <f t="shared" si="1089"/>
        <v>0</v>
      </c>
      <c r="Z7034" s="14">
        <v>0</v>
      </c>
      <c r="AA7034" s="6">
        <v>0</v>
      </c>
      <c r="AB7034" s="4">
        <f t="shared" si="1090"/>
        <v>0</v>
      </c>
      <c r="AC7034" s="6">
        <f t="shared" si="1088"/>
        <v>0</v>
      </c>
      <c r="AD7034" s="6">
        <f t="shared" si="1092"/>
        <v>0</v>
      </c>
      <c r="AE7034" s="14">
        <f>VLOOKUP(I7034,[2]媒体政策预估表!A:N,MATCH(O7034,[2]媒体政策预估表!$A$2:$M$2,0),0)</f>
        <v>0.1293</v>
      </c>
      <c r="AF7034" s="6">
        <f t="shared" si="1094"/>
        <v>0</v>
      </c>
      <c r="AG7034" s="14">
        <v>0</v>
      </c>
      <c r="AH7034" s="64">
        <f t="shared" si="1093"/>
        <v>0</v>
      </c>
      <c r="AJ7034" s="126" t="e">
        <v>#N/A</v>
      </c>
      <c r="AK7034" s="80">
        <f t="shared" si="1091"/>
        <v>0</v>
      </c>
      <c r="AL7034" s="85"/>
      <c r="AM7034" s="85"/>
    </row>
    <row r="7035" spans="1:39" s="86" customFormat="1" ht="13.25" hidden="1" customHeight="1" x14ac:dyDescent="0.3">
      <c r="A7035" s="89" t="s">
        <v>3978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3763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095"/>
        <v>37976.699999999997</v>
      </c>
      <c r="X7035" s="6">
        <f t="shared" si="1096"/>
        <v>2404.4</v>
      </c>
      <c r="Y7035" s="13">
        <f t="shared" si="1089"/>
        <v>0</v>
      </c>
      <c r="Z7035" s="14">
        <v>0</v>
      </c>
      <c r="AA7035" s="6">
        <v>0</v>
      </c>
      <c r="AB7035" s="4">
        <f t="shared" si="1090"/>
        <v>2404.4</v>
      </c>
      <c r="AC7035" s="6">
        <f t="shared" si="1088"/>
        <v>0</v>
      </c>
      <c r="AD7035" s="6">
        <f t="shared" si="1092"/>
        <v>2404.4</v>
      </c>
      <c r="AE7035" s="14">
        <f>VLOOKUP(I7035,[2]媒体政策预估表!A:N,MATCH(O7035,[2]媒体政策预估表!$A$2:$M$2,0),0)</f>
        <v>0.1293</v>
      </c>
      <c r="AF7035" s="6">
        <f t="shared" si="1094"/>
        <v>310.88891999999998</v>
      </c>
      <c r="AG7035" s="14">
        <v>0</v>
      </c>
      <c r="AH7035" s="64">
        <f t="shared" si="1093"/>
        <v>2404.4</v>
      </c>
      <c r="AJ7035" s="126" t="e">
        <v>#N/A</v>
      </c>
      <c r="AK7035" s="80">
        <f t="shared" si="1091"/>
        <v>0</v>
      </c>
      <c r="AL7035" s="85"/>
      <c r="AM7035" s="85"/>
    </row>
    <row r="7036" spans="1:39" s="86" customFormat="1" ht="13.25" hidden="1" customHeight="1" x14ac:dyDescent="0.3">
      <c r="A7036" s="89" t="s">
        <v>3792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3763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095"/>
        <v>37.999999999999716</v>
      </c>
      <c r="X7036" s="6">
        <f t="shared" si="1096"/>
        <v>460.8</v>
      </c>
      <c r="Y7036" s="13">
        <f t="shared" si="1089"/>
        <v>0</v>
      </c>
      <c r="Z7036" s="14">
        <v>0</v>
      </c>
      <c r="AA7036" s="6">
        <v>0</v>
      </c>
      <c r="AB7036" s="4"/>
      <c r="AC7036" s="6">
        <f t="shared" si="1088"/>
        <v>0</v>
      </c>
      <c r="AD7036" s="6">
        <f t="shared" si="1092"/>
        <v>460.8</v>
      </c>
      <c r="AE7036" s="14">
        <f>VLOOKUP(I7036,[2]媒体政策预估表!A:N,MATCH(O7036,[2]媒体政策预估表!$A$2:$M$2,0),0)</f>
        <v>0.1293</v>
      </c>
      <c r="AF7036" s="6">
        <f t="shared" si="1094"/>
        <v>59.581440000000001</v>
      </c>
      <c r="AG7036" s="14">
        <v>0</v>
      </c>
      <c r="AH7036" s="64">
        <f t="shared" si="1093"/>
        <v>460.8</v>
      </c>
      <c r="AJ7036" s="126">
        <v>93</v>
      </c>
      <c r="AK7036" s="80">
        <f t="shared" si="1091"/>
        <v>460.8</v>
      </c>
      <c r="AL7036" s="85"/>
      <c r="AM7036" s="85"/>
    </row>
    <row r="7037" spans="1:39" s="86" customFormat="1" ht="13.25" hidden="1" customHeight="1" x14ac:dyDescent="0.3">
      <c r="A7037" s="89" t="s">
        <v>3978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3763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095"/>
        <v>7158.9500000000007</v>
      </c>
      <c r="X7037" s="6">
        <f t="shared" si="1096"/>
        <v>0</v>
      </c>
      <c r="Y7037" s="13">
        <f t="shared" si="1089"/>
        <v>0</v>
      </c>
      <c r="Z7037" s="14">
        <v>0</v>
      </c>
      <c r="AA7037" s="6">
        <v>0</v>
      </c>
      <c r="AB7037" s="4">
        <f t="shared" si="1090"/>
        <v>0</v>
      </c>
      <c r="AC7037" s="6">
        <f t="shared" si="1088"/>
        <v>0</v>
      </c>
      <c r="AD7037" s="6">
        <f t="shared" si="1092"/>
        <v>0</v>
      </c>
      <c r="AE7037" s="14">
        <f>VLOOKUP(I7037,[2]媒体政策预估表!A:N,MATCH(O7037,[2]媒体政策预估表!$A$2:$M$2,0),0)</f>
        <v>0.1293</v>
      </c>
      <c r="AF7037" s="6">
        <f t="shared" si="1094"/>
        <v>0</v>
      </c>
      <c r="AG7037" s="14">
        <v>0</v>
      </c>
      <c r="AH7037" s="64">
        <f t="shared" si="1093"/>
        <v>0</v>
      </c>
      <c r="AJ7037" s="126" t="e">
        <v>#N/A</v>
      </c>
      <c r="AK7037" s="80">
        <f t="shared" si="1091"/>
        <v>0</v>
      </c>
      <c r="AL7037" s="85"/>
      <c r="AM7037" s="85"/>
    </row>
    <row r="7038" spans="1:39" s="86" customFormat="1" ht="13.25" hidden="1" customHeight="1" x14ac:dyDescent="0.3">
      <c r="A7038" s="89" t="s">
        <v>3792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3763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095"/>
        <v>2634.7100000000009</v>
      </c>
      <c r="X7038" s="6">
        <f t="shared" si="1096"/>
        <v>747.83</v>
      </c>
      <c r="Y7038" s="13">
        <f t="shared" si="1089"/>
        <v>0</v>
      </c>
      <c r="Z7038" s="14">
        <v>0</v>
      </c>
      <c r="AA7038" s="6">
        <v>0</v>
      </c>
      <c r="AB7038" s="4">
        <f t="shared" si="1090"/>
        <v>747.83</v>
      </c>
      <c r="AC7038" s="6">
        <f t="shared" ref="AC7038:AC7101" si="1097">IF(P7038="返现",X7038*Q7038,V7038-X7038)</f>
        <v>0</v>
      </c>
      <c r="AD7038" s="6">
        <f t="shared" si="1092"/>
        <v>747.83</v>
      </c>
      <c r="AE7038" s="14">
        <f>VLOOKUP(I7038,[2]媒体政策预估表!A:N,MATCH(O7038,[2]媒体政策预估表!$A$2:$M$2,0),0)</f>
        <v>0.1293</v>
      </c>
      <c r="AF7038" s="6">
        <f t="shared" si="1094"/>
        <v>96.694419000000011</v>
      </c>
      <c r="AG7038" s="14">
        <v>0</v>
      </c>
      <c r="AH7038" s="64">
        <f t="shared" si="1093"/>
        <v>747.83</v>
      </c>
      <c r="AJ7038" s="126" t="e">
        <v>#N/A</v>
      </c>
      <c r="AK7038" s="80">
        <f t="shared" si="1091"/>
        <v>0</v>
      </c>
      <c r="AL7038" s="85"/>
      <c r="AM7038" s="85"/>
    </row>
    <row r="7039" spans="1:39" s="86" customFormat="1" ht="13.25" hidden="1" customHeight="1" x14ac:dyDescent="0.3">
      <c r="A7039" s="89" t="s">
        <v>3978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3763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095"/>
        <v>0</v>
      </c>
      <c r="X7039" s="6">
        <f t="shared" si="1096"/>
        <v>14996.689999999995</v>
      </c>
      <c r="Y7039" s="13">
        <f t="shared" si="1089"/>
        <v>0</v>
      </c>
      <c r="Z7039" s="14">
        <v>0</v>
      </c>
      <c r="AA7039" s="6">
        <v>0</v>
      </c>
      <c r="AB7039" s="4">
        <f t="shared" si="1090"/>
        <v>14996.689999999995</v>
      </c>
      <c r="AC7039" s="6">
        <f t="shared" si="1097"/>
        <v>0</v>
      </c>
      <c r="AD7039" s="6">
        <f t="shared" si="1092"/>
        <v>14996.689999999995</v>
      </c>
      <c r="AE7039" s="14">
        <f>VLOOKUP(I7039,[2]媒体政策预估表!A:N,MATCH(O7039,[2]媒体政策预估表!$A$2:$M$2,0),0)</f>
        <v>0.1293</v>
      </c>
      <c r="AF7039" s="6">
        <f t="shared" si="1094"/>
        <v>1939.0720169999993</v>
      </c>
      <c r="AG7039" s="14">
        <v>0</v>
      </c>
      <c r="AH7039" s="64">
        <f t="shared" si="1093"/>
        <v>14996.689999999995</v>
      </c>
      <c r="AJ7039" s="126" t="e">
        <v>#N/A</v>
      </c>
      <c r="AK7039" s="80">
        <f t="shared" si="1091"/>
        <v>0</v>
      </c>
      <c r="AL7039" s="85"/>
      <c r="AM7039" s="85"/>
    </row>
    <row r="7040" spans="1:39" s="86" customFormat="1" ht="13.25" hidden="1" customHeight="1" x14ac:dyDescent="0.3">
      <c r="A7040" s="89" t="s">
        <v>3978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3763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095"/>
        <v>35663.439999999995</v>
      </c>
      <c r="X7040" s="6">
        <f t="shared" si="1096"/>
        <v>0</v>
      </c>
      <c r="Y7040" s="13">
        <f t="shared" si="1089"/>
        <v>0</v>
      </c>
      <c r="Z7040" s="14">
        <v>0</v>
      </c>
      <c r="AA7040" s="6">
        <v>0</v>
      </c>
      <c r="AB7040" s="4">
        <f t="shared" si="1090"/>
        <v>0</v>
      </c>
      <c r="AC7040" s="6">
        <f t="shared" si="1097"/>
        <v>0</v>
      </c>
      <c r="AD7040" s="6">
        <f t="shared" si="1092"/>
        <v>0</v>
      </c>
      <c r="AE7040" s="14">
        <f>VLOOKUP(I7040,[2]媒体政策预估表!A:N,MATCH(O7040,[2]媒体政策预估表!$A$2:$M$2,0),0)</f>
        <v>0.1293</v>
      </c>
      <c r="AF7040" s="6">
        <f t="shared" si="1094"/>
        <v>0</v>
      </c>
      <c r="AG7040" s="14">
        <v>0</v>
      </c>
      <c r="AH7040" s="64">
        <f t="shared" si="1093"/>
        <v>0</v>
      </c>
      <c r="AJ7040" s="126" t="e">
        <v>#N/A</v>
      </c>
      <c r="AK7040" s="80">
        <f t="shared" si="1091"/>
        <v>0</v>
      </c>
      <c r="AL7040" s="85"/>
      <c r="AM7040" s="85"/>
    </row>
    <row r="7041" spans="1:39" s="86" customFormat="1" ht="13.25" hidden="1" customHeight="1" x14ac:dyDescent="0.3">
      <c r="A7041" s="89" t="s">
        <v>3978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3763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095"/>
        <v>3559.08</v>
      </c>
      <c r="X7041" s="6">
        <f t="shared" si="1096"/>
        <v>845.13</v>
      </c>
      <c r="Y7041" s="13">
        <f t="shared" si="1089"/>
        <v>0</v>
      </c>
      <c r="Z7041" s="14">
        <v>0</v>
      </c>
      <c r="AA7041" s="6">
        <v>0</v>
      </c>
      <c r="AB7041" s="4">
        <f t="shared" si="1090"/>
        <v>845.13</v>
      </c>
      <c r="AC7041" s="6">
        <f t="shared" si="1097"/>
        <v>0</v>
      </c>
      <c r="AD7041" s="6">
        <f t="shared" si="1092"/>
        <v>845.13</v>
      </c>
      <c r="AE7041" s="14">
        <f>VLOOKUP(I7041,[2]媒体政策预估表!A:N,MATCH(O7041,[2]媒体政策预估表!$A$2:$M$2,0),0)</f>
        <v>0.1293</v>
      </c>
      <c r="AF7041" s="6">
        <f t="shared" si="1094"/>
        <v>109.27530899999999</v>
      </c>
      <c r="AG7041" s="14">
        <v>0</v>
      </c>
      <c r="AH7041" s="64">
        <f t="shared" si="1093"/>
        <v>845.13</v>
      </c>
      <c r="AJ7041" s="126" t="e">
        <v>#N/A</v>
      </c>
      <c r="AK7041" s="80">
        <f t="shared" si="1091"/>
        <v>0</v>
      </c>
      <c r="AL7041" s="85"/>
      <c r="AM7041" s="85"/>
    </row>
    <row r="7042" spans="1:39" s="86" customFormat="1" ht="13.25" hidden="1" customHeight="1" x14ac:dyDescent="0.3">
      <c r="A7042" s="89" t="s">
        <v>3792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3763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095"/>
        <v>0</v>
      </c>
      <c r="X7042" s="6">
        <f t="shared" si="1096"/>
        <v>137.5</v>
      </c>
      <c r="Y7042" s="13">
        <f t="shared" si="1089"/>
        <v>0</v>
      </c>
      <c r="Z7042" s="14">
        <v>0</v>
      </c>
      <c r="AA7042" s="6">
        <v>0</v>
      </c>
      <c r="AB7042" s="4">
        <f t="shared" si="1090"/>
        <v>137.5</v>
      </c>
      <c r="AC7042" s="6">
        <f t="shared" si="1097"/>
        <v>0</v>
      </c>
      <c r="AD7042" s="6">
        <f t="shared" si="1092"/>
        <v>137.5</v>
      </c>
      <c r="AE7042" s="14">
        <f>VLOOKUP(I7042,[2]媒体政策预估表!A:N,MATCH(O7042,[2]媒体政策预估表!$A$2:$M$2,0),0)</f>
        <v>0.1293</v>
      </c>
      <c r="AF7042" s="6">
        <f t="shared" si="1094"/>
        <v>17.778749999999999</v>
      </c>
      <c r="AG7042" s="14">
        <v>0</v>
      </c>
      <c r="AH7042" s="64">
        <f t="shared" si="1093"/>
        <v>137.5</v>
      </c>
      <c r="AJ7042" s="126" t="e">
        <v>#N/A</v>
      </c>
      <c r="AK7042" s="80">
        <f t="shared" si="1091"/>
        <v>0</v>
      </c>
      <c r="AL7042" s="85"/>
      <c r="AM7042" s="85"/>
    </row>
    <row r="7043" spans="1:39" s="86" customFormat="1" ht="13.25" hidden="1" customHeight="1" x14ac:dyDescent="0.3">
      <c r="A7043" s="89" t="s">
        <v>3978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3763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095"/>
        <v>25403.219999999998</v>
      </c>
      <c r="X7043" s="6">
        <f t="shared" si="1096"/>
        <v>30184.350000000002</v>
      </c>
      <c r="Y7043" s="13">
        <f t="shared" ref="Y7043:Y7106" si="1098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099">X7043+AA7043</f>
        <v>30184.350000000002</v>
      </c>
      <c r="AC7043" s="6">
        <f t="shared" si="1097"/>
        <v>0</v>
      </c>
      <c r="AD7043" s="6">
        <f t="shared" si="1092"/>
        <v>30184.350000000002</v>
      </c>
      <c r="AE7043" s="14">
        <f>VLOOKUP(I7043,[2]媒体政策预估表!A:N,MATCH(O7043,[2]媒体政策预估表!$A$2:$M$2,0),0)</f>
        <v>0.1293</v>
      </c>
      <c r="AF7043" s="6">
        <f t="shared" si="1094"/>
        <v>3902.8364550000001</v>
      </c>
      <c r="AG7043" s="14">
        <v>0</v>
      </c>
      <c r="AH7043" s="64">
        <f t="shared" si="1093"/>
        <v>30184.350000000002</v>
      </c>
      <c r="AJ7043" s="126" t="e">
        <v>#N/A</v>
      </c>
      <c r="AK7043" s="80">
        <f t="shared" ref="AK7043:AK7106" si="1100">X7043+AA7043-AB7043</f>
        <v>0</v>
      </c>
      <c r="AL7043" s="85"/>
      <c r="AM7043" s="85"/>
    </row>
    <row r="7044" spans="1:39" s="86" customFormat="1" ht="13.25" hidden="1" customHeight="1" x14ac:dyDescent="0.3">
      <c r="A7044" s="89" t="s">
        <v>3978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3763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095"/>
        <v>25105.22</v>
      </c>
      <c r="X7044" s="6">
        <f t="shared" si="1096"/>
        <v>0</v>
      </c>
      <c r="Y7044" s="13">
        <f t="shared" si="1098"/>
        <v>0</v>
      </c>
      <c r="Z7044" s="14">
        <v>0</v>
      </c>
      <c r="AA7044" s="6">
        <v>0</v>
      </c>
      <c r="AB7044" s="4">
        <f t="shared" si="1099"/>
        <v>0</v>
      </c>
      <c r="AC7044" s="6">
        <f t="shared" si="1097"/>
        <v>0</v>
      </c>
      <c r="AD7044" s="6">
        <f t="shared" si="1092"/>
        <v>0</v>
      </c>
      <c r="AE7044" s="14">
        <f>VLOOKUP(I7044,[2]媒体政策预估表!A:N,MATCH(O7044,[2]媒体政策预估表!$A$2:$M$2,0),0)</f>
        <v>0.1293</v>
      </c>
      <c r="AF7044" s="6">
        <f t="shared" si="1094"/>
        <v>0</v>
      </c>
      <c r="AG7044" s="14">
        <v>0</v>
      </c>
      <c r="AH7044" s="64">
        <f t="shared" si="1093"/>
        <v>0</v>
      </c>
      <c r="AJ7044" s="126" t="e">
        <v>#N/A</v>
      </c>
      <c r="AK7044" s="80">
        <f t="shared" si="1100"/>
        <v>0</v>
      </c>
      <c r="AL7044" s="85"/>
      <c r="AM7044" s="85"/>
    </row>
    <row r="7045" spans="1:39" s="86" customFormat="1" ht="13.25" hidden="1" customHeight="1" x14ac:dyDescent="0.3">
      <c r="A7045" s="89" t="s">
        <v>3978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3763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095"/>
        <v>10772.499999999978</v>
      </c>
      <c r="X7045" s="6">
        <f t="shared" si="1096"/>
        <v>4823.5294117647054</v>
      </c>
      <c r="Y7045" s="13">
        <f t="shared" si="1098"/>
        <v>0</v>
      </c>
      <c r="Z7045" s="14">
        <v>0</v>
      </c>
      <c r="AA7045" s="6">
        <v>0</v>
      </c>
      <c r="AB7045" s="4">
        <f t="shared" si="1099"/>
        <v>4823.5294117647054</v>
      </c>
      <c r="AC7045" s="6">
        <f t="shared" si="1097"/>
        <v>96.470588235294599</v>
      </c>
      <c r="AD7045" s="6">
        <f t="shared" si="1092"/>
        <v>4920</v>
      </c>
      <c r="AE7045" s="14">
        <f>VLOOKUP(I7045,[2]媒体政策预估表!A:N,MATCH(O7045,[2]媒体政策预估表!$A$2:$M$2,0),0)</f>
        <v>0.1293</v>
      </c>
      <c r="AF7045" s="6">
        <f t="shared" si="1094"/>
        <v>636.15599999999995</v>
      </c>
      <c r="AG7045" s="14">
        <v>0</v>
      </c>
      <c r="AH7045" s="64">
        <f t="shared" si="1093"/>
        <v>4920</v>
      </c>
      <c r="AJ7045" s="126" t="e">
        <v>#N/A</v>
      </c>
      <c r="AK7045" s="80">
        <f t="shared" si="1100"/>
        <v>0</v>
      </c>
      <c r="AL7045" s="85"/>
      <c r="AM7045" s="85"/>
    </row>
    <row r="7046" spans="1:39" s="86" customFormat="1" ht="13.25" hidden="1" customHeight="1" x14ac:dyDescent="0.3">
      <c r="A7046" s="89" t="s">
        <v>3978</v>
      </c>
      <c r="B7046" s="86" t="s">
        <v>701</v>
      </c>
      <c r="C7046" s="86" t="s">
        <v>184</v>
      </c>
      <c r="D7046" s="86" t="s">
        <v>3849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3763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095"/>
        <v>13017.39</v>
      </c>
      <c r="X7046" s="6">
        <f t="shared" si="1096"/>
        <v>1935.87</v>
      </c>
      <c r="Y7046" s="13">
        <f t="shared" si="1098"/>
        <v>0</v>
      </c>
      <c r="Z7046" s="14">
        <v>0</v>
      </c>
      <c r="AA7046" s="6">
        <v>0</v>
      </c>
      <c r="AB7046" s="4">
        <f t="shared" si="1099"/>
        <v>1935.87</v>
      </c>
      <c r="AC7046" s="6">
        <f t="shared" si="1097"/>
        <v>0</v>
      </c>
      <c r="AD7046" s="6">
        <f t="shared" si="1092"/>
        <v>1935.87</v>
      </c>
      <c r="AE7046" s="14">
        <f>VLOOKUP(I7046,[2]媒体政策预估表!A:N,MATCH(O7046,[2]媒体政策预估表!$A$2:$M$2,0),0)</f>
        <v>0.1293</v>
      </c>
      <c r="AF7046" s="6">
        <f t="shared" si="1094"/>
        <v>250.30799099999999</v>
      </c>
      <c r="AG7046" s="14">
        <v>0</v>
      </c>
      <c r="AH7046" s="64">
        <f t="shared" si="1093"/>
        <v>1935.87</v>
      </c>
      <c r="AJ7046" s="126" t="e">
        <v>#N/A</v>
      </c>
      <c r="AK7046" s="80">
        <f t="shared" si="1100"/>
        <v>0</v>
      </c>
      <c r="AL7046" s="85"/>
      <c r="AM7046" s="85"/>
    </row>
    <row r="7047" spans="1:39" s="86" customFormat="1" ht="13.25" hidden="1" customHeight="1" x14ac:dyDescent="0.3">
      <c r="A7047" s="89" t="s">
        <v>3792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3763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095"/>
        <v>0</v>
      </c>
      <c r="X7047" s="6">
        <f t="shared" si="1096"/>
        <v>0</v>
      </c>
      <c r="Y7047" s="13">
        <f t="shared" si="1098"/>
        <v>0</v>
      </c>
      <c r="Z7047" s="14">
        <v>0</v>
      </c>
      <c r="AA7047" s="6">
        <v>0</v>
      </c>
      <c r="AB7047" s="4">
        <f t="shared" si="1099"/>
        <v>0</v>
      </c>
      <c r="AC7047" s="6">
        <f t="shared" si="1097"/>
        <v>0</v>
      </c>
      <c r="AD7047" s="6">
        <f t="shared" si="1092"/>
        <v>0</v>
      </c>
      <c r="AE7047" s="14">
        <f>VLOOKUP(I7047,[2]媒体政策预估表!A:N,MATCH(O7047,[2]媒体政策预估表!$A$2:$M$2,0),0)</f>
        <v>0.1293</v>
      </c>
      <c r="AF7047" s="6">
        <f t="shared" si="1094"/>
        <v>0</v>
      </c>
      <c r="AG7047" s="14">
        <v>0</v>
      </c>
      <c r="AH7047" s="64">
        <f t="shared" si="1093"/>
        <v>0</v>
      </c>
      <c r="AJ7047" s="126" t="e">
        <v>#N/A</v>
      </c>
      <c r="AK7047" s="80">
        <f t="shared" si="1100"/>
        <v>0</v>
      </c>
      <c r="AL7047" s="85"/>
      <c r="AM7047" s="85"/>
    </row>
    <row r="7048" spans="1:39" s="86" customFormat="1" ht="13.25" hidden="1" customHeight="1" x14ac:dyDescent="0.3">
      <c r="A7048" s="89" t="s">
        <v>3978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3763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095"/>
        <v>3787.7999999999993</v>
      </c>
      <c r="X7048" s="6">
        <f t="shared" si="1096"/>
        <v>0</v>
      </c>
      <c r="Y7048" s="13">
        <f t="shared" si="1098"/>
        <v>0</v>
      </c>
      <c r="Z7048" s="14">
        <v>0</v>
      </c>
      <c r="AA7048" s="6">
        <v>0</v>
      </c>
      <c r="AB7048" s="4">
        <f t="shared" si="1099"/>
        <v>0</v>
      </c>
      <c r="AC7048" s="6">
        <f t="shared" si="1097"/>
        <v>0</v>
      </c>
      <c r="AD7048" s="6">
        <f t="shared" si="1092"/>
        <v>0</v>
      </c>
      <c r="AE7048" s="14">
        <f>VLOOKUP(I7048,[2]媒体政策预估表!A:N,MATCH(O7048,[2]媒体政策预估表!$A$2:$M$2,0),0)</f>
        <v>0.1293</v>
      </c>
      <c r="AF7048" s="6">
        <f t="shared" si="1094"/>
        <v>0</v>
      </c>
      <c r="AG7048" s="14">
        <v>0</v>
      </c>
      <c r="AH7048" s="64">
        <f t="shared" si="1093"/>
        <v>0</v>
      </c>
      <c r="AJ7048" s="126" t="e">
        <v>#N/A</v>
      </c>
      <c r="AK7048" s="80">
        <f t="shared" si="1100"/>
        <v>0</v>
      </c>
      <c r="AL7048" s="85"/>
      <c r="AM7048" s="85"/>
    </row>
    <row r="7049" spans="1:39" s="86" customFormat="1" ht="13.25" hidden="1" customHeight="1" x14ac:dyDescent="0.3">
      <c r="A7049" s="89" t="s">
        <v>3978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3763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095"/>
        <v>4927.25</v>
      </c>
      <c r="X7049" s="6">
        <f t="shared" si="1096"/>
        <v>0</v>
      </c>
      <c r="Y7049" s="13">
        <f t="shared" si="1098"/>
        <v>0</v>
      </c>
      <c r="Z7049" s="14">
        <v>0</v>
      </c>
      <c r="AA7049" s="6">
        <v>0</v>
      </c>
      <c r="AB7049" s="4">
        <f t="shared" si="1099"/>
        <v>0</v>
      </c>
      <c r="AC7049" s="6">
        <f t="shared" si="1097"/>
        <v>0</v>
      </c>
      <c r="AD7049" s="6">
        <f t="shared" si="1092"/>
        <v>0</v>
      </c>
      <c r="AE7049" s="14">
        <f>VLOOKUP(I7049,[2]媒体政策预估表!A:N,MATCH(O7049,[2]媒体政策预估表!$A$2:$M$2,0),0)</f>
        <v>0.1293</v>
      </c>
      <c r="AF7049" s="6">
        <f t="shared" si="1094"/>
        <v>0</v>
      </c>
      <c r="AG7049" s="14">
        <v>0</v>
      </c>
      <c r="AH7049" s="64">
        <f t="shared" si="1093"/>
        <v>0</v>
      </c>
      <c r="AJ7049" s="126" t="e">
        <v>#N/A</v>
      </c>
      <c r="AK7049" s="80">
        <f t="shared" si="1100"/>
        <v>0</v>
      </c>
      <c r="AL7049" s="85"/>
      <c r="AM7049" s="85"/>
    </row>
    <row r="7050" spans="1:39" s="86" customFormat="1" ht="13.25" hidden="1" customHeight="1" x14ac:dyDescent="0.3">
      <c r="A7050" s="89" t="s">
        <v>3792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3763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095"/>
        <v>216083</v>
      </c>
      <c r="X7050" s="6">
        <f t="shared" si="1096"/>
        <v>29384.15</v>
      </c>
      <c r="Y7050" s="13">
        <f t="shared" si="1098"/>
        <v>0</v>
      </c>
      <c r="Z7050" s="14">
        <v>0</v>
      </c>
      <c r="AA7050" s="6">
        <v>0</v>
      </c>
      <c r="AB7050" s="4">
        <f t="shared" si="1099"/>
        <v>29384.15</v>
      </c>
      <c r="AC7050" s="6">
        <f t="shared" si="1097"/>
        <v>0</v>
      </c>
      <c r="AD7050" s="6">
        <f t="shared" si="1092"/>
        <v>29384.15</v>
      </c>
      <c r="AE7050" s="14">
        <f>VLOOKUP(I7050,[2]媒体政策预估表!A:N,MATCH(O7050,[2]媒体政策预估表!$A$2:$M$2,0),0)</f>
        <v>0.1293</v>
      </c>
      <c r="AF7050" s="6">
        <f t="shared" si="1094"/>
        <v>3799.3705950000003</v>
      </c>
      <c r="AG7050" s="14">
        <v>0</v>
      </c>
      <c r="AH7050" s="64">
        <f t="shared" si="1093"/>
        <v>29384.15</v>
      </c>
      <c r="AJ7050" s="126" t="e">
        <v>#N/A</v>
      </c>
      <c r="AK7050" s="80">
        <f t="shared" si="1100"/>
        <v>0</v>
      </c>
      <c r="AL7050" s="85"/>
      <c r="AM7050" s="85"/>
    </row>
    <row r="7051" spans="1:39" s="86" customFormat="1" ht="13.25" hidden="1" customHeight="1" x14ac:dyDescent="0.3">
      <c r="A7051" s="89" t="s">
        <v>3978</v>
      </c>
      <c r="B7051" s="86" t="s">
        <v>701</v>
      </c>
      <c r="C7051" s="86" t="s">
        <v>184</v>
      </c>
      <c r="D7051" s="86" t="s">
        <v>3849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3763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095"/>
        <v>7764.1100000000024</v>
      </c>
      <c r="X7051" s="6">
        <f t="shared" si="1096"/>
        <v>0</v>
      </c>
      <c r="Y7051" s="13">
        <f t="shared" si="1098"/>
        <v>0</v>
      </c>
      <c r="Z7051" s="14">
        <v>0</v>
      </c>
      <c r="AA7051" s="6">
        <v>0</v>
      </c>
      <c r="AB7051" s="4">
        <f t="shared" si="1099"/>
        <v>0</v>
      </c>
      <c r="AC7051" s="6">
        <f t="shared" si="1097"/>
        <v>0</v>
      </c>
      <c r="AD7051" s="6">
        <f t="shared" si="1092"/>
        <v>0</v>
      </c>
      <c r="AE7051" s="14">
        <f>VLOOKUP(I7051,[2]媒体政策预估表!A:N,MATCH(O7051,[2]媒体政策预估表!$A$2:$M$2,0),0)</f>
        <v>0.1293</v>
      </c>
      <c r="AF7051" s="6">
        <f t="shared" si="1094"/>
        <v>0</v>
      </c>
      <c r="AG7051" s="14">
        <v>0</v>
      </c>
      <c r="AH7051" s="64">
        <f t="shared" si="1093"/>
        <v>0</v>
      </c>
      <c r="AJ7051" s="126" t="e">
        <v>#N/A</v>
      </c>
      <c r="AK7051" s="80">
        <f t="shared" si="1100"/>
        <v>0</v>
      </c>
      <c r="AL7051" s="85"/>
      <c r="AM7051" s="85"/>
    </row>
    <row r="7052" spans="1:39" s="86" customFormat="1" ht="13.25" hidden="1" customHeight="1" x14ac:dyDescent="0.3">
      <c r="A7052" s="89" t="s">
        <v>3792</v>
      </c>
      <c r="B7052" s="86" t="s">
        <v>701</v>
      </c>
      <c r="C7052" s="86" t="s">
        <v>184</v>
      </c>
      <c r="D7052" s="86" t="s">
        <v>3849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3763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095"/>
        <v>8252</v>
      </c>
      <c r="X7052" s="6">
        <f t="shared" si="1096"/>
        <v>2621.3592233009708</v>
      </c>
      <c r="Y7052" s="13">
        <f t="shared" si="1098"/>
        <v>0</v>
      </c>
      <c r="Z7052" s="14">
        <v>0</v>
      </c>
      <c r="AA7052" s="6">
        <v>0</v>
      </c>
      <c r="AB7052" s="4">
        <f t="shared" si="1099"/>
        <v>2621.3592233009708</v>
      </c>
      <c r="AC7052" s="6">
        <f t="shared" si="1097"/>
        <v>78.640776699029175</v>
      </c>
      <c r="AD7052" s="6">
        <f t="shared" si="1092"/>
        <v>2700</v>
      </c>
      <c r="AE7052" s="14">
        <f>VLOOKUP(I7052,[2]媒体政策预估表!A:N,MATCH(O7052,[2]媒体政策预估表!$A$2:$M$2,0),0)</f>
        <v>0.1293</v>
      </c>
      <c r="AF7052" s="6">
        <f t="shared" si="1094"/>
        <v>349.11</v>
      </c>
      <c r="AG7052" s="14">
        <v>0</v>
      </c>
      <c r="AH7052" s="64">
        <f t="shared" si="1093"/>
        <v>2700</v>
      </c>
      <c r="AJ7052" s="126" t="e">
        <v>#N/A</v>
      </c>
      <c r="AK7052" s="80">
        <f t="shared" si="1100"/>
        <v>0</v>
      </c>
      <c r="AL7052" s="85"/>
      <c r="AM7052" s="85"/>
    </row>
    <row r="7053" spans="1:39" s="86" customFormat="1" ht="13.25" hidden="1" customHeight="1" x14ac:dyDescent="0.3">
      <c r="A7053" s="89" t="s">
        <v>3978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3763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095"/>
        <v>13948.410000000003</v>
      </c>
      <c r="X7053" s="6">
        <f t="shared" si="1096"/>
        <v>1664.7058823529412</v>
      </c>
      <c r="Y7053" s="13">
        <f t="shared" si="1098"/>
        <v>0</v>
      </c>
      <c r="Z7053" s="14">
        <v>0</v>
      </c>
      <c r="AA7053" s="6">
        <v>0</v>
      </c>
      <c r="AB7053" s="4">
        <f t="shared" si="1099"/>
        <v>1664.7058823529412</v>
      </c>
      <c r="AC7053" s="6">
        <f t="shared" si="1097"/>
        <v>33.294117647058783</v>
      </c>
      <c r="AD7053" s="6">
        <f t="shared" si="1092"/>
        <v>1698</v>
      </c>
      <c r="AE7053" s="14">
        <f>VLOOKUP(I7053,[2]媒体政策预估表!A:N,MATCH(O7053,[2]媒体政策预估表!$A$2:$M$2,0),0)</f>
        <v>0.1293</v>
      </c>
      <c r="AF7053" s="6">
        <f t="shared" si="1094"/>
        <v>219.5514</v>
      </c>
      <c r="AG7053" s="14">
        <v>0</v>
      </c>
      <c r="AH7053" s="64">
        <f t="shared" si="1093"/>
        <v>1698</v>
      </c>
      <c r="AJ7053" s="126" t="e">
        <v>#N/A</v>
      </c>
      <c r="AK7053" s="80">
        <f t="shared" si="1100"/>
        <v>0</v>
      </c>
      <c r="AL7053" s="85"/>
      <c r="AM7053" s="85"/>
    </row>
    <row r="7054" spans="1:39" s="86" customFormat="1" ht="13.25" hidden="1" customHeight="1" x14ac:dyDescent="0.3">
      <c r="A7054" s="89" t="s">
        <v>3978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3763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095"/>
        <v>0</v>
      </c>
      <c r="X7054" s="6">
        <f t="shared" si="1096"/>
        <v>8320.0294117647118</v>
      </c>
      <c r="Y7054" s="13">
        <f t="shared" si="1098"/>
        <v>0</v>
      </c>
      <c r="Z7054" s="14">
        <v>0</v>
      </c>
      <c r="AA7054" s="6">
        <v>0</v>
      </c>
      <c r="AB7054" s="4">
        <f t="shared" si="1099"/>
        <v>8320.0294117647118</v>
      </c>
      <c r="AC7054" s="6">
        <f t="shared" si="1097"/>
        <v>166.40058823529398</v>
      </c>
      <c r="AD7054" s="6">
        <f t="shared" si="1092"/>
        <v>8486.4300000000057</v>
      </c>
      <c r="AE7054" s="14">
        <f>VLOOKUP(I7054,[2]媒体政策预估表!A:N,MATCH(O7054,[2]媒体政策预估表!$A$2:$M$2,0),0)</f>
        <v>0.1293</v>
      </c>
      <c r="AF7054" s="6">
        <f t="shared" si="1094"/>
        <v>1097.2953990000008</v>
      </c>
      <c r="AG7054" s="14">
        <v>0</v>
      </c>
      <c r="AH7054" s="64">
        <f t="shared" si="1093"/>
        <v>8486.4300000000057</v>
      </c>
      <c r="AJ7054" s="126" t="e">
        <v>#N/A</v>
      </c>
      <c r="AK7054" s="80">
        <f t="shared" si="1100"/>
        <v>0</v>
      </c>
      <c r="AL7054" s="85"/>
      <c r="AM7054" s="85"/>
    </row>
    <row r="7055" spans="1:39" s="86" customFormat="1" ht="13.25" hidden="1" customHeight="1" x14ac:dyDescent="0.3">
      <c r="A7055" s="89" t="s">
        <v>3792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3763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095"/>
        <v>20400.000000000004</v>
      </c>
      <c r="X7055" s="6">
        <f t="shared" si="1096"/>
        <v>0</v>
      </c>
      <c r="Y7055" s="13">
        <f t="shared" si="1098"/>
        <v>0</v>
      </c>
      <c r="Z7055" s="14">
        <v>0</v>
      </c>
      <c r="AA7055" s="6">
        <v>0</v>
      </c>
      <c r="AB7055" s="4">
        <f t="shared" si="1099"/>
        <v>0</v>
      </c>
      <c r="AC7055" s="6">
        <f t="shared" si="1097"/>
        <v>0</v>
      </c>
      <c r="AD7055" s="6">
        <f t="shared" si="1092"/>
        <v>0</v>
      </c>
      <c r="AE7055" s="14">
        <f>VLOOKUP(I7055,[2]媒体政策预估表!A:N,MATCH(O7055,[2]媒体政策预估表!$A$2:$M$2,0),0)</f>
        <v>0.1293</v>
      </c>
      <c r="AF7055" s="6">
        <f t="shared" si="1094"/>
        <v>0</v>
      </c>
      <c r="AG7055" s="14">
        <v>0</v>
      </c>
      <c r="AH7055" s="64">
        <f t="shared" si="1093"/>
        <v>0</v>
      </c>
      <c r="AJ7055" s="126" t="e">
        <v>#N/A</v>
      </c>
      <c r="AK7055" s="80">
        <f t="shared" si="1100"/>
        <v>0</v>
      </c>
      <c r="AL7055" s="85"/>
      <c r="AM7055" s="85"/>
    </row>
    <row r="7056" spans="1:39" s="86" customFormat="1" ht="13.25" hidden="1" customHeight="1" x14ac:dyDescent="0.3">
      <c r="A7056" s="89" t="s">
        <v>3792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3763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095"/>
        <v>817</v>
      </c>
      <c r="X7056" s="6">
        <f t="shared" si="1096"/>
        <v>0</v>
      </c>
      <c r="Y7056" s="13">
        <f t="shared" si="1098"/>
        <v>0</v>
      </c>
      <c r="Z7056" s="14">
        <v>0</v>
      </c>
      <c r="AA7056" s="6">
        <v>0</v>
      </c>
      <c r="AB7056" s="4"/>
      <c r="AC7056" s="6">
        <f t="shared" si="1097"/>
        <v>0</v>
      </c>
      <c r="AD7056" s="6">
        <f t="shared" si="1092"/>
        <v>0</v>
      </c>
      <c r="AE7056" s="14">
        <f>VLOOKUP(I7056,[2]媒体政策预估表!A:N,MATCH(O7056,[2]媒体政策预估表!$A$2:$M$2,0),0)</f>
        <v>0.1293</v>
      </c>
      <c r="AF7056" s="6">
        <f t="shared" si="1094"/>
        <v>0</v>
      </c>
      <c r="AG7056" s="14">
        <v>0</v>
      </c>
      <c r="AH7056" s="64">
        <f t="shared" si="1093"/>
        <v>0</v>
      </c>
      <c r="AJ7056" s="126">
        <v>40</v>
      </c>
      <c r="AK7056" s="80">
        <f t="shared" si="1100"/>
        <v>0</v>
      </c>
      <c r="AL7056" s="85"/>
      <c r="AM7056" s="85"/>
    </row>
    <row r="7057" spans="1:39" s="86" customFormat="1" ht="13.25" hidden="1" customHeight="1" x14ac:dyDescent="0.3">
      <c r="A7057" s="89" t="s">
        <v>3792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3763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095"/>
        <v>0</v>
      </c>
      <c r="X7057" s="6">
        <f t="shared" si="1096"/>
        <v>121.99999999999955</v>
      </c>
      <c r="Y7057" s="13">
        <f t="shared" si="1098"/>
        <v>0</v>
      </c>
      <c r="Z7057" s="14">
        <v>0</v>
      </c>
      <c r="AA7057" s="6">
        <v>0</v>
      </c>
      <c r="AB7057" s="4">
        <f t="shared" si="1099"/>
        <v>121.99999999999955</v>
      </c>
      <c r="AC7057" s="6">
        <f t="shared" si="1097"/>
        <v>0</v>
      </c>
      <c r="AD7057" s="6">
        <f t="shared" si="1092"/>
        <v>121.99999999999955</v>
      </c>
      <c r="AE7057" s="14">
        <f>VLOOKUP(I7057,[2]媒体政策预估表!A:N,MATCH(O7057,[2]媒体政策预估表!$A$2:$M$2,0),0)</f>
        <v>0.1293</v>
      </c>
      <c r="AF7057" s="6">
        <f t="shared" si="1094"/>
        <v>15.774599999999941</v>
      </c>
      <c r="AG7057" s="14">
        <v>0</v>
      </c>
      <c r="AH7057" s="64">
        <f t="shared" si="1093"/>
        <v>121.99999999999955</v>
      </c>
      <c r="AJ7057" s="126" t="e">
        <v>#N/A</v>
      </c>
      <c r="AK7057" s="80">
        <f t="shared" si="1100"/>
        <v>0</v>
      </c>
      <c r="AL7057" s="85"/>
      <c r="AM7057" s="85"/>
    </row>
    <row r="7058" spans="1:39" s="86" customFormat="1" ht="13.25" hidden="1" customHeight="1" x14ac:dyDescent="0.3">
      <c r="A7058" s="89" t="s">
        <v>3978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3763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095"/>
        <v>4446.7000000000007</v>
      </c>
      <c r="X7058" s="6">
        <f t="shared" si="1096"/>
        <v>0</v>
      </c>
      <c r="Y7058" s="13">
        <f t="shared" si="1098"/>
        <v>0</v>
      </c>
      <c r="Z7058" s="14">
        <v>0</v>
      </c>
      <c r="AA7058" s="6">
        <v>0</v>
      </c>
      <c r="AB7058" s="4">
        <f t="shared" si="1099"/>
        <v>0</v>
      </c>
      <c r="AC7058" s="6">
        <f t="shared" si="1097"/>
        <v>0</v>
      </c>
      <c r="AD7058" s="6">
        <f t="shared" si="1092"/>
        <v>0</v>
      </c>
      <c r="AE7058" s="14">
        <f>VLOOKUP(I7058,[2]媒体政策预估表!A:N,MATCH(O7058,[2]媒体政策预估表!$A$2:$M$2,0),0)</f>
        <v>0.1293</v>
      </c>
      <c r="AF7058" s="6">
        <f t="shared" si="1094"/>
        <v>0</v>
      </c>
      <c r="AG7058" s="14">
        <v>0</v>
      </c>
      <c r="AH7058" s="64">
        <f t="shared" si="1093"/>
        <v>0</v>
      </c>
      <c r="AJ7058" s="126" t="e">
        <v>#N/A</v>
      </c>
      <c r="AK7058" s="80">
        <f t="shared" si="1100"/>
        <v>0</v>
      </c>
      <c r="AL7058" s="85"/>
      <c r="AM7058" s="85"/>
    </row>
    <row r="7059" spans="1:39" s="86" customFormat="1" ht="13.25" hidden="1" customHeight="1" x14ac:dyDescent="0.3">
      <c r="A7059" s="89" t="s">
        <v>3978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3763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095"/>
        <v>321.42000000000417</v>
      </c>
      <c r="X7059" s="6">
        <f t="shared" si="1096"/>
        <v>0</v>
      </c>
      <c r="Y7059" s="13">
        <f t="shared" si="1098"/>
        <v>0</v>
      </c>
      <c r="Z7059" s="14">
        <v>0</v>
      </c>
      <c r="AA7059" s="6">
        <v>0</v>
      </c>
      <c r="AB7059" s="4">
        <f t="shared" si="1099"/>
        <v>0</v>
      </c>
      <c r="AC7059" s="6">
        <f t="shared" si="1097"/>
        <v>0</v>
      </c>
      <c r="AD7059" s="6">
        <f t="shared" si="1092"/>
        <v>0</v>
      </c>
      <c r="AE7059" s="14">
        <f>VLOOKUP(I7059,[2]媒体政策预估表!A:N,MATCH(O7059,[2]媒体政策预估表!$A$2:$M$2,0),0)</f>
        <v>0.1293</v>
      </c>
      <c r="AF7059" s="6">
        <f t="shared" si="1094"/>
        <v>0</v>
      </c>
      <c r="AG7059" s="14">
        <v>0</v>
      </c>
      <c r="AH7059" s="64">
        <f t="shared" si="1093"/>
        <v>0</v>
      </c>
      <c r="AJ7059" s="126" t="e">
        <v>#N/A</v>
      </c>
      <c r="AK7059" s="80">
        <f t="shared" si="1100"/>
        <v>0</v>
      </c>
      <c r="AL7059" s="85"/>
      <c r="AM7059" s="85"/>
    </row>
    <row r="7060" spans="1:39" s="86" customFormat="1" ht="13.25" hidden="1" customHeight="1" x14ac:dyDescent="0.3">
      <c r="A7060" s="89" t="s">
        <v>3978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3763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095"/>
        <v>7310.2999999999993</v>
      </c>
      <c r="X7060" s="6">
        <f t="shared" si="1096"/>
        <v>0</v>
      </c>
      <c r="Y7060" s="13">
        <f t="shared" si="1098"/>
        <v>0</v>
      </c>
      <c r="Z7060" s="14">
        <v>0</v>
      </c>
      <c r="AA7060" s="6">
        <v>0</v>
      </c>
      <c r="AB7060" s="4">
        <f t="shared" si="1099"/>
        <v>0</v>
      </c>
      <c r="AC7060" s="6">
        <f t="shared" si="1097"/>
        <v>0</v>
      </c>
      <c r="AD7060" s="6">
        <f t="shared" si="1092"/>
        <v>0</v>
      </c>
      <c r="AE7060" s="14">
        <f>VLOOKUP(I7060,[2]媒体政策预估表!A:N,MATCH(O7060,[2]媒体政策预估表!$A$2:$M$2,0),0)</f>
        <v>0.1293</v>
      </c>
      <c r="AF7060" s="6">
        <f t="shared" si="1094"/>
        <v>0</v>
      </c>
      <c r="AG7060" s="14">
        <v>0</v>
      </c>
      <c r="AH7060" s="64">
        <f t="shared" si="1093"/>
        <v>0</v>
      </c>
      <c r="AJ7060" s="126" t="e">
        <v>#N/A</v>
      </c>
      <c r="AK7060" s="80">
        <f t="shared" si="1100"/>
        <v>0</v>
      </c>
      <c r="AL7060" s="85"/>
      <c r="AM7060" s="85"/>
    </row>
    <row r="7061" spans="1:39" s="86" customFormat="1" ht="13.25" hidden="1" customHeight="1" x14ac:dyDescent="0.3">
      <c r="A7061" s="89" t="s">
        <v>3978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3763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095"/>
        <v>15.720000000000027</v>
      </c>
      <c r="X7061" s="6">
        <f t="shared" si="1096"/>
        <v>0</v>
      </c>
      <c r="Y7061" s="13">
        <f t="shared" si="1098"/>
        <v>0</v>
      </c>
      <c r="Z7061" s="14">
        <v>0</v>
      </c>
      <c r="AA7061" s="6">
        <v>0</v>
      </c>
      <c r="AB7061" s="4">
        <f t="shared" si="1099"/>
        <v>0</v>
      </c>
      <c r="AC7061" s="6">
        <f t="shared" si="1097"/>
        <v>0</v>
      </c>
      <c r="AD7061" s="6">
        <f t="shared" si="1092"/>
        <v>0</v>
      </c>
      <c r="AE7061" s="14">
        <f>VLOOKUP(I7061,[2]媒体政策预估表!A:N,MATCH(O7061,[2]媒体政策预估表!$A$2:$M$2,0),0)</f>
        <v>0.1293</v>
      </c>
      <c r="AF7061" s="6">
        <f t="shared" si="1094"/>
        <v>0</v>
      </c>
      <c r="AG7061" s="14">
        <v>0</v>
      </c>
      <c r="AH7061" s="64">
        <f t="shared" si="1093"/>
        <v>0</v>
      </c>
      <c r="AJ7061" s="126" t="e">
        <v>#N/A</v>
      </c>
      <c r="AK7061" s="80">
        <f t="shared" si="1100"/>
        <v>0</v>
      </c>
      <c r="AL7061" s="85"/>
      <c r="AM7061" s="85"/>
    </row>
    <row r="7062" spans="1:39" s="86" customFormat="1" ht="13.25" hidden="1" customHeight="1" x14ac:dyDescent="0.3">
      <c r="A7062" s="89" t="s">
        <v>3978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3763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095"/>
        <v>6095.7999999999993</v>
      </c>
      <c r="X7062" s="6">
        <f t="shared" si="1096"/>
        <v>523.79999999999995</v>
      </c>
      <c r="Y7062" s="13">
        <f t="shared" si="1098"/>
        <v>0</v>
      </c>
      <c r="Z7062" s="14">
        <v>0</v>
      </c>
      <c r="AA7062" s="6">
        <v>0</v>
      </c>
      <c r="AB7062" s="4">
        <f t="shared" si="1099"/>
        <v>523.79999999999995</v>
      </c>
      <c r="AC7062" s="6">
        <f t="shared" si="1097"/>
        <v>0</v>
      </c>
      <c r="AD7062" s="6">
        <f t="shared" si="1092"/>
        <v>523.79999999999995</v>
      </c>
      <c r="AE7062" s="14">
        <f>VLOOKUP(I7062,[2]媒体政策预估表!A:N,MATCH(O7062,[2]媒体政策预估表!$A$2:$M$2,0),0)</f>
        <v>0.1293</v>
      </c>
      <c r="AF7062" s="6">
        <f t="shared" si="1094"/>
        <v>67.727339999999998</v>
      </c>
      <c r="AG7062" s="14">
        <v>0</v>
      </c>
      <c r="AH7062" s="64">
        <f t="shared" si="1093"/>
        <v>523.79999999999995</v>
      </c>
      <c r="AJ7062" s="126" t="e">
        <v>#N/A</v>
      </c>
      <c r="AK7062" s="80">
        <f t="shared" si="1100"/>
        <v>0</v>
      </c>
      <c r="AL7062" s="85"/>
      <c r="AM7062" s="85"/>
    </row>
    <row r="7063" spans="1:39" s="86" customFormat="1" ht="13.25" hidden="1" customHeight="1" x14ac:dyDescent="0.3">
      <c r="A7063" s="89" t="s">
        <v>3978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3763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095"/>
        <v>0</v>
      </c>
      <c r="X7063" s="6">
        <f t="shared" si="1096"/>
        <v>2.2772277227659288</v>
      </c>
      <c r="Y7063" s="13">
        <f t="shared" si="1098"/>
        <v>0</v>
      </c>
      <c r="Z7063" s="14">
        <v>0</v>
      </c>
      <c r="AA7063" s="6">
        <v>0</v>
      </c>
      <c r="AB7063" s="4">
        <f t="shared" si="1099"/>
        <v>2.2772277227659288</v>
      </c>
      <c r="AC7063" s="6">
        <f t="shared" si="1097"/>
        <v>2.2772277227659288E-2</v>
      </c>
      <c r="AD7063" s="6">
        <f t="shared" si="1092"/>
        <v>2.2999999999935881</v>
      </c>
      <c r="AE7063" s="14">
        <f>VLOOKUP(I7063,[2]媒体政策预估表!A:N,MATCH(O7063,[2]媒体政策预估表!$A$2:$M$2,0),0)</f>
        <v>0.1293</v>
      </c>
      <c r="AF7063" s="6">
        <f t="shared" si="1094"/>
        <v>0.29738999999917093</v>
      </c>
      <c r="AG7063" s="14">
        <v>0</v>
      </c>
      <c r="AH7063" s="64">
        <f t="shared" si="1093"/>
        <v>2.2999999999935881</v>
      </c>
      <c r="AJ7063" s="126" t="e">
        <v>#N/A</v>
      </c>
      <c r="AK7063" s="80">
        <f t="shared" si="1100"/>
        <v>0</v>
      </c>
      <c r="AL7063" s="85"/>
      <c r="AM7063" s="85"/>
    </row>
    <row r="7064" spans="1:39" s="86" customFormat="1" ht="13.25" hidden="1" customHeight="1" x14ac:dyDescent="0.3">
      <c r="A7064" s="89" t="s">
        <v>3978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3763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095"/>
        <v>5033.8</v>
      </c>
      <c r="X7064" s="6">
        <f t="shared" si="1096"/>
        <v>0</v>
      </c>
      <c r="Y7064" s="13">
        <f t="shared" si="1098"/>
        <v>0</v>
      </c>
      <c r="Z7064" s="14">
        <v>0</v>
      </c>
      <c r="AA7064" s="6">
        <v>0</v>
      </c>
      <c r="AB7064" s="4">
        <f t="shared" si="1099"/>
        <v>0</v>
      </c>
      <c r="AC7064" s="6">
        <f t="shared" si="1097"/>
        <v>0</v>
      </c>
      <c r="AD7064" s="6">
        <f t="shared" si="1092"/>
        <v>0</v>
      </c>
      <c r="AE7064" s="14">
        <f>VLOOKUP(I7064,[2]媒体政策预估表!A:N,MATCH(O7064,[2]媒体政策预估表!$A$2:$M$2,0),0)</f>
        <v>0.1293</v>
      </c>
      <c r="AF7064" s="6">
        <f t="shared" si="1094"/>
        <v>0</v>
      </c>
      <c r="AG7064" s="14">
        <v>0</v>
      </c>
      <c r="AH7064" s="64">
        <f t="shared" si="1093"/>
        <v>0</v>
      </c>
      <c r="AJ7064" s="126" t="e">
        <v>#N/A</v>
      </c>
      <c r="AK7064" s="80">
        <f t="shared" si="1100"/>
        <v>0</v>
      </c>
      <c r="AL7064" s="85"/>
      <c r="AM7064" s="85"/>
    </row>
    <row r="7065" spans="1:39" s="86" customFormat="1" ht="13.25" hidden="1" customHeight="1" x14ac:dyDescent="0.3">
      <c r="A7065" s="89" t="s">
        <v>3978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3763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095"/>
        <v>5582.6</v>
      </c>
      <c r="X7065" s="6">
        <f t="shared" si="1096"/>
        <v>0</v>
      </c>
      <c r="Y7065" s="13">
        <f t="shared" si="1098"/>
        <v>0</v>
      </c>
      <c r="Z7065" s="14">
        <v>0</v>
      </c>
      <c r="AA7065" s="6">
        <v>0</v>
      </c>
      <c r="AB7065" s="4">
        <f t="shared" si="1099"/>
        <v>0</v>
      </c>
      <c r="AC7065" s="6">
        <f t="shared" si="1097"/>
        <v>0</v>
      </c>
      <c r="AD7065" s="6">
        <f t="shared" si="1092"/>
        <v>0</v>
      </c>
      <c r="AE7065" s="14">
        <f>VLOOKUP(I7065,[2]媒体政策预估表!A:N,MATCH(O7065,[2]媒体政策预估表!$A$2:$M$2,0),0)</f>
        <v>0.1293</v>
      </c>
      <c r="AF7065" s="6">
        <f t="shared" si="1094"/>
        <v>0</v>
      </c>
      <c r="AG7065" s="14">
        <v>0</v>
      </c>
      <c r="AH7065" s="64">
        <f t="shared" si="1093"/>
        <v>0</v>
      </c>
      <c r="AJ7065" s="126" t="e">
        <v>#N/A</v>
      </c>
      <c r="AK7065" s="80">
        <f t="shared" si="1100"/>
        <v>0</v>
      </c>
      <c r="AL7065" s="85"/>
      <c r="AM7065" s="85"/>
    </row>
    <row r="7066" spans="1:39" s="86" customFormat="1" ht="13.25" hidden="1" customHeight="1" x14ac:dyDescent="0.3">
      <c r="A7066" s="89" t="s">
        <v>3978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3763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095"/>
        <v>18957.150000000001</v>
      </c>
      <c r="X7066" s="6">
        <f t="shared" si="1096"/>
        <v>0</v>
      </c>
      <c r="Y7066" s="13">
        <f t="shared" si="1098"/>
        <v>0</v>
      </c>
      <c r="Z7066" s="14">
        <v>0</v>
      </c>
      <c r="AA7066" s="6">
        <v>0</v>
      </c>
      <c r="AB7066" s="4">
        <f t="shared" si="1099"/>
        <v>0</v>
      </c>
      <c r="AC7066" s="6">
        <f t="shared" si="1097"/>
        <v>0</v>
      </c>
      <c r="AD7066" s="6">
        <f t="shared" si="1092"/>
        <v>0</v>
      </c>
      <c r="AE7066" s="14">
        <f>VLOOKUP(I7066,[2]媒体政策预估表!A:N,MATCH(O7066,[2]媒体政策预估表!$A$2:$M$2,0),0)</f>
        <v>0.1293</v>
      </c>
      <c r="AF7066" s="6">
        <f t="shared" si="1094"/>
        <v>0</v>
      </c>
      <c r="AG7066" s="14">
        <v>0</v>
      </c>
      <c r="AH7066" s="64">
        <f t="shared" si="1093"/>
        <v>0</v>
      </c>
      <c r="AJ7066" s="126" t="e">
        <v>#N/A</v>
      </c>
      <c r="AK7066" s="80">
        <f t="shared" si="1100"/>
        <v>0</v>
      </c>
      <c r="AL7066" s="85"/>
      <c r="AM7066" s="85"/>
    </row>
    <row r="7067" spans="1:39" s="86" customFormat="1" ht="13.25" hidden="1" customHeight="1" x14ac:dyDescent="0.3">
      <c r="A7067" s="89" t="s">
        <v>3978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3763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095"/>
        <v>384.57999999999811</v>
      </c>
      <c r="X7067" s="6">
        <f t="shared" si="1096"/>
        <v>0</v>
      </c>
      <c r="Y7067" s="13">
        <f t="shared" si="1098"/>
        <v>0</v>
      </c>
      <c r="Z7067" s="14">
        <v>0</v>
      </c>
      <c r="AA7067" s="6">
        <v>0</v>
      </c>
      <c r="AB7067" s="4">
        <f t="shared" si="1099"/>
        <v>0</v>
      </c>
      <c r="AC7067" s="6">
        <f t="shared" si="1097"/>
        <v>0</v>
      </c>
      <c r="AD7067" s="6">
        <f t="shared" si="1092"/>
        <v>0</v>
      </c>
      <c r="AE7067" s="14">
        <f>VLOOKUP(I7067,[2]媒体政策预估表!A:N,MATCH(O7067,[2]媒体政策预估表!$A$2:$M$2,0),0)</f>
        <v>0.1293</v>
      </c>
      <c r="AF7067" s="6">
        <f t="shared" si="1094"/>
        <v>0</v>
      </c>
      <c r="AG7067" s="14">
        <v>0</v>
      </c>
      <c r="AH7067" s="64">
        <f t="shared" si="1093"/>
        <v>0</v>
      </c>
      <c r="AJ7067" s="126" t="e">
        <v>#N/A</v>
      </c>
      <c r="AK7067" s="80">
        <f t="shared" si="1100"/>
        <v>0</v>
      </c>
      <c r="AL7067" s="85"/>
      <c r="AM7067" s="85"/>
    </row>
    <row r="7068" spans="1:39" s="86" customFormat="1" ht="13.25" hidden="1" customHeight="1" x14ac:dyDescent="0.3">
      <c r="A7068" s="89" t="s">
        <v>3978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3763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095"/>
        <v>13704.699999999986</v>
      </c>
      <c r="X7068" s="6">
        <f t="shared" si="1096"/>
        <v>0</v>
      </c>
      <c r="Y7068" s="13">
        <f t="shared" si="1098"/>
        <v>0</v>
      </c>
      <c r="Z7068" s="14">
        <v>0</v>
      </c>
      <c r="AA7068" s="6">
        <v>0</v>
      </c>
      <c r="AB7068" s="4">
        <f t="shared" si="1099"/>
        <v>0</v>
      </c>
      <c r="AC7068" s="6">
        <f t="shared" si="1097"/>
        <v>0</v>
      </c>
      <c r="AD7068" s="6">
        <f t="shared" si="1092"/>
        <v>0</v>
      </c>
      <c r="AE7068" s="14">
        <f>VLOOKUP(I7068,[2]媒体政策预估表!A:N,MATCH(O7068,[2]媒体政策预估表!$A$2:$M$2,0),0)</f>
        <v>0.1293</v>
      </c>
      <c r="AF7068" s="6">
        <f t="shared" si="1094"/>
        <v>0</v>
      </c>
      <c r="AG7068" s="14">
        <v>0</v>
      </c>
      <c r="AH7068" s="64">
        <f t="shared" si="1093"/>
        <v>0</v>
      </c>
      <c r="AJ7068" s="126" t="e">
        <v>#N/A</v>
      </c>
      <c r="AK7068" s="80">
        <f t="shared" si="1100"/>
        <v>0</v>
      </c>
      <c r="AL7068" s="85"/>
      <c r="AM7068" s="85"/>
    </row>
    <row r="7069" spans="1:39" s="86" customFormat="1" ht="13.25" hidden="1" customHeight="1" x14ac:dyDescent="0.3">
      <c r="A7069" s="89" t="s">
        <v>3792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3763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095"/>
        <v>738.29999999999973</v>
      </c>
      <c r="X7069" s="6">
        <f t="shared" si="1096"/>
        <v>0</v>
      </c>
      <c r="Y7069" s="13">
        <f t="shared" si="1098"/>
        <v>0</v>
      </c>
      <c r="Z7069" s="14">
        <v>0</v>
      </c>
      <c r="AA7069" s="6">
        <v>0</v>
      </c>
      <c r="AB7069" s="4">
        <f t="shared" si="1099"/>
        <v>0</v>
      </c>
      <c r="AC7069" s="6">
        <f t="shared" si="1097"/>
        <v>0</v>
      </c>
      <c r="AD7069" s="6">
        <f t="shared" si="1092"/>
        <v>0</v>
      </c>
      <c r="AE7069" s="14">
        <f>VLOOKUP(I7069,[2]媒体政策预估表!A:N,MATCH(O7069,[2]媒体政策预估表!$A$2:$M$2,0),0)</f>
        <v>0.1293</v>
      </c>
      <c r="AF7069" s="6">
        <f t="shared" si="1094"/>
        <v>0</v>
      </c>
      <c r="AG7069" s="14">
        <v>0</v>
      </c>
      <c r="AH7069" s="64">
        <f t="shared" si="1093"/>
        <v>0</v>
      </c>
      <c r="AJ7069" s="126" t="e">
        <v>#N/A</v>
      </c>
      <c r="AK7069" s="80">
        <f t="shared" si="1100"/>
        <v>0</v>
      </c>
      <c r="AL7069" s="85"/>
      <c r="AM7069" s="85"/>
    </row>
    <row r="7070" spans="1:39" s="86" customFormat="1" ht="13.25" hidden="1" customHeight="1" x14ac:dyDescent="0.3">
      <c r="A7070" s="89" t="s">
        <v>3978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3763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095"/>
        <v>18701.7</v>
      </c>
      <c r="X7070" s="6">
        <f t="shared" si="1096"/>
        <v>0</v>
      </c>
      <c r="Y7070" s="13">
        <f t="shared" si="1098"/>
        <v>0</v>
      </c>
      <c r="Z7070" s="14">
        <v>0</v>
      </c>
      <c r="AA7070" s="6">
        <v>0</v>
      </c>
      <c r="AB7070" s="4">
        <f t="shared" si="1099"/>
        <v>0</v>
      </c>
      <c r="AC7070" s="6">
        <f t="shared" si="1097"/>
        <v>0</v>
      </c>
      <c r="AD7070" s="6">
        <f t="shared" si="1092"/>
        <v>0</v>
      </c>
      <c r="AE7070" s="14">
        <f>VLOOKUP(I7070,[2]媒体政策预估表!A:N,MATCH(O7070,[2]媒体政策预估表!$A$2:$M$2,0),0)</f>
        <v>0.1293</v>
      </c>
      <c r="AF7070" s="6">
        <f t="shared" si="1094"/>
        <v>0</v>
      </c>
      <c r="AG7070" s="14">
        <v>0</v>
      </c>
      <c r="AH7070" s="64">
        <f t="shared" si="1093"/>
        <v>0</v>
      </c>
      <c r="AJ7070" s="126" t="e">
        <v>#N/A</v>
      </c>
      <c r="AK7070" s="80">
        <f t="shared" si="1100"/>
        <v>0</v>
      </c>
      <c r="AL7070" s="85"/>
      <c r="AM7070" s="85"/>
    </row>
    <row r="7071" spans="1:39" s="86" customFormat="1" ht="13.25" hidden="1" customHeight="1" x14ac:dyDescent="0.3">
      <c r="A7071" s="89" t="s">
        <v>3792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3763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095"/>
        <v>13.640000000000327</v>
      </c>
      <c r="X7071" s="6">
        <f t="shared" si="1096"/>
        <v>7279.75</v>
      </c>
      <c r="Y7071" s="13">
        <f t="shared" si="1098"/>
        <v>0</v>
      </c>
      <c r="Z7071" s="14">
        <v>0</v>
      </c>
      <c r="AA7071" s="6">
        <v>0</v>
      </c>
      <c r="AB7071" s="4">
        <f t="shared" si="1099"/>
        <v>7279.75</v>
      </c>
      <c r="AC7071" s="6">
        <f t="shared" si="1097"/>
        <v>0</v>
      </c>
      <c r="AD7071" s="6">
        <f t="shared" si="1092"/>
        <v>7279.75</v>
      </c>
      <c r="AE7071" s="14">
        <f>VLOOKUP(I7071,[2]媒体政策预估表!A:N,MATCH(O7071,[2]媒体政策预估表!$A$2:$M$2,0),0)</f>
        <v>0.1293</v>
      </c>
      <c r="AF7071" s="6">
        <f t="shared" si="1094"/>
        <v>941.27167499999996</v>
      </c>
      <c r="AG7071" s="14">
        <v>0</v>
      </c>
      <c r="AH7071" s="64">
        <f t="shared" si="1093"/>
        <v>7279.75</v>
      </c>
      <c r="AJ7071" s="126" t="e">
        <v>#N/A</v>
      </c>
      <c r="AK7071" s="80">
        <f t="shared" si="1100"/>
        <v>0</v>
      </c>
      <c r="AL7071" s="85"/>
      <c r="AM7071" s="85"/>
    </row>
    <row r="7072" spans="1:39" s="86" customFormat="1" ht="13.25" hidden="1" customHeight="1" x14ac:dyDescent="0.3">
      <c r="A7072" s="89" t="s">
        <v>3978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3763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095"/>
        <v>12629.5</v>
      </c>
      <c r="X7072" s="6">
        <f t="shared" si="1096"/>
        <v>0</v>
      </c>
      <c r="Y7072" s="13">
        <f t="shared" si="1098"/>
        <v>0</v>
      </c>
      <c r="Z7072" s="14">
        <v>0</v>
      </c>
      <c r="AA7072" s="6">
        <v>0</v>
      </c>
      <c r="AB7072" s="4"/>
      <c r="AC7072" s="6">
        <f t="shared" si="1097"/>
        <v>0</v>
      </c>
      <c r="AD7072" s="6">
        <f t="shared" si="1092"/>
        <v>0</v>
      </c>
      <c r="AE7072" s="14">
        <f>VLOOKUP(I7072,[2]媒体政策预估表!A:N,MATCH(O7072,[2]媒体政策预估表!$A$2:$M$2,0),0)</f>
        <v>0.1293</v>
      </c>
      <c r="AF7072" s="6">
        <f t="shared" si="1094"/>
        <v>0</v>
      </c>
      <c r="AG7072" s="14">
        <v>0</v>
      </c>
      <c r="AH7072" s="64">
        <f t="shared" si="1093"/>
        <v>0</v>
      </c>
      <c r="AJ7072" s="126" t="s">
        <v>4226</v>
      </c>
      <c r="AK7072" s="80">
        <f t="shared" si="1100"/>
        <v>0</v>
      </c>
      <c r="AL7072" s="85"/>
      <c r="AM7072" s="85"/>
    </row>
    <row r="7073" spans="1:39" s="86" customFormat="1" ht="13.25" hidden="1" customHeight="1" x14ac:dyDescent="0.3">
      <c r="A7073" s="89" t="s">
        <v>3978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3763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095"/>
        <v>3619.8499999999995</v>
      </c>
      <c r="X7073" s="6">
        <f t="shared" si="1096"/>
        <v>0</v>
      </c>
      <c r="Y7073" s="13">
        <f t="shared" si="1098"/>
        <v>0</v>
      </c>
      <c r="Z7073" s="14">
        <v>0</v>
      </c>
      <c r="AA7073" s="6">
        <v>0</v>
      </c>
      <c r="AB7073" s="4">
        <f t="shared" si="1099"/>
        <v>0</v>
      </c>
      <c r="AC7073" s="6">
        <f t="shared" si="1097"/>
        <v>0</v>
      </c>
      <c r="AD7073" s="6">
        <f t="shared" ref="AD7073:AD7127" si="1101">V7073</f>
        <v>0</v>
      </c>
      <c r="AE7073" s="14">
        <f>VLOOKUP(I7073,[2]媒体政策预估表!A:N,MATCH(O7073,[2]媒体政策预估表!$A$2:$M$2,0),0)</f>
        <v>0.1293</v>
      </c>
      <c r="AF7073" s="6">
        <f t="shared" si="1094"/>
        <v>0</v>
      </c>
      <c r="AG7073" s="14">
        <v>0</v>
      </c>
      <c r="AH7073" s="64">
        <f t="shared" ref="AH7073:AH7127" si="1102">V7073</f>
        <v>0</v>
      </c>
      <c r="AJ7073" s="126" t="e">
        <v>#N/A</v>
      </c>
      <c r="AK7073" s="80">
        <f t="shared" si="1100"/>
        <v>0</v>
      </c>
      <c r="AL7073" s="85"/>
      <c r="AM7073" s="85"/>
    </row>
    <row r="7074" spans="1:39" s="86" customFormat="1" ht="13.25" hidden="1" customHeight="1" x14ac:dyDescent="0.3">
      <c r="A7074" s="89" t="s">
        <v>3978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3763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095"/>
        <v>42157.11</v>
      </c>
      <c r="X7074" s="6">
        <f t="shared" si="1096"/>
        <v>0</v>
      </c>
      <c r="Y7074" s="13">
        <f t="shared" si="1098"/>
        <v>0</v>
      </c>
      <c r="Z7074" s="14">
        <v>0</v>
      </c>
      <c r="AA7074" s="6">
        <v>0</v>
      </c>
      <c r="AB7074" s="4">
        <f t="shared" si="1099"/>
        <v>0</v>
      </c>
      <c r="AC7074" s="6">
        <f t="shared" si="1097"/>
        <v>0</v>
      </c>
      <c r="AD7074" s="6">
        <f t="shared" si="1101"/>
        <v>0</v>
      </c>
      <c r="AE7074" s="14">
        <f>VLOOKUP(I7074,[2]媒体政策预估表!A:N,MATCH(O7074,[2]媒体政策预估表!$A$2:$M$2,0),0)</f>
        <v>0.1293</v>
      </c>
      <c r="AF7074" s="6">
        <f t="shared" si="1094"/>
        <v>0</v>
      </c>
      <c r="AG7074" s="14">
        <v>0</v>
      </c>
      <c r="AH7074" s="64">
        <f t="shared" si="1102"/>
        <v>0</v>
      </c>
      <c r="AJ7074" s="126" t="e">
        <v>#N/A</v>
      </c>
      <c r="AK7074" s="80">
        <f t="shared" si="1100"/>
        <v>0</v>
      </c>
      <c r="AL7074" s="85"/>
      <c r="AM7074" s="85"/>
    </row>
    <row r="7075" spans="1:39" s="86" customFormat="1" ht="13.25" hidden="1" customHeight="1" x14ac:dyDescent="0.3">
      <c r="A7075" s="89" t="s">
        <v>3978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3763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095"/>
        <v>6563.5</v>
      </c>
      <c r="X7075" s="6">
        <f t="shared" si="1096"/>
        <v>0</v>
      </c>
      <c r="Y7075" s="13">
        <f t="shared" si="1098"/>
        <v>0</v>
      </c>
      <c r="Z7075" s="14">
        <v>0</v>
      </c>
      <c r="AA7075" s="6">
        <v>0</v>
      </c>
      <c r="AB7075" s="4">
        <f t="shared" si="1099"/>
        <v>0</v>
      </c>
      <c r="AC7075" s="6">
        <f t="shared" si="1097"/>
        <v>0</v>
      </c>
      <c r="AD7075" s="6">
        <f t="shared" si="1101"/>
        <v>0</v>
      </c>
      <c r="AE7075" s="14">
        <f>VLOOKUP(I7075,[2]媒体政策预估表!A:N,MATCH(O7075,[2]媒体政策预估表!$A$2:$M$2,0),0)</f>
        <v>0.1293</v>
      </c>
      <c r="AF7075" s="6">
        <f t="shared" si="1094"/>
        <v>0</v>
      </c>
      <c r="AG7075" s="14">
        <v>0</v>
      </c>
      <c r="AH7075" s="64">
        <f t="shared" si="1102"/>
        <v>0</v>
      </c>
      <c r="AJ7075" s="126" t="e">
        <v>#N/A</v>
      </c>
      <c r="AK7075" s="80">
        <f t="shared" si="1100"/>
        <v>0</v>
      </c>
      <c r="AL7075" s="85"/>
      <c r="AM7075" s="85"/>
    </row>
    <row r="7076" spans="1:39" s="86" customFormat="1" ht="13.25" hidden="1" customHeight="1" x14ac:dyDescent="0.3">
      <c r="A7076" s="89" t="s">
        <v>3978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3763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095"/>
        <v>1808.5</v>
      </c>
      <c r="X7076" s="6">
        <f t="shared" si="1096"/>
        <v>0</v>
      </c>
      <c r="Y7076" s="13">
        <f t="shared" si="1098"/>
        <v>0</v>
      </c>
      <c r="Z7076" s="14">
        <v>0</v>
      </c>
      <c r="AA7076" s="6">
        <v>0</v>
      </c>
      <c r="AB7076" s="4">
        <f t="shared" si="1099"/>
        <v>0</v>
      </c>
      <c r="AC7076" s="6">
        <f t="shared" si="1097"/>
        <v>0</v>
      </c>
      <c r="AD7076" s="6">
        <f t="shared" si="1101"/>
        <v>0</v>
      </c>
      <c r="AE7076" s="14">
        <f>VLOOKUP(I7076,[2]媒体政策预估表!A:N,MATCH(O7076,[2]媒体政策预估表!$A$2:$M$2,0),0)</f>
        <v>0.1293</v>
      </c>
      <c r="AF7076" s="6">
        <f t="shared" ref="AF7076:AF7139" si="1103">AD7076*AE7076</f>
        <v>0</v>
      </c>
      <c r="AG7076" s="14">
        <v>0</v>
      </c>
      <c r="AH7076" s="64">
        <f t="shared" si="1102"/>
        <v>0</v>
      </c>
      <c r="AJ7076" s="126" t="e">
        <v>#N/A</v>
      </c>
      <c r="AK7076" s="80">
        <f t="shared" si="1100"/>
        <v>0</v>
      </c>
      <c r="AL7076" s="85"/>
      <c r="AM7076" s="85"/>
    </row>
    <row r="7077" spans="1:39" s="86" customFormat="1" ht="13.25" hidden="1" customHeight="1" x14ac:dyDescent="0.3">
      <c r="A7077" s="89" t="s">
        <v>3978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3763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095"/>
        <v>6915.4</v>
      </c>
      <c r="X7077" s="6">
        <f t="shared" si="1096"/>
        <v>0</v>
      </c>
      <c r="Y7077" s="13">
        <f t="shared" si="1098"/>
        <v>0</v>
      </c>
      <c r="Z7077" s="14">
        <v>0</v>
      </c>
      <c r="AA7077" s="6">
        <v>0</v>
      </c>
      <c r="AB7077" s="4"/>
      <c r="AC7077" s="6">
        <f t="shared" si="1097"/>
        <v>0</v>
      </c>
      <c r="AD7077" s="6">
        <f t="shared" si="1101"/>
        <v>0</v>
      </c>
      <c r="AE7077" s="14">
        <f>VLOOKUP(I7077,[2]媒体政策预估表!A:N,MATCH(O7077,[2]媒体政策预估表!$A$2:$M$2,0),0)</f>
        <v>0.1293</v>
      </c>
      <c r="AF7077" s="6">
        <f t="shared" si="1103"/>
        <v>0</v>
      </c>
      <c r="AG7077" s="14">
        <v>0</v>
      </c>
      <c r="AH7077" s="64">
        <f t="shared" si="1102"/>
        <v>0</v>
      </c>
      <c r="AJ7077" s="126">
        <v>93</v>
      </c>
      <c r="AK7077" s="80">
        <f t="shared" si="1100"/>
        <v>0</v>
      </c>
      <c r="AL7077" s="85"/>
      <c r="AM7077" s="85"/>
    </row>
    <row r="7078" spans="1:39" s="86" customFormat="1" ht="13.25" hidden="1" customHeight="1" x14ac:dyDescent="0.3">
      <c r="A7078" s="89" t="s">
        <v>3978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3763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095"/>
        <v>4443.1799999999994</v>
      </c>
      <c r="X7078" s="6">
        <f t="shared" si="1096"/>
        <v>0</v>
      </c>
      <c r="Y7078" s="13">
        <f t="shared" si="1098"/>
        <v>0</v>
      </c>
      <c r="Z7078" s="14">
        <v>0</v>
      </c>
      <c r="AA7078" s="6">
        <v>0</v>
      </c>
      <c r="AB7078" s="4">
        <f t="shared" si="1099"/>
        <v>0</v>
      </c>
      <c r="AC7078" s="6">
        <f t="shared" si="1097"/>
        <v>0</v>
      </c>
      <c r="AD7078" s="6">
        <f t="shared" si="1101"/>
        <v>0</v>
      </c>
      <c r="AE7078" s="14">
        <f>VLOOKUP(I7078,[2]媒体政策预估表!A:N,MATCH(O7078,[2]媒体政策预估表!$A$2:$M$2,0),0)</f>
        <v>0.1293</v>
      </c>
      <c r="AF7078" s="6">
        <f t="shared" si="1103"/>
        <v>0</v>
      </c>
      <c r="AG7078" s="14">
        <v>0</v>
      </c>
      <c r="AH7078" s="64">
        <f t="shared" si="1102"/>
        <v>0</v>
      </c>
      <c r="AJ7078" s="126" t="e">
        <v>#N/A</v>
      </c>
      <c r="AK7078" s="80">
        <f t="shared" si="1100"/>
        <v>0</v>
      </c>
      <c r="AL7078" s="85"/>
      <c r="AM7078" s="85"/>
    </row>
    <row r="7079" spans="1:39" s="86" customFormat="1" ht="13.25" hidden="1" customHeight="1" x14ac:dyDescent="0.3">
      <c r="A7079" s="89" t="s">
        <v>3978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3763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095"/>
        <v>29390.959999999999</v>
      </c>
      <c r="X7079" s="6">
        <f t="shared" si="1096"/>
        <v>0</v>
      </c>
      <c r="Y7079" s="13">
        <f t="shared" si="1098"/>
        <v>0</v>
      </c>
      <c r="Z7079" s="14">
        <v>0</v>
      </c>
      <c r="AA7079" s="6">
        <v>0</v>
      </c>
      <c r="AB7079" s="4">
        <f t="shared" si="1099"/>
        <v>0</v>
      </c>
      <c r="AC7079" s="6">
        <f t="shared" si="1097"/>
        <v>0</v>
      </c>
      <c r="AD7079" s="6">
        <f t="shared" si="1101"/>
        <v>0</v>
      </c>
      <c r="AE7079" s="14">
        <f>VLOOKUP(I7079,[2]媒体政策预估表!A:N,MATCH(O7079,[2]媒体政策预估表!$A$2:$M$2,0),0)</f>
        <v>0.1293</v>
      </c>
      <c r="AF7079" s="6">
        <f t="shared" si="1103"/>
        <v>0</v>
      </c>
      <c r="AG7079" s="14">
        <v>0</v>
      </c>
      <c r="AH7079" s="64">
        <f t="shared" si="1102"/>
        <v>0</v>
      </c>
      <c r="AJ7079" s="126" t="e">
        <v>#N/A</v>
      </c>
      <c r="AK7079" s="80">
        <f t="shared" si="1100"/>
        <v>0</v>
      </c>
      <c r="AL7079" s="85"/>
      <c r="AM7079" s="85"/>
    </row>
    <row r="7080" spans="1:39" s="86" customFormat="1" ht="13.25" hidden="1" customHeight="1" x14ac:dyDescent="0.3">
      <c r="A7080" s="89" t="s">
        <v>3978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3763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095"/>
        <v>2349.0300000000002</v>
      </c>
      <c r="X7080" s="6">
        <f t="shared" si="1096"/>
        <v>0</v>
      </c>
      <c r="Y7080" s="13">
        <f t="shared" si="1098"/>
        <v>0</v>
      </c>
      <c r="Z7080" s="14">
        <v>0</v>
      </c>
      <c r="AA7080" s="6">
        <v>0</v>
      </c>
      <c r="AB7080" s="4">
        <f t="shared" si="1099"/>
        <v>0</v>
      </c>
      <c r="AC7080" s="6">
        <f t="shared" si="1097"/>
        <v>0</v>
      </c>
      <c r="AD7080" s="6">
        <f t="shared" si="1101"/>
        <v>0</v>
      </c>
      <c r="AE7080" s="14">
        <f>VLOOKUP(I7080,[2]媒体政策预估表!A:N,MATCH(O7080,[2]媒体政策预估表!$A$2:$M$2,0),0)</f>
        <v>0.1293</v>
      </c>
      <c r="AF7080" s="6">
        <f t="shared" si="1103"/>
        <v>0</v>
      </c>
      <c r="AG7080" s="14">
        <v>0</v>
      </c>
      <c r="AH7080" s="64">
        <f t="shared" si="1102"/>
        <v>0</v>
      </c>
      <c r="AJ7080" s="126" t="e">
        <v>#N/A</v>
      </c>
      <c r="AK7080" s="80">
        <f t="shared" si="1100"/>
        <v>0</v>
      </c>
      <c r="AL7080" s="85"/>
      <c r="AM7080" s="85"/>
    </row>
    <row r="7081" spans="1:39" s="86" customFormat="1" ht="13.25" hidden="1" customHeight="1" x14ac:dyDescent="0.3">
      <c r="A7081" s="89" t="s">
        <v>3978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3763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095"/>
        <v>5882.26</v>
      </c>
      <c r="X7081" s="6">
        <f t="shared" si="1096"/>
        <v>0</v>
      </c>
      <c r="Y7081" s="13">
        <f t="shared" si="1098"/>
        <v>0</v>
      </c>
      <c r="Z7081" s="14">
        <v>0</v>
      </c>
      <c r="AA7081" s="6">
        <v>0</v>
      </c>
      <c r="AB7081" s="4">
        <f t="shared" si="1099"/>
        <v>0</v>
      </c>
      <c r="AC7081" s="6">
        <f t="shared" si="1097"/>
        <v>0</v>
      </c>
      <c r="AD7081" s="6">
        <f t="shared" si="1101"/>
        <v>0</v>
      </c>
      <c r="AE7081" s="14">
        <f>VLOOKUP(I7081,[2]媒体政策预估表!A:N,MATCH(O7081,[2]媒体政策预估表!$A$2:$M$2,0),0)</f>
        <v>0.1293</v>
      </c>
      <c r="AF7081" s="6">
        <f t="shared" si="1103"/>
        <v>0</v>
      </c>
      <c r="AG7081" s="14">
        <v>0</v>
      </c>
      <c r="AH7081" s="64">
        <f t="shared" si="1102"/>
        <v>0</v>
      </c>
      <c r="AJ7081" s="126" t="e">
        <v>#N/A</v>
      </c>
      <c r="AK7081" s="80">
        <f t="shared" si="1100"/>
        <v>0</v>
      </c>
      <c r="AL7081" s="85"/>
      <c r="AM7081" s="85"/>
    </row>
    <row r="7082" spans="1:39" s="86" customFormat="1" ht="13.25" hidden="1" customHeight="1" x14ac:dyDescent="0.3">
      <c r="A7082" s="89" t="s">
        <v>3978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3763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095"/>
        <v>2878.16</v>
      </c>
      <c r="X7082" s="6">
        <f t="shared" si="1096"/>
        <v>0</v>
      </c>
      <c r="Y7082" s="13">
        <f t="shared" si="1098"/>
        <v>0</v>
      </c>
      <c r="Z7082" s="14">
        <v>0</v>
      </c>
      <c r="AA7082" s="6">
        <v>0</v>
      </c>
      <c r="AB7082" s="4">
        <f t="shared" si="1099"/>
        <v>0</v>
      </c>
      <c r="AC7082" s="6">
        <f t="shared" si="1097"/>
        <v>0</v>
      </c>
      <c r="AD7082" s="6">
        <f t="shared" si="1101"/>
        <v>0</v>
      </c>
      <c r="AE7082" s="14">
        <f>VLOOKUP(I7082,[2]媒体政策预估表!A:N,MATCH(O7082,[2]媒体政策预估表!$A$2:$M$2,0),0)</f>
        <v>0.1293</v>
      </c>
      <c r="AF7082" s="6">
        <f t="shared" si="1103"/>
        <v>0</v>
      </c>
      <c r="AG7082" s="14">
        <v>0</v>
      </c>
      <c r="AH7082" s="64">
        <f t="shared" si="1102"/>
        <v>0</v>
      </c>
      <c r="AJ7082" s="126" t="s">
        <v>4221</v>
      </c>
      <c r="AK7082" s="80">
        <f t="shared" si="1100"/>
        <v>0</v>
      </c>
      <c r="AL7082" s="150"/>
      <c r="AM7082" s="85"/>
    </row>
    <row r="7083" spans="1:39" s="86" customFormat="1" ht="13.25" hidden="1" customHeight="1" x14ac:dyDescent="0.3">
      <c r="A7083" s="89" t="s">
        <v>3978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3763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095"/>
        <v>1148.67</v>
      </c>
      <c r="X7083" s="6">
        <f t="shared" si="1096"/>
        <v>0</v>
      </c>
      <c r="Y7083" s="13">
        <f t="shared" si="1098"/>
        <v>0</v>
      </c>
      <c r="Z7083" s="14">
        <v>0</v>
      </c>
      <c r="AA7083" s="6">
        <v>0</v>
      </c>
      <c r="AB7083" s="4">
        <f t="shared" si="1099"/>
        <v>0</v>
      </c>
      <c r="AC7083" s="6">
        <f t="shared" si="1097"/>
        <v>0</v>
      </c>
      <c r="AD7083" s="6">
        <f t="shared" si="1101"/>
        <v>0</v>
      </c>
      <c r="AE7083" s="14">
        <f>VLOOKUP(I7083,[2]媒体政策预估表!A:N,MATCH(O7083,[2]媒体政策预估表!$A$2:$M$2,0),0)</f>
        <v>0.1293</v>
      </c>
      <c r="AF7083" s="6">
        <f t="shared" si="1103"/>
        <v>0</v>
      </c>
      <c r="AG7083" s="14">
        <v>0</v>
      </c>
      <c r="AH7083" s="64">
        <f t="shared" si="1102"/>
        <v>0</v>
      </c>
      <c r="AJ7083" s="126" t="e">
        <v>#N/A</v>
      </c>
      <c r="AK7083" s="80">
        <f t="shared" si="1100"/>
        <v>0</v>
      </c>
      <c r="AL7083" s="85"/>
      <c r="AM7083" s="85"/>
    </row>
    <row r="7084" spans="1:39" s="86" customFormat="1" ht="13.25" hidden="1" customHeight="1" x14ac:dyDescent="0.3">
      <c r="A7084" s="89" t="s">
        <v>3978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3763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095"/>
        <v>1661.5</v>
      </c>
      <c r="X7084" s="6">
        <f t="shared" si="1096"/>
        <v>0</v>
      </c>
      <c r="Y7084" s="13">
        <f t="shared" si="1098"/>
        <v>0</v>
      </c>
      <c r="Z7084" s="14">
        <v>0</v>
      </c>
      <c r="AA7084" s="6">
        <v>0</v>
      </c>
      <c r="AB7084" s="4">
        <f t="shared" si="1099"/>
        <v>0</v>
      </c>
      <c r="AC7084" s="6">
        <f t="shared" si="1097"/>
        <v>0</v>
      </c>
      <c r="AD7084" s="6">
        <f t="shared" si="1101"/>
        <v>0</v>
      </c>
      <c r="AE7084" s="14">
        <f>VLOOKUP(I7084,[2]媒体政策预估表!A:N,MATCH(O7084,[2]媒体政策预估表!$A$2:$M$2,0),0)</f>
        <v>0.1293</v>
      </c>
      <c r="AF7084" s="6">
        <f t="shared" si="1103"/>
        <v>0</v>
      </c>
      <c r="AG7084" s="14">
        <v>0</v>
      </c>
      <c r="AH7084" s="64">
        <f t="shared" si="1102"/>
        <v>0</v>
      </c>
      <c r="AJ7084" s="126" t="e">
        <v>#N/A</v>
      </c>
      <c r="AK7084" s="80">
        <f t="shared" si="1100"/>
        <v>0</v>
      </c>
      <c r="AL7084" s="85"/>
      <c r="AM7084" s="85"/>
    </row>
    <row r="7085" spans="1:39" s="86" customFormat="1" ht="13.25" hidden="1" customHeight="1" x14ac:dyDescent="0.3">
      <c r="A7085" s="89" t="s">
        <v>3978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3763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095"/>
        <v>9588.6499999999978</v>
      </c>
      <c r="X7085" s="6">
        <f t="shared" si="1096"/>
        <v>0</v>
      </c>
      <c r="Y7085" s="13">
        <f t="shared" si="1098"/>
        <v>0</v>
      </c>
      <c r="Z7085" s="14">
        <v>0</v>
      </c>
      <c r="AA7085" s="6">
        <v>0</v>
      </c>
      <c r="AB7085" s="4">
        <f t="shared" si="1099"/>
        <v>0</v>
      </c>
      <c r="AC7085" s="6">
        <f t="shared" si="1097"/>
        <v>0</v>
      </c>
      <c r="AD7085" s="6">
        <f t="shared" si="1101"/>
        <v>0</v>
      </c>
      <c r="AE7085" s="14">
        <f>VLOOKUP(I7085,[2]媒体政策预估表!A:N,MATCH(O7085,[2]媒体政策预估表!$A$2:$M$2,0),0)</f>
        <v>0.1293</v>
      </c>
      <c r="AF7085" s="6">
        <f t="shared" si="1103"/>
        <v>0</v>
      </c>
      <c r="AG7085" s="14">
        <v>0</v>
      </c>
      <c r="AH7085" s="64">
        <f t="shared" si="1102"/>
        <v>0</v>
      </c>
      <c r="AJ7085" s="126" t="e">
        <v>#N/A</v>
      </c>
      <c r="AK7085" s="80">
        <f t="shared" si="1100"/>
        <v>0</v>
      </c>
      <c r="AL7085" s="85"/>
      <c r="AM7085" s="85"/>
    </row>
    <row r="7086" spans="1:39" s="86" customFormat="1" ht="13.25" hidden="1" customHeight="1" x14ac:dyDescent="0.3">
      <c r="A7086" s="89" t="s">
        <v>3978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3763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095"/>
        <v>13407.61</v>
      </c>
      <c r="X7086" s="6">
        <f t="shared" si="1096"/>
        <v>0</v>
      </c>
      <c r="Y7086" s="13">
        <f t="shared" si="1098"/>
        <v>0</v>
      </c>
      <c r="Z7086" s="14">
        <v>0</v>
      </c>
      <c r="AA7086" s="6">
        <v>0</v>
      </c>
      <c r="AB7086" s="4">
        <f t="shared" si="1099"/>
        <v>0</v>
      </c>
      <c r="AC7086" s="6">
        <f t="shared" si="1097"/>
        <v>0</v>
      </c>
      <c r="AD7086" s="6">
        <f t="shared" si="1101"/>
        <v>0</v>
      </c>
      <c r="AE7086" s="14">
        <f>VLOOKUP(I7086,[2]媒体政策预估表!A:N,MATCH(O7086,[2]媒体政策预估表!$A$2:$M$2,0),0)</f>
        <v>0.1293</v>
      </c>
      <c r="AF7086" s="6">
        <f t="shared" si="1103"/>
        <v>0</v>
      </c>
      <c r="AG7086" s="14">
        <v>0</v>
      </c>
      <c r="AH7086" s="64">
        <f t="shared" si="1102"/>
        <v>0</v>
      </c>
      <c r="AJ7086" s="126" t="e">
        <v>#N/A</v>
      </c>
      <c r="AK7086" s="80">
        <f t="shared" si="1100"/>
        <v>0</v>
      </c>
      <c r="AL7086" s="85"/>
      <c r="AM7086" s="85"/>
    </row>
    <row r="7087" spans="1:39" s="86" customFormat="1" ht="13.25" hidden="1" customHeight="1" x14ac:dyDescent="0.3">
      <c r="A7087" s="89" t="s">
        <v>3978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3763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095"/>
        <v>-2337</v>
      </c>
      <c r="X7087" s="6">
        <f t="shared" si="1096"/>
        <v>0</v>
      </c>
      <c r="Y7087" s="13">
        <f t="shared" si="1098"/>
        <v>0</v>
      </c>
      <c r="Z7087" s="14">
        <v>0</v>
      </c>
      <c r="AA7087" s="6">
        <v>0</v>
      </c>
      <c r="AB7087" s="4">
        <f t="shared" si="1099"/>
        <v>0</v>
      </c>
      <c r="AC7087" s="6">
        <f t="shared" si="1097"/>
        <v>0</v>
      </c>
      <c r="AD7087" s="6">
        <f t="shared" si="1101"/>
        <v>0</v>
      </c>
      <c r="AE7087" s="14">
        <f>VLOOKUP(I7087,[2]媒体政策预估表!A:N,MATCH(O7087,[2]媒体政策预估表!$A$2:$M$2,0),0)</f>
        <v>0</v>
      </c>
      <c r="AF7087" s="6">
        <f t="shared" si="1103"/>
        <v>0</v>
      </c>
      <c r="AG7087" s="14">
        <v>0</v>
      </c>
      <c r="AH7087" s="64">
        <f t="shared" si="1102"/>
        <v>0</v>
      </c>
      <c r="AJ7087" s="126" t="e">
        <v>#N/A</v>
      </c>
      <c r="AK7087" s="80">
        <f t="shared" si="1100"/>
        <v>0</v>
      </c>
      <c r="AL7087" s="85"/>
      <c r="AM7087" s="85"/>
    </row>
    <row r="7088" spans="1:39" s="86" customFormat="1" ht="13.25" hidden="1" customHeight="1" x14ac:dyDescent="0.3">
      <c r="A7088" s="89" t="s">
        <v>3978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3763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104">T7088+U7088-V7088</f>
        <v>-1309</v>
      </c>
      <c r="X7088" s="6">
        <f t="shared" ref="X7088:X7151" si="1105">IF(P7088="折扣",V7088*Q7088,IF(P7088="返现",V7088,V7088/(1+Q7088)))</f>
        <v>0</v>
      </c>
      <c r="Y7088" s="13">
        <f t="shared" si="1098"/>
        <v>0</v>
      </c>
      <c r="Z7088" s="14">
        <v>0</v>
      </c>
      <c r="AA7088" s="6">
        <v>0</v>
      </c>
      <c r="AB7088" s="4">
        <f t="shared" si="1099"/>
        <v>0</v>
      </c>
      <c r="AC7088" s="6">
        <f t="shared" si="1097"/>
        <v>0</v>
      </c>
      <c r="AD7088" s="6">
        <f t="shared" si="1101"/>
        <v>0</v>
      </c>
      <c r="AE7088" s="14">
        <f>VLOOKUP(I7088,[2]媒体政策预估表!A:N,MATCH(O7088,[2]媒体政策预估表!$A$2:$M$2,0),0)</f>
        <v>0</v>
      </c>
      <c r="AF7088" s="6">
        <f t="shared" si="1103"/>
        <v>0</v>
      </c>
      <c r="AG7088" s="14">
        <v>0</v>
      </c>
      <c r="AH7088" s="64">
        <f t="shared" si="1102"/>
        <v>0</v>
      </c>
      <c r="AJ7088" s="126" t="e">
        <v>#N/A</v>
      </c>
      <c r="AK7088" s="80">
        <f t="shared" si="1100"/>
        <v>0</v>
      </c>
      <c r="AL7088" s="85"/>
      <c r="AM7088" s="85"/>
    </row>
    <row r="7089" spans="1:39" s="86" customFormat="1" ht="13.25" hidden="1" customHeight="1" x14ac:dyDescent="0.3">
      <c r="A7089" s="89" t="s">
        <v>3978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3763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104"/>
        <v>-19300</v>
      </c>
      <c r="X7089" s="6">
        <f t="shared" si="1105"/>
        <v>13100</v>
      </c>
      <c r="Y7089" s="13">
        <f t="shared" si="1098"/>
        <v>0</v>
      </c>
      <c r="Z7089" s="14">
        <v>0</v>
      </c>
      <c r="AA7089" s="6">
        <v>0</v>
      </c>
      <c r="AB7089" s="4">
        <f t="shared" si="1099"/>
        <v>13100</v>
      </c>
      <c r="AC7089" s="6">
        <f t="shared" si="1097"/>
        <v>0</v>
      </c>
      <c r="AD7089" s="6">
        <f t="shared" si="1101"/>
        <v>13100</v>
      </c>
      <c r="AE7089" s="14">
        <f>VLOOKUP(I7089,[2]媒体政策预估表!A:N,MATCH(O7089,[2]媒体政策预估表!$A$2:$M$2,0),0)</f>
        <v>0</v>
      </c>
      <c r="AF7089" s="6">
        <f t="shared" si="1103"/>
        <v>0</v>
      </c>
      <c r="AG7089" s="14">
        <v>0</v>
      </c>
      <c r="AH7089" s="64">
        <f t="shared" si="1102"/>
        <v>13100</v>
      </c>
      <c r="AJ7089" s="126" t="e">
        <v>#N/A</v>
      </c>
      <c r="AK7089" s="80">
        <f t="shared" si="1100"/>
        <v>0</v>
      </c>
      <c r="AL7089" s="85"/>
      <c r="AM7089" s="85"/>
    </row>
    <row r="7090" spans="1:39" s="86" customFormat="1" ht="13.25" hidden="1" customHeight="1" x14ac:dyDescent="0.3">
      <c r="A7090" s="89" t="s">
        <v>3978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3763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104"/>
        <v>-40145.050000000003</v>
      </c>
      <c r="X7090" s="6">
        <f t="shared" si="1105"/>
        <v>21601.17</v>
      </c>
      <c r="Y7090" s="13">
        <f t="shared" si="1098"/>
        <v>0</v>
      </c>
      <c r="Z7090" s="14">
        <v>0</v>
      </c>
      <c r="AA7090" s="6">
        <v>0</v>
      </c>
      <c r="AB7090" s="4">
        <f t="shared" si="1099"/>
        <v>21601.17</v>
      </c>
      <c r="AC7090" s="6">
        <f t="shared" si="1097"/>
        <v>0</v>
      </c>
      <c r="AD7090" s="6">
        <f t="shared" si="1101"/>
        <v>21601.17</v>
      </c>
      <c r="AE7090" s="14">
        <f>VLOOKUP(I7090,[2]媒体政策预估表!A:N,MATCH(O7090,[2]媒体政策预估表!$A$2:$M$2,0),0)</f>
        <v>0</v>
      </c>
      <c r="AF7090" s="6">
        <f t="shared" si="1103"/>
        <v>0</v>
      </c>
      <c r="AG7090" s="14">
        <v>0</v>
      </c>
      <c r="AH7090" s="64">
        <f t="shared" si="1102"/>
        <v>21601.17</v>
      </c>
      <c r="AJ7090" s="126" t="e">
        <v>#N/A</v>
      </c>
      <c r="AK7090" s="80">
        <f t="shared" si="1100"/>
        <v>0</v>
      </c>
      <c r="AL7090" s="85"/>
      <c r="AM7090" s="85"/>
    </row>
    <row r="7091" spans="1:39" s="86" customFormat="1" ht="13.25" hidden="1" customHeight="1" x14ac:dyDescent="0.3">
      <c r="A7091" s="89" t="s">
        <v>3978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3763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104"/>
        <v>-85584.84</v>
      </c>
      <c r="X7091" s="6">
        <f t="shared" si="1105"/>
        <v>32115.040000000001</v>
      </c>
      <c r="Y7091" s="13">
        <f t="shared" si="1098"/>
        <v>0</v>
      </c>
      <c r="Z7091" s="14">
        <v>0</v>
      </c>
      <c r="AA7091" s="6">
        <v>0</v>
      </c>
      <c r="AB7091" s="4">
        <f t="shared" si="1099"/>
        <v>32115.040000000001</v>
      </c>
      <c r="AC7091" s="6">
        <f t="shared" si="1097"/>
        <v>0</v>
      </c>
      <c r="AD7091" s="6">
        <f t="shared" si="1101"/>
        <v>32115.040000000001</v>
      </c>
      <c r="AE7091" s="14">
        <f>VLOOKUP(I7091,[2]媒体政策预估表!A:N,MATCH(O7091,[2]媒体政策预估表!$A$2:$M$2,0),0)</f>
        <v>0</v>
      </c>
      <c r="AF7091" s="6">
        <f t="shared" si="1103"/>
        <v>0</v>
      </c>
      <c r="AG7091" s="14">
        <v>0</v>
      </c>
      <c r="AH7091" s="64">
        <f t="shared" si="1102"/>
        <v>32115.040000000001</v>
      </c>
      <c r="AJ7091" s="126" t="e">
        <v>#N/A</v>
      </c>
      <c r="AK7091" s="80">
        <f t="shared" si="1100"/>
        <v>0</v>
      </c>
      <c r="AL7091" s="85"/>
      <c r="AM7091" s="85"/>
    </row>
    <row r="7092" spans="1:39" s="86" customFormat="1" ht="13.25" hidden="1" customHeight="1" x14ac:dyDescent="0.3">
      <c r="A7092" s="89" t="s">
        <v>3978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3763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104"/>
        <v>-10010</v>
      </c>
      <c r="X7092" s="6">
        <f t="shared" si="1105"/>
        <v>4962</v>
      </c>
      <c r="Y7092" s="13">
        <f t="shared" si="1098"/>
        <v>0</v>
      </c>
      <c r="Z7092" s="14">
        <v>0</v>
      </c>
      <c r="AA7092" s="6">
        <v>0</v>
      </c>
      <c r="AB7092" s="4">
        <f t="shared" si="1099"/>
        <v>4962</v>
      </c>
      <c r="AC7092" s="6">
        <f t="shared" si="1097"/>
        <v>0</v>
      </c>
      <c r="AD7092" s="6">
        <f t="shared" si="1101"/>
        <v>4962</v>
      </c>
      <c r="AE7092" s="14">
        <f>VLOOKUP(I7092,[2]媒体政策预估表!A:N,MATCH(O7092,[2]媒体政策预估表!$A$2:$M$2,0),0)</f>
        <v>0</v>
      </c>
      <c r="AF7092" s="6">
        <f t="shared" si="1103"/>
        <v>0</v>
      </c>
      <c r="AG7092" s="14">
        <v>0</v>
      </c>
      <c r="AH7092" s="64">
        <f t="shared" si="1102"/>
        <v>4962</v>
      </c>
      <c r="AJ7092" s="126" t="e">
        <v>#N/A</v>
      </c>
      <c r="AK7092" s="80">
        <f t="shared" si="1100"/>
        <v>0</v>
      </c>
      <c r="AL7092" s="85"/>
      <c r="AM7092" s="85"/>
    </row>
    <row r="7093" spans="1:39" s="86" customFormat="1" ht="13.25" hidden="1" customHeight="1" x14ac:dyDescent="0.3">
      <c r="A7093" s="89" t="s">
        <v>3978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3763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105"/>
        <v>561.90000000000146</v>
      </c>
      <c r="Y7093" s="13">
        <f t="shared" si="1098"/>
        <v>0</v>
      </c>
      <c r="Z7093" s="14">
        <v>0</v>
      </c>
      <c r="AA7093" s="6">
        <v>0</v>
      </c>
      <c r="AB7093" s="4">
        <f t="shared" si="1099"/>
        <v>561.90000000000146</v>
      </c>
      <c r="AC7093" s="6">
        <f t="shared" si="1097"/>
        <v>0</v>
      </c>
      <c r="AD7093" s="6">
        <f t="shared" si="1101"/>
        <v>561.90000000000146</v>
      </c>
      <c r="AE7093" s="14">
        <f>VLOOKUP(I7093,[2]媒体政策预估表!A:N,MATCH(O7093,[2]媒体政策预估表!$A$2:$M$2,0),0)</f>
        <v>0</v>
      </c>
      <c r="AF7093" s="6">
        <f t="shared" si="1103"/>
        <v>0</v>
      </c>
      <c r="AG7093" s="14">
        <v>0</v>
      </c>
      <c r="AH7093" s="64">
        <f t="shared" si="1102"/>
        <v>561.90000000000146</v>
      </c>
      <c r="AJ7093" s="126" t="e">
        <v>#N/A</v>
      </c>
      <c r="AK7093" s="80">
        <f t="shared" si="1100"/>
        <v>0</v>
      </c>
      <c r="AL7093" s="85"/>
      <c r="AM7093" s="85"/>
    </row>
    <row r="7094" spans="1:39" s="86" customFormat="1" ht="13.25" hidden="1" customHeight="1" x14ac:dyDescent="0.3">
      <c r="A7094" s="89" t="s">
        <v>3978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3763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104"/>
        <v>-14869.04</v>
      </c>
      <c r="X7094" s="6">
        <f t="shared" si="1105"/>
        <v>6549.04</v>
      </c>
      <c r="Y7094" s="13">
        <f t="shared" si="1098"/>
        <v>0</v>
      </c>
      <c r="Z7094" s="14">
        <v>0</v>
      </c>
      <c r="AA7094" s="6">
        <v>0</v>
      </c>
      <c r="AB7094" s="4">
        <f t="shared" si="1099"/>
        <v>6549.04</v>
      </c>
      <c r="AC7094" s="6">
        <f t="shared" si="1097"/>
        <v>0</v>
      </c>
      <c r="AD7094" s="6">
        <f t="shared" si="1101"/>
        <v>6549.04</v>
      </c>
      <c r="AE7094" s="14">
        <f>VLOOKUP(I7094,[2]媒体政策预估表!A:N,MATCH(O7094,[2]媒体政策预估表!$A$2:$M$2,0),0)</f>
        <v>0</v>
      </c>
      <c r="AF7094" s="6">
        <f t="shared" si="1103"/>
        <v>0</v>
      </c>
      <c r="AG7094" s="14">
        <v>0</v>
      </c>
      <c r="AH7094" s="64">
        <f t="shared" si="1102"/>
        <v>6549.04</v>
      </c>
      <c r="AJ7094" s="126" t="e">
        <v>#N/A</v>
      </c>
      <c r="AK7094" s="80">
        <f t="shared" si="1100"/>
        <v>0</v>
      </c>
      <c r="AL7094" s="85"/>
      <c r="AM7094" s="85"/>
    </row>
    <row r="7095" spans="1:39" s="86" customFormat="1" ht="13.25" hidden="1" customHeight="1" x14ac:dyDescent="0.3">
      <c r="A7095" s="89" t="s">
        <v>3978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3763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104"/>
        <v>-20970.5</v>
      </c>
      <c r="X7095" s="6">
        <f t="shared" si="1105"/>
        <v>11022</v>
      </c>
      <c r="Y7095" s="13">
        <f t="shared" si="1098"/>
        <v>0</v>
      </c>
      <c r="Z7095" s="14">
        <v>0</v>
      </c>
      <c r="AA7095" s="6">
        <v>0</v>
      </c>
      <c r="AB7095" s="4">
        <f t="shared" si="1099"/>
        <v>11022</v>
      </c>
      <c r="AC7095" s="6">
        <f t="shared" si="1097"/>
        <v>0</v>
      </c>
      <c r="AD7095" s="6">
        <f t="shared" si="1101"/>
        <v>11022</v>
      </c>
      <c r="AE7095" s="14">
        <f>VLOOKUP(I7095,[2]媒体政策预估表!A:N,MATCH(O7095,[2]媒体政策预估表!$A$2:$M$2,0),0)</f>
        <v>0</v>
      </c>
      <c r="AF7095" s="6">
        <f t="shared" si="1103"/>
        <v>0</v>
      </c>
      <c r="AG7095" s="14">
        <v>0</v>
      </c>
      <c r="AH7095" s="64">
        <f t="shared" si="1102"/>
        <v>11022</v>
      </c>
      <c r="AJ7095" s="126" t="e">
        <v>#N/A</v>
      </c>
      <c r="AK7095" s="80">
        <f t="shared" si="1100"/>
        <v>0</v>
      </c>
      <c r="AL7095" s="85"/>
      <c r="AM7095" s="85"/>
    </row>
    <row r="7096" spans="1:39" s="86" customFormat="1" ht="13.25" hidden="1" customHeight="1" x14ac:dyDescent="0.3">
      <c r="A7096" s="89" t="s">
        <v>3978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3763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104"/>
        <v>-24359</v>
      </c>
      <c r="X7096" s="6">
        <f t="shared" si="1105"/>
        <v>12951</v>
      </c>
      <c r="Y7096" s="13">
        <f t="shared" si="1098"/>
        <v>0</v>
      </c>
      <c r="Z7096" s="14">
        <v>0</v>
      </c>
      <c r="AA7096" s="6">
        <v>0</v>
      </c>
      <c r="AB7096" s="4">
        <f t="shared" si="1099"/>
        <v>12951</v>
      </c>
      <c r="AC7096" s="6">
        <f t="shared" si="1097"/>
        <v>0</v>
      </c>
      <c r="AD7096" s="6">
        <f t="shared" si="1101"/>
        <v>12951</v>
      </c>
      <c r="AE7096" s="14">
        <f>VLOOKUP(I7096,[2]媒体政策预估表!A:N,MATCH(O7096,[2]媒体政策预估表!$A$2:$M$2,0),0)</f>
        <v>0</v>
      </c>
      <c r="AF7096" s="6">
        <f t="shared" si="1103"/>
        <v>0</v>
      </c>
      <c r="AG7096" s="14">
        <v>0</v>
      </c>
      <c r="AH7096" s="64">
        <f t="shared" si="1102"/>
        <v>12951</v>
      </c>
      <c r="AJ7096" s="126" t="e">
        <v>#N/A</v>
      </c>
      <c r="AK7096" s="80">
        <f t="shared" si="1100"/>
        <v>0</v>
      </c>
      <c r="AL7096" s="85"/>
      <c r="AM7096" s="85"/>
    </row>
    <row r="7097" spans="1:39" s="86" customFormat="1" ht="13.25" hidden="1" customHeight="1" x14ac:dyDescent="0.3">
      <c r="A7097" s="89" t="s">
        <v>3978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3763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104"/>
        <v>-507</v>
      </c>
      <c r="X7097" s="6">
        <f t="shared" si="1105"/>
        <v>0</v>
      </c>
      <c r="Y7097" s="13">
        <f t="shared" si="1098"/>
        <v>0</v>
      </c>
      <c r="Z7097" s="14">
        <v>0</v>
      </c>
      <c r="AA7097" s="6">
        <v>0</v>
      </c>
      <c r="AB7097" s="4">
        <f t="shared" si="1099"/>
        <v>0</v>
      </c>
      <c r="AC7097" s="6">
        <f t="shared" si="1097"/>
        <v>0</v>
      </c>
      <c r="AD7097" s="6">
        <f t="shared" si="1101"/>
        <v>0</v>
      </c>
      <c r="AE7097" s="14">
        <f>VLOOKUP(I7097,[2]媒体政策预估表!A:N,MATCH(O7097,[2]媒体政策预估表!$A$2:$M$2,0),0)</f>
        <v>0</v>
      </c>
      <c r="AF7097" s="6">
        <f t="shared" si="1103"/>
        <v>0</v>
      </c>
      <c r="AG7097" s="14">
        <v>0</v>
      </c>
      <c r="AH7097" s="64">
        <f t="shared" si="1102"/>
        <v>0</v>
      </c>
      <c r="AJ7097" s="126" t="e">
        <v>#N/A</v>
      </c>
      <c r="AK7097" s="80">
        <f t="shared" si="1100"/>
        <v>0</v>
      </c>
      <c r="AL7097" s="85"/>
      <c r="AM7097" s="85"/>
    </row>
    <row r="7098" spans="1:39" s="86" customFormat="1" ht="13.25" hidden="1" customHeight="1" x14ac:dyDescent="0.3">
      <c r="A7098" s="89" t="s">
        <v>3978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3763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104"/>
        <v>-110053.2</v>
      </c>
      <c r="X7098" s="6">
        <f t="shared" si="1105"/>
        <v>53418.2</v>
      </c>
      <c r="Y7098" s="13">
        <f t="shared" si="1098"/>
        <v>0</v>
      </c>
      <c r="Z7098" s="14">
        <v>0</v>
      </c>
      <c r="AA7098" s="6">
        <v>0</v>
      </c>
      <c r="AB7098" s="4">
        <f t="shared" si="1099"/>
        <v>53418.2</v>
      </c>
      <c r="AC7098" s="6">
        <f t="shared" si="1097"/>
        <v>0</v>
      </c>
      <c r="AD7098" s="6">
        <f t="shared" si="1101"/>
        <v>53418.2</v>
      </c>
      <c r="AE7098" s="14">
        <f>VLOOKUP(I7098,[2]媒体政策预估表!A:N,MATCH(O7098,[2]媒体政策预估表!$A$2:$M$2,0),0)</f>
        <v>0</v>
      </c>
      <c r="AF7098" s="6">
        <f t="shared" si="1103"/>
        <v>0</v>
      </c>
      <c r="AG7098" s="14">
        <v>0</v>
      </c>
      <c r="AH7098" s="64">
        <f t="shared" si="1102"/>
        <v>53418.2</v>
      </c>
      <c r="AJ7098" s="126" t="e">
        <v>#N/A</v>
      </c>
      <c r="AK7098" s="80">
        <f t="shared" si="1100"/>
        <v>0</v>
      </c>
      <c r="AL7098" s="85"/>
      <c r="AM7098" s="85"/>
    </row>
    <row r="7099" spans="1:39" s="86" customFormat="1" ht="13.25" hidden="1" customHeight="1" x14ac:dyDescent="0.3">
      <c r="A7099" s="89" t="s">
        <v>3978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3763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105"/>
        <v>0</v>
      </c>
      <c r="Y7099" s="13">
        <f t="shared" si="1098"/>
        <v>0</v>
      </c>
      <c r="Z7099" s="14">
        <v>0</v>
      </c>
      <c r="AA7099" s="6">
        <v>0</v>
      </c>
      <c r="AB7099" s="4">
        <f t="shared" si="1099"/>
        <v>0</v>
      </c>
      <c r="AC7099" s="6">
        <f t="shared" si="1097"/>
        <v>0</v>
      </c>
      <c r="AD7099" s="6">
        <f t="shared" si="1101"/>
        <v>0</v>
      </c>
      <c r="AE7099" s="14">
        <f>VLOOKUP(I7099,[2]媒体政策预估表!A:N,MATCH(O7099,[2]媒体政策预估表!$A$2:$M$2,0),0)</f>
        <v>0</v>
      </c>
      <c r="AF7099" s="6">
        <f t="shared" si="1103"/>
        <v>0</v>
      </c>
      <c r="AG7099" s="14">
        <v>0</v>
      </c>
      <c r="AH7099" s="64">
        <f t="shared" si="1102"/>
        <v>0</v>
      </c>
      <c r="AJ7099" s="126" t="e">
        <v>#N/A</v>
      </c>
      <c r="AK7099" s="80">
        <f t="shared" si="1100"/>
        <v>0</v>
      </c>
      <c r="AL7099" s="85"/>
      <c r="AM7099" s="85"/>
    </row>
    <row r="7100" spans="1:39" s="86" customFormat="1" ht="13.25" hidden="1" customHeight="1" x14ac:dyDescent="0.3">
      <c r="A7100" s="89" t="s">
        <v>3978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3763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104"/>
        <v>-400</v>
      </c>
      <c r="X7100" s="6">
        <f t="shared" si="1105"/>
        <v>0</v>
      </c>
      <c r="Y7100" s="13">
        <f t="shared" si="1098"/>
        <v>0</v>
      </c>
      <c r="Z7100" s="14">
        <v>0</v>
      </c>
      <c r="AA7100" s="6">
        <v>0</v>
      </c>
      <c r="AB7100" s="4">
        <f t="shared" si="1099"/>
        <v>0</v>
      </c>
      <c r="AC7100" s="6">
        <f t="shared" si="1097"/>
        <v>0</v>
      </c>
      <c r="AD7100" s="6">
        <f t="shared" si="1101"/>
        <v>0</v>
      </c>
      <c r="AE7100" s="14">
        <f>VLOOKUP(I7100,[2]媒体政策预估表!A:N,MATCH(O7100,[2]媒体政策预估表!$A$2:$M$2,0),0)</f>
        <v>0</v>
      </c>
      <c r="AF7100" s="6">
        <f t="shared" si="1103"/>
        <v>0</v>
      </c>
      <c r="AG7100" s="14">
        <v>0</v>
      </c>
      <c r="AH7100" s="64">
        <f t="shared" si="1102"/>
        <v>0</v>
      </c>
      <c r="AJ7100" s="126" t="e">
        <v>#N/A</v>
      </c>
      <c r="AK7100" s="80">
        <f t="shared" si="1100"/>
        <v>0</v>
      </c>
      <c r="AL7100" s="85"/>
      <c r="AM7100" s="85"/>
    </row>
    <row r="7101" spans="1:39" s="86" customFormat="1" ht="13.25" hidden="1" customHeight="1" x14ac:dyDescent="0.3">
      <c r="A7101" s="89" t="s">
        <v>3978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3763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104"/>
        <v>-9119</v>
      </c>
      <c r="X7101" s="6">
        <f t="shared" si="1105"/>
        <v>4612</v>
      </c>
      <c r="Y7101" s="13">
        <f t="shared" si="1098"/>
        <v>0</v>
      </c>
      <c r="Z7101" s="14">
        <v>0</v>
      </c>
      <c r="AA7101" s="6">
        <v>0</v>
      </c>
      <c r="AB7101" s="4">
        <f t="shared" si="1099"/>
        <v>4612</v>
      </c>
      <c r="AC7101" s="6">
        <f t="shared" si="1097"/>
        <v>0</v>
      </c>
      <c r="AD7101" s="6">
        <f t="shared" si="1101"/>
        <v>4612</v>
      </c>
      <c r="AE7101" s="14">
        <f>VLOOKUP(I7101,[2]媒体政策预估表!A:N,MATCH(O7101,[2]媒体政策预估表!$A$2:$M$2,0),0)</f>
        <v>0</v>
      </c>
      <c r="AF7101" s="6">
        <f t="shared" si="1103"/>
        <v>0</v>
      </c>
      <c r="AG7101" s="14">
        <v>0</v>
      </c>
      <c r="AH7101" s="64">
        <f t="shared" si="1102"/>
        <v>4612</v>
      </c>
      <c r="AJ7101" s="126" t="e">
        <v>#N/A</v>
      </c>
      <c r="AK7101" s="80">
        <f t="shared" si="1100"/>
        <v>0</v>
      </c>
      <c r="AL7101" s="85"/>
      <c r="AM7101" s="85"/>
    </row>
    <row r="7102" spans="1:39" s="86" customFormat="1" ht="13.25" hidden="1" customHeight="1" x14ac:dyDescent="0.3">
      <c r="A7102" s="89" t="s">
        <v>3978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3763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104"/>
        <v>-12875</v>
      </c>
      <c r="X7102" s="6">
        <f t="shared" si="1105"/>
        <v>4583</v>
      </c>
      <c r="Y7102" s="13">
        <f t="shared" si="1098"/>
        <v>0</v>
      </c>
      <c r="Z7102" s="14">
        <v>0</v>
      </c>
      <c r="AA7102" s="6">
        <v>0</v>
      </c>
      <c r="AB7102" s="4">
        <f t="shared" si="1099"/>
        <v>4583</v>
      </c>
      <c r="AC7102" s="6">
        <f t="shared" ref="AC7102:AC7165" si="1106">IF(P7102="返现",X7102*Q7102,V7102-X7102)</f>
        <v>0</v>
      </c>
      <c r="AD7102" s="6">
        <f t="shared" si="1101"/>
        <v>4583</v>
      </c>
      <c r="AE7102" s="14">
        <f>VLOOKUP(I7102,[2]媒体政策预估表!A:N,MATCH(O7102,[2]媒体政策预估表!$A$2:$M$2,0),0)</f>
        <v>0</v>
      </c>
      <c r="AF7102" s="6">
        <f t="shared" si="1103"/>
        <v>0</v>
      </c>
      <c r="AG7102" s="14">
        <v>0</v>
      </c>
      <c r="AH7102" s="64">
        <f t="shared" si="1102"/>
        <v>4583</v>
      </c>
      <c r="AJ7102" s="126" t="e">
        <v>#N/A</v>
      </c>
      <c r="AK7102" s="80">
        <f t="shared" si="1100"/>
        <v>0</v>
      </c>
      <c r="AL7102" s="85"/>
      <c r="AM7102" s="85"/>
    </row>
    <row r="7103" spans="1:39" s="86" customFormat="1" ht="13.25" hidden="1" customHeight="1" x14ac:dyDescent="0.3">
      <c r="A7103" s="89" t="s">
        <v>3792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3763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104"/>
        <v>-1800</v>
      </c>
      <c r="X7103" s="6">
        <f t="shared" si="1105"/>
        <v>0</v>
      </c>
      <c r="Y7103" s="13">
        <f t="shared" si="1098"/>
        <v>0</v>
      </c>
      <c r="Z7103" s="14">
        <v>0</v>
      </c>
      <c r="AA7103" s="6">
        <v>0</v>
      </c>
      <c r="AB7103" s="4">
        <f t="shared" si="1099"/>
        <v>0</v>
      </c>
      <c r="AC7103" s="6">
        <f t="shared" si="1106"/>
        <v>0</v>
      </c>
      <c r="AD7103" s="6">
        <f t="shared" si="1101"/>
        <v>0</v>
      </c>
      <c r="AE7103" s="14">
        <f>VLOOKUP(I7103,[2]媒体政策预估表!A:N,MATCH(O7103,[2]媒体政策预估表!$A$2:$M$2,0),0)</f>
        <v>0</v>
      </c>
      <c r="AF7103" s="6">
        <f t="shared" si="1103"/>
        <v>0</v>
      </c>
      <c r="AG7103" s="14">
        <v>0</v>
      </c>
      <c r="AH7103" s="64">
        <f t="shared" si="1102"/>
        <v>0</v>
      </c>
      <c r="AJ7103" s="126" t="e">
        <v>#N/A</v>
      </c>
      <c r="AK7103" s="80">
        <f t="shared" si="1100"/>
        <v>0</v>
      </c>
      <c r="AL7103" s="85"/>
      <c r="AM7103" s="85"/>
    </row>
    <row r="7104" spans="1:39" s="86" customFormat="1" ht="13.25" hidden="1" customHeight="1" x14ac:dyDescent="0.3">
      <c r="A7104" s="89" t="s">
        <v>3978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3763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104"/>
        <v>-195169</v>
      </c>
      <c r="X7104" s="6">
        <f t="shared" si="1105"/>
        <v>0</v>
      </c>
      <c r="Y7104" s="13">
        <f t="shared" si="1098"/>
        <v>0</v>
      </c>
      <c r="Z7104" s="14">
        <v>0</v>
      </c>
      <c r="AA7104" s="6">
        <v>0</v>
      </c>
      <c r="AB7104" s="4">
        <f t="shared" si="1099"/>
        <v>0</v>
      </c>
      <c r="AC7104" s="6">
        <f t="shared" si="1106"/>
        <v>0</v>
      </c>
      <c r="AD7104" s="6">
        <f t="shared" si="1101"/>
        <v>0</v>
      </c>
      <c r="AE7104" s="14">
        <f>VLOOKUP(I7104,[2]媒体政策预估表!A:N,MATCH(O7104,[2]媒体政策预估表!$A$2:$M$2,0),0)</f>
        <v>0</v>
      </c>
      <c r="AF7104" s="6">
        <f t="shared" si="1103"/>
        <v>0</v>
      </c>
      <c r="AG7104" s="14">
        <v>0</v>
      </c>
      <c r="AH7104" s="64">
        <f t="shared" si="1102"/>
        <v>0</v>
      </c>
      <c r="AJ7104" s="126" t="e">
        <v>#N/A</v>
      </c>
      <c r="AK7104" s="80">
        <f t="shared" si="1100"/>
        <v>0</v>
      </c>
      <c r="AL7104" s="85"/>
      <c r="AM7104" s="85"/>
    </row>
    <row r="7105" spans="1:39" s="86" customFormat="1" ht="13.25" hidden="1" customHeight="1" x14ac:dyDescent="0.3">
      <c r="A7105" s="89" t="s">
        <v>3978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3763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104"/>
        <v>-400</v>
      </c>
      <c r="X7105" s="6">
        <f t="shared" si="1105"/>
        <v>0</v>
      </c>
      <c r="Y7105" s="13">
        <f t="shared" si="1098"/>
        <v>0</v>
      </c>
      <c r="Z7105" s="14">
        <v>0</v>
      </c>
      <c r="AA7105" s="6">
        <v>0</v>
      </c>
      <c r="AB7105" s="4"/>
      <c r="AC7105" s="6">
        <f t="shared" si="1106"/>
        <v>0</v>
      </c>
      <c r="AD7105" s="6">
        <f t="shared" si="1101"/>
        <v>0</v>
      </c>
      <c r="AE7105" s="14">
        <f>VLOOKUP(I7105,[2]媒体政策预估表!A:N,MATCH(O7105,[2]媒体政策预估表!$A$2:$M$2,0),0)</f>
        <v>0</v>
      </c>
      <c r="AF7105" s="6">
        <f t="shared" si="1103"/>
        <v>0</v>
      </c>
      <c r="AG7105" s="14">
        <v>0</v>
      </c>
      <c r="AH7105" s="64">
        <f t="shared" si="1102"/>
        <v>0</v>
      </c>
      <c r="AJ7105" s="126" t="s">
        <v>4217</v>
      </c>
      <c r="AK7105" s="80">
        <f t="shared" si="1100"/>
        <v>0</v>
      </c>
      <c r="AL7105" s="85"/>
      <c r="AM7105" s="85"/>
    </row>
    <row r="7106" spans="1:39" s="86" customFormat="1" ht="13.25" hidden="1" customHeight="1" x14ac:dyDescent="0.3">
      <c r="A7106" s="89" t="s">
        <v>3792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3763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104"/>
        <v>-1586</v>
      </c>
      <c r="X7106" s="6">
        <f t="shared" si="1105"/>
        <v>0</v>
      </c>
      <c r="Y7106" s="13">
        <f t="shared" si="1098"/>
        <v>0</v>
      </c>
      <c r="Z7106" s="14">
        <v>0</v>
      </c>
      <c r="AA7106" s="6">
        <v>0</v>
      </c>
      <c r="AB7106" s="4">
        <f t="shared" si="1099"/>
        <v>0</v>
      </c>
      <c r="AC7106" s="6">
        <f t="shared" si="1106"/>
        <v>0</v>
      </c>
      <c r="AD7106" s="6">
        <f t="shared" si="1101"/>
        <v>0</v>
      </c>
      <c r="AE7106" s="14">
        <f>VLOOKUP(I7106,[2]媒体政策预估表!A:N,MATCH(O7106,[2]媒体政策预估表!$A$2:$M$2,0),0)</f>
        <v>0</v>
      </c>
      <c r="AF7106" s="6">
        <f t="shared" si="1103"/>
        <v>0</v>
      </c>
      <c r="AG7106" s="14">
        <v>0</v>
      </c>
      <c r="AH7106" s="64">
        <f t="shared" si="1102"/>
        <v>0</v>
      </c>
      <c r="AJ7106" s="126" t="e">
        <v>#N/A</v>
      </c>
      <c r="AK7106" s="80">
        <f t="shared" si="1100"/>
        <v>0</v>
      </c>
      <c r="AL7106" s="85"/>
      <c r="AM7106" s="85"/>
    </row>
    <row r="7107" spans="1:39" s="86" customFormat="1" ht="13.25" hidden="1" customHeight="1" x14ac:dyDescent="0.3">
      <c r="A7107" s="89" t="s">
        <v>3978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3763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104"/>
        <v>-1000</v>
      </c>
      <c r="X7107" s="6">
        <f t="shared" si="1105"/>
        <v>0</v>
      </c>
      <c r="Y7107" s="13">
        <f t="shared" ref="Y7107:Y7170" si="1107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108">X7107+AA7107</f>
        <v>0</v>
      </c>
      <c r="AC7107" s="6">
        <f t="shared" si="1106"/>
        <v>0</v>
      </c>
      <c r="AD7107" s="6">
        <f t="shared" si="1101"/>
        <v>0</v>
      </c>
      <c r="AE7107" s="14">
        <f>VLOOKUP(I7107,[2]媒体政策预估表!A:N,MATCH(O7107,[2]媒体政策预估表!$A$2:$M$2,0),0)</f>
        <v>0</v>
      </c>
      <c r="AF7107" s="6">
        <f t="shared" si="1103"/>
        <v>0</v>
      </c>
      <c r="AG7107" s="14">
        <v>0</v>
      </c>
      <c r="AH7107" s="64">
        <f t="shared" si="1102"/>
        <v>0</v>
      </c>
      <c r="AJ7107" s="126" t="e">
        <v>#N/A</v>
      </c>
      <c r="AK7107" s="80">
        <f t="shared" ref="AK7107:AK7170" si="1109">X7107+AA7107-AB7107</f>
        <v>0</v>
      </c>
      <c r="AL7107" s="85"/>
      <c r="AM7107" s="85"/>
    </row>
    <row r="7108" spans="1:39" s="86" customFormat="1" ht="13.25" hidden="1" customHeight="1" x14ac:dyDescent="0.3">
      <c r="A7108" s="89" t="s">
        <v>3978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3763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104"/>
        <v>-8599.5</v>
      </c>
      <c r="X7108" s="6">
        <f t="shared" si="1105"/>
        <v>3324.4</v>
      </c>
      <c r="Y7108" s="13">
        <f t="shared" si="1107"/>
        <v>0</v>
      </c>
      <c r="Z7108" s="14">
        <v>0</v>
      </c>
      <c r="AA7108" s="6">
        <v>0</v>
      </c>
      <c r="AB7108" s="4">
        <f t="shared" si="1108"/>
        <v>3324.4</v>
      </c>
      <c r="AC7108" s="6">
        <f t="shared" si="1106"/>
        <v>0</v>
      </c>
      <c r="AD7108" s="6">
        <f t="shared" si="1101"/>
        <v>3324.4</v>
      </c>
      <c r="AE7108" s="14">
        <f>VLOOKUP(I7108,[2]媒体政策预估表!A:N,MATCH(O7108,[2]媒体政策预估表!$A$2:$M$2,0),0)</f>
        <v>0</v>
      </c>
      <c r="AF7108" s="6">
        <f t="shared" si="1103"/>
        <v>0</v>
      </c>
      <c r="AG7108" s="14">
        <v>0</v>
      </c>
      <c r="AH7108" s="64">
        <f t="shared" si="1102"/>
        <v>3324.4</v>
      </c>
      <c r="AJ7108" s="126" t="e">
        <v>#N/A</v>
      </c>
      <c r="AK7108" s="80">
        <f t="shared" si="1109"/>
        <v>0</v>
      </c>
      <c r="AL7108" s="85"/>
      <c r="AM7108" s="85"/>
    </row>
    <row r="7109" spans="1:39" s="86" customFormat="1" ht="13.25" hidden="1" customHeight="1" x14ac:dyDescent="0.3">
      <c r="A7109" s="89" t="s">
        <v>3978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3763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104"/>
        <v>-9910</v>
      </c>
      <c r="X7109" s="6">
        <f t="shared" si="1105"/>
        <v>6410</v>
      </c>
      <c r="Y7109" s="13">
        <f t="shared" si="1107"/>
        <v>0</v>
      </c>
      <c r="Z7109" s="14">
        <v>0</v>
      </c>
      <c r="AA7109" s="6">
        <v>0</v>
      </c>
      <c r="AB7109" s="4">
        <f t="shared" si="1108"/>
        <v>6410</v>
      </c>
      <c r="AC7109" s="6">
        <f t="shared" si="1106"/>
        <v>0</v>
      </c>
      <c r="AD7109" s="6">
        <f t="shared" si="1101"/>
        <v>6410</v>
      </c>
      <c r="AE7109" s="14">
        <f>VLOOKUP(I7109,[2]媒体政策预估表!A:N,MATCH(O7109,[2]媒体政策预估表!$A$2:$M$2,0),0)</f>
        <v>0</v>
      </c>
      <c r="AF7109" s="6">
        <f t="shared" si="1103"/>
        <v>0</v>
      </c>
      <c r="AG7109" s="14">
        <v>0</v>
      </c>
      <c r="AH7109" s="64">
        <f t="shared" si="1102"/>
        <v>6410</v>
      </c>
      <c r="AJ7109" s="126" t="e">
        <v>#N/A</v>
      </c>
      <c r="AK7109" s="80">
        <f t="shared" si="1109"/>
        <v>0</v>
      </c>
      <c r="AL7109" s="85"/>
      <c r="AM7109" s="85"/>
    </row>
    <row r="7110" spans="1:39" s="86" customFormat="1" ht="13.25" hidden="1" customHeight="1" x14ac:dyDescent="0.3">
      <c r="A7110" s="89" t="s">
        <v>3792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3763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104"/>
        <v>-1010.5</v>
      </c>
      <c r="X7110" s="6">
        <f t="shared" si="1105"/>
        <v>0</v>
      </c>
      <c r="Y7110" s="13">
        <f t="shared" si="1107"/>
        <v>0</v>
      </c>
      <c r="Z7110" s="14">
        <v>0</v>
      </c>
      <c r="AA7110" s="6">
        <v>0</v>
      </c>
      <c r="AB7110" s="4">
        <f t="shared" si="1108"/>
        <v>0</v>
      </c>
      <c r="AC7110" s="6">
        <f t="shared" si="1106"/>
        <v>0</v>
      </c>
      <c r="AD7110" s="6">
        <f t="shared" si="1101"/>
        <v>0</v>
      </c>
      <c r="AE7110" s="14">
        <f>VLOOKUP(I7110,[2]媒体政策预估表!A:N,MATCH(O7110,[2]媒体政策预估表!$A$2:$M$2,0),0)</f>
        <v>0</v>
      </c>
      <c r="AF7110" s="6">
        <f t="shared" si="1103"/>
        <v>0</v>
      </c>
      <c r="AG7110" s="14">
        <v>0</v>
      </c>
      <c r="AH7110" s="64">
        <f t="shared" si="1102"/>
        <v>0</v>
      </c>
      <c r="AJ7110" s="126" t="e">
        <v>#N/A</v>
      </c>
      <c r="AK7110" s="80">
        <f t="shared" si="1109"/>
        <v>0</v>
      </c>
      <c r="AL7110" s="85"/>
      <c r="AM7110" s="85"/>
    </row>
    <row r="7111" spans="1:39" s="86" customFormat="1" ht="13.25" hidden="1" customHeight="1" x14ac:dyDescent="0.3">
      <c r="A7111" s="89" t="s">
        <v>3978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3763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104"/>
        <v>-12669</v>
      </c>
      <c r="X7111" s="6">
        <f t="shared" si="1105"/>
        <v>0</v>
      </c>
      <c r="Y7111" s="13">
        <f t="shared" si="1107"/>
        <v>0</v>
      </c>
      <c r="Z7111" s="14">
        <v>0</v>
      </c>
      <c r="AA7111" s="6">
        <v>0</v>
      </c>
      <c r="AB7111" s="4">
        <f t="shared" si="1108"/>
        <v>0</v>
      </c>
      <c r="AC7111" s="6">
        <f t="shared" si="1106"/>
        <v>0</v>
      </c>
      <c r="AD7111" s="6">
        <f t="shared" si="1101"/>
        <v>0</v>
      </c>
      <c r="AE7111" s="14">
        <f>VLOOKUP(I7111,[2]媒体政策预估表!A:N,MATCH(O7111,[2]媒体政策预估表!$A$2:$M$2,0),0)</f>
        <v>0</v>
      </c>
      <c r="AF7111" s="6">
        <f t="shared" si="1103"/>
        <v>0</v>
      </c>
      <c r="AG7111" s="14">
        <v>0</v>
      </c>
      <c r="AH7111" s="64">
        <f t="shared" si="1102"/>
        <v>0</v>
      </c>
      <c r="AJ7111" s="126" t="e">
        <v>#N/A</v>
      </c>
      <c r="AK7111" s="80">
        <f t="shared" si="1109"/>
        <v>0</v>
      </c>
      <c r="AL7111" s="85"/>
      <c r="AM7111" s="85"/>
    </row>
    <row r="7112" spans="1:39" s="86" customFormat="1" ht="13.25" hidden="1" customHeight="1" x14ac:dyDescent="0.3">
      <c r="A7112" s="89" t="s">
        <v>3978</v>
      </c>
      <c r="B7112" s="86" t="s">
        <v>701</v>
      </c>
      <c r="C7112" s="86" t="s">
        <v>184</v>
      </c>
      <c r="D7112" s="86" t="s">
        <v>3849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3763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104"/>
        <v>-255471.2</v>
      </c>
      <c r="X7112" s="6">
        <f t="shared" si="1105"/>
        <v>95562.37</v>
      </c>
      <c r="Y7112" s="13">
        <f t="shared" si="1107"/>
        <v>0</v>
      </c>
      <c r="Z7112" s="14">
        <v>0</v>
      </c>
      <c r="AA7112" s="6">
        <v>0</v>
      </c>
      <c r="AB7112" s="4">
        <f t="shared" si="1108"/>
        <v>95562.37</v>
      </c>
      <c r="AC7112" s="6">
        <f t="shared" si="1106"/>
        <v>0</v>
      </c>
      <c r="AD7112" s="6">
        <f t="shared" si="1101"/>
        <v>95562.37</v>
      </c>
      <c r="AE7112" s="14">
        <f>VLOOKUP(I7112,[2]媒体政策预估表!A:N,MATCH(O7112,[2]媒体政策预估表!$A$2:$M$2,0),0)</f>
        <v>0</v>
      </c>
      <c r="AF7112" s="6">
        <f t="shared" si="1103"/>
        <v>0</v>
      </c>
      <c r="AG7112" s="14">
        <v>0</v>
      </c>
      <c r="AH7112" s="64">
        <f t="shared" si="1102"/>
        <v>95562.37</v>
      </c>
      <c r="AJ7112" s="126" t="e">
        <v>#N/A</v>
      </c>
      <c r="AK7112" s="80">
        <f t="shared" si="1109"/>
        <v>0</v>
      </c>
      <c r="AL7112" s="85"/>
      <c r="AM7112" s="85"/>
    </row>
    <row r="7113" spans="1:39" s="86" customFormat="1" ht="13.25" hidden="1" customHeight="1" x14ac:dyDescent="0.3">
      <c r="A7113" s="89" t="s">
        <v>3978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3763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104"/>
        <v>-2796.23</v>
      </c>
      <c r="X7113" s="6">
        <f t="shared" si="1105"/>
        <v>877.45544554455444</v>
      </c>
      <c r="Y7113" s="13">
        <f t="shared" si="1107"/>
        <v>0</v>
      </c>
      <c r="Z7113" s="14">
        <v>0</v>
      </c>
      <c r="AA7113" s="6">
        <v>0</v>
      </c>
      <c r="AB7113" s="4">
        <f t="shared" si="1108"/>
        <v>877.45544554455444</v>
      </c>
      <c r="AC7113" s="6">
        <f t="shared" si="1106"/>
        <v>8.7745544554455819</v>
      </c>
      <c r="AD7113" s="6">
        <f t="shared" si="1101"/>
        <v>886.23</v>
      </c>
      <c r="AE7113" s="14">
        <f>VLOOKUP(I7113,[2]媒体政策预估表!A:N,MATCH(O7113,[2]媒体政策预估表!$A$2:$M$2,0),0)</f>
        <v>0</v>
      </c>
      <c r="AF7113" s="6">
        <f t="shared" si="1103"/>
        <v>0</v>
      </c>
      <c r="AG7113" s="14">
        <v>0</v>
      </c>
      <c r="AH7113" s="64">
        <f t="shared" si="1102"/>
        <v>886.23</v>
      </c>
      <c r="AJ7113" s="126" t="e">
        <v>#N/A</v>
      </c>
      <c r="AK7113" s="80">
        <f t="shared" si="1109"/>
        <v>0</v>
      </c>
      <c r="AL7113" s="85"/>
      <c r="AM7113" s="85"/>
    </row>
    <row r="7114" spans="1:39" s="86" customFormat="1" ht="13.25" hidden="1" customHeight="1" x14ac:dyDescent="0.3">
      <c r="A7114" s="89" t="s">
        <v>3978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3763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104"/>
        <v>-200</v>
      </c>
      <c r="X7114" s="6">
        <f t="shared" si="1105"/>
        <v>0</v>
      </c>
      <c r="Y7114" s="13">
        <f t="shared" si="1107"/>
        <v>0</v>
      </c>
      <c r="Z7114" s="14">
        <v>0</v>
      </c>
      <c r="AA7114" s="6">
        <v>0</v>
      </c>
      <c r="AB7114" s="4">
        <f t="shared" si="1108"/>
        <v>0</v>
      </c>
      <c r="AC7114" s="6">
        <f t="shared" si="1106"/>
        <v>0</v>
      </c>
      <c r="AD7114" s="6">
        <f t="shared" si="1101"/>
        <v>0</v>
      </c>
      <c r="AE7114" s="14">
        <f>VLOOKUP(I7114,[2]媒体政策预估表!A:N,MATCH(O7114,[2]媒体政策预估表!$A$2:$M$2,0),0)</f>
        <v>0</v>
      </c>
      <c r="AF7114" s="6">
        <f t="shared" si="1103"/>
        <v>0</v>
      </c>
      <c r="AG7114" s="14">
        <v>0</v>
      </c>
      <c r="AH7114" s="64">
        <f t="shared" si="1102"/>
        <v>0</v>
      </c>
      <c r="AJ7114" s="126" t="e">
        <v>#N/A</v>
      </c>
      <c r="AK7114" s="80">
        <f t="shared" si="1109"/>
        <v>0</v>
      </c>
      <c r="AL7114" s="85"/>
      <c r="AM7114" s="85"/>
    </row>
    <row r="7115" spans="1:39" s="86" customFormat="1" ht="13.25" hidden="1" customHeight="1" x14ac:dyDescent="0.3">
      <c r="A7115" s="89" t="s">
        <v>3978</v>
      </c>
      <c r="B7115" s="86" t="s">
        <v>35</v>
      </c>
      <c r="C7115" s="86" t="s">
        <v>184</v>
      </c>
      <c r="D7115" s="86" t="s">
        <v>3849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3763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104"/>
        <v>-257.41000000000003</v>
      </c>
      <c r="X7115" s="6">
        <f t="shared" si="1105"/>
        <v>0</v>
      </c>
      <c r="Y7115" s="13">
        <f t="shared" si="1107"/>
        <v>0</v>
      </c>
      <c r="Z7115" s="14">
        <v>0</v>
      </c>
      <c r="AA7115" s="6">
        <v>0</v>
      </c>
      <c r="AB7115" s="4">
        <f t="shared" si="1108"/>
        <v>0</v>
      </c>
      <c r="AC7115" s="6">
        <f t="shared" si="1106"/>
        <v>0</v>
      </c>
      <c r="AD7115" s="6">
        <f t="shared" si="1101"/>
        <v>0</v>
      </c>
      <c r="AE7115" s="14">
        <f>VLOOKUP(I7115,[2]媒体政策预估表!A:N,MATCH(O7115,[2]媒体政策预估表!$A$2:$M$2,0),0)</f>
        <v>0</v>
      </c>
      <c r="AF7115" s="6">
        <f t="shared" si="1103"/>
        <v>0</v>
      </c>
      <c r="AG7115" s="14">
        <v>0</v>
      </c>
      <c r="AH7115" s="64">
        <f t="shared" si="1102"/>
        <v>0</v>
      </c>
      <c r="AJ7115" s="126" t="e">
        <v>#N/A</v>
      </c>
      <c r="AK7115" s="80">
        <f t="shared" si="1109"/>
        <v>0</v>
      </c>
      <c r="AL7115" s="85"/>
      <c r="AM7115" s="85"/>
    </row>
    <row r="7116" spans="1:39" s="86" customFormat="1" ht="13.25" hidden="1" customHeight="1" x14ac:dyDescent="0.3">
      <c r="A7116" s="89" t="s">
        <v>3978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3763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105"/>
        <v>6200</v>
      </c>
      <c r="Y7116" s="13">
        <f t="shared" si="1107"/>
        <v>0</v>
      </c>
      <c r="Z7116" s="14">
        <v>0</v>
      </c>
      <c r="AA7116" s="6">
        <v>0</v>
      </c>
      <c r="AB7116" s="4">
        <f t="shared" si="1108"/>
        <v>6200</v>
      </c>
      <c r="AC7116" s="6">
        <f t="shared" si="1106"/>
        <v>0</v>
      </c>
      <c r="AD7116" s="6">
        <f t="shared" si="1101"/>
        <v>6200</v>
      </c>
      <c r="AE7116" s="14">
        <f>VLOOKUP(I7116,[2]媒体政策预估表!A:N,MATCH(O7116,[2]媒体政策预估表!$A$2:$M$2,0),0)</f>
        <v>0</v>
      </c>
      <c r="AF7116" s="6">
        <f t="shared" si="1103"/>
        <v>0</v>
      </c>
      <c r="AG7116" s="14">
        <v>0</v>
      </c>
      <c r="AH7116" s="64">
        <f t="shared" si="1102"/>
        <v>6200</v>
      </c>
      <c r="AJ7116" s="126" t="e">
        <v>#N/A</v>
      </c>
      <c r="AK7116" s="80">
        <f t="shared" si="1109"/>
        <v>0</v>
      </c>
      <c r="AL7116" s="85"/>
      <c r="AM7116" s="85"/>
    </row>
    <row r="7117" spans="1:39" s="86" customFormat="1" ht="13.25" hidden="1" customHeight="1" x14ac:dyDescent="0.3">
      <c r="A7117" s="89" t="s">
        <v>3978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3763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104"/>
        <v>-697</v>
      </c>
      <c r="X7117" s="6">
        <f t="shared" si="1105"/>
        <v>697</v>
      </c>
      <c r="Y7117" s="13">
        <f t="shared" si="1107"/>
        <v>0</v>
      </c>
      <c r="Z7117" s="14">
        <v>0</v>
      </c>
      <c r="AA7117" s="6">
        <v>0</v>
      </c>
      <c r="AB7117" s="4">
        <f t="shared" si="1108"/>
        <v>697</v>
      </c>
      <c r="AC7117" s="6">
        <f t="shared" si="1106"/>
        <v>0</v>
      </c>
      <c r="AD7117" s="6">
        <f t="shared" si="1101"/>
        <v>697</v>
      </c>
      <c r="AE7117" s="14">
        <f>VLOOKUP(I7117,[2]媒体政策预估表!A:N,MATCH(O7117,[2]媒体政策预估表!$A$2:$M$2,0),0)</f>
        <v>0</v>
      </c>
      <c r="AF7117" s="6">
        <f t="shared" si="1103"/>
        <v>0</v>
      </c>
      <c r="AG7117" s="14">
        <v>0</v>
      </c>
      <c r="AH7117" s="64">
        <f t="shared" si="1102"/>
        <v>697</v>
      </c>
      <c r="AJ7117" s="126" t="e">
        <v>#N/A</v>
      </c>
      <c r="AK7117" s="80">
        <f t="shared" si="1109"/>
        <v>0</v>
      </c>
      <c r="AL7117" s="85"/>
      <c r="AM7117" s="85"/>
    </row>
    <row r="7118" spans="1:39" s="86" customFormat="1" ht="13.25" hidden="1" customHeight="1" x14ac:dyDescent="0.3">
      <c r="A7118" s="89" t="s">
        <v>3978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3763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104"/>
        <v>0</v>
      </c>
      <c r="X7118" s="6">
        <f t="shared" si="1105"/>
        <v>39451.524271844697</v>
      </c>
      <c r="Y7118" s="13">
        <f t="shared" si="1107"/>
        <v>0</v>
      </c>
      <c r="Z7118" s="14">
        <v>0</v>
      </c>
      <c r="AA7118" s="6">
        <v>0</v>
      </c>
      <c r="AB7118" s="4">
        <f t="shared" si="1108"/>
        <v>39451.524271844697</v>
      </c>
      <c r="AC7118" s="6">
        <f t="shared" si="1106"/>
        <v>1183.545728155339</v>
      </c>
      <c r="AD7118" s="6">
        <f t="shared" si="1101"/>
        <v>40635.070000000036</v>
      </c>
      <c r="AE7118" s="14">
        <f>VLOOKUP(I7118,[2]媒体政策预估表!A:N,MATCH(O7118,[2]媒体政策预估表!$A$2:$M$2,0),0)</f>
        <v>0.1293</v>
      </c>
      <c r="AF7118" s="6">
        <f t="shared" si="1103"/>
        <v>5254.1145510000042</v>
      </c>
      <c r="AG7118" s="14">
        <v>0</v>
      </c>
      <c r="AH7118" s="64">
        <f t="shared" si="1102"/>
        <v>40635.070000000036</v>
      </c>
      <c r="AJ7118" s="126" t="e">
        <v>#N/A</v>
      </c>
      <c r="AK7118" s="80">
        <f t="shared" si="1109"/>
        <v>0</v>
      </c>
      <c r="AL7118" s="85"/>
      <c r="AM7118" s="85"/>
    </row>
    <row r="7119" spans="1:39" s="86" customFormat="1" ht="13.25" hidden="1" customHeight="1" x14ac:dyDescent="0.3">
      <c r="A7119" s="89" t="s">
        <v>3978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3763</v>
      </c>
      <c r="L7119" s="1" t="s">
        <v>701</v>
      </c>
      <c r="M7119" s="86" t="s">
        <v>2719</v>
      </c>
      <c r="O7119" s="47" t="s">
        <v>4007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104"/>
        <v>-501</v>
      </c>
      <c r="X7119" s="6">
        <f t="shared" si="1105"/>
        <v>501</v>
      </c>
      <c r="Y7119" s="13">
        <f t="shared" si="1107"/>
        <v>0</v>
      </c>
      <c r="Z7119" s="66">
        <v>0</v>
      </c>
      <c r="AA7119" s="6">
        <v>0</v>
      </c>
      <c r="AB7119" s="4">
        <f t="shared" si="1108"/>
        <v>501</v>
      </c>
      <c r="AC7119" s="6">
        <f t="shared" si="1106"/>
        <v>0</v>
      </c>
      <c r="AD7119" s="6">
        <f t="shared" si="1101"/>
        <v>501</v>
      </c>
      <c r="AE7119" s="14">
        <f>VLOOKUP(I7119,[2]媒体政策预估表!A:N,MATCH(O7119,[2]媒体政策预估表!$A$2:$M$2,0),0)</f>
        <v>0</v>
      </c>
      <c r="AF7119" s="6">
        <f t="shared" si="1103"/>
        <v>0</v>
      </c>
      <c r="AG7119" s="14">
        <v>0</v>
      </c>
      <c r="AH7119" s="64">
        <f t="shared" si="1102"/>
        <v>501</v>
      </c>
      <c r="AJ7119" s="126" t="e">
        <v>#N/A</v>
      </c>
      <c r="AK7119" s="80">
        <f t="shared" si="1109"/>
        <v>0</v>
      </c>
      <c r="AL7119" s="85"/>
      <c r="AM7119" s="85"/>
    </row>
    <row r="7120" spans="1:39" s="86" customFormat="1" ht="13.25" hidden="1" customHeight="1" x14ac:dyDescent="0.3">
      <c r="A7120" s="89" t="s">
        <v>3792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3763</v>
      </c>
      <c r="L7120" s="1" t="s">
        <v>701</v>
      </c>
      <c r="M7120" s="86" t="s">
        <v>2709</v>
      </c>
      <c r="O7120" s="47" t="s">
        <v>4007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104"/>
        <v>-1112</v>
      </c>
      <c r="X7120" s="6">
        <f t="shared" si="1105"/>
        <v>1090.1960784313726</v>
      </c>
      <c r="Y7120" s="13">
        <f t="shared" si="1107"/>
        <v>0</v>
      </c>
      <c r="Z7120" s="66">
        <v>0</v>
      </c>
      <c r="AA7120" s="6">
        <v>0</v>
      </c>
      <c r="AB7120" s="4">
        <f t="shared" si="1108"/>
        <v>1090.1960784313726</v>
      </c>
      <c r="AC7120" s="6">
        <f t="shared" si="1106"/>
        <v>21.803921568627402</v>
      </c>
      <c r="AD7120" s="6">
        <f t="shared" si="1101"/>
        <v>1112</v>
      </c>
      <c r="AE7120" s="14">
        <f>VLOOKUP(I7120,[2]媒体政策预估表!A:N,MATCH(O7120,[2]媒体政策预估表!$A$2:$M$2,0),0)</f>
        <v>0</v>
      </c>
      <c r="AF7120" s="6">
        <f t="shared" si="1103"/>
        <v>0</v>
      </c>
      <c r="AG7120" s="14">
        <v>0</v>
      </c>
      <c r="AH7120" s="64">
        <f t="shared" si="1102"/>
        <v>1112</v>
      </c>
      <c r="AJ7120" s="126" t="e">
        <v>#N/A</v>
      </c>
      <c r="AK7120" s="80">
        <f t="shared" si="1109"/>
        <v>0</v>
      </c>
      <c r="AL7120" s="85"/>
      <c r="AM7120" s="85"/>
    </row>
    <row r="7121" spans="1:39" s="86" customFormat="1" ht="13.25" hidden="1" customHeight="1" x14ac:dyDescent="0.3">
      <c r="A7121" s="89" t="s">
        <v>3978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3763</v>
      </c>
      <c r="L7121" s="1" t="s">
        <v>701</v>
      </c>
      <c r="M7121" s="86" t="s">
        <v>2775</v>
      </c>
      <c r="O7121" s="47" t="s">
        <v>4007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104"/>
        <v>-1569</v>
      </c>
      <c r="X7121" s="6">
        <f t="shared" si="1105"/>
        <v>1466.3551401869158</v>
      </c>
      <c r="Y7121" s="13">
        <f t="shared" si="1107"/>
        <v>0</v>
      </c>
      <c r="Z7121" s="66">
        <v>0</v>
      </c>
      <c r="AA7121" s="6">
        <v>0</v>
      </c>
      <c r="AB7121" s="4">
        <f t="shared" si="1108"/>
        <v>1466.3551401869158</v>
      </c>
      <c r="AC7121" s="6">
        <f t="shared" si="1106"/>
        <v>102.64485981308417</v>
      </c>
      <c r="AD7121" s="6">
        <f t="shared" si="1101"/>
        <v>1569</v>
      </c>
      <c r="AE7121" s="14">
        <f>VLOOKUP(I7121,[2]媒体政策预估表!A:N,MATCH(O7121,[2]媒体政策预估表!$A$2:$M$2,0),0)</f>
        <v>0</v>
      </c>
      <c r="AF7121" s="6">
        <f t="shared" si="1103"/>
        <v>0</v>
      </c>
      <c r="AG7121" s="14">
        <v>0</v>
      </c>
      <c r="AH7121" s="64">
        <f t="shared" si="1102"/>
        <v>1569</v>
      </c>
      <c r="AJ7121" s="126" t="e">
        <v>#N/A</v>
      </c>
      <c r="AK7121" s="80">
        <f t="shared" si="1109"/>
        <v>0</v>
      </c>
      <c r="AL7121" s="85"/>
      <c r="AM7121" s="85"/>
    </row>
    <row r="7122" spans="1:39" s="86" customFormat="1" ht="13.25" hidden="1" customHeight="1" x14ac:dyDescent="0.3">
      <c r="A7122" s="89" t="s">
        <v>3978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3763</v>
      </c>
      <c r="L7122" s="1" t="s">
        <v>701</v>
      </c>
      <c r="M7122" s="86" t="s">
        <v>2886</v>
      </c>
      <c r="O7122" s="47" t="s">
        <v>4007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104"/>
        <v>-400</v>
      </c>
      <c r="X7122" s="6">
        <f t="shared" si="1105"/>
        <v>400</v>
      </c>
      <c r="Y7122" s="13">
        <f t="shared" si="1107"/>
        <v>0</v>
      </c>
      <c r="Z7122" s="66">
        <v>0</v>
      </c>
      <c r="AA7122" s="6">
        <v>0</v>
      </c>
      <c r="AB7122" s="4"/>
      <c r="AC7122" s="6">
        <f t="shared" si="1106"/>
        <v>0</v>
      </c>
      <c r="AD7122" s="6">
        <f t="shared" si="1101"/>
        <v>400</v>
      </c>
      <c r="AE7122" s="14">
        <f>VLOOKUP(I7122,[2]媒体政策预估表!A:N,MATCH(O7122,[2]媒体政策预估表!$A$2:$M$2,0),0)</f>
        <v>0</v>
      </c>
      <c r="AF7122" s="6">
        <f t="shared" si="1103"/>
        <v>0</v>
      </c>
      <c r="AG7122" s="14">
        <v>0</v>
      </c>
      <c r="AH7122" s="64">
        <f t="shared" si="1102"/>
        <v>400</v>
      </c>
      <c r="AJ7122" s="126">
        <v>104</v>
      </c>
      <c r="AK7122" s="80">
        <f t="shared" si="1109"/>
        <v>400</v>
      </c>
      <c r="AL7122" s="85"/>
      <c r="AM7122" s="85"/>
    </row>
    <row r="7123" spans="1:39" s="86" customFormat="1" ht="13.25" hidden="1" customHeight="1" x14ac:dyDescent="0.3">
      <c r="A7123" s="89" t="s">
        <v>3978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3763</v>
      </c>
      <c r="L7123" s="1" t="s">
        <v>701</v>
      </c>
      <c r="M7123" s="86" t="s">
        <v>4000</v>
      </c>
      <c r="O7123" s="47" t="s">
        <v>4007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104"/>
        <v>-1200</v>
      </c>
      <c r="X7123" s="6">
        <f t="shared" si="1105"/>
        <v>1200</v>
      </c>
      <c r="Y7123" s="13">
        <f t="shared" si="1107"/>
        <v>0</v>
      </c>
      <c r="Z7123" s="66">
        <v>0</v>
      </c>
      <c r="AA7123" s="6">
        <v>0</v>
      </c>
      <c r="AB7123" s="4"/>
      <c r="AC7123" s="6">
        <f t="shared" si="1106"/>
        <v>0</v>
      </c>
      <c r="AD7123" s="6">
        <f t="shared" si="1101"/>
        <v>1200</v>
      </c>
      <c r="AE7123" s="14">
        <f>VLOOKUP(I7123,[2]媒体政策预估表!A:N,MATCH(O7123,[2]媒体政策预估表!$A$2:$M$2,0),0)</f>
        <v>0</v>
      </c>
      <c r="AF7123" s="6">
        <f t="shared" si="1103"/>
        <v>0</v>
      </c>
      <c r="AG7123" s="14">
        <v>0</v>
      </c>
      <c r="AH7123" s="64">
        <f t="shared" si="1102"/>
        <v>1200</v>
      </c>
      <c r="AJ7123" s="126">
        <v>104</v>
      </c>
      <c r="AK7123" s="80">
        <f t="shared" si="1109"/>
        <v>1200</v>
      </c>
      <c r="AL7123" s="85"/>
      <c r="AM7123" s="85"/>
    </row>
    <row r="7124" spans="1:39" s="86" customFormat="1" ht="13.25" hidden="1" customHeight="1" x14ac:dyDescent="0.3">
      <c r="A7124" s="89" t="s">
        <v>3792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3763</v>
      </c>
      <c r="L7124" s="1" t="s">
        <v>701</v>
      </c>
      <c r="M7124" s="86" t="s">
        <v>2744</v>
      </c>
      <c r="O7124" s="47" t="s">
        <v>4007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104"/>
        <v>-8817.5</v>
      </c>
      <c r="X7124" s="6">
        <f t="shared" si="1105"/>
        <v>8817.5</v>
      </c>
      <c r="Y7124" s="13">
        <f t="shared" si="1107"/>
        <v>0</v>
      </c>
      <c r="Z7124" s="66">
        <v>0</v>
      </c>
      <c r="AA7124" s="6">
        <v>0</v>
      </c>
      <c r="AB7124" s="4">
        <f t="shared" si="1108"/>
        <v>8817.5</v>
      </c>
      <c r="AC7124" s="6">
        <f t="shared" si="1106"/>
        <v>0</v>
      </c>
      <c r="AD7124" s="6">
        <f t="shared" si="1101"/>
        <v>8817.5</v>
      </c>
      <c r="AE7124" s="14">
        <f>VLOOKUP(I7124,[2]媒体政策预估表!A:N,MATCH(O7124,[2]媒体政策预估表!$A$2:$M$2,0),0)</f>
        <v>0</v>
      </c>
      <c r="AF7124" s="6">
        <f t="shared" si="1103"/>
        <v>0</v>
      </c>
      <c r="AG7124" s="14">
        <v>0</v>
      </c>
      <c r="AH7124" s="64">
        <f t="shared" si="1102"/>
        <v>8817.5</v>
      </c>
      <c r="AJ7124" s="126" t="e">
        <v>#N/A</v>
      </c>
      <c r="AK7124" s="80">
        <f t="shared" si="1109"/>
        <v>0</v>
      </c>
      <c r="AL7124" s="85"/>
      <c r="AM7124" s="85"/>
    </row>
    <row r="7125" spans="1:39" s="86" customFormat="1" ht="13.25" hidden="1" customHeight="1" x14ac:dyDescent="0.3">
      <c r="A7125" s="89" t="s">
        <v>3978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3763</v>
      </c>
      <c r="L7125" s="1" t="s">
        <v>701</v>
      </c>
      <c r="M7125" s="86" t="s">
        <v>2810</v>
      </c>
      <c r="O7125" s="47" t="s">
        <v>3862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104"/>
        <v>-11886.43</v>
      </c>
      <c r="X7125" s="6">
        <f t="shared" si="1105"/>
        <v>11653.362745098038</v>
      </c>
      <c r="Y7125" s="13">
        <f t="shared" si="1107"/>
        <v>0</v>
      </c>
      <c r="Z7125" s="14">
        <v>0</v>
      </c>
      <c r="AA7125" s="6">
        <v>0</v>
      </c>
      <c r="AB7125" s="4">
        <f t="shared" si="1108"/>
        <v>11653.362745098038</v>
      </c>
      <c r="AC7125" s="6">
        <f t="shared" si="1106"/>
        <v>233.06725490196186</v>
      </c>
      <c r="AD7125" s="6">
        <f t="shared" si="1101"/>
        <v>11886.43</v>
      </c>
      <c r="AE7125" s="14">
        <f>VLOOKUP(I7125,[2]媒体政策预估表!A:N,MATCH(O7125,[2]媒体政策预估表!$A$2:$M$2,0),0)</f>
        <v>0</v>
      </c>
      <c r="AF7125" s="6">
        <f t="shared" si="1103"/>
        <v>0</v>
      </c>
      <c r="AG7125" s="14">
        <v>0</v>
      </c>
      <c r="AH7125" s="64">
        <f t="shared" si="1102"/>
        <v>11886.43</v>
      </c>
      <c r="AJ7125" s="126" t="e">
        <v>#N/A</v>
      </c>
      <c r="AK7125" s="80">
        <f t="shared" si="1109"/>
        <v>0</v>
      </c>
      <c r="AL7125" s="85"/>
      <c r="AM7125" s="85"/>
    </row>
    <row r="7126" spans="1:39" s="86" customFormat="1" ht="13.25" hidden="1" customHeight="1" x14ac:dyDescent="0.3">
      <c r="A7126" s="89" t="s">
        <v>3978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3763</v>
      </c>
      <c r="L7126" s="1" t="s">
        <v>701</v>
      </c>
      <c r="M7126" s="86" t="s">
        <v>2791</v>
      </c>
      <c r="O7126" s="47" t="s">
        <v>4007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104"/>
        <v>-437</v>
      </c>
      <c r="X7126" s="6">
        <f t="shared" si="1105"/>
        <v>437</v>
      </c>
      <c r="Y7126" s="13">
        <f t="shared" si="1107"/>
        <v>0</v>
      </c>
      <c r="Z7126" s="14">
        <v>0</v>
      </c>
      <c r="AA7126" s="6">
        <v>0</v>
      </c>
      <c r="AB7126" s="4">
        <f t="shared" si="1108"/>
        <v>437</v>
      </c>
      <c r="AC7126" s="6">
        <f t="shared" si="1106"/>
        <v>0</v>
      </c>
      <c r="AD7126" s="6">
        <f t="shared" si="1101"/>
        <v>437</v>
      </c>
      <c r="AE7126" s="14">
        <f>VLOOKUP(I7126,[2]媒体政策预估表!A:N,MATCH(O7126,[2]媒体政策预估表!$A$2:$M$2,0),0)</f>
        <v>0</v>
      </c>
      <c r="AF7126" s="6">
        <f t="shared" si="1103"/>
        <v>0</v>
      </c>
      <c r="AG7126" s="14">
        <v>0</v>
      </c>
      <c r="AH7126" s="64">
        <f t="shared" si="1102"/>
        <v>437</v>
      </c>
      <c r="AJ7126" s="126" t="e">
        <v>#N/A</v>
      </c>
      <c r="AK7126" s="80">
        <f t="shared" si="1109"/>
        <v>0</v>
      </c>
      <c r="AL7126" s="85"/>
      <c r="AM7126" s="85"/>
    </row>
    <row r="7127" spans="1:39" s="86" customFormat="1" ht="13.25" hidden="1" customHeight="1" x14ac:dyDescent="0.3">
      <c r="A7127" s="89" t="s">
        <v>3978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3763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104"/>
        <v>-6175.0999999999985</v>
      </c>
      <c r="X7127" s="6">
        <f t="shared" si="1105"/>
        <v>6054.0196078431354</v>
      </c>
      <c r="Y7127" s="13">
        <f t="shared" si="1107"/>
        <v>0</v>
      </c>
      <c r="Z7127" s="14">
        <v>0</v>
      </c>
      <c r="AA7127" s="6">
        <v>0</v>
      </c>
      <c r="AB7127" s="4">
        <f t="shared" si="1108"/>
        <v>6054.0196078431354</v>
      </c>
      <c r="AC7127" s="6">
        <f t="shared" si="1106"/>
        <v>121.08039215686313</v>
      </c>
      <c r="AD7127" s="6">
        <f t="shared" si="1101"/>
        <v>6175.0999999999985</v>
      </c>
      <c r="AE7127" s="14">
        <f>VLOOKUP(I7127,[2]媒体政策预估表!A:N,MATCH(O7127,[2]媒体政策预估表!$A$2:$M$2,0),0)</f>
        <v>0</v>
      </c>
      <c r="AF7127" s="6">
        <f t="shared" si="1103"/>
        <v>0</v>
      </c>
      <c r="AG7127" s="14">
        <v>0</v>
      </c>
      <c r="AH7127" s="64">
        <f t="shared" si="1102"/>
        <v>6175.0999999999985</v>
      </c>
      <c r="AJ7127" s="126" t="e">
        <v>#N/A</v>
      </c>
      <c r="AK7127" s="80">
        <f t="shared" si="1109"/>
        <v>0</v>
      </c>
      <c r="AL7127" s="85"/>
      <c r="AM7127" s="85"/>
    </row>
    <row r="7128" spans="1:39" s="86" customFormat="1" ht="13.25" hidden="1" customHeight="1" x14ac:dyDescent="0.3">
      <c r="A7128" s="89" t="s">
        <v>3978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3767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105"/>
        <v>25278.1</v>
      </c>
      <c r="Y7128" s="13">
        <f t="shared" si="1107"/>
        <v>0</v>
      </c>
      <c r="Z7128" s="66">
        <v>0</v>
      </c>
      <c r="AA7128" s="6">
        <v>0</v>
      </c>
      <c r="AB7128" s="4">
        <f t="shared" si="1108"/>
        <v>25278.1</v>
      </c>
      <c r="AC7128" s="6">
        <f t="shared" si="1106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103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109"/>
        <v>0</v>
      </c>
      <c r="AL7128" s="85"/>
      <c r="AM7128" s="85"/>
    </row>
    <row r="7129" spans="1:39" s="86" customFormat="1" ht="13.25" hidden="1" customHeight="1" x14ac:dyDescent="0.3">
      <c r="A7129" s="89" t="s">
        <v>3792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3767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110">T7129+U7129-V7129</f>
        <v>15800.099999999999</v>
      </c>
      <c r="X7129" s="6">
        <f t="shared" si="1105"/>
        <v>23788.9</v>
      </c>
      <c r="Y7129" s="13">
        <f t="shared" si="1107"/>
        <v>0</v>
      </c>
      <c r="Z7129" s="66">
        <v>0</v>
      </c>
      <c r="AA7129" s="6">
        <v>0</v>
      </c>
      <c r="AB7129" s="4">
        <f t="shared" si="1108"/>
        <v>23788.9</v>
      </c>
      <c r="AC7129" s="6">
        <f t="shared" si="1106"/>
        <v>1427.3340000000001</v>
      </c>
      <c r="AD7129" s="6">
        <f t="shared" ref="AD7129:AD7192" si="1111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103"/>
        <v>1665.2230000000002</v>
      </c>
      <c r="AG7129" s="14">
        <v>0</v>
      </c>
      <c r="AH7129" s="64">
        <f t="shared" ref="AH7129:AH7192" si="1112">V7129</f>
        <v>23788.9</v>
      </c>
      <c r="AJ7129" s="126" t="e">
        <v>#N/A</v>
      </c>
      <c r="AK7129" s="80">
        <f t="shared" si="1109"/>
        <v>0</v>
      </c>
      <c r="AL7129" s="85"/>
      <c r="AM7129" s="85"/>
    </row>
    <row r="7130" spans="1:39" s="86" customFormat="1" ht="13.25" hidden="1" customHeight="1" x14ac:dyDescent="0.3">
      <c r="A7130" s="89" t="s">
        <v>3978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3767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110"/>
        <v>23045</v>
      </c>
      <c r="X7130" s="6">
        <f t="shared" si="1105"/>
        <v>31815.196078431371</v>
      </c>
      <c r="Y7130" s="13">
        <f t="shared" si="1107"/>
        <v>0</v>
      </c>
      <c r="Z7130" s="66">
        <v>0</v>
      </c>
      <c r="AA7130" s="6">
        <v>0</v>
      </c>
      <c r="AB7130" s="4">
        <f t="shared" si="1108"/>
        <v>31815.196078431371</v>
      </c>
      <c r="AC7130" s="6">
        <f t="shared" si="1106"/>
        <v>636.30392156862945</v>
      </c>
      <c r="AD7130" s="6">
        <f t="shared" si="1111"/>
        <v>32451.5</v>
      </c>
      <c r="AE7130" s="14">
        <f>VLOOKUP(I7130,[2]媒体政策预估表!A:N,MATCH(O7130,[2]媒体政策预估表!$A$2:$M$2,0),0)</f>
        <v>7.0000000000000007E-2</v>
      </c>
      <c r="AF7130" s="6">
        <f t="shared" si="1103"/>
        <v>2271.605</v>
      </c>
      <c r="AG7130" s="14">
        <v>0</v>
      </c>
      <c r="AH7130" s="64">
        <f t="shared" si="1112"/>
        <v>32451.5</v>
      </c>
      <c r="AJ7130" s="126" t="e">
        <v>#N/A</v>
      </c>
      <c r="AK7130" s="80">
        <f t="shared" si="1109"/>
        <v>0</v>
      </c>
      <c r="AL7130" s="85"/>
      <c r="AM7130" s="85"/>
    </row>
    <row r="7131" spans="1:39" s="86" customFormat="1" ht="13.25" hidden="1" customHeight="1" x14ac:dyDescent="0.3">
      <c r="A7131" s="89" t="s">
        <v>3978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3767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110"/>
        <v>16422.399999999998</v>
      </c>
      <c r="X7131" s="6">
        <f t="shared" si="1105"/>
        <v>25244.411764705881</v>
      </c>
      <c r="Y7131" s="13">
        <f t="shared" si="1107"/>
        <v>0</v>
      </c>
      <c r="Z7131" s="66">
        <v>0</v>
      </c>
      <c r="AA7131" s="6">
        <v>0</v>
      </c>
      <c r="AB7131" s="4">
        <v>25244.411764705881</v>
      </c>
      <c r="AC7131" s="6">
        <f t="shared" si="1106"/>
        <v>504.8882352941182</v>
      </c>
      <c r="AD7131" s="6">
        <f t="shared" si="1111"/>
        <v>25749.3</v>
      </c>
      <c r="AE7131" s="14">
        <f>VLOOKUP(I7131,[2]媒体政策预估表!A:N,MATCH(O7131,[2]媒体政策预估表!$A$2:$M$2,0),0)</f>
        <v>7.0000000000000007E-2</v>
      </c>
      <c r="AF7131" s="6">
        <f t="shared" si="1103"/>
        <v>1802.451</v>
      </c>
      <c r="AG7131" s="14">
        <v>0</v>
      </c>
      <c r="AH7131" s="64">
        <f t="shared" si="1112"/>
        <v>25749.3</v>
      </c>
      <c r="AJ7131" s="126">
        <v>34</v>
      </c>
      <c r="AK7131" s="80">
        <f t="shared" si="1109"/>
        <v>0</v>
      </c>
      <c r="AL7131" s="85"/>
      <c r="AM7131" s="85"/>
    </row>
    <row r="7132" spans="1:39" s="86" customFormat="1" ht="13.25" hidden="1" customHeight="1" x14ac:dyDescent="0.3">
      <c r="A7132" s="89" t="s">
        <v>3792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3767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110"/>
        <v>112060</v>
      </c>
      <c r="X7132" s="6">
        <f t="shared" si="1105"/>
        <v>2401.372549019608</v>
      </c>
      <c r="Y7132" s="13">
        <f t="shared" si="1107"/>
        <v>0</v>
      </c>
      <c r="Z7132" s="66">
        <v>0</v>
      </c>
      <c r="AA7132" s="6">
        <v>0</v>
      </c>
      <c r="AB7132" s="4">
        <f t="shared" si="1108"/>
        <v>2401.372549019608</v>
      </c>
      <c r="AC7132" s="6">
        <f t="shared" si="1106"/>
        <v>48.027450980392132</v>
      </c>
      <c r="AD7132" s="6">
        <f t="shared" si="1111"/>
        <v>2449.4</v>
      </c>
      <c r="AE7132" s="14">
        <f>VLOOKUP(I7132,[2]媒体政策预估表!A:N,MATCH(O7132,[2]媒体政策预估表!$A$2:$M$2,0),0)</f>
        <v>7.0000000000000007E-2</v>
      </c>
      <c r="AF7132" s="6">
        <f t="shared" si="1103"/>
        <v>171.45800000000003</v>
      </c>
      <c r="AG7132" s="14">
        <v>0</v>
      </c>
      <c r="AH7132" s="64">
        <f t="shared" si="1112"/>
        <v>2449.4</v>
      </c>
      <c r="AJ7132" s="126" t="e">
        <v>#N/A</v>
      </c>
      <c r="AK7132" s="80">
        <f t="shared" si="1109"/>
        <v>0</v>
      </c>
      <c r="AL7132" s="85"/>
      <c r="AM7132" s="85"/>
    </row>
    <row r="7133" spans="1:39" s="86" customFormat="1" ht="13.25" hidden="1" customHeight="1" x14ac:dyDescent="0.3">
      <c r="A7133" s="89" t="s">
        <v>3978</v>
      </c>
      <c r="B7133" s="86" t="s">
        <v>35</v>
      </c>
      <c r="C7133" s="86" t="s">
        <v>59</v>
      </c>
      <c r="D7133" s="86" t="s">
        <v>60</v>
      </c>
      <c r="E7133" s="86" t="s">
        <v>4008</v>
      </c>
      <c r="F7133" s="86" t="s">
        <v>4008</v>
      </c>
      <c r="G7133" s="86" t="s">
        <v>4008</v>
      </c>
      <c r="H7133" s="143">
        <v>360</v>
      </c>
      <c r="I7133" s="86" t="s">
        <v>1060</v>
      </c>
      <c r="J7133" s="47" t="s">
        <v>3325</v>
      </c>
      <c r="K7133" s="47" t="s">
        <v>3767</v>
      </c>
      <c r="L7133" s="47" t="s">
        <v>35</v>
      </c>
      <c r="M7133" s="86" t="s">
        <v>4009</v>
      </c>
      <c r="O7133" s="47" t="s">
        <v>45</v>
      </c>
      <c r="P7133" s="47" t="s">
        <v>46</v>
      </c>
      <c r="Q7133" s="14">
        <v>0.04</v>
      </c>
      <c r="R7133" s="143" t="s">
        <v>4010</v>
      </c>
      <c r="S7133" s="47"/>
      <c r="T7133" s="6">
        <v>0</v>
      </c>
      <c r="U7133" s="6">
        <v>10000</v>
      </c>
      <c r="V7133" s="6">
        <v>0</v>
      </c>
      <c r="W7133" s="6">
        <f t="shared" si="1110"/>
        <v>10000</v>
      </c>
      <c r="X7133" s="6">
        <f t="shared" si="1105"/>
        <v>0</v>
      </c>
      <c r="Y7133" s="13">
        <f t="shared" si="1107"/>
        <v>0</v>
      </c>
      <c r="Z7133" s="66">
        <v>0</v>
      </c>
      <c r="AA7133" s="6">
        <v>0</v>
      </c>
      <c r="AB7133" s="4">
        <f t="shared" si="1108"/>
        <v>0</v>
      </c>
      <c r="AC7133" s="6">
        <f t="shared" si="1106"/>
        <v>0</v>
      </c>
      <c r="AD7133" s="6">
        <f t="shared" si="1111"/>
        <v>0</v>
      </c>
      <c r="AE7133" s="14">
        <f>VLOOKUP(I7133,[2]媒体政策预估表!A:N,MATCH(O7133,[2]媒体政策预估表!$A$2:$M$2,0),0)</f>
        <v>0.1</v>
      </c>
      <c r="AF7133" s="6">
        <f t="shared" si="1103"/>
        <v>0</v>
      </c>
      <c r="AG7133" s="14">
        <v>0</v>
      </c>
      <c r="AH7133" s="64">
        <f t="shared" si="1112"/>
        <v>0</v>
      </c>
      <c r="AJ7133" s="126" t="e">
        <v>#N/A</v>
      </c>
      <c r="AK7133" s="80">
        <f t="shared" si="1109"/>
        <v>0</v>
      </c>
      <c r="AL7133" s="85"/>
      <c r="AM7133" s="85"/>
    </row>
    <row r="7134" spans="1:39" s="86" customFormat="1" ht="13.25" hidden="1" customHeight="1" x14ac:dyDescent="0.3">
      <c r="A7134" s="89" t="s">
        <v>3792</v>
      </c>
      <c r="B7134" s="86" t="s">
        <v>35</v>
      </c>
      <c r="C7134" s="86" t="s">
        <v>59</v>
      </c>
      <c r="D7134" s="86" t="s">
        <v>60</v>
      </c>
      <c r="E7134" s="86" t="s">
        <v>4008</v>
      </c>
      <c r="F7134" s="86" t="s">
        <v>4008</v>
      </c>
      <c r="G7134" s="86" t="s">
        <v>4008</v>
      </c>
      <c r="H7134" s="144">
        <v>360</v>
      </c>
      <c r="I7134" s="86" t="s">
        <v>1060</v>
      </c>
      <c r="J7134" s="47" t="s">
        <v>3325</v>
      </c>
      <c r="K7134" s="47" t="s">
        <v>3767</v>
      </c>
      <c r="L7134" s="47" t="s">
        <v>35</v>
      </c>
      <c r="M7134" s="86" t="s">
        <v>4009</v>
      </c>
      <c r="O7134" s="47" t="s">
        <v>410</v>
      </c>
      <c r="P7134" s="47" t="s">
        <v>46</v>
      </c>
      <c r="Q7134" s="14">
        <v>0.02</v>
      </c>
      <c r="R7134" s="143" t="s">
        <v>4011</v>
      </c>
      <c r="S7134" s="47"/>
      <c r="T7134" s="6">
        <v>0</v>
      </c>
      <c r="U7134" s="6">
        <v>30000</v>
      </c>
      <c r="V7134" s="6">
        <v>7419.9</v>
      </c>
      <c r="W7134" s="6">
        <f t="shared" si="1110"/>
        <v>22580.1</v>
      </c>
      <c r="X7134" s="6">
        <f t="shared" si="1105"/>
        <v>7274.411764705882</v>
      </c>
      <c r="Y7134" s="13">
        <f t="shared" si="1107"/>
        <v>0</v>
      </c>
      <c r="Z7134" s="66">
        <v>0</v>
      </c>
      <c r="AA7134" s="6">
        <v>0</v>
      </c>
      <c r="AB7134" s="4">
        <f t="shared" si="1108"/>
        <v>7274.411764705882</v>
      </c>
      <c r="AC7134" s="6">
        <f t="shared" si="1106"/>
        <v>145.48823529411766</v>
      </c>
      <c r="AD7134" s="6">
        <f t="shared" si="1111"/>
        <v>7419.9</v>
      </c>
      <c r="AE7134" s="14">
        <f>VLOOKUP(I7134,[2]媒体政策预估表!A:N,MATCH(O7134,[2]媒体政策预估表!$A$2:$M$2,0),0)</f>
        <v>7.0000000000000007E-2</v>
      </c>
      <c r="AF7134" s="6">
        <f t="shared" si="1103"/>
        <v>519.39300000000003</v>
      </c>
      <c r="AG7134" s="14">
        <v>0</v>
      </c>
      <c r="AH7134" s="64">
        <f t="shared" si="1112"/>
        <v>7419.9</v>
      </c>
      <c r="AJ7134" s="126" t="e">
        <v>#N/A</v>
      </c>
      <c r="AK7134" s="80">
        <f t="shared" si="1109"/>
        <v>0</v>
      </c>
      <c r="AL7134" s="85"/>
      <c r="AM7134" s="85"/>
    </row>
    <row r="7135" spans="1:39" s="86" customFormat="1" ht="13.25" hidden="1" customHeight="1" x14ac:dyDescent="0.3">
      <c r="A7135" s="89" t="s">
        <v>3792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3767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110"/>
        <v>4725.2999999999993</v>
      </c>
      <c r="X7135" s="6">
        <f t="shared" si="1105"/>
        <v>7854</v>
      </c>
      <c r="Y7135" s="13">
        <f t="shared" si="1107"/>
        <v>0</v>
      </c>
      <c r="Z7135" s="66">
        <v>0</v>
      </c>
      <c r="AA7135" s="6">
        <v>0</v>
      </c>
      <c r="AB7135" s="4">
        <f t="shared" si="1108"/>
        <v>7854</v>
      </c>
      <c r="AC7135" s="6">
        <f t="shared" si="1106"/>
        <v>0</v>
      </c>
      <c r="AD7135" s="6">
        <f t="shared" si="1111"/>
        <v>7854</v>
      </c>
      <c r="AE7135" s="14">
        <f>VLOOKUP(I7135,[2]媒体政策预估表!A:N,MATCH(O7135,[2]媒体政策预估表!$A$2:$M$2,0),0)</f>
        <v>7.0000000000000007E-2</v>
      </c>
      <c r="AF7135" s="6">
        <f t="shared" si="1103"/>
        <v>549.78000000000009</v>
      </c>
      <c r="AG7135" s="14">
        <v>0</v>
      </c>
      <c r="AH7135" s="64">
        <f t="shared" si="1112"/>
        <v>7854</v>
      </c>
      <c r="AJ7135" s="126" t="e">
        <v>#N/A</v>
      </c>
      <c r="AK7135" s="80">
        <f t="shared" si="1109"/>
        <v>0</v>
      </c>
      <c r="AL7135" s="85"/>
      <c r="AM7135" s="85"/>
    </row>
    <row r="7136" spans="1:39" s="86" customFormat="1" ht="13.25" hidden="1" customHeight="1" x14ac:dyDescent="0.3">
      <c r="A7136" s="89" t="s">
        <v>3792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3767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110"/>
        <v>5902825.2005500002</v>
      </c>
      <c r="X7136" s="6">
        <f t="shared" si="1105"/>
        <v>6254.411764705882</v>
      </c>
      <c r="Y7136" s="13">
        <f t="shared" si="1107"/>
        <v>0</v>
      </c>
      <c r="Z7136" s="66">
        <v>0</v>
      </c>
      <c r="AA7136" s="6">
        <v>0</v>
      </c>
      <c r="AB7136" s="4">
        <f t="shared" si="1108"/>
        <v>6254.411764705882</v>
      </c>
      <c r="AC7136" s="6">
        <f t="shared" si="1106"/>
        <v>125.08823529411802</v>
      </c>
      <c r="AD7136" s="6">
        <f t="shared" si="1111"/>
        <v>6379.5</v>
      </c>
      <c r="AE7136" s="14">
        <f>VLOOKUP(I7136,[2]媒体政策预估表!A:N,MATCH(O7136,[2]媒体政策预估表!$A$2:$M$2,0),0)</f>
        <v>7.0000000000000007E-2</v>
      </c>
      <c r="AF7136" s="6">
        <f t="shared" si="1103"/>
        <v>446.56500000000005</v>
      </c>
      <c r="AG7136" s="14">
        <v>0</v>
      </c>
      <c r="AH7136" s="64">
        <f t="shared" si="1112"/>
        <v>6379.5</v>
      </c>
      <c r="AJ7136" s="126" t="e">
        <v>#N/A</v>
      </c>
      <c r="AK7136" s="80">
        <f t="shared" si="1109"/>
        <v>0</v>
      </c>
      <c r="AL7136" s="85"/>
      <c r="AM7136" s="85"/>
    </row>
    <row r="7137" spans="1:39" s="86" customFormat="1" ht="13.25" hidden="1" customHeight="1" x14ac:dyDescent="0.3">
      <c r="A7137" s="89" t="s">
        <v>3792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3767</v>
      </c>
      <c r="L7137" s="47" t="s">
        <v>35</v>
      </c>
      <c r="M7137" s="86" t="s">
        <v>4012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110"/>
        <v>11907.200000000004</v>
      </c>
      <c r="X7137" s="6">
        <f t="shared" si="1105"/>
        <v>31045.686274509801</v>
      </c>
      <c r="Y7137" s="13">
        <f t="shared" si="1107"/>
        <v>0</v>
      </c>
      <c r="Z7137" s="66">
        <v>0</v>
      </c>
      <c r="AA7137" s="6">
        <v>0</v>
      </c>
      <c r="AB7137" s="4">
        <f t="shared" si="1108"/>
        <v>31045.686274509801</v>
      </c>
      <c r="AC7137" s="6">
        <f t="shared" si="1106"/>
        <v>620.91372549019798</v>
      </c>
      <c r="AD7137" s="6">
        <f t="shared" si="1111"/>
        <v>31666.6</v>
      </c>
      <c r="AE7137" s="14">
        <f>VLOOKUP(I7137,[2]媒体政策预估表!A:N,MATCH(O7137,[2]媒体政策预估表!$A$2:$M$2,0),0)</f>
        <v>7.0000000000000007E-2</v>
      </c>
      <c r="AF7137" s="6">
        <f t="shared" si="1103"/>
        <v>2216.6620000000003</v>
      </c>
      <c r="AG7137" s="14">
        <v>0</v>
      </c>
      <c r="AH7137" s="64">
        <f t="shared" si="1112"/>
        <v>31666.6</v>
      </c>
      <c r="AJ7137" s="126" t="e">
        <v>#N/A</v>
      </c>
      <c r="AK7137" s="80">
        <f t="shared" si="1109"/>
        <v>0</v>
      </c>
      <c r="AL7137" s="85"/>
      <c r="AM7137" s="85"/>
    </row>
    <row r="7138" spans="1:39" s="86" customFormat="1" ht="13.25" hidden="1" customHeight="1" x14ac:dyDescent="0.3">
      <c r="A7138" s="89" t="s">
        <v>3792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3767</v>
      </c>
      <c r="L7138" s="47" t="s">
        <v>35</v>
      </c>
      <c r="M7138" s="86" t="s">
        <v>4013</v>
      </c>
      <c r="O7138" s="47" t="s">
        <v>410</v>
      </c>
      <c r="P7138" s="47" t="s">
        <v>41</v>
      </c>
      <c r="Q7138" s="14">
        <v>0</v>
      </c>
      <c r="R7138" s="143" t="s">
        <v>4014</v>
      </c>
      <c r="S7138" s="47"/>
      <c r="T7138" s="6">
        <v>0</v>
      </c>
      <c r="U7138" s="6">
        <v>60000</v>
      </c>
      <c r="V7138" s="6">
        <v>46448.2</v>
      </c>
      <c r="W7138" s="6">
        <f t="shared" si="1110"/>
        <v>13551.800000000003</v>
      </c>
      <c r="X7138" s="6">
        <f t="shared" si="1105"/>
        <v>46448.2</v>
      </c>
      <c r="Y7138" s="13">
        <f t="shared" si="1107"/>
        <v>0</v>
      </c>
      <c r="Z7138" s="66">
        <v>0</v>
      </c>
      <c r="AA7138" s="6">
        <v>0</v>
      </c>
      <c r="AB7138" s="4">
        <f t="shared" si="1108"/>
        <v>46448.2</v>
      </c>
      <c r="AC7138" s="6">
        <f t="shared" si="1106"/>
        <v>0</v>
      </c>
      <c r="AD7138" s="6">
        <f t="shared" si="1111"/>
        <v>46448.2</v>
      </c>
      <c r="AE7138" s="14">
        <f>VLOOKUP(I7138,[2]媒体政策预估表!A:N,MATCH(O7138,[2]媒体政策预估表!$A$2:$M$2,0),0)</f>
        <v>7.0000000000000007E-2</v>
      </c>
      <c r="AF7138" s="6">
        <f t="shared" si="1103"/>
        <v>3251.3740000000003</v>
      </c>
      <c r="AG7138" s="14">
        <v>0</v>
      </c>
      <c r="AH7138" s="64">
        <f t="shared" si="1112"/>
        <v>46448.2</v>
      </c>
      <c r="AJ7138" s="126" t="e">
        <v>#N/A</v>
      </c>
      <c r="AK7138" s="80">
        <f t="shared" si="1109"/>
        <v>0</v>
      </c>
      <c r="AL7138" s="85"/>
      <c r="AM7138" s="85"/>
    </row>
    <row r="7139" spans="1:39" s="86" customFormat="1" ht="13.25" hidden="1" customHeight="1" x14ac:dyDescent="0.3">
      <c r="A7139" s="89" t="s">
        <v>3792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3767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110"/>
        <v>35621.30000000001</v>
      </c>
      <c r="X7139" s="6">
        <f t="shared" si="1105"/>
        <v>52084.9</v>
      </c>
      <c r="Y7139" s="13">
        <f t="shared" si="1107"/>
        <v>0</v>
      </c>
      <c r="Z7139" s="66">
        <v>0</v>
      </c>
      <c r="AA7139" s="6">
        <v>0</v>
      </c>
      <c r="AB7139" s="4">
        <f t="shared" si="1108"/>
        <v>52084.9</v>
      </c>
      <c r="AC7139" s="6">
        <f t="shared" si="1106"/>
        <v>0</v>
      </c>
      <c r="AD7139" s="6">
        <f t="shared" si="1111"/>
        <v>52084.9</v>
      </c>
      <c r="AE7139" s="14">
        <f>VLOOKUP(I7139,[2]媒体政策预估表!A:N,MATCH(O7139,[2]媒体政策预估表!$A$2:$M$2,0),0)</f>
        <v>7.0000000000000007E-2</v>
      </c>
      <c r="AF7139" s="6">
        <f t="shared" si="1103"/>
        <v>3645.9430000000007</v>
      </c>
      <c r="AG7139" s="14">
        <v>0</v>
      </c>
      <c r="AH7139" s="64">
        <f t="shared" si="1112"/>
        <v>52084.9</v>
      </c>
      <c r="AJ7139" s="126" t="e">
        <v>#N/A</v>
      </c>
      <c r="AK7139" s="80">
        <f t="shared" si="1109"/>
        <v>0</v>
      </c>
      <c r="AL7139" s="85"/>
      <c r="AM7139" s="85"/>
    </row>
    <row r="7140" spans="1:39" s="86" customFormat="1" ht="13.25" hidden="1" customHeight="1" x14ac:dyDescent="0.3">
      <c r="A7140" s="89" t="s">
        <v>3978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3767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110"/>
        <v>60614.199999999983</v>
      </c>
      <c r="X7140" s="6">
        <f t="shared" si="1105"/>
        <v>161216.20000000001</v>
      </c>
      <c r="Y7140" s="13">
        <f t="shared" si="1107"/>
        <v>0</v>
      </c>
      <c r="Z7140" s="66">
        <v>0</v>
      </c>
      <c r="AA7140" s="6">
        <v>0</v>
      </c>
      <c r="AB7140" s="4">
        <f t="shared" si="1108"/>
        <v>161216.20000000001</v>
      </c>
      <c r="AC7140" s="6">
        <f t="shared" si="1106"/>
        <v>0</v>
      </c>
      <c r="AD7140" s="6">
        <f t="shared" si="1111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113">AD7140*AE7140</f>
        <v>11285.134000000002</v>
      </c>
      <c r="AG7140" s="14">
        <v>0</v>
      </c>
      <c r="AH7140" s="64">
        <f t="shared" si="1112"/>
        <v>161216.20000000001</v>
      </c>
      <c r="AJ7140" s="126" t="e">
        <v>#N/A</v>
      </c>
      <c r="AK7140" s="80">
        <f t="shared" si="1109"/>
        <v>0</v>
      </c>
      <c r="AL7140" s="85"/>
      <c r="AM7140" s="85"/>
    </row>
    <row r="7141" spans="1:39" s="86" customFormat="1" ht="13.25" hidden="1" customHeight="1" x14ac:dyDescent="0.3">
      <c r="A7141" s="89" t="s">
        <v>3792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3767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110"/>
        <v>15868.2</v>
      </c>
      <c r="X7141" s="6">
        <f t="shared" si="1105"/>
        <v>9131.7999999999993</v>
      </c>
      <c r="Y7141" s="13">
        <f t="shared" si="1107"/>
        <v>0</v>
      </c>
      <c r="Z7141" s="66">
        <v>0</v>
      </c>
      <c r="AA7141" s="6">
        <v>0</v>
      </c>
      <c r="AB7141" s="4">
        <f t="shared" si="1108"/>
        <v>9131.7999999999993</v>
      </c>
      <c r="AC7141" s="6">
        <f t="shared" si="1106"/>
        <v>0</v>
      </c>
      <c r="AD7141" s="6">
        <f t="shared" si="1111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113"/>
        <v>639.226</v>
      </c>
      <c r="AG7141" s="14">
        <v>0</v>
      </c>
      <c r="AH7141" s="64">
        <f t="shared" si="1112"/>
        <v>9131.7999999999993</v>
      </c>
      <c r="AJ7141" s="126" t="e">
        <v>#N/A</v>
      </c>
      <c r="AK7141" s="80">
        <f t="shared" si="1109"/>
        <v>0</v>
      </c>
      <c r="AL7141" s="85"/>
      <c r="AM7141" s="85"/>
    </row>
    <row r="7142" spans="1:39" s="86" customFormat="1" ht="13.25" hidden="1" customHeight="1" x14ac:dyDescent="0.3">
      <c r="A7142" s="89" t="s">
        <v>3792</v>
      </c>
      <c r="B7142" s="86" t="s">
        <v>35</v>
      </c>
      <c r="C7142" s="86" t="s">
        <v>59</v>
      </c>
      <c r="D7142" s="86" t="s">
        <v>60</v>
      </c>
      <c r="E7142" s="86" t="s">
        <v>4015</v>
      </c>
      <c r="F7142" s="86" t="s">
        <v>4015</v>
      </c>
      <c r="G7142" s="86" t="s">
        <v>4015</v>
      </c>
      <c r="H7142" s="144">
        <v>360</v>
      </c>
      <c r="I7142" s="86" t="s">
        <v>1060</v>
      </c>
      <c r="J7142" s="47" t="s">
        <v>3325</v>
      </c>
      <c r="K7142" s="47" t="s">
        <v>3767</v>
      </c>
      <c r="L7142" s="47" t="s">
        <v>35</v>
      </c>
      <c r="M7142" s="86" t="s">
        <v>4015</v>
      </c>
      <c r="O7142" s="47" t="s">
        <v>410</v>
      </c>
      <c r="P7142" s="47" t="s">
        <v>41</v>
      </c>
      <c r="Q7142" s="14">
        <v>0</v>
      </c>
      <c r="R7142" s="143" t="s">
        <v>4016</v>
      </c>
      <c r="S7142" s="47"/>
      <c r="T7142" s="6">
        <v>0</v>
      </c>
      <c r="U7142" s="6">
        <v>20000</v>
      </c>
      <c r="V7142" s="6">
        <v>376.5</v>
      </c>
      <c r="W7142" s="6">
        <f t="shared" si="1110"/>
        <v>19623.5</v>
      </c>
      <c r="X7142" s="6">
        <f t="shared" si="1105"/>
        <v>376.5</v>
      </c>
      <c r="Y7142" s="13">
        <f t="shared" si="1107"/>
        <v>0</v>
      </c>
      <c r="Z7142" s="66">
        <v>0</v>
      </c>
      <c r="AA7142" s="6">
        <v>0</v>
      </c>
      <c r="AB7142" s="4">
        <f t="shared" si="1108"/>
        <v>376.5</v>
      </c>
      <c r="AC7142" s="6">
        <f t="shared" si="1106"/>
        <v>0</v>
      </c>
      <c r="AD7142" s="6">
        <f t="shared" si="1111"/>
        <v>376.5</v>
      </c>
      <c r="AE7142" s="14">
        <f>VLOOKUP(I7142,[2]媒体政策预估表!A:N,MATCH(O7142,[2]媒体政策预估表!$A$2:$M$2,0),0)</f>
        <v>7.0000000000000007E-2</v>
      </c>
      <c r="AF7142" s="6">
        <f t="shared" si="1113"/>
        <v>26.355000000000004</v>
      </c>
      <c r="AG7142" s="14">
        <v>0</v>
      </c>
      <c r="AH7142" s="64">
        <f t="shared" si="1112"/>
        <v>376.5</v>
      </c>
      <c r="AJ7142" s="126" t="e">
        <v>#N/A</v>
      </c>
      <c r="AK7142" s="80">
        <f t="shared" si="1109"/>
        <v>0</v>
      </c>
      <c r="AL7142" s="85"/>
      <c r="AM7142" s="85"/>
    </row>
    <row r="7143" spans="1:39" s="86" customFormat="1" ht="13.25" hidden="1" customHeight="1" x14ac:dyDescent="0.3">
      <c r="A7143" s="89" t="s">
        <v>3792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3767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110"/>
        <v>12680.899999999994</v>
      </c>
      <c r="X7143" s="6">
        <f t="shared" si="1105"/>
        <v>90248.823529411762</v>
      </c>
      <c r="Y7143" s="13">
        <f t="shared" si="1107"/>
        <v>0</v>
      </c>
      <c r="Z7143" s="66">
        <v>0</v>
      </c>
      <c r="AA7143" s="6">
        <v>0</v>
      </c>
      <c r="AB7143" s="4">
        <f t="shared" si="1108"/>
        <v>90248.823529411762</v>
      </c>
      <c r="AC7143" s="6">
        <f t="shared" si="1106"/>
        <v>1804.9764705882408</v>
      </c>
      <c r="AD7143" s="6">
        <f t="shared" si="1111"/>
        <v>92053.8</v>
      </c>
      <c r="AE7143" s="14">
        <f>VLOOKUP(I7143,[2]媒体政策预估表!A:N,MATCH(O7143,[2]媒体政策预估表!$A$2:$M$2,0),0)</f>
        <v>7.0000000000000007E-2</v>
      </c>
      <c r="AF7143" s="6">
        <f t="shared" si="1113"/>
        <v>6443.7660000000005</v>
      </c>
      <c r="AG7143" s="14">
        <v>0</v>
      </c>
      <c r="AH7143" s="64">
        <f t="shared" si="1112"/>
        <v>92053.8</v>
      </c>
      <c r="AJ7143" s="126" t="e">
        <v>#N/A</v>
      </c>
      <c r="AK7143" s="80">
        <f t="shared" si="1109"/>
        <v>0</v>
      </c>
      <c r="AL7143" s="85"/>
      <c r="AM7143" s="85"/>
    </row>
    <row r="7144" spans="1:39" s="86" customFormat="1" ht="13.25" hidden="1" customHeight="1" x14ac:dyDescent="0.3">
      <c r="A7144" s="89" t="s">
        <v>3792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3767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110"/>
        <v>147200.27960000024</v>
      </c>
      <c r="X7144" s="6">
        <f t="shared" si="1105"/>
        <v>1687863.77467</v>
      </c>
      <c r="Y7144" s="13">
        <f t="shared" si="1107"/>
        <v>0</v>
      </c>
      <c r="Z7144" s="66">
        <v>0</v>
      </c>
      <c r="AA7144" s="6">
        <v>0</v>
      </c>
      <c r="AB7144" s="4">
        <f t="shared" si="1108"/>
        <v>1687863.77467</v>
      </c>
      <c r="AC7144" s="6">
        <f t="shared" si="1106"/>
        <v>0</v>
      </c>
      <c r="AD7144" s="6">
        <f t="shared" si="1111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113"/>
        <v>118150.4642269</v>
      </c>
      <c r="AG7144" s="14">
        <v>0</v>
      </c>
      <c r="AH7144" s="64">
        <f t="shared" si="1112"/>
        <v>1687863.77467</v>
      </c>
      <c r="AJ7144" s="126" t="e">
        <v>#N/A</v>
      </c>
      <c r="AK7144" s="80">
        <f t="shared" si="1109"/>
        <v>0</v>
      </c>
      <c r="AL7144" s="85"/>
      <c r="AM7144" s="85"/>
    </row>
    <row r="7145" spans="1:39" s="86" customFormat="1" ht="13.25" hidden="1" customHeight="1" x14ac:dyDescent="0.3">
      <c r="A7145" s="89" t="s">
        <v>3792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3767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4017</v>
      </c>
      <c r="S7145" s="47"/>
      <c r="T7145" s="6">
        <v>0</v>
      </c>
      <c r="U7145" s="6">
        <v>100000</v>
      </c>
      <c r="V7145" s="6">
        <v>56997</v>
      </c>
      <c r="W7145" s="6">
        <f t="shared" si="1110"/>
        <v>43003</v>
      </c>
      <c r="X7145" s="6">
        <f t="shared" si="1105"/>
        <v>56997</v>
      </c>
      <c r="Y7145" s="13">
        <f t="shared" si="1107"/>
        <v>0</v>
      </c>
      <c r="Z7145" s="66">
        <v>0</v>
      </c>
      <c r="AA7145" s="6">
        <v>0</v>
      </c>
      <c r="AB7145" s="4">
        <f t="shared" si="1108"/>
        <v>56997</v>
      </c>
      <c r="AC7145" s="6">
        <f t="shared" si="1106"/>
        <v>0</v>
      </c>
      <c r="AD7145" s="6">
        <f t="shared" si="1111"/>
        <v>56997</v>
      </c>
      <c r="AE7145" s="14">
        <f>VLOOKUP(I7145,[2]媒体政策预估表!A:N,MATCH(O7145,[2]媒体政策预估表!$A$2:$M$2,0),0)</f>
        <v>7.0000000000000007E-2</v>
      </c>
      <c r="AF7145" s="6">
        <f t="shared" si="1113"/>
        <v>3989.7900000000004</v>
      </c>
      <c r="AG7145" s="14">
        <v>0</v>
      </c>
      <c r="AH7145" s="64">
        <f t="shared" si="1112"/>
        <v>56997</v>
      </c>
      <c r="AJ7145" s="126" t="e">
        <v>#N/A</v>
      </c>
      <c r="AK7145" s="80">
        <f t="shared" si="1109"/>
        <v>0</v>
      </c>
      <c r="AL7145" s="85"/>
      <c r="AM7145" s="85"/>
    </row>
    <row r="7146" spans="1:39" s="86" customFormat="1" ht="13.25" hidden="1" customHeight="1" x14ac:dyDescent="0.3">
      <c r="A7146" s="89" t="s">
        <v>3978</v>
      </c>
      <c r="B7146" s="86" t="s">
        <v>35</v>
      </c>
      <c r="C7146" s="86" t="s">
        <v>36</v>
      </c>
      <c r="D7146" s="86" t="s">
        <v>185</v>
      </c>
      <c r="E7146" s="86" t="s">
        <v>1320</v>
      </c>
      <c r="F7146" s="86" t="s">
        <v>1321</v>
      </c>
      <c r="G7146" s="86" t="s">
        <v>4018</v>
      </c>
      <c r="H7146" s="144">
        <v>360</v>
      </c>
      <c r="I7146" s="86" t="s">
        <v>1060</v>
      </c>
      <c r="J7146" s="47" t="s">
        <v>3325</v>
      </c>
      <c r="K7146" s="47" t="s">
        <v>3767</v>
      </c>
      <c r="L7146" s="47" t="s">
        <v>35</v>
      </c>
      <c r="M7146" s="86" t="s">
        <v>4018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0</v>
      </c>
      <c r="V7146" s="6">
        <v>19253.2</v>
      </c>
      <c r="W7146" s="6">
        <f t="shared" si="1110"/>
        <v>-19253.2</v>
      </c>
      <c r="X7146" s="6">
        <f t="shared" si="1105"/>
        <v>19253.2</v>
      </c>
      <c r="Y7146" s="13">
        <f t="shared" si="1107"/>
        <v>0</v>
      </c>
      <c r="Z7146" s="66">
        <v>0</v>
      </c>
      <c r="AA7146" s="6">
        <v>0</v>
      </c>
      <c r="AB7146" s="4">
        <f t="shared" si="1108"/>
        <v>19253.2</v>
      </c>
      <c r="AC7146" s="6">
        <f t="shared" si="1106"/>
        <v>0</v>
      </c>
      <c r="AD7146" s="6">
        <f t="shared" si="1111"/>
        <v>19253.2</v>
      </c>
      <c r="AE7146" s="14">
        <f>VLOOKUP(I7146,[2]媒体政策预估表!A:N,MATCH(O7146,[2]媒体政策预估表!$A$2:$M$2,0),0)</f>
        <v>7.0000000000000007E-2</v>
      </c>
      <c r="AF7146" s="6">
        <f t="shared" si="1113"/>
        <v>1347.7240000000002</v>
      </c>
      <c r="AG7146" s="14">
        <v>0</v>
      </c>
      <c r="AH7146" s="64">
        <f t="shared" si="1112"/>
        <v>19253.2</v>
      </c>
      <c r="AJ7146" s="126" t="e">
        <v>#N/A</v>
      </c>
      <c r="AK7146" s="80">
        <f t="shared" si="1109"/>
        <v>0</v>
      </c>
      <c r="AL7146" s="85"/>
      <c r="AM7146" s="85"/>
    </row>
    <row r="7147" spans="1:39" s="86" customFormat="1" ht="13.25" hidden="1" customHeight="1" x14ac:dyDescent="0.3">
      <c r="A7147" s="89" t="s">
        <v>3792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3767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110"/>
        <v>7680.7149999999674</v>
      </c>
      <c r="X7147" s="6">
        <f t="shared" si="1105"/>
        <v>454182.0693069307</v>
      </c>
      <c r="Y7147" s="13">
        <f t="shared" si="1107"/>
        <v>0</v>
      </c>
      <c r="Z7147" s="66">
        <v>0</v>
      </c>
      <c r="AA7147" s="6">
        <v>0</v>
      </c>
      <c r="AB7147" s="4">
        <f t="shared" si="1108"/>
        <v>454182.0693069307</v>
      </c>
      <c r="AC7147" s="6">
        <f t="shared" si="1106"/>
        <v>4541.8206930693123</v>
      </c>
      <c r="AD7147" s="6">
        <f t="shared" si="1111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113"/>
        <v>32110.672300000006</v>
      </c>
      <c r="AG7147" s="14">
        <v>0</v>
      </c>
      <c r="AH7147" s="64">
        <f t="shared" si="1112"/>
        <v>458723.89</v>
      </c>
      <c r="AJ7147" s="126" t="e">
        <v>#N/A</v>
      </c>
      <c r="AK7147" s="80">
        <f t="shared" si="1109"/>
        <v>0</v>
      </c>
      <c r="AL7147" s="85"/>
      <c r="AM7147" s="85"/>
    </row>
    <row r="7148" spans="1:39" s="86" customFormat="1" ht="13.25" hidden="1" customHeight="1" x14ac:dyDescent="0.3">
      <c r="A7148" s="89" t="s">
        <v>3792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3767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110"/>
        <v>9.0949470177292824E-13</v>
      </c>
      <c r="X7148" s="6">
        <f t="shared" si="1105"/>
        <v>0</v>
      </c>
      <c r="Y7148" s="13">
        <f t="shared" si="1107"/>
        <v>0</v>
      </c>
      <c r="Z7148" s="66">
        <v>0</v>
      </c>
      <c r="AA7148" s="6">
        <v>0</v>
      </c>
      <c r="AB7148" s="4">
        <f t="shared" si="1108"/>
        <v>0</v>
      </c>
      <c r="AC7148" s="6">
        <f t="shared" si="1106"/>
        <v>0</v>
      </c>
      <c r="AD7148" s="6">
        <f t="shared" si="1111"/>
        <v>0</v>
      </c>
      <c r="AE7148" s="14">
        <f>VLOOKUP(I7148,[2]媒体政策预估表!A:N,MATCH(O7148,[2]媒体政策预估表!$A$2:$M$2,0),0)</f>
        <v>7.0000000000000007E-2</v>
      </c>
      <c r="AF7148" s="6">
        <f t="shared" si="1113"/>
        <v>0</v>
      </c>
      <c r="AG7148" s="14">
        <v>0</v>
      </c>
      <c r="AH7148" s="64">
        <f t="shared" si="1112"/>
        <v>0</v>
      </c>
      <c r="AJ7148" s="126" t="e">
        <v>#N/A</v>
      </c>
      <c r="AK7148" s="80">
        <f t="shared" si="1109"/>
        <v>0</v>
      </c>
      <c r="AL7148" s="85"/>
      <c r="AM7148" s="85"/>
    </row>
    <row r="7149" spans="1:39" s="86" customFormat="1" ht="13.25" hidden="1" customHeight="1" x14ac:dyDescent="0.3">
      <c r="A7149" s="89" t="s">
        <v>3792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3767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110"/>
        <v>5741.1999999999971</v>
      </c>
      <c r="X7149" s="6">
        <f t="shared" si="1105"/>
        <v>67462.899999999994</v>
      </c>
      <c r="Y7149" s="13">
        <f t="shared" si="1107"/>
        <v>0</v>
      </c>
      <c r="Z7149" s="66">
        <v>0</v>
      </c>
      <c r="AA7149" s="6">
        <v>0</v>
      </c>
      <c r="AB7149" s="4">
        <f t="shared" si="1108"/>
        <v>67462.899999999994</v>
      </c>
      <c r="AC7149" s="6">
        <f t="shared" si="1106"/>
        <v>0</v>
      </c>
      <c r="AD7149" s="6">
        <f t="shared" si="1111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113"/>
        <v>4722.4030000000002</v>
      </c>
      <c r="AG7149" s="14">
        <v>0</v>
      </c>
      <c r="AH7149" s="64">
        <f t="shared" si="1112"/>
        <v>67462.899999999994</v>
      </c>
      <c r="AJ7149" s="126" t="e">
        <v>#N/A</v>
      </c>
      <c r="AK7149" s="80">
        <f t="shared" si="1109"/>
        <v>0</v>
      </c>
      <c r="AL7149" s="85"/>
      <c r="AM7149" s="85"/>
    </row>
    <row r="7150" spans="1:39" s="86" customFormat="1" ht="13.25" hidden="1" customHeight="1" x14ac:dyDescent="0.3">
      <c r="A7150" s="89" t="s">
        <v>3792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3767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110"/>
        <v>11810.9</v>
      </c>
      <c r="X7150" s="6">
        <f t="shared" si="1105"/>
        <v>8189.1</v>
      </c>
      <c r="Y7150" s="13">
        <f t="shared" si="1107"/>
        <v>0</v>
      </c>
      <c r="Z7150" s="66">
        <v>0</v>
      </c>
      <c r="AA7150" s="6">
        <v>0</v>
      </c>
      <c r="AB7150" s="4">
        <f t="shared" si="1108"/>
        <v>8189.1</v>
      </c>
      <c r="AC7150" s="6">
        <f t="shared" si="1106"/>
        <v>0</v>
      </c>
      <c r="AD7150" s="6">
        <f t="shared" si="1111"/>
        <v>8189.1</v>
      </c>
      <c r="AE7150" s="14">
        <f>VLOOKUP(I7150,[2]媒体政策预估表!A:N,MATCH(O7150,[2]媒体政策预估表!$A$2:$M$2,0),0)</f>
        <v>7.0000000000000007E-2</v>
      </c>
      <c r="AF7150" s="6">
        <f t="shared" si="1113"/>
        <v>573.23700000000008</v>
      </c>
      <c r="AG7150" s="14">
        <v>0</v>
      </c>
      <c r="AH7150" s="64">
        <f t="shared" si="1112"/>
        <v>8189.1</v>
      </c>
      <c r="AJ7150" s="126" t="e">
        <v>#N/A</v>
      </c>
      <c r="AK7150" s="80">
        <f t="shared" si="1109"/>
        <v>0</v>
      </c>
      <c r="AL7150" s="85"/>
      <c r="AM7150" s="85"/>
    </row>
    <row r="7151" spans="1:39" s="86" customFormat="1" ht="13.25" hidden="1" customHeight="1" x14ac:dyDescent="0.3">
      <c r="A7151" s="89" t="s">
        <v>3792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3767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110"/>
        <v>17620</v>
      </c>
      <c r="X7151" s="6">
        <f t="shared" si="1105"/>
        <v>146262.5</v>
      </c>
      <c r="Y7151" s="13">
        <f t="shared" si="1107"/>
        <v>0</v>
      </c>
      <c r="Z7151" s="66">
        <v>0</v>
      </c>
      <c r="AA7151" s="6">
        <v>0</v>
      </c>
      <c r="AB7151" s="4">
        <f t="shared" si="1108"/>
        <v>146262.5</v>
      </c>
      <c r="AC7151" s="6">
        <f t="shared" si="1106"/>
        <v>0</v>
      </c>
      <c r="AD7151" s="6">
        <f t="shared" si="1111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113"/>
        <v>10238.375000000002</v>
      </c>
      <c r="AG7151" s="14">
        <v>0</v>
      </c>
      <c r="AH7151" s="64">
        <f t="shared" si="1112"/>
        <v>146262.5</v>
      </c>
      <c r="AJ7151" s="126" t="e">
        <v>#N/A</v>
      </c>
      <c r="AK7151" s="80">
        <f t="shared" si="1109"/>
        <v>0</v>
      </c>
      <c r="AL7151" s="85"/>
      <c r="AM7151" s="85"/>
    </row>
    <row r="7152" spans="1:39" s="86" customFormat="1" ht="13.25" hidden="1" customHeight="1" x14ac:dyDescent="0.3">
      <c r="A7152" s="89" t="s">
        <v>3792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3767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110"/>
        <v>11936.735000000001</v>
      </c>
      <c r="X7152" s="6">
        <f t="shared" ref="X7152:X7215" si="1114">IF(P7152="折扣",V7152*Q7152,IF(P7152="返现",V7152,V7152/(1+Q7152)))</f>
        <v>109497.33</v>
      </c>
      <c r="Y7152" s="13">
        <f t="shared" si="1107"/>
        <v>0</v>
      </c>
      <c r="Z7152" s="66">
        <v>0</v>
      </c>
      <c r="AA7152" s="6">
        <v>0</v>
      </c>
      <c r="AB7152" s="4">
        <f t="shared" si="1108"/>
        <v>109497.33</v>
      </c>
      <c r="AC7152" s="6">
        <f t="shared" si="1106"/>
        <v>0</v>
      </c>
      <c r="AD7152" s="6">
        <f t="shared" si="1111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113"/>
        <v>7664.8131000000012</v>
      </c>
      <c r="AG7152" s="14">
        <v>0</v>
      </c>
      <c r="AH7152" s="64">
        <f t="shared" si="1112"/>
        <v>109497.33</v>
      </c>
      <c r="AJ7152" s="126" t="e">
        <v>#N/A</v>
      </c>
      <c r="AK7152" s="80">
        <f t="shared" si="1109"/>
        <v>0</v>
      </c>
      <c r="AL7152" s="85"/>
      <c r="AM7152" s="85"/>
    </row>
    <row r="7153" spans="1:39" s="86" customFormat="1" ht="13.25" hidden="1" customHeight="1" x14ac:dyDescent="0.3">
      <c r="A7153" s="89" t="s">
        <v>3792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3767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110"/>
        <v>1.2000000000007276</v>
      </c>
      <c r="X7153" s="6">
        <f t="shared" si="1114"/>
        <v>25932.1</v>
      </c>
      <c r="Y7153" s="13">
        <f t="shared" si="1107"/>
        <v>0</v>
      </c>
      <c r="Z7153" s="66">
        <v>0</v>
      </c>
      <c r="AA7153" s="6">
        <v>0</v>
      </c>
      <c r="AB7153" s="4">
        <f t="shared" si="1108"/>
        <v>25932.1</v>
      </c>
      <c r="AC7153" s="6">
        <f t="shared" si="1106"/>
        <v>0</v>
      </c>
      <c r="AD7153" s="6">
        <f t="shared" si="1111"/>
        <v>25932.1</v>
      </c>
      <c r="AE7153" s="14">
        <f>VLOOKUP(I7153,[2]媒体政策预估表!A:N,MATCH(O7153,[2]媒体政策预估表!$A$2:$M$2,0),0)</f>
        <v>7.0000000000000007E-2</v>
      </c>
      <c r="AF7153" s="6">
        <f t="shared" si="1113"/>
        <v>1815.2470000000001</v>
      </c>
      <c r="AG7153" s="14">
        <v>0</v>
      </c>
      <c r="AH7153" s="64">
        <f t="shared" si="1112"/>
        <v>25932.1</v>
      </c>
      <c r="AJ7153" s="126" t="e">
        <v>#N/A</v>
      </c>
      <c r="AK7153" s="80">
        <f t="shared" si="1109"/>
        <v>0</v>
      </c>
      <c r="AL7153" s="85"/>
      <c r="AM7153" s="85"/>
    </row>
    <row r="7154" spans="1:39" s="86" customFormat="1" ht="13.25" hidden="1" customHeight="1" x14ac:dyDescent="0.3">
      <c r="A7154" s="89" t="s">
        <v>3792</v>
      </c>
      <c r="B7154" s="86" t="s">
        <v>35</v>
      </c>
      <c r="C7154" s="86" t="s">
        <v>65</v>
      </c>
      <c r="D7154" s="86" t="s">
        <v>122</v>
      </c>
      <c r="E7154" s="86" t="s">
        <v>3810</v>
      </c>
      <c r="F7154" s="86" t="s">
        <v>3810</v>
      </c>
      <c r="G7154" s="86" t="s">
        <v>3810</v>
      </c>
      <c r="H7154" s="144">
        <v>360</v>
      </c>
      <c r="I7154" s="86" t="s">
        <v>1060</v>
      </c>
      <c r="J7154" s="47" t="s">
        <v>3325</v>
      </c>
      <c r="K7154" s="47" t="s">
        <v>3767</v>
      </c>
      <c r="L7154" s="47" t="s">
        <v>35</v>
      </c>
      <c r="M7154" s="86" t="s">
        <v>3810</v>
      </c>
      <c r="O7154" s="47" t="s">
        <v>410</v>
      </c>
      <c r="P7154" s="47" t="s">
        <v>46</v>
      </c>
      <c r="Q7154" s="14">
        <v>0.02</v>
      </c>
      <c r="R7154" s="143" t="s">
        <v>4019</v>
      </c>
      <c r="S7154" s="47"/>
      <c r="T7154" s="6">
        <v>0</v>
      </c>
      <c r="U7154" s="6">
        <v>5000</v>
      </c>
      <c r="V7154" s="6">
        <v>1168.5</v>
      </c>
      <c r="W7154" s="6">
        <f t="shared" si="1110"/>
        <v>3831.5</v>
      </c>
      <c r="X7154" s="6">
        <f t="shared" si="1114"/>
        <v>1145.5882352941176</v>
      </c>
      <c r="Y7154" s="13">
        <f t="shared" si="1107"/>
        <v>0</v>
      </c>
      <c r="Z7154" s="66">
        <v>0</v>
      </c>
      <c r="AA7154" s="6">
        <v>0</v>
      </c>
      <c r="AB7154" s="4">
        <f t="shared" si="1108"/>
        <v>1145.5882352941176</v>
      </c>
      <c r="AC7154" s="6">
        <f t="shared" si="1106"/>
        <v>22.911764705882433</v>
      </c>
      <c r="AD7154" s="6">
        <f t="shared" si="1111"/>
        <v>1168.5</v>
      </c>
      <c r="AE7154" s="14">
        <f>VLOOKUP(I7154,[2]媒体政策预估表!A:N,MATCH(O7154,[2]媒体政策预估表!$A$2:$M$2,0),0)</f>
        <v>7.0000000000000007E-2</v>
      </c>
      <c r="AF7154" s="6">
        <f t="shared" si="1113"/>
        <v>81.795000000000002</v>
      </c>
      <c r="AG7154" s="14">
        <v>0</v>
      </c>
      <c r="AH7154" s="64">
        <f t="shared" si="1112"/>
        <v>1168.5</v>
      </c>
      <c r="AJ7154" s="126" t="e">
        <v>#N/A</v>
      </c>
      <c r="AK7154" s="80">
        <f t="shared" si="1109"/>
        <v>0</v>
      </c>
      <c r="AL7154" s="85"/>
      <c r="AM7154" s="85"/>
    </row>
    <row r="7155" spans="1:39" s="86" customFormat="1" ht="13.25" hidden="1" customHeight="1" x14ac:dyDescent="0.3">
      <c r="A7155" s="89" t="s">
        <v>3792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3767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110"/>
        <v>3305</v>
      </c>
      <c r="X7155" s="6">
        <f t="shared" si="1114"/>
        <v>11585</v>
      </c>
      <c r="Y7155" s="13">
        <f t="shared" si="1107"/>
        <v>0</v>
      </c>
      <c r="Z7155" s="66">
        <v>0</v>
      </c>
      <c r="AA7155" s="6">
        <v>0</v>
      </c>
      <c r="AB7155" s="4">
        <f t="shared" si="1108"/>
        <v>11585</v>
      </c>
      <c r="AC7155" s="6">
        <f t="shared" si="1106"/>
        <v>0</v>
      </c>
      <c r="AD7155" s="6">
        <f t="shared" si="1111"/>
        <v>11585</v>
      </c>
      <c r="AE7155" s="14">
        <f>VLOOKUP(I7155,[2]媒体政策预估表!A:N,MATCH(O7155,[2]媒体政策预估表!$A$2:$M$2,0),0)</f>
        <v>7.0000000000000007E-2</v>
      </c>
      <c r="AF7155" s="6">
        <f t="shared" si="1113"/>
        <v>810.95</v>
      </c>
      <c r="AG7155" s="14">
        <v>0</v>
      </c>
      <c r="AH7155" s="64">
        <f t="shared" si="1112"/>
        <v>11585</v>
      </c>
      <c r="AJ7155" s="126" t="e">
        <v>#N/A</v>
      </c>
      <c r="AK7155" s="80">
        <f t="shared" si="1109"/>
        <v>0</v>
      </c>
      <c r="AL7155" s="85"/>
      <c r="AM7155" s="85"/>
    </row>
    <row r="7156" spans="1:39" s="86" customFormat="1" ht="13.25" hidden="1" customHeight="1" x14ac:dyDescent="0.3">
      <c r="A7156" s="89" t="s">
        <v>3792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3767</v>
      </c>
      <c r="L7156" s="47" t="s">
        <v>35</v>
      </c>
      <c r="M7156" s="86" t="s">
        <v>4020</v>
      </c>
      <c r="O7156" s="47" t="s">
        <v>410</v>
      </c>
      <c r="P7156" s="47" t="s">
        <v>41</v>
      </c>
      <c r="Q7156" s="14">
        <v>0</v>
      </c>
      <c r="R7156" s="143" t="s">
        <v>4021</v>
      </c>
      <c r="S7156" s="47"/>
      <c r="T7156" s="6">
        <v>0</v>
      </c>
      <c r="U7156" s="6">
        <v>11000</v>
      </c>
      <c r="V7156" s="6">
        <v>1039.5</v>
      </c>
      <c r="W7156" s="6">
        <f t="shared" si="1110"/>
        <v>9960.5</v>
      </c>
      <c r="X7156" s="6">
        <f t="shared" si="1114"/>
        <v>1039.5</v>
      </c>
      <c r="Y7156" s="13">
        <f t="shared" si="1107"/>
        <v>0</v>
      </c>
      <c r="Z7156" s="66">
        <v>0</v>
      </c>
      <c r="AA7156" s="6">
        <v>0</v>
      </c>
      <c r="AB7156" s="4">
        <f t="shared" si="1108"/>
        <v>1039.5</v>
      </c>
      <c r="AC7156" s="6">
        <f t="shared" si="1106"/>
        <v>0</v>
      </c>
      <c r="AD7156" s="6">
        <f t="shared" si="1111"/>
        <v>1039.5</v>
      </c>
      <c r="AE7156" s="14">
        <f>VLOOKUP(I7156,[2]媒体政策预估表!A:N,MATCH(O7156,[2]媒体政策预估表!$A$2:$M$2,0),0)</f>
        <v>7.0000000000000007E-2</v>
      </c>
      <c r="AF7156" s="6">
        <f t="shared" si="1113"/>
        <v>72.765000000000001</v>
      </c>
      <c r="AG7156" s="14">
        <v>0</v>
      </c>
      <c r="AH7156" s="64">
        <f t="shared" si="1112"/>
        <v>1039.5</v>
      </c>
      <c r="AJ7156" s="126" t="e">
        <v>#N/A</v>
      </c>
      <c r="AK7156" s="80">
        <f t="shared" si="1109"/>
        <v>0</v>
      </c>
      <c r="AL7156" s="85"/>
      <c r="AM7156" s="85"/>
    </row>
    <row r="7157" spans="1:39" s="86" customFormat="1" ht="13.25" hidden="1" customHeight="1" x14ac:dyDescent="0.3">
      <c r="A7157" s="89" t="s">
        <v>3792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3767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110"/>
        <v>21853.699999999993</v>
      </c>
      <c r="X7157" s="6">
        <f t="shared" si="1114"/>
        <v>20565.7</v>
      </c>
      <c r="Y7157" s="13">
        <f t="shared" si="1107"/>
        <v>0</v>
      </c>
      <c r="Z7157" s="66">
        <v>0</v>
      </c>
      <c r="AA7157" s="6">
        <v>0</v>
      </c>
      <c r="AB7157" s="4">
        <f t="shared" si="1108"/>
        <v>20565.7</v>
      </c>
      <c r="AC7157" s="6">
        <f t="shared" si="1106"/>
        <v>0</v>
      </c>
      <c r="AD7157" s="6">
        <f t="shared" si="1111"/>
        <v>20565.7</v>
      </c>
      <c r="AE7157" s="14">
        <f>VLOOKUP(I7157,[2]媒体政策预估表!A:N,MATCH(O7157,[2]媒体政策预估表!$A$2:$M$2,0),0)</f>
        <v>7.0000000000000007E-2</v>
      </c>
      <c r="AF7157" s="6">
        <f t="shared" si="1113"/>
        <v>1439.5990000000002</v>
      </c>
      <c r="AG7157" s="14">
        <v>0</v>
      </c>
      <c r="AH7157" s="64">
        <f t="shared" si="1112"/>
        <v>20565.7</v>
      </c>
      <c r="AJ7157" s="126" t="e">
        <v>#N/A</v>
      </c>
      <c r="AK7157" s="80">
        <f t="shared" si="1109"/>
        <v>0</v>
      </c>
      <c r="AL7157" s="85"/>
      <c r="AM7157" s="85"/>
    </row>
    <row r="7158" spans="1:39" s="86" customFormat="1" ht="13.25" hidden="1" customHeight="1" x14ac:dyDescent="0.3">
      <c r="A7158" s="89" t="s">
        <v>3792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3767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110"/>
        <v>11836.599999999997</v>
      </c>
      <c r="X7158" s="6">
        <f t="shared" si="1114"/>
        <v>11637.1</v>
      </c>
      <c r="Y7158" s="13">
        <f t="shared" si="1107"/>
        <v>0</v>
      </c>
      <c r="Z7158" s="66">
        <v>0</v>
      </c>
      <c r="AA7158" s="6">
        <v>0</v>
      </c>
      <c r="AB7158" s="4">
        <f t="shared" si="1108"/>
        <v>11637.1</v>
      </c>
      <c r="AC7158" s="6">
        <f t="shared" si="1106"/>
        <v>0</v>
      </c>
      <c r="AD7158" s="6">
        <f t="shared" si="1111"/>
        <v>11637.1</v>
      </c>
      <c r="AE7158" s="14">
        <f>VLOOKUP(I7158,[2]媒体政策预估表!A:N,MATCH(O7158,[2]媒体政策预估表!$A$2:$M$2,0),0)</f>
        <v>7.0000000000000007E-2</v>
      </c>
      <c r="AF7158" s="6">
        <f t="shared" si="1113"/>
        <v>814.59700000000009</v>
      </c>
      <c r="AG7158" s="14">
        <v>0</v>
      </c>
      <c r="AH7158" s="64">
        <f t="shared" si="1112"/>
        <v>11637.1</v>
      </c>
      <c r="AJ7158" s="126" t="e">
        <v>#N/A</v>
      </c>
      <c r="AK7158" s="80">
        <f t="shared" si="1109"/>
        <v>0</v>
      </c>
      <c r="AL7158" s="85"/>
      <c r="AM7158" s="85"/>
    </row>
    <row r="7159" spans="1:39" s="86" customFormat="1" ht="13.25" hidden="1" customHeight="1" x14ac:dyDescent="0.3">
      <c r="A7159" s="89" t="s">
        <v>3792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3767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110"/>
        <v>9371.2000000000007</v>
      </c>
      <c r="X7159" s="6">
        <f t="shared" si="1114"/>
        <v>20788.2</v>
      </c>
      <c r="Y7159" s="13">
        <f t="shared" si="1107"/>
        <v>0</v>
      </c>
      <c r="Z7159" s="66">
        <v>0</v>
      </c>
      <c r="AA7159" s="6">
        <v>0</v>
      </c>
      <c r="AB7159" s="4">
        <f t="shared" si="1108"/>
        <v>20788.2</v>
      </c>
      <c r="AC7159" s="6">
        <f t="shared" si="1106"/>
        <v>0</v>
      </c>
      <c r="AD7159" s="6">
        <f t="shared" si="1111"/>
        <v>20788.2</v>
      </c>
      <c r="AE7159" s="14">
        <f>VLOOKUP(I7159,[2]媒体政策预估表!A:N,MATCH(O7159,[2]媒体政策预估表!$A$2:$M$2,0),0)</f>
        <v>7.0000000000000007E-2</v>
      </c>
      <c r="AF7159" s="6">
        <f t="shared" si="1113"/>
        <v>1455.1740000000002</v>
      </c>
      <c r="AG7159" s="14">
        <v>0</v>
      </c>
      <c r="AH7159" s="64">
        <f t="shared" si="1112"/>
        <v>20788.2</v>
      </c>
      <c r="AJ7159" s="126" t="e">
        <v>#N/A</v>
      </c>
      <c r="AK7159" s="80">
        <f t="shared" si="1109"/>
        <v>0</v>
      </c>
      <c r="AL7159" s="85"/>
      <c r="AM7159" s="85"/>
    </row>
    <row r="7160" spans="1:39" s="86" customFormat="1" ht="13.25" hidden="1" customHeight="1" x14ac:dyDescent="0.3">
      <c r="A7160" s="89" t="s">
        <v>3792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3767</v>
      </c>
      <c r="L7160" s="47" t="s">
        <v>35</v>
      </c>
      <c r="M7160" s="86" t="s">
        <v>4022</v>
      </c>
      <c r="O7160" s="47" t="s">
        <v>410</v>
      </c>
      <c r="P7160" s="47" t="s">
        <v>41</v>
      </c>
      <c r="Q7160" s="14">
        <v>0</v>
      </c>
      <c r="R7160" s="143" t="s">
        <v>4023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110"/>
        <v>10603</v>
      </c>
      <c r="X7160" s="6">
        <f t="shared" si="1114"/>
        <v>21142.799999999999</v>
      </c>
      <c r="Y7160" s="13">
        <f t="shared" si="1107"/>
        <v>0</v>
      </c>
      <c r="Z7160" s="66">
        <v>0</v>
      </c>
      <c r="AA7160" s="6">
        <v>0</v>
      </c>
      <c r="AB7160" s="4">
        <f t="shared" si="1108"/>
        <v>21142.799999999999</v>
      </c>
      <c r="AC7160" s="6">
        <f t="shared" si="1106"/>
        <v>0</v>
      </c>
      <c r="AD7160" s="6">
        <f t="shared" si="1111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113"/>
        <v>1479.9960000000001</v>
      </c>
      <c r="AG7160" s="14">
        <v>0</v>
      </c>
      <c r="AH7160" s="64">
        <f t="shared" si="1112"/>
        <v>21142.799999999999</v>
      </c>
      <c r="AJ7160" s="126" t="e">
        <v>#N/A</v>
      </c>
      <c r="AK7160" s="80">
        <f t="shared" si="1109"/>
        <v>0</v>
      </c>
      <c r="AL7160" s="85"/>
      <c r="AM7160" s="85"/>
    </row>
    <row r="7161" spans="1:39" s="86" customFormat="1" ht="13.25" hidden="1" customHeight="1" x14ac:dyDescent="0.3">
      <c r="A7161" s="89" t="s">
        <v>3792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3767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110"/>
        <v>4788.7</v>
      </c>
      <c r="X7161" s="6">
        <f t="shared" si="1114"/>
        <v>5211.3</v>
      </c>
      <c r="Y7161" s="13">
        <f t="shared" si="1107"/>
        <v>0</v>
      </c>
      <c r="Z7161" s="66">
        <v>0</v>
      </c>
      <c r="AA7161" s="6">
        <v>0</v>
      </c>
      <c r="AB7161" s="4">
        <f t="shared" si="1108"/>
        <v>5211.3</v>
      </c>
      <c r="AC7161" s="6">
        <f t="shared" si="1106"/>
        <v>0</v>
      </c>
      <c r="AD7161" s="6">
        <f t="shared" si="1111"/>
        <v>5211.3</v>
      </c>
      <c r="AE7161" s="14">
        <f>VLOOKUP(I7161,[2]媒体政策预估表!A:N,MATCH(O7161,[2]媒体政策预估表!$A$2:$M$2,0),0)</f>
        <v>7.0000000000000007E-2</v>
      </c>
      <c r="AF7161" s="6">
        <f t="shared" si="1113"/>
        <v>364.79100000000005</v>
      </c>
      <c r="AG7161" s="14">
        <v>0</v>
      </c>
      <c r="AH7161" s="64">
        <f t="shared" si="1112"/>
        <v>5211.3</v>
      </c>
      <c r="AJ7161" s="126" t="e">
        <v>#N/A</v>
      </c>
      <c r="AK7161" s="80">
        <f t="shared" si="1109"/>
        <v>0</v>
      </c>
      <c r="AL7161" s="85"/>
      <c r="AM7161" s="85"/>
    </row>
    <row r="7162" spans="1:39" s="86" customFormat="1" ht="13.25" hidden="1" customHeight="1" x14ac:dyDescent="0.3">
      <c r="A7162" s="89" t="s">
        <v>3792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3767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110"/>
        <v>0</v>
      </c>
      <c r="X7162" s="6">
        <f t="shared" si="1114"/>
        <v>0</v>
      </c>
      <c r="Y7162" s="13">
        <f t="shared" si="1107"/>
        <v>0</v>
      </c>
      <c r="Z7162" s="66">
        <v>0</v>
      </c>
      <c r="AA7162" s="6">
        <v>0</v>
      </c>
      <c r="AB7162" s="4">
        <f t="shared" si="1108"/>
        <v>0</v>
      </c>
      <c r="AC7162" s="6">
        <f t="shared" si="1106"/>
        <v>0</v>
      </c>
      <c r="AD7162" s="6">
        <f t="shared" si="1111"/>
        <v>0</v>
      </c>
      <c r="AE7162" s="14">
        <f>VLOOKUP(I7162,[2]媒体政策预估表!A:N,MATCH(O7162,[2]媒体政策预估表!$A$2:$M$2,0),0)</f>
        <v>0.1</v>
      </c>
      <c r="AF7162" s="6">
        <f t="shared" si="1113"/>
        <v>0</v>
      </c>
      <c r="AG7162" s="14">
        <v>0</v>
      </c>
      <c r="AH7162" s="64">
        <f t="shared" si="1112"/>
        <v>0</v>
      </c>
      <c r="AJ7162" s="126" t="e">
        <v>#N/A</v>
      </c>
      <c r="AK7162" s="80">
        <f t="shared" si="1109"/>
        <v>0</v>
      </c>
      <c r="AL7162" s="85"/>
      <c r="AM7162" s="85"/>
    </row>
    <row r="7163" spans="1:39" s="86" customFormat="1" ht="13.25" hidden="1" customHeight="1" x14ac:dyDescent="0.3">
      <c r="A7163" s="89" t="s">
        <v>3792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3767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110"/>
        <v>0</v>
      </c>
      <c r="X7163" s="6">
        <f t="shared" si="1114"/>
        <v>0</v>
      </c>
      <c r="Y7163" s="13">
        <f t="shared" si="1107"/>
        <v>0</v>
      </c>
      <c r="Z7163" s="66">
        <v>0</v>
      </c>
      <c r="AA7163" s="6">
        <v>0</v>
      </c>
      <c r="AB7163" s="4">
        <f t="shared" si="1108"/>
        <v>0</v>
      </c>
      <c r="AC7163" s="6">
        <f t="shared" si="1106"/>
        <v>0</v>
      </c>
      <c r="AD7163" s="6">
        <f t="shared" si="1111"/>
        <v>0</v>
      </c>
      <c r="AE7163" s="14">
        <f>VLOOKUP(I7163,[2]媒体政策预估表!A:N,MATCH(O7163,[2]媒体政策预估表!$A$2:$M$2,0),0)</f>
        <v>7.0000000000000007E-2</v>
      </c>
      <c r="AF7163" s="6">
        <f t="shared" si="1113"/>
        <v>0</v>
      </c>
      <c r="AG7163" s="14">
        <v>0</v>
      </c>
      <c r="AH7163" s="64">
        <f t="shared" si="1112"/>
        <v>0</v>
      </c>
      <c r="AJ7163" s="126" t="e">
        <v>#N/A</v>
      </c>
      <c r="AK7163" s="80">
        <f t="shared" si="1109"/>
        <v>0</v>
      </c>
      <c r="AL7163" s="85"/>
      <c r="AM7163" s="85"/>
    </row>
    <row r="7164" spans="1:39" s="86" customFormat="1" ht="13.25" hidden="1" customHeight="1" x14ac:dyDescent="0.3">
      <c r="A7164" s="89" t="s">
        <v>3792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3767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110"/>
        <v>7024.0922100000007</v>
      </c>
      <c r="X7164" s="6">
        <f t="shared" si="1114"/>
        <v>3438.8828699999999</v>
      </c>
      <c r="Y7164" s="13">
        <f t="shared" si="1107"/>
        <v>0</v>
      </c>
      <c r="Z7164" s="66">
        <v>0</v>
      </c>
      <c r="AA7164" s="6">
        <v>0</v>
      </c>
      <c r="AB7164" s="4">
        <f t="shared" si="1108"/>
        <v>3438.8828699999999</v>
      </c>
      <c r="AC7164" s="6">
        <f t="shared" si="1106"/>
        <v>0</v>
      </c>
      <c r="AD7164" s="6">
        <f t="shared" si="1111"/>
        <v>3438.8828699999999</v>
      </c>
      <c r="AE7164" s="14">
        <f>VLOOKUP(I7164,[2]媒体政策预估表!A:N,MATCH(O7164,[2]媒体政策预估表!$A$2:$M$2,0),0)</f>
        <v>0.1</v>
      </c>
      <c r="AF7164" s="6">
        <f t="shared" si="1113"/>
        <v>343.88828699999999</v>
      </c>
      <c r="AG7164" s="14">
        <v>0</v>
      </c>
      <c r="AH7164" s="64">
        <f t="shared" si="1112"/>
        <v>3438.8828699999999</v>
      </c>
      <c r="AJ7164" s="126" t="e">
        <v>#N/A</v>
      </c>
      <c r="AK7164" s="80">
        <f t="shared" si="1109"/>
        <v>0</v>
      </c>
      <c r="AL7164" s="85"/>
      <c r="AM7164" s="85"/>
    </row>
    <row r="7165" spans="1:39" s="86" customFormat="1" ht="13.25" hidden="1" customHeight="1" x14ac:dyDescent="0.3">
      <c r="A7165" s="89" t="s">
        <v>3792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3767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110"/>
        <v>72808.766409999997</v>
      </c>
      <c r="X7165" s="6">
        <f t="shared" si="1114"/>
        <v>17206.732250000001</v>
      </c>
      <c r="Y7165" s="13">
        <f t="shared" si="1107"/>
        <v>0</v>
      </c>
      <c r="Z7165" s="66">
        <v>0</v>
      </c>
      <c r="AA7165" s="6">
        <v>0</v>
      </c>
      <c r="AB7165" s="4">
        <f t="shared" si="1108"/>
        <v>17206.732250000001</v>
      </c>
      <c r="AC7165" s="6">
        <f t="shared" si="1106"/>
        <v>0</v>
      </c>
      <c r="AD7165" s="6">
        <f t="shared" si="1111"/>
        <v>17206.732250000001</v>
      </c>
      <c r="AE7165" s="14">
        <f>VLOOKUP(I7165,[2]媒体政策预估表!A:N,MATCH(O7165,[2]媒体政策预估表!$A$2:$M$2,0),0)</f>
        <v>0.1</v>
      </c>
      <c r="AF7165" s="6">
        <f t="shared" si="1113"/>
        <v>1720.6732250000002</v>
      </c>
      <c r="AG7165" s="14">
        <v>0</v>
      </c>
      <c r="AH7165" s="64">
        <f t="shared" si="1112"/>
        <v>17206.732250000001</v>
      </c>
      <c r="AJ7165" s="126" t="e">
        <v>#N/A</v>
      </c>
      <c r="AK7165" s="80">
        <f t="shared" si="1109"/>
        <v>0</v>
      </c>
      <c r="AL7165" s="85"/>
      <c r="AM7165" s="85"/>
    </row>
    <row r="7166" spans="1:39" s="86" customFormat="1" ht="13.25" hidden="1" customHeight="1" x14ac:dyDescent="0.3">
      <c r="A7166" s="89" t="s">
        <v>3978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3767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110"/>
        <v>6206.7333799999979</v>
      </c>
      <c r="X7166" s="6">
        <f t="shared" si="1114"/>
        <v>0</v>
      </c>
      <c r="Y7166" s="13">
        <f t="shared" si="1107"/>
        <v>0</v>
      </c>
      <c r="Z7166" s="66">
        <v>0</v>
      </c>
      <c r="AA7166" s="6">
        <v>0</v>
      </c>
      <c r="AB7166" s="4">
        <f t="shared" si="1108"/>
        <v>0</v>
      </c>
      <c r="AC7166" s="6">
        <f t="shared" ref="AC7166:AC7229" si="1115">IF(P7166="返现",X7166*Q7166,V7166-X7166)</f>
        <v>0</v>
      </c>
      <c r="AD7166" s="6">
        <f t="shared" si="1111"/>
        <v>0</v>
      </c>
      <c r="AE7166" s="14">
        <f>VLOOKUP(I7166,[2]媒体政策预估表!A:N,MATCH(O7166,[2]媒体政策预估表!$A$2:$M$2,0),0)</f>
        <v>0.1</v>
      </c>
      <c r="AF7166" s="6">
        <f t="shared" si="1113"/>
        <v>0</v>
      </c>
      <c r="AG7166" s="14">
        <v>0</v>
      </c>
      <c r="AH7166" s="64">
        <f t="shared" si="1112"/>
        <v>0</v>
      </c>
      <c r="AJ7166" s="126" t="e">
        <v>#N/A</v>
      </c>
      <c r="AK7166" s="80">
        <f t="shared" si="1109"/>
        <v>0</v>
      </c>
      <c r="AL7166" s="85"/>
      <c r="AM7166" s="85"/>
    </row>
    <row r="7167" spans="1:39" s="86" customFormat="1" ht="13.25" hidden="1" customHeight="1" x14ac:dyDescent="0.3">
      <c r="A7167" s="89" t="s">
        <v>3792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3767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110"/>
        <v>843570.98190000001</v>
      </c>
      <c r="X7167" s="6">
        <f t="shared" si="1114"/>
        <v>116042.8922</v>
      </c>
      <c r="Y7167" s="13">
        <f t="shared" si="1107"/>
        <v>0</v>
      </c>
      <c r="Z7167" s="66">
        <v>0</v>
      </c>
      <c r="AA7167" s="6">
        <v>0</v>
      </c>
      <c r="AB7167" s="4">
        <f t="shared" si="1108"/>
        <v>116042.8922</v>
      </c>
      <c r="AC7167" s="6">
        <f t="shared" si="1115"/>
        <v>0</v>
      </c>
      <c r="AD7167" s="6">
        <f t="shared" si="1111"/>
        <v>116042.8922</v>
      </c>
      <c r="AE7167" s="14">
        <f>VLOOKUP(I7167,[2]媒体政策预估表!A:N,MATCH(O7167,[2]媒体政策预估表!$A$2:$M$2,0),0)</f>
        <v>0.1</v>
      </c>
      <c r="AF7167" s="6">
        <f t="shared" si="1113"/>
        <v>11604.289220000001</v>
      </c>
      <c r="AG7167" s="14">
        <v>0</v>
      </c>
      <c r="AH7167" s="64">
        <f t="shared" si="1112"/>
        <v>116042.8922</v>
      </c>
      <c r="AJ7167" s="126" t="e">
        <v>#N/A</v>
      </c>
      <c r="AK7167" s="80">
        <f t="shared" si="1109"/>
        <v>0</v>
      </c>
      <c r="AL7167" s="85"/>
      <c r="AM7167" s="85"/>
    </row>
    <row r="7168" spans="1:39" s="86" customFormat="1" ht="13.25" hidden="1" customHeight="1" x14ac:dyDescent="0.3">
      <c r="A7168" s="89" t="s">
        <v>3792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3767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110"/>
        <v>6838.6900000000023</v>
      </c>
      <c r="X7168" s="6">
        <f t="shared" si="1114"/>
        <v>0</v>
      </c>
      <c r="Y7168" s="13">
        <f t="shared" si="1107"/>
        <v>0</v>
      </c>
      <c r="Z7168" s="66">
        <v>0</v>
      </c>
      <c r="AA7168" s="6">
        <v>0</v>
      </c>
      <c r="AB7168" s="4">
        <f t="shared" si="1108"/>
        <v>0</v>
      </c>
      <c r="AC7168" s="6">
        <f t="shared" si="1115"/>
        <v>0</v>
      </c>
      <c r="AD7168" s="6">
        <f t="shared" si="1111"/>
        <v>0</v>
      </c>
      <c r="AE7168" s="14">
        <f>VLOOKUP(I7168,[2]媒体政策预估表!A:N,MATCH(O7168,[2]媒体政策预估表!$A$2:$M$2,0),0)</f>
        <v>0.1</v>
      </c>
      <c r="AF7168" s="6">
        <f t="shared" si="1113"/>
        <v>0</v>
      </c>
      <c r="AG7168" s="14">
        <v>0</v>
      </c>
      <c r="AH7168" s="64">
        <f t="shared" si="1112"/>
        <v>0</v>
      </c>
      <c r="AJ7168" s="126" t="e">
        <v>#N/A</v>
      </c>
      <c r="AK7168" s="80">
        <f t="shared" si="1109"/>
        <v>0</v>
      </c>
      <c r="AL7168" s="85"/>
      <c r="AM7168" s="85"/>
    </row>
    <row r="7169" spans="1:39" s="86" customFormat="1" ht="13.25" hidden="1" customHeight="1" x14ac:dyDescent="0.3">
      <c r="A7169" s="89" t="s">
        <v>3792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3767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110"/>
        <v>-5167.7245700000003</v>
      </c>
      <c r="X7169" s="6">
        <f t="shared" si="1114"/>
        <v>0</v>
      </c>
      <c r="Y7169" s="13">
        <f t="shared" si="1107"/>
        <v>0</v>
      </c>
      <c r="Z7169" s="66">
        <v>0</v>
      </c>
      <c r="AA7169" s="6">
        <v>0</v>
      </c>
      <c r="AB7169" s="4">
        <f t="shared" si="1108"/>
        <v>0</v>
      </c>
      <c r="AC7169" s="6">
        <f t="shared" si="1115"/>
        <v>0</v>
      </c>
      <c r="AD7169" s="6">
        <f t="shared" si="1111"/>
        <v>0</v>
      </c>
      <c r="AE7169" s="14">
        <f>VLOOKUP(I7169,[2]媒体政策预估表!A:N,MATCH(O7169,[2]媒体政策预估表!$A$2:$M$2,0),0)</f>
        <v>0.1</v>
      </c>
      <c r="AF7169" s="6">
        <f t="shared" si="1113"/>
        <v>0</v>
      </c>
      <c r="AG7169" s="14">
        <v>0</v>
      </c>
      <c r="AH7169" s="64">
        <f t="shared" si="1112"/>
        <v>0</v>
      </c>
      <c r="AJ7169" s="126" t="e">
        <v>#N/A</v>
      </c>
      <c r="AK7169" s="80">
        <f t="shared" si="1109"/>
        <v>0</v>
      </c>
      <c r="AL7169" s="85"/>
      <c r="AM7169" s="85"/>
    </row>
    <row r="7170" spans="1:39" s="86" customFormat="1" ht="13.25" hidden="1" customHeight="1" x14ac:dyDescent="0.3">
      <c r="A7170" s="89" t="s">
        <v>3792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3767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110"/>
        <v>13397.5</v>
      </c>
      <c r="X7170" s="6">
        <f t="shared" si="1114"/>
        <v>2384.1999999999998</v>
      </c>
      <c r="Y7170" s="13">
        <f t="shared" si="1107"/>
        <v>0</v>
      </c>
      <c r="Z7170" s="66">
        <v>0</v>
      </c>
      <c r="AA7170" s="6">
        <v>0</v>
      </c>
      <c r="AB7170" s="4">
        <f t="shared" si="1108"/>
        <v>2384.1999999999998</v>
      </c>
      <c r="AC7170" s="6">
        <f t="shared" si="1115"/>
        <v>0</v>
      </c>
      <c r="AD7170" s="6">
        <f t="shared" si="1111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113"/>
        <v>166.89400000000001</v>
      </c>
      <c r="AG7170" s="14">
        <v>0</v>
      </c>
      <c r="AH7170" s="64">
        <f t="shared" si="1112"/>
        <v>2384.1999999999998</v>
      </c>
      <c r="AJ7170" s="126" t="e">
        <v>#N/A</v>
      </c>
      <c r="AK7170" s="80">
        <f t="shared" si="1109"/>
        <v>0</v>
      </c>
      <c r="AL7170" s="85"/>
      <c r="AM7170" s="85"/>
    </row>
    <row r="7171" spans="1:39" s="86" customFormat="1" ht="13.25" hidden="1" customHeight="1" x14ac:dyDescent="0.3">
      <c r="A7171" s="89" t="s">
        <v>3792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3767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110"/>
        <v>0</v>
      </c>
      <c r="X7171" s="6">
        <f t="shared" si="1114"/>
        <v>213.86138613861385</v>
      </c>
      <c r="Y7171" s="13">
        <f t="shared" ref="Y7171:Y7234" si="1116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117">X7171+AA7171</f>
        <v>213.86138613861385</v>
      </c>
      <c r="AC7171" s="6">
        <f t="shared" si="1115"/>
        <v>2.1386138613861476</v>
      </c>
      <c r="AD7171" s="6">
        <f t="shared" si="1111"/>
        <v>216</v>
      </c>
      <c r="AE7171" s="14">
        <f>VLOOKUP(I7171,[2]媒体政策预估表!A:N,MATCH(O7171,[2]媒体政策预估表!$A$2:$M$2,0),0)</f>
        <v>7.0000000000000007E-2</v>
      </c>
      <c r="AF7171" s="6">
        <f t="shared" si="1113"/>
        <v>15.120000000000001</v>
      </c>
      <c r="AG7171" s="14">
        <v>0</v>
      </c>
      <c r="AH7171" s="64">
        <f t="shared" si="1112"/>
        <v>216</v>
      </c>
      <c r="AJ7171" s="126" t="e">
        <v>#N/A</v>
      </c>
      <c r="AK7171" s="80">
        <f t="shared" ref="AK7171:AK7234" si="1118">X7171+AA7171-AB7171</f>
        <v>0</v>
      </c>
      <c r="AL7171" s="85"/>
      <c r="AM7171" s="85"/>
    </row>
    <row r="7172" spans="1:39" s="86" customFormat="1" ht="13.25" hidden="1" customHeight="1" x14ac:dyDescent="0.3">
      <c r="A7172" s="89" t="s">
        <v>3792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3767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110"/>
        <v>7737.820000000007</v>
      </c>
      <c r="X7172" s="6">
        <f t="shared" si="1114"/>
        <v>64407.039215686265</v>
      </c>
      <c r="Y7172" s="13">
        <f t="shared" si="1116"/>
        <v>0</v>
      </c>
      <c r="Z7172" s="66">
        <v>0</v>
      </c>
      <c r="AA7172" s="6">
        <v>0</v>
      </c>
      <c r="AB7172" s="4">
        <f t="shared" si="1117"/>
        <v>64407.039215686265</v>
      </c>
      <c r="AC7172" s="6">
        <f t="shared" si="1115"/>
        <v>1288.1407843137276</v>
      </c>
      <c r="AD7172" s="6">
        <f t="shared" si="1111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113"/>
        <v>4598.6625999999997</v>
      </c>
      <c r="AG7172" s="14">
        <v>0</v>
      </c>
      <c r="AH7172" s="64">
        <f t="shared" si="1112"/>
        <v>65695.179999999993</v>
      </c>
      <c r="AJ7172" s="126" t="e">
        <v>#N/A</v>
      </c>
      <c r="AK7172" s="80">
        <f t="shared" si="1118"/>
        <v>0</v>
      </c>
      <c r="AL7172" s="85"/>
      <c r="AM7172" s="85"/>
    </row>
    <row r="7173" spans="1:39" s="86" customFormat="1" ht="13.25" hidden="1" customHeight="1" x14ac:dyDescent="0.3">
      <c r="A7173" s="89" t="s">
        <v>3792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3767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110"/>
        <v>8854.0000000000018</v>
      </c>
      <c r="X7173" s="6">
        <f t="shared" si="1114"/>
        <v>0</v>
      </c>
      <c r="Y7173" s="13">
        <f t="shared" si="1116"/>
        <v>0</v>
      </c>
      <c r="Z7173" s="66">
        <v>0</v>
      </c>
      <c r="AA7173" s="6">
        <v>0</v>
      </c>
      <c r="AB7173" s="4">
        <f t="shared" si="1117"/>
        <v>0</v>
      </c>
      <c r="AC7173" s="6">
        <f t="shared" si="1115"/>
        <v>0</v>
      </c>
      <c r="AD7173" s="6">
        <f t="shared" si="1111"/>
        <v>0</v>
      </c>
      <c r="AE7173" s="14">
        <f>VLOOKUP(I7173,[2]媒体政策预估表!A:N,MATCH(O7173,[2]媒体政策预估表!$A$2:$M$2,0),0)</f>
        <v>7.0000000000000007E-2</v>
      </c>
      <c r="AF7173" s="6">
        <f t="shared" si="1113"/>
        <v>0</v>
      </c>
      <c r="AG7173" s="14">
        <v>0</v>
      </c>
      <c r="AH7173" s="64">
        <f t="shared" si="1112"/>
        <v>0</v>
      </c>
      <c r="AJ7173" s="126" t="e">
        <v>#N/A</v>
      </c>
      <c r="AK7173" s="80">
        <f t="shared" si="1118"/>
        <v>0</v>
      </c>
      <c r="AL7173" s="85"/>
      <c r="AM7173" s="85"/>
    </row>
    <row r="7174" spans="1:39" s="86" customFormat="1" ht="13.25" hidden="1" customHeight="1" x14ac:dyDescent="0.3">
      <c r="A7174" s="89" t="s">
        <v>3792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3767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110"/>
        <v>224677.50999999995</v>
      </c>
      <c r="X7174" s="6">
        <f t="shared" si="1114"/>
        <v>176373.21568627449</v>
      </c>
      <c r="Y7174" s="13">
        <f t="shared" si="1116"/>
        <v>0</v>
      </c>
      <c r="Z7174" s="66">
        <v>0</v>
      </c>
      <c r="AA7174" s="6">
        <v>0</v>
      </c>
      <c r="AB7174" s="4">
        <f t="shared" si="1117"/>
        <v>176373.21568627449</v>
      </c>
      <c r="AC7174" s="6">
        <f t="shared" si="1115"/>
        <v>3527.4643137255043</v>
      </c>
      <c r="AD7174" s="6">
        <f t="shared" si="1111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113"/>
        <v>12593.0476</v>
      </c>
      <c r="AG7174" s="14">
        <v>0</v>
      </c>
      <c r="AH7174" s="64">
        <f t="shared" si="1112"/>
        <v>179900.68</v>
      </c>
      <c r="AJ7174" s="126" t="e">
        <v>#N/A</v>
      </c>
      <c r="AK7174" s="80">
        <f t="shared" si="1118"/>
        <v>0</v>
      </c>
      <c r="AL7174" s="85"/>
      <c r="AM7174" s="85"/>
    </row>
    <row r="7175" spans="1:39" s="86" customFormat="1" ht="13.25" hidden="1" customHeight="1" x14ac:dyDescent="0.3">
      <c r="A7175" s="89" t="s">
        <v>3792</v>
      </c>
      <c r="B7175" s="86" t="s">
        <v>35</v>
      </c>
      <c r="C7175" s="86" t="s">
        <v>65</v>
      </c>
      <c r="D7175" s="86" t="s">
        <v>122</v>
      </c>
      <c r="E7175" s="86" t="s">
        <v>4024</v>
      </c>
      <c r="F7175" s="86" t="s">
        <v>4024</v>
      </c>
      <c r="G7175" s="86" t="s">
        <v>4024</v>
      </c>
      <c r="H7175" s="143">
        <v>360</v>
      </c>
      <c r="I7175" s="86" t="s">
        <v>1060</v>
      </c>
      <c r="J7175" s="47" t="s">
        <v>3325</v>
      </c>
      <c r="K7175" s="47" t="s">
        <v>3767</v>
      </c>
      <c r="L7175" s="47" t="s">
        <v>35</v>
      </c>
      <c r="M7175" s="86" t="s">
        <v>4024</v>
      </c>
      <c r="O7175" s="47" t="s">
        <v>410</v>
      </c>
      <c r="P7175" s="47" t="s">
        <v>41</v>
      </c>
      <c r="Q7175" s="14">
        <v>0</v>
      </c>
      <c r="R7175" s="143" t="s">
        <v>4025</v>
      </c>
      <c r="S7175" s="47"/>
      <c r="T7175" s="6">
        <v>0</v>
      </c>
      <c r="U7175" s="6">
        <v>20000</v>
      </c>
      <c r="V7175" s="6">
        <v>0</v>
      </c>
      <c r="W7175" s="6">
        <f t="shared" si="1110"/>
        <v>20000</v>
      </c>
      <c r="X7175" s="6">
        <f t="shared" si="1114"/>
        <v>0</v>
      </c>
      <c r="Y7175" s="13">
        <f t="shared" si="1116"/>
        <v>0</v>
      </c>
      <c r="Z7175" s="66">
        <v>0</v>
      </c>
      <c r="AA7175" s="6">
        <v>0</v>
      </c>
      <c r="AB7175" s="4">
        <f t="shared" si="1117"/>
        <v>0</v>
      </c>
      <c r="AC7175" s="6">
        <f t="shared" si="1115"/>
        <v>0</v>
      </c>
      <c r="AD7175" s="6">
        <f t="shared" si="1111"/>
        <v>0</v>
      </c>
      <c r="AE7175" s="14">
        <f>VLOOKUP(I7175,[2]媒体政策预估表!A:N,MATCH(O7175,[2]媒体政策预估表!$A$2:$M$2,0),0)</f>
        <v>7.0000000000000007E-2</v>
      </c>
      <c r="AF7175" s="6">
        <f t="shared" si="1113"/>
        <v>0</v>
      </c>
      <c r="AG7175" s="14">
        <v>0</v>
      </c>
      <c r="AH7175" s="64">
        <f t="shared" si="1112"/>
        <v>0</v>
      </c>
      <c r="AJ7175" s="126" t="e">
        <v>#N/A</v>
      </c>
      <c r="AK7175" s="80">
        <f t="shared" si="1118"/>
        <v>0</v>
      </c>
      <c r="AL7175" s="85"/>
      <c r="AM7175" s="85"/>
    </row>
    <row r="7176" spans="1:39" s="86" customFormat="1" ht="13.25" hidden="1" customHeight="1" x14ac:dyDescent="0.3">
      <c r="A7176" s="89" t="s">
        <v>3792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3767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110"/>
        <v>25319.849999999977</v>
      </c>
      <c r="X7176" s="6">
        <f t="shared" si="1114"/>
        <v>285304.40594059409</v>
      </c>
      <c r="Y7176" s="13">
        <f t="shared" si="1116"/>
        <v>0</v>
      </c>
      <c r="Z7176" s="66">
        <v>0</v>
      </c>
      <c r="AA7176" s="6">
        <v>0</v>
      </c>
      <c r="AB7176" s="4">
        <f t="shared" si="1117"/>
        <v>285304.40594059409</v>
      </c>
      <c r="AC7176" s="6">
        <f t="shared" si="1115"/>
        <v>2853.0440594059182</v>
      </c>
      <c r="AD7176" s="6">
        <f t="shared" si="1111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113"/>
        <v>20171.021500000003</v>
      </c>
      <c r="AG7176" s="14">
        <v>0</v>
      </c>
      <c r="AH7176" s="64">
        <f t="shared" si="1112"/>
        <v>288157.45</v>
      </c>
      <c r="AJ7176" s="126" t="e">
        <v>#N/A</v>
      </c>
      <c r="AK7176" s="80">
        <f t="shared" si="1118"/>
        <v>0</v>
      </c>
      <c r="AL7176" s="85"/>
      <c r="AM7176" s="85"/>
    </row>
    <row r="7177" spans="1:39" s="86" customFormat="1" ht="13.25" hidden="1" customHeight="1" x14ac:dyDescent="0.3">
      <c r="A7177" s="89" t="s">
        <v>3792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3767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110"/>
        <v>-0.40000000000196412</v>
      </c>
      <c r="X7177" s="6">
        <f t="shared" si="1114"/>
        <v>0</v>
      </c>
      <c r="Y7177" s="13">
        <f t="shared" si="1116"/>
        <v>0</v>
      </c>
      <c r="Z7177" s="66">
        <v>0</v>
      </c>
      <c r="AA7177" s="6">
        <v>0</v>
      </c>
      <c r="AB7177" s="4">
        <f t="shared" si="1117"/>
        <v>0</v>
      </c>
      <c r="AC7177" s="6">
        <f t="shared" si="1115"/>
        <v>0</v>
      </c>
      <c r="AD7177" s="6">
        <f t="shared" si="1111"/>
        <v>0</v>
      </c>
      <c r="AE7177" s="14">
        <f>VLOOKUP(I7177,[2]媒体政策预估表!A:N,MATCH(O7177,[2]媒体政策预估表!$A$2:$M$2,0),0)</f>
        <v>7.0000000000000007E-2</v>
      </c>
      <c r="AF7177" s="6">
        <f t="shared" si="1113"/>
        <v>0</v>
      </c>
      <c r="AG7177" s="14">
        <v>0</v>
      </c>
      <c r="AH7177" s="64">
        <f t="shared" si="1112"/>
        <v>0</v>
      </c>
      <c r="AJ7177" s="126" t="e">
        <v>#N/A</v>
      </c>
      <c r="AK7177" s="80">
        <f t="shared" si="1118"/>
        <v>0</v>
      </c>
      <c r="AL7177" s="85"/>
      <c r="AM7177" s="85"/>
    </row>
    <row r="7178" spans="1:39" s="86" customFormat="1" ht="13.25" hidden="1" customHeight="1" x14ac:dyDescent="0.3">
      <c r="A7178" s="89" t="s">
        <v>3792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3767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110"/>
        <v>65377.599999999977</v>
      </c>
      <c r="X7178" s="6">
        <f t="shared" si="1114"/>
        <v>91615.5</v>
      </c>
      <c r="Y7178" s="13">
        <f t="shared" si="1116"/>
        <v>0</v>
      </c>
      <c r="Z7178" s="66">
        <v>0</v>
      </c>
      <c r="AA7178" s="6">
        <v>0</v>
      </c>
      <c r="AB7178" s="4">
        <f t="shared" si="1117"/>
        <v>91615.5</v>
      </c>
      <c r="AC7178" s="6">
        <f t="shared" si="1115"/>
        <v>0</v>
      </c>
      <c r="AD7178" s="6">
        <f t="shared" si="1111"/>
        <v>91615.5</v>
      </c>
      <c r="AE7178" s="14">
        <f>VLOOKUP(I7178,[2]媒体政策预估表!A:N,MATCH(O7178,[2]媒体政策预估表!$A$2:$M$2,0),0)</f>
        <v>7.0000000000000007E-2</v>
      </c>
      <c r="AF7178" s="6">
        <f t="shared" si="1113"/>
        <v>6413.0850000000009</v>
      </c>
      <c r="AG7178" s="14">
        <v>0</v>
      </c>
      <c r="AH7178" s="64">
        <f t="shared" si="1112"/>
        <v>91615.5</v>
      </c>
      <c r="AJ7178" s="126" t="e">
        <v>#N/A</v>
      </c>
      <c r="AK7178" s="80">
        <f t="shared" si="1118"/>
        <v>0</v>
      </c>
      <c r="AL7178" s="85"/>
      <c r="AM7178" s="85"/>
    </row>
    <row r="7179" spans="1:39" s="86" customFormat="1" ht="13.25" hidden="1" customHeight="1" x14ac:dyDescent="0.3">
      <c r="A7179" s="89" t="s">
        <v>3792</v>
      </c>
      <c r="B7179" s="86" t="s">
        <v>35</v>
      </c>
      <c r="C7179" s="86" t="s">
        <v>65</v>
      </c>
      <c r="D7179" s="86" t="s">
        <v>1291</v>
      </c>
      <c r="E7179" s="86" t="s">
        <v>4026</v>
      </c>
      <c r="F7179" s="86" t="s">
        <v>4026</v>
      </c>
      <c r="G7179" s="86" t="s">
        <v>4026</v>
      </c>
      <c r="H7179" s="144">
        <v>360</v>
      </c>
      <c r="I7179" s="86" t="s">
        <v>1060</v>
      </c>
      <c r="J7179" s="47" t="s">
        <v>3325</v>
      </c>
      <c r="K7179" s="47" t="s">
        <v>3767</v>
      </c>
      <c r="L7179" s="47" t="s">
        <v>35</v>
      </c>
      <c r="M7179" s="86" t="s">
        <v>4026</v>
      </c>
      <c r="O7179" s="47" t="s">
        <v>410</v>
      </c>
      <c r="P7179" s="47" t="s">
        <v>46</v>
      </c>
      <c r="Q7179" s="14">
        <v>0.02</v>
      </c>
      <c r="R7179" s="143" t="s">
        <v>4027</v>
      </c>
      <c r="S7179" s="47"/>
      <c r="T7179" s="6">
        <v>0</v>
      </c>
      <c r="U7179" s="6">
        <v>5000</v>
      </c>
      <c r="V7179" s="6">
        <v>1360.5</v>
      </c>
      <c r="W7179" s="6">
        <f t="shared" si="1110"/>
        <v>3639.5</v>
      </c>
      <c r="X7179" s="6">
        <f t="shared" si="1114"/>
        <v>1333.8235294117646</v>
      </c>
      <c r="Y7179" s="13">
        <f t="shared" si="1116"/>
        <v>0</v>
      </c>
      <c r="Z7179" s="66">
        <v>0</v>
      </c>
      <c r="AA7179" s="6">
        <v>0</v>
      </c>
      <c r="AB7179" s="4">
        <f t="shared" si="1117"/>
        <v>1333.8235294117646</v>
      </c>
      <c r="AC7179" s="6">
        <f t="shared" si="1115"/>
        <v>26.676470588235361</v>
      </c>
      <c r="AD7179" s="6">
        <f t="shared" si="1111"/>
        <v>1360.5</v>
      </c>
      <c r="AE7179" s="14">
        <f>VLOOKUP(I7179,[2]媒体政策预估表!A:N,MATCH(O7179,[2]媒体政策预估表!$A$2:$M$2,0),0)</f>
        <v>7.0000000000000007E-2</v>
      </c>
      <c r="AF7179" s="6">
        <f t="shared" si="1113"/>
        <v>95.235000000000014</v>
      </c>
      <c r="AG7179" s="14">
        <v>0</v>
      </c>
      <c r="AH7179" s="64">
        <f t="shared" si="1112"/>
        <v>1360.5</v>
      </c>
      <c r="AJ7179" s="126" t="e">
        <v>#N/A</v>
      </c>
      <c r="AK7179" s="80">
        <f t="shared" si="1118"/>
        <v>0</v>
      </c>
      <c r="AL7179" s="85"/>
      <c r="AM7179" s="85"/>
    </row>
    <row r="7180" spans="1:39" s="86" customFormat="1" ht="13.25" hidden="1" customHeight="1" x14ac:dyDescent="0.3">
      <c r="A7180" s="89" t="s">
        <v>3792</v>
      </c>
      <c r="B7180" s="86" t="s">
        <v>35</v>
      </c>
      <c r="C7180" s="86" t="s">
        <v>65</v>
      </c>
      <c r="D7180" s="86" t="s">
        <v>1291</v>
      </c>
      <c r="E7180" s="86" t="s">
        <v>4028</v>
      </c>
      <c r="F7180" s="86" t="s">
        <v>4028</v>
      </c>
      <c r="G7180" s="86" t="s">
        <v>4028</v>
      </c>
      <c r="H7180" s="144">
        <v>360</v>
      </c>
      <c r="I7180" s="86" t="s">
        <v>1060</v>
      </c>
      <c r="J7180" s="47" t="s">
        <v>3325</v>
      </c>
      <c r="K7180" s="47" t="s">
        <v>3767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110"/>
        <v>2614.1399999999994</v>
      </c>
      <c r="X7180" s="6">
        <f t="shared" si="1114"/>
        <v>67385.86</v>
      </c>
      <c r="Y7180" s="13">
        <f t="shared" si="1116"/>
        <v>0</v>
      </c>
      <c r="Z7180" s="66">
        <v>0</v>
      </c>
      <c r="AA7180" s="6">
        <v>0</v>
      </c>
      <c r="AB7180" s="4">
        <f t="shared" si="1117"/>
        <v>67385.86</v>
      </c>
      <c r="AC7180" s="6">
        <f t="shared" si="1115"/>
        <v>0</v>
      </c>
      <c r="AD7180" s="6">
        <f t="shared" si="1111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113"/>
        <v>4717.0102000000006</v>
      </c>
      <c r="AG7180" s="14">
        <v>0</v>
      </c>
      <c r="AH7180" s="64">
        <f t="shared" si="1112"/>
        <v>67385.86</v>
      </c>
      <c r="AJ7180" s="126" t="e">
        <v>#N/A</v>
      </c>
      <c r="AK7180" s="80">
        <f t="shared" si="1118"/>
        <v>0</v>
      </c>
      <c r="AL7180" s="85"/>
      <c r="AM7180" s="85"/>
    </row>
    <row r="7181" spans="1:39" s="86" customFormat="1" ht="13.25" hidden="1" customHeight="1" x14ac:dyDescent="0.3">
      <c r="A7181" s="89" t="s">
        <v>3792</v>
      </c>
      <c r="B7181" s="86" t="s">
        <v>35</v>
      </c>
      <c r="C7181" s="86" t="s">
        <v>65</v>
      </c>
      <c r="D7181" s="86" t="s">
        <v>1291</v>
      </c>
      <c r="E7181" s="86" t="s">
        <v>4029</v>
      </c>
      <c r="F7181" s="86" t="s">
        <v>4029</v>
      </c>
      <c r="G7181" s="86" t="s">
        <v>4029</v>
      </c>
      <c r="H7181" s="144">
        <v>360</v>
      </c>
      <c r="I7181" s="86" t="s">
        <v>1060</v>
      </c>
      <c r="J7181" s="47" t="s">
        <v>3325</v>
      </c>
      <c r="K7181" s="47" t="s">
        <v>3767</v>
      </c>
      <c r="L7181" s="47" t="s">
        <v>35</v>
      </c>
      <c r="M7181" s="86" t="s">
        <v>4029</v>
      </c>
      <c r="O7181" s="47" t="s">
        <v>410</v>
      </c>
      <c r="P7181" s="47" t="s">
        <v>41</v>
      </c>
      <c r="Q7181" s="14">
        <v>0</v>
      </c>
      <c r="R7181" s="143" t="s">
        <v>4030</v>
      </c>
      <c r="S7181" s="47"/>
      <c r="T7181" s="6">
        <v>0</v>
      </c>
      <c r="U7181" s="6">
        <v>5000</v>
      </c>
      <c r="V7181" s="6">
        <v>1344.5</v>
      </c>
      <c r="W7181" s="6">
        <f t="shared" si="1110"/>
        <v>3655.5</v>
      </c>
      <c r="X7181" s="6">
        <f t="shared" si="1114"/>
        <v>1344.5</v>
      </c>
      <c r="Y7181" s="13">
        <f t="shared" si="1116"/>
        <v>0</v>
      </c>
      <c r="Z7181" s="66">
        <v>0</v>
      </c>
      <c r="AA7181" s="6">
        <v>0</v>
      </c>
      <c r="AB7181" s="4">
        <f t="shared" si="1117"/>
        <v>1344.5</v>
      </c>
      <c r="AC7181" s="6">
        <f t="shared" si="1115"/>
        <v>0</v>
      </c>
      <c r="AD7181" s="6">
        <f t="shared" si="1111"/>
        <v>1344.5</v>
      </c>
      <c r="AE7181" s="14">
        <f>VLOOKUP(I7181,[2]媒体政策预估表!A:N,MATCH(O7181,[2]媒体政策预估表!$A$2:$M$2,0),0)</f>
        <v>7.0000000000000007E-2</v>
      </c>
      <c r="AF7181" s="6">
        <f t="shared" si="1113"/>
        <v>94.115000000000009</v>
      </c>
      <c r="AG7181" s="14">
        <v>0</v>
      </c>
      <c r="AH7181" s="64">
        <f t="shared" si="1112"/>
        <v>1344.5</v>
      </c>
      <c r="AJ7181" s="126" t="e">
        <v>#N/A</v>
      </c>
      <c r="AK7181" s="80">
        <f t="shared" si="1118"/>
        <v>0</v>
      </c>
      <c r="AL7181" s="85"/>
      <c r="AM7181" s="85"/>
    </row>
    <row r="7182" spans="1:39" s="86" customFormat="1" ht="13.25" hidden="1" customHeight="1" x14ac:dyDescent="0.3">
      <c r="A7182" s="89" t="s">
        <v>3978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3767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110"/>
        <v>29327.360000000001</v>
      </c>
      <c r="X7182" s="6">
        <f t="shared" si="1114"/>
        <v>86508.029411764714</v>
      </c>
      <c r="Y7182" s="13">
        <f t="shared" si="1116"/>
        <v>0</v>
      </c>
      <c r="Z7182" s="66">
        <v>0</v>
      </c>
      <c r="AA7182" s="6">
        <v>0</v>
      </c>
      <c r="AB7182" s="4">
        <f t="shared" si="1117"/>
        <v>86508.029411764714</v>
      </c>
      <c r="AC7182" s="6">
        <f t="shared" si="1115"/>
        <v>1730.1605882352887</v>
      </c>
      <c r="AD7182" s="6">
        <f t="shared" si="1111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113"/>
        <v>6176.6733000000004</v>
      </c>
      <c r="AG7182" s="14">
        <v>0</v>
      </c>
      <c r="AH7182" s="64">
        <f t="shared" si="1112"/>
        <v>88238.19</v>
      </c>
      <c r="AJ7182" s="126" t="e">
        <v>#N/A</v>
      </c>
      <c r="AK7182" s="80">
        <f t="shared" si="1118"/>
        <v>0</v>
      </c>
      <c r="AL7182" s="85"/>
      <c r="AM7182" s="85"/>
    </row>
    <row r="7183" spans="1:39" s="86" customFormat="1" ht="13.25" hidden="1" customHeight="1" x14ac:dyDescent="0.3">
      <c r="A7183" s="89" t="s">
        <v>3978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3767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110"/>
        <v>0</v>
      </c>
      <c r="X7183" s="6">
        <f t="shared" si="1114"/>
        <v>0</v>
      </c>
      <c r="Y7183" s="13">
        <f t="shared" si="1116"/>
        <v>0</v>
      </c>
      <c r="Z7183" s="66">
        <v>0</v>
      </c>
      <c r="AA7183" s="6">
        <v>0</v>
      </c>
      <c r="AB7183" s="4">
        <f t="shared" si="1117"/>
        <v>0</v>
      </c>
      <c r="AC7183" s="6">
        <f t="shared" si="1115"/>
        <v>0</v>
      </c>
      <c r="AD7183" s="6">
        <f t="shared" si="1111"/>
        <v>0</v>
      </c>
      <c r="AE7183" s="14">
        <f>VLOOKUP(I7183,[2]媒体政策预估表!A:N,MATCH(O7183,[2]媒体政策预估表!$A$2:$M$2,0),0)</f>
        <v>7.0000000000000007E-2</v>
      </c>
      <c r="AF7183" s="6">
        <f t="shared" si="1113"/>
        <v>0</v>
      </c>
      <c r="AG7183" s="14">
        <v>0</v>
      </c>
      <c r="AH7183" s="64">
        <f t="shared" si="1112"/>
        <v>0</v>
      </c>
      <c r="AJ7183" s="126" t="e">
        <v>#N/A</v>
      </c>
      <c r="AK7183" s="80">
        <f t="shared" si="1118"/>
        <v>0</v>
      </c>
      <c r="AL7183" s="85"/>
      <c r="AM7183" s="85"/>
    </row>
    <row r="7184" spans="1:39" s="86" customFormat="1" ht="13.25" hidden="1" customHeight="1" x14ac:dyDescent="0.3">
      <c r="A7184" s="89" t="s">
        <v>3792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3767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110"/>
        <v>82166.300000000017</v>
      </c>
      <c r="X7184" s="6">
        <f t="shared" si="1114"/>
        <v>139408.1</v>
      </c>
      <c r="Y7184" s="13">
        <f t="shared" si="1116"/>
        <v>0</v>
      </c>
      <c r="Z7184" s="66">
        <v>0</v>
      </c>
      <c r="AA7184" s="6">
        <v>0</v>
      </c>
      <c r="AB7184" s="4">
        <f t="shared" si="1117"/>
        <v>139408.1</v>
      </c>
      <c r="AC7184" s="6">
        <f t="shared" si="1115"/>
        <v>0</v>
      </c>
      <c r="AD7184" s="6">
        <f t="shared" si="1111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113"/>
        <v>9758.5670000000009</v>
      </c>
      <c r="AG7184" s="14">
        <v>0</v>
      </c>
      <c r="AH7184" s="64">
        <f t="shared" si="1112"/>
        <v>139408.1</v>
      </c>
      <c r="AJ7184" s="126" t="e">
        <v>#N/A</v>
      </c>
      <c r="AK7184" s="80">
        <f t="shared" si="1118"/>
        <v>0</v>
      </c>
      <c r="AL7184" s="85"/>
      <c r="AM7184" s="85"/>
    </row>
    <row r="7185" spans="1:39" s="86" customFormat="1" ht="13.25" hidden="1" customHeight="1" x14ac:dyDescent="0.3">
      <c r="A7185" s="89" t="s">
        <v>3792</v>
      </c>
      <c r="B7185" s="86" t="s">
        <v>35</v>
      </c>
      <c r="C7185" s="86" t="s">
        <v>65</v>
      </c>
      <c r="D7185" s="86" t="s">
        <v>1291</v>
      </c>
      <c r="E7185" s="86" t="s">
        <v>4031</v>
      </c>
      <c r="F7185" s="86" t="s">
        <v>4031</v>
      </c>
      <c r="G7185" s="86" t="s">
        <v>4031</v>
      </c>
      <c r="H7185" s="144">
        <v>360</v>
      </c>
      <c r="I7185" s="86" t="s">
        <v>1060</v>
      </c>
      <c r="J7185" s="47" t="s">
        <v>3325</v>
      </c>
      <c r="K7185" s="47" t="s">
        <v>3767</v>
      </c>
      <c r="L7185" s="47" t="s">
        <v>35</v>
      </c>
      <c r="M7185" s="86" t="s">
        <v>4031</v>
      </c>
      <c r="O7185" s="47" t="s">
        <v>410</v>
      </c>
      <c r="P7185" s="47" t="s">
        <v>41</v>
      </c>
      <c r="Q7185" s="14">
        <v>0</v>
      </c>
      <c r="R7185" s="143" t="s">
        <v>4032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110"/>
        <v>1175.8250000000007</v>
      </c>
      <c r="X7185" s="6">
        <f t="shared" si="1114"/>
        <v>8824.1749999999993</v>
      </c>
      <c r="Y7185" s="13">
        <f t="shared" si="1116"/>
        <v>0</v>
      </c>
      <c r="Z7185" s="66">
        <v>0</v>
      </c>
      <c r="AA7185" s="6">
        <v>0</v>
      </c>
      <c r="AB7185" s="4">
        <f t="shared" si="1117"/>
        <v>8824.1749999999993</v>
      </c>
      <c r="AC7185" s="6">
        <f t="shared" si="1115"/>
        <v>0</v>
      </c>
      <c r="AD7185" s="6">
        <f t="shared" si="1111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113"/>
        <v>617.69225000000006</v>
      </c>
      <c r="AG7185" s="14">
        <v>0</v>
      </c>
      <c r="AH7185" s="64">
        <f t="shared" si="1112"/>
        <v>8824.1749999999993</v>
      </c>
      <c r="AJ7185" s="126" t="e">
        <v>#N/A</v>
      </c>
      <c r="AK7185" s="80">
        <f t="shared" si="1118"/>
        <v>0</v>
      </c>
      <c r="AL7185" s="85"/>
      <c r="AM7185" s="85"/>
    </row>
    <row r="7186" spans="1:39" s="86" customFormat="1" ht="13.25" hidden="1" customHeight="1" x14ac:dyDescent="0.3">
      <c r="A7186" s="89" t="s">
        <v>3792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3767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110"/>
        <v>21550.400000000001</v>
      </c>
      <c r="X7186" s="6">
        <f t="shared" si="1114"/>
        <v>28268.1</v>
      </c>
      <c r="Y7186" s="13">
        <f t="shared" si="1116"/>
        <v>0</v>
      </c>
      <c r="Z7186" s="66">
        <v>0</v>
      </c>
      <c r="AA7186" s="6">
        <v>0</v>
      </c>
      <c r="AB7186" s="4">
        <f t="shared" si="1117"/>
        <v>28268.1</v>
      </c>
      <c r="AC7186" s="6">
        <f t="shared" si="1115"/>
        <v>0</v>
      </c>
      <c r="AD7186" s="6">
        <f t="shared" si="1111"/>
        <v>28268.1</v>
      </c>
      <c r="AE7186" s="14">
        <f>VLOOKUP(I7186,[2]媒体政策预估表!A:N,MATCH(O7186,[2]媒体政策预估表!$A$2:$M$2,0),0)</f>
        <v>7.0000000000000007E-2</v>
      </c>
      <c r="AF7186" s="6">
        <f t="shared" si="1113"/>
        <v>1978.7670000000001</v>
      </c>
      <c r="AG7186" s="14">
        <v>0</v>
      </c>
      <c r="AH7186" s="64">
        <f t="shared" si="1112"/>
        <v>28268.1</v>
      </c>
      <c r="AJ7186" s="126" t="e">
        <v>#N/A</v>
      </c>
      <c r="AK7186" s="80">
        <f t="shared" si="1118"/>
        <v>0</v>
      </c>
      <c r="AL7186" s="85"/>
      <c r="AM7186" s="85"/>
    </row>
    <row r="7187" spans="1:39" s="86" customFormat="1" ht="13.25" hidden="1" customHeight="1" x14ac:dyDescent="0.3">
      <c r="A7187" s="89" t="s">
        <v>3792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3767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110"/>
        <v>7959</v>
      </c>
      <c r="X7187" s="6">
        <f t="shared" si="1114"/>
        <v>103770</v>
      </c>
      <c r="Y7187" s="13">
        <f t="shared" si="1116"/>
        <v>0</v>
      </c>
      <c r="Z7187" s="66">
        <v>0</v>
      </c>
      <c r="AA7187" s="6">
        <v>0</v>
      </c>
      <c r="AB7187" s="4">
        <f t="shared" si="1117"/>
        <v>103770</v>
      </c>
      <c r="AC7187" s="6">
        <f t="shared" si="1115"/>
        <v>0</v>
      </c>
      <c r="AD7187" s="6">
        <f t="shared" si="1111"/>
        <v>103770</v>
      </c>
      <c r="AE7187" s="14">
        <f>VLOOKUP(I7187,[2]媒体政策预估表!A:N,MATCH(O7187,[2]媒体政策预估表!$A$2:$M$2,0),0)</f>
        <v>7.0000000000000007E-2</v>
      </c>
      <c r="AF7187" s="6">
        <f t="shared" si="1113"/>
        <v>7263.9000000000005</v>
      </c>
      <c r="AG7187" s="14">
        <v>0</v>
      </c>
      <c r="AH7187" s="64">
        <f t="shared" si="1112"/>
        <v>103770</v>
      </c>
      <c r="AJ7187" s="126" t="e">
        <v>#N/A</v>
      </c>
      <c r="AK7187" s="80">
        <f t="shared" si="1118"/>
        <v>0</v>
      </c>
      <c r="AL7187" s="85"/>
      <c r="AM7187" s="85"/>
    </row>
    <row r="7188" spans="1:39" s="86" customFormat="1" ht="13.25" hidden="1" customHeight="1" x14ac:dyDescent="0.3">
      <c r="A7188" s="89" t="s">
        <v>3792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4033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3767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4034</v>
      </c>
      <c r="S7188" s="47"/>
      <c r="T7188" s="6">
        <v>0</v>
      </c>
      <c r="U7188" s="6">
        <v>20000</v>
      </c>
      <c r="V7188" s="6">
        <v>972.5</v>
      </c>
      <c r="W7188" s="6">
        <f t="shared" si="1110"/>
        <v>19027.5</v>
      </c>
      <c r="X7188" s="6">
        <f t="shared" si="1114"/>
        <v>972.5</v>
      </c>
      <c r="Y7188" s="13">
        <f t="shared" si="1116"/>
        <v>0</v>
      </c>
      <c r="Z7188" s="66">
        <v>0</v>
      </c>
      <c r="AA7188" s="6">
        <v>0</v>
      </c>
      <c r="AB7188" s="4">
        <f t="shared" si="1117"/>
        <v>972.5</v>
      </c>
      <c r="AC7188" s="6">
        <f t="shared" si="1115"/>
        <v>0</v>
      </c>
      <c r="AD7188" s="6">
        <f t="shared" si="1111"/>
        <v>972.5</v>
      </c>
      <c r="AE7188" s="14">
        <f>VLOOKUP(I7188,[2]媒体政策预估表!A:N,MATCH(O7188,[2]媒体政策预估表!$A$2:$M$2,0),0)</f>
        <v>7.0000000000000007E-2</v>
      </c>
      <c r="AF7188" s="6">
        <f t="shared" si="1113"/>
        <v>68.075000000000003</v>
      </c>
      <c r="AG7188" s="14">
        <v>0</v>
      </c>
      <c r="AH7188" s="64">
        <f t="shared" si="1112"/>
        <v>972.5</v>
      </c>
      <c r="AJ7188" s="126" t="e">
        <v>#N/A</v>
      </c>
      <c r="AK7188" s="80">
        <f t="shared" si="1118"/>
        <v>0</v>
      </c>
      <c r="AL7188" s="85"/>
      <c r="AM7188" s="85"/>
    </row>
    <row r="7189" spans="1:39" s="86" customFormat="1" ht="13.25" hidden="1" customHeight="1" x14ac:dyDescent="0.3">
      <c r="A7189" s="89" t="s">
        <v>3792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4035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3767</v>
      </c>
      <c r="L7189" s="47" t="s">
        <v>35</v>
      </c>
      <c r="M7189" s="86" t="s">
        <v>4036</v>
      </c>
      <c r="O7189" s="47" t="s">
        <v>410</v>
      </c>
      <c r="P7189" s="47" t="s">
        <v>41</v>
      </c>
      <c r="Q7189" s="14">
        <v>0</v>
      </c>
      <c r="R7189" s="143" t="s">
        <v>4037</v>
      </c>
      <c r="S7189" s="47"/>
      <c r="T7189" s="6">
        <v>0</v>
      </c>
      <c r="U7189" s="6">
        <v>4000</v>
      </c>
      <c r="V7189" s="6">
        <v>2411.5</v>
      </c>
      <c r="W7189" s="6">
        <f t="shared" si="1110"/>
        <v>1588.5</v>
      </c>
      <c r="X7189" s="6">
        <f t="shared" si="1114"/>
        <v>2411.5</v>
      </c>
      <c r="Y7189" s="13">
        <f t="shared" si="1116"/>
        <v>0</v>
      </c>
      <c r="Z7189" s="66">
        <v>0</v>
      </c>
      <c r="AA7189" s="6">
        <v>0</v>
      </c>
      <c r="AB7189" s="4">
        <f t="shared" si="1117"/>
        <v>2411.5</v>
      </c>
      <c r="AC7189" s="6">
        <f t="shared" si="1115"/>
        <v>0</v>
      </c>
      <c r="AD7189" s="6">
        <f t="shared" si="1111"/>
        <v>2411.5</v>
      </c>
      <c r="AE7189" s="14">
        <f>VLOOKUP(I7189,[2]媒体政策预估表!A:N,MATCH(O7189,[2]媒体政策预估表!$A$2:$M$2,0),0)</f>
        <v>7.0000000000000007E-2</v>
      </c>
      <c r="AF7189" s="6">
        <f t="shared" si="1113"/>
        <v>168.80500000000001</v>
      </c>
      <c r="AG7189" s="14">
        <v>0</v>
      </c>
      <c r="AH7189" s="64">
        <f t="shared" si="1112"/>
        <v>2411.5</v>
      </c>
      <c r="AJ7189" s="126" t="e">
        <v>#N/A</v>
      </c>
      <c r="AK7189" s="80">
        <f t="shared" si="1118"/>
        <v>0</v>
      </c>
      <c r="AL7189" s="85"/>
      <c r="AM7189" s="85"/>
    </row>
    <row r="7190" spans="1:39" s="86" customFormat="1" ht="13.25" hidden="1" customHeight="1" x14ac:dyDescent="0.3">
      <c r="A7190" s="89" t="s">
        <v>3792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4035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3767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110"/>
        <v>8000</v>
      </c>
      <c r="X7190" s="6">
        <f t="shared" si="1114"/>
        <v>0</v>
      </c>
      <c r="Y7190" s="13">
        <f t="shared" si="1116"/>
        <v>0</v>
      </c>
      <c r="Z7190" s="66">
        <v>0</v>
      </c>
      <c r="AA7190" s="6">
        <v>0</v>
      </c>
      <c r="AB7190" s="4">
        <f t="shared" si="1117"/>
        <v>0</v>
      </c>
      <c r="AC7190" s="6">
        <f t="shared" si="1115"/>
        <v>0</v>
      </c>
      <c r="AD7190" s="6">
        <f t="shared" si="1111"/>
        <v>0</v>
      </c>
      <c r="AE7190" s="14">
        <f>VLOOKUP(I7190,[2]媒体政策预估表!A:N,MATCH(O7190,[2]媒体政策预估表!$A$2:$M$2,0),0)</f>
        <v>7.0000000000000007E-2</v>
      </c>
      <c r="AF7190" s="6">
        <f t="shared" si="1113"/>
        <v>0</v>
      </c>
      <c r="AG7190" s="14">
        <v>0</v>
      </c>
      <c r="AH7190" s="64">
        <f t="shared" si="1112"/>
        <v>0</v>
      </c>
      <c r="AJ7190" s="126" t="e">
        <v>#N/A</v>
      </c>
      <c r="AK7190" s="80">
        <f t="shared" si="1118"/>
        <v>0</v>
      </c>
      <c r="AL7190" s="85"/>
      <c r="AM7190" s="85"/>
    </row>
    <row r="7191" spans="1:39" s="86" customFormat="1" ht="13.25" hidden="1" customHeight="1" x14ac:dyDescent="0.3">
      <c r="A7191" s="89" t="s">
        <v>3792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3767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110"/>
        <v>10175.075000000001</v>
      </c>
      <c r="X7191" s="6">
        <f t="shared" si="1114"/>
        <v>5352.8676470588234</v>
      </c>
      <c r="Y7191" s="13">
        <f t="shared" si="1116"/>
        <v>0</v>
      </c>
      <c r="Z7191" s="66">
        <v>0</v>
      </c>
      <c r="AA7191" s="6">
        <v>0</v>
      </c>
      <c r="AB7191" s="4">
        <f t="shared" si="1117"/>
        <v>5352.8676470588234</v>
      </c>
      <c r="AC7191" s="6">
        <f t="shared" si="1115"/>
        <v>107.05735294117676</v>
      </c>
      <c r="AD7191" s="6">
        <f t="shared" si="1111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113"/>
        <v>382.19475000000006</v>
      </c>
      <c r="AG7191" s="14">
        <v>0</v>
      </c>
      <c r="AH7191" s="64">
        <f t="shared" si="1112"/>
        <v>5459.9250000000002</v>
      </c>
      <c r="AJ7191" s="126" t="e">
        <v>#N/A</v>
      </c>
      <c r="AK7191" s="80">
        <f t="shared" si="1118"/>
        <v>0</v>
      </c>
      <c r="AL7191" s="85"/>
      <c r="AM7191" s="85"/>
    </row>
    <row r="7192" spans="1:39" s="86" customFormat="1" ht="13.25" hidden="1" customHeight="1" x14ac:dyDescent="0.3">
      <c r="A7192" s="89" t="s">
        <v>3792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3767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110"/>
        <v>6912.9</v>
      </c>
      <c r="X7192" s="6">
        <f t="shared" si="1114"/>
        <v>14694.019607843136</v>
      </c>
      <c r="Y7192" s="13">
        <f t="shared" si="1116"/>
        <v>0</v>
      </c>
      <c r="Z7192" s="66">
        <v>0</v>
      </c>
      <c r="AA7192" s="6">
        <v>0</v>
      </c>
      <c r="AB7192" s="4">
        <f t="shared" si="1117"/>
        <v>14694.019607843136</v>
      </c>
      <c r="AC7192" s="6">
        <f t="shared" si="1115"/>
        <v>293.88039215686331</v>
      </c>
      <c r="AD7192" s="6">
        <f t="shared" si="1111"/>
        <v>14987.9</v>
      </c>
      <c r="AE7192" s="14">
        <f>VLOOKUP(I7192,[2]媒体政策预估表!A:N,MATCH(O7192,[2]媒体政策预估表!$A$2:$M$2,0),0)</f>
        <v>7.0000000000000007E-2</v>
      </c>
      <c r="AF7192" s="6">
        <f t="shared" si="1113"/>
        <v>1049.153</v>
      </c>
      <c r="AG7192" s="14">
        <v>0</v>
      </c>
      <c r="AH7192" s="64">
        <f t="shared" si="1112"/>
        <v>14987.9</v>
      </c>
      <c r="AJ7192" s="126" t="e">
        <v>#N/A</v>
      </c>
      <c r="AK7192" s="80">
        <f t="shared" si="1118"/>
        <v>0</v>
      </c>
      <c r="AL7192" s="85"/>
      <c r="AM7192" s="85"/>
    </row>
    <row r="7193" spans="1:39" s="86" customFormat="1" ht="13.25" hidden="1" customHeight="1" x14ac:dyDescent="0.3">
      <c r="A7193" s="89" t="s">
        <v>3792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3767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4038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119">T7193+U7193-V7193</f>
        <v>6700.5</v>
      </c>
      <c r="X7193" s="6">
        <f t="shared" si="1114"/>
        <v>3299.5</v>
      </c>
      <c r="Y7193" s="13">
        <f t="shared" si="1116"/>
        <v>0</v>
      </c>
      <c r="Z7193" s="66">
        <v>0</v>
      </c>
      <c r="AA7193" s="6">
        <v>0</v>
      </c>
      <c r="AB7193" s="4">
        <f t="shared" si="1117"/>
        <v>3299.5</v>
      </c>
      <c r="AC7193" s="6">
        <f t="shared" si="1115"/>
        <v>0</v>
      </c>
      <c r="AD7193" s="6">
        <f t="shared" ref="AD7193:AD7256" si="1120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113"/>
        <v>230.96500000000003</v>
      </c>
      <c r="AG7193" s="14">
        <v>0</v>
      </c>
      <c r="AH7193" s="64">
        <f t="shared" ref="AH7193:AH7256" si="1121">V7193</f>
        <v>3299.5</v>
      </c>
      <c r="AJ7193" s="126" t="e">
        <v>#N/A</v>
      </c>
      <c r="AK7193" s="80">
        <f t="shared" si="1118"/>
        <v>0</v>
      </c>
      <c r="AL7193" s="85"/>
      <c r="AM7193" s="85"/>
    </row>
    <row r="7194" spans="1:39" s="86" customFormat="1" ht="13.25" hidden="1" customHeight="1" x14ac:dyDescent="0.3">
      <c r="A7194" s="89" t="s">
        <v>3978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3767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119"/>
        <v>11148.100000000002</v>
      </c>
      <c r="X7194" s="6">
        <f t="shared" si="1114"/>
        <v>8852.7999999999993</v>
      </c>
      <c r="Y7194" s="13">
        <f t="shared" si="1116"/>
        <v>0</v>
      </c>
      <c r="Z7194" s="66">
        <v>0</v>
      </c>
      <c r="AA7194" s="6">
        <v>0</v>
      </c>
      <c r="AB7194" s="4">
        <f t="shared" si="1117"/>
        <v>8852.7999999999993</v>
      </c>
      <c r="AC7194" s="6">
        <f t="shared" si="1115"/>
        <v>0</v>
      </c>
      <c r="AD7194" s="6">
        <f t="shared" si="1120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113"/>
        <v>619.69600000000003</v>
      </c>
      <c r="AG7194" s="14">
        <v>0</v>
      </c>
      <c r="AH7194" s="64">
        <f t="shared" si="1121"/>
        <v>8852.7999999999993</v>
      </c>
      <c r="AJ7194" s="126" t="e">
        <v>#N/A</v>
      </c>
      <c r="AK7194" s="80">
        <f t="shared" si="1118"/>
        <v>0</v>
      </c>
      <c r="AL7194" s="85"/>
      <c r="AM7194" s="85"/>
    </row>
    <row r="7195" spans="1:39" s="86" customFormat="1" ht="13.25" hidden="1" customHeight="1" x14ac:dyDescent="0.3">
      <c r="A7195" s="89" t="s">
        <v>3792</v>
      </c>
      <c r="B7195" s="86" t="s">
        <v>35</v>
      </c>
      <c r="C7195" s="86" t="s">
        <v>144</v>
      </c>
      <c r="D7195" s="86" t="s">
        <v>145</v>
      </c>
      <c r="E7195" s="86" t="s">
        <v>4039</v>
      </c>
      <c r="F7195" s="86" t="s">
        <v>4039</v>
      </c>
      <c r="G7195" s="86" t="s">
        <v>4039</v>
      </c>
      <c r="H7195" s="144">
        <v>360</v>
      </c>
      <c r="I7195" s="86" t="s">
        <v>1060</v>
      </c>
      <c r="J7195" s="47" t="s">
        <v>3325</v>
      </c>
      <c r="K7195" s="47" t="s">
        <v>3767</v>
      </c>
      <c r="L7195" s="47" t="s">
        <v>35</v>
      </c>
      <c r="M7195" s="86" t="s">
        <v>4039</v>
      </c>
      <c r="O7195" s="47" t="s">
        <v>410</v>
      </c>
      <c r="P7195" s="47" t="s">
        <v>41</v>
      </c>
      <c r="Q7195" s="14">
        <v>0</v>
      </c>
      <c r="R7195" s="143" t="s">
        <v>4040</v>
      </c>
      <c r="S7195" s="47"/>
      <c r="T7195" s="6">
        <v>0</v>
      </c>
      <c r="U7195" s="6">
        <v>15000</v>
      </c>
      <c r="V7195" s="6">
        <v>7211.5</v>
      </c>
      <c r="W7195" s="6">
        <f t="shared" si="1119"/>
        <v>7788.5</v>
      </c>
      <c r="X7195" s="6">
        <f t="shared" si="1114"/>
        <v>7211.5</v>
      </c>
      <c r="Y7195" s="13">
        <f t="shared" si="1116"/>
        <v>0</v>
      </c>
      <c r="Z7195" s="66">
        <v>0</v>
      </c>
      <c r="AA7195" s="6">
        <v>0</v>
      </c>
      <c r="AB7195" s="4">
        <f t="shared" si="1117"/>
        <v>7211.5</v>
      </c>
      <c r="AC7195" s="6">
        <f t="shared" si="1115"/>
        <v>0</v>
      </c>
      <c r="AD7195" s="6">
        <f t="shared" si="1120"/>
        <v>7211.5</v>
      </c>
      <c r="AE7195" s="14">
        <f>VLOOKUP(I7195,[2]媒体政策预估表!A:N,MATCH(O7195,[2]媒体政策预估表!$A$2:$M$2,0),0)</f>
        <v>7.0000000000000007E-2</v>
      </c>
      <c r="AF7195" s="6">
        <f t="shared" si="1113"/>
        <v>504.80500000000006</v>
      </c>
      <c r="AG7195" s="14">
        <v>0</v>
      </c>
      <c r="AH7195" s="64">
        <f t="shared" si="1121"/>
        <v>7211.5</v>
      </c>
      <c r="AJ7195" s="126" t="e">
        <v>#N/A</v>
      </c>
      <c r="AK7195" s="80">
        <f t="shared" si="1118"/>
        <v>0</v>
      </c>
      <c r="AL7195" s="85"/>
      <c r="AM7195" s="85"/>
    </row>
    <row r="7196" spans="1:39" s="86" customFormat="1" ht="13.25" hidden="1" customHeight="1" x14ac:dyDescent="0.3">
      <c r="A7196" s="89" t="s">
        <v>3978</v>
      </c>
      <c r="B7196" s="86" t="s">
        <v>35</v>
      </c>
      <c r="C7196" s="86" t="s">
        <v>144</v>
      </c>
      <c r="D7196" s="86" t="s">
        <v>145</v>
      </c>
      <c r="E7196" s="86" t="s">
        <v>4041</v>
      </c>
      <c r="F7196" s="86" t="s">
        <v>4041</v>
      </c>
      <c r="G7196" s="86" t="s">
        <v>4041</v>
      </c>
      <c r="H7196" s="144">
        <v>360</v>
      </c>
      <c r="I7196" s="86" t="s">
        <v>1060</v>
      </c>
      <c r="J7196" s="47" t="s">
        <v>3325</v>
      </c>
      <c r="K7196" s="47" t="s">
        <v>3767</v>
      </c>
      <c r="L7196" s="47" t="s">
        <v>35</v>
      </c>
      <c r="M7196" s="86" t="s">
        <v>4041</v>
      </c>
      <c r="O7196" s="47" t="s">
        <v>410</v>
      </c>
      <c r="P7196" s="47" t="s">
        <v>41</v>
      </c>
      <c r="Q7196" s="14">
        <v>0</v>
      </c>
      <c r="R7196" s="143" t="s">
        <v>4042</v>
      </c>
      <c r="S7196" s="47"/>
      <c r="T7196" s="6">
        <v>0</v>
      </c>
      <c r="U7196" s="6">
        <v>15000</v>
      </c>
      <c r="V7196" s="6">
        <v>4885.7</v>
      </c>
      <c r="W7196" s="6">
        <f t="shared" si="1119"/>
        <v>10114.299999999999</v>
      </c>
      <c r="X7196" s="6">
        <f t="shared" si="1114"/>
        <v>4885.7</v>
      </c>
      <c r="Y7196" s="13">
        <f t="shared" si="1116"/>
        <v>0</v>
      </c>
      <c r="Z7196" s="66">
        <v>0</v>
      </c>
      <c r="AA7196" s="6">
        <v>0</v>
      </c>
      <c r="AB7196" s="4">
        <f t="shared" si="1117"/>
        <v>4885.7</v>
      </c>
      <c r="AC7196" s="6">
        <f t="shared" si="1115"/>
        <v>0</v>
      </c>
      <c r="AD7196" s="6">
        <f t="shared" si="1120"/>
        <v>4885.7</v>
      </c>
      <c r="AE7196" s="14">
        <f>VLOOKUP(I7196,[2]媒体政策预估表!A:N,MATCH(O7196,[2]媒体政策预估表!$A$2:$M$2,0),0)</f>
        <v>7.0000000000000007E-2</v>
      </c>
      <c r="AF7196" s="6">
        <f t="shared" si="1113"/>
        <v>341.99900000000002</v>
      </c>
      <c r="AG7196" s="14">
        <v>0</v>
      </c>
      <c r="AH7196" s="64">
        <f t="shared" si="1121"/>
        <v>4885.7</v>
      </c>
      <c r="AJ7196" s="126" t="e">
        <v>#N/A</v>
      </c>
      <c r="AK7196" s="80">
        <f t="shared" si="1118"/>
        <v>0</v>
      </c>
      <c r="AL7196" s="85"/>
      <c r="AM7196" s="85"/>
    </row>
    <row r="7197" spans="1:39" s="86" customFormat="1" ht="13.25" hidden="1" customHeight="1" x14ac:dyDescent="0.3">
      <c r="A7197" s="89" t="s">
        <v>3978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3767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119"/>
        <v>8042</v>
      </c>
      <c r="X7197" s="6">
        <f t="shared" si="1114"/>
        <v>132851.5</v>
      </c>
      <c r="Y7197" s="13">
        <f t="shared" si="1116"/>
        <v>0</v>
      </c>
      <c r="Z7197" s="66">
        <v>0</v>
      </c>
      <c r="AA7197" s="6">
        <v>0</v>
      </c>
      <c r="AB7197" s="4">
        <f t="shared" si="1117"/>
        <v>132851.5</v>
      </c>
      <c r="AC7197" s="6">
        <f t="shared" si="1115"/>
        <v>0</v>
      </c>
      <c r="AD7197" s="6">
        <f t="shared" si="1120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113"/>
        <v>9299.6050000000014</v>
      </c>
      <c r="AG7197" s="14">
        <v>0</v>
      </c>
      <c r="AH7197" s="64">
        <f t="shared" si="1121"/>
        <v>132851.5</v>
      </c>
      <c r="AJ7197" s="126" t="e">
        <v>#N/A</v>
      </c>
      <c r="AK7197" s="80">
        <f t="shared" si="1118"/>
        <v>0</v>
      </c>
      <c r="AL7197" s="85"/>
      <c r="AM7197" s="85"/>
    </row>
    <row r="7198" spans="1:39" s="86" customFormat="1" ht="13.25" hidden="1" customHeight="1" x14ac:dyDescent="0.3">
      <c r="A7198" s="89" t="s">
        <v>3978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3767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119"/>
        <v>5067.54007000001</v>
      </c>
      <c r="X7198" s="6">
        <f t="shared" si="1114"/>
        <v>60330.559979999998</v>
      </c>
      <c r="Y7198" s="13">
        <f t="shared" si="1116"/>
        <v>0</v>
      </c>
      <c r="Z7198" s="66">
        <v>0</v>
      </c>
      <c r="AA7198" s="6">
        <v>0</v>
      </c>
      <c r="AB7198" s="4">
        <f t="shared" si="1117"/>
        <v>60330.559979999998</v>
      </c>
      <c r="AC7198" s="6">
        <f t="shared" si="1115"/>
        <v>0</v>
      </c>
      <c r="AD7198" s="6">
        <f t="shared" si="1120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113"/>
        <v>4223.1391985999999</v>
      </c>
      <c r="AG7198" s="14">
        <v>0</v>
      </c>
      <c r="AH7198" s="64">
        <f t="shared" si="1121"/>
        <v>60330.559979999998</v>
      </c>
      <c r="AJ7198" s="126" t="e">
        <v>#N/A</v>
      </c>
      <c r="AK7198" s="80">
        <f t="shared" si="1118"/>
        <v>0</v>
      </c>
      <c r="AL7198" s="85"/>
      <c r="AM7198" s="85"/>
    </row>
    <row r="7199" spans="1:39" s="86" customFormat="1" ht="13.25" hidden="1" customHeight="1" x14ac:dyDescent="0.3">
      <c r="A7199" s="89" t="s">
        <v>3978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3767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119"/>
        <v>13075.10000000002</v>
      </c>
      <c r="X7199" s="6">
        <f t="shared" si="1114"/>
        <v>110131.2</v>
      </c>
      <c r="Y7199" s="13">
        <f t="shared" si="1116"/>
        <v>0</v>
      </c>
      <c r="Z7199" s="66">
        <v>0</v>
      </c>
      <c r="AA7199" s="6">
        <v>0</v>
      </c>
      <c r="AB7199" s="4">
        <f t="shared" si="1117"/>
        <v>110131.2</v>
      </c>
      <c r="AC7199" s="6">
        <f t="shared" si="1115"/>
        <v>0</v>
      </c>
      <c r="AD7199" s="6">
        <f t="shared" si="1120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113"/>
        <v>7709.1840000000002</v>
      </c>
      <c r="AG7199" s="14">
        <v>0</v>
      </c>
      <c r="AH7199" s="64">
        <f t="shared" si="1121"/>
        <v>110131.2</v>
      </c>
      <c r="AJ7199" s="126" t="e">
        <v>#N/A</v>
      </c>
      <c r="AK7199" s="80">
        <f t="shared" si="1118"/>
        <v>0</v>
      </c>
      <c r="AL7199" s="85"/>
      <c r="AM7199" s="85"/>
    </row>
    <row r="7200" spans="1:39" s="86" customFormat="1" ht="13.25" hidden="1" customHeight="1" x14ac:dyDescent="0.3">
      <c r="A7200" s="89" t="s">
        <v>3978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3767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119"/>
        <v>6384.5799999999981</v>
      </c>
      <c r="X7200" s="6">
        <f t="shared" si="1114"/>
        <v>9589</v>
      </c>
      <c r="Y7200" s="13">
        <f t="shared" si="1116"/>
        <v>0</v>
      </c>
      <c r="Z7200" s="66">
        <v>0</v>
      </c>
      <c r="AA7200" s="6">
        <v>0</v>
      </c>
      <c r="AB7200" s="4">
        <f t="shared" si="1117"/>
        <v>9589</v>
      </c>
      <c r="AC7200" s="6">
        <f t="shared" si="1115"/>
        <v>0</v>
      </c>
      <c r="AD7200" s="6">
        <f t="shared" si="1120"/>
        <v>9589</v>
      </c>
      <c r="AE7200" s="14">
        <f>VLOOKUP(I7200,[2]媒体政策预估表!A:N,MATCH(O7200,[2]媒体政策预估表!$A$2:$M$2,0),0)</f>
        <v>7.0000000000000007E-2</v>
      </c>
      <c r="AF7200" s="6">
        <f t="shared" si="1113"/>
        <v>671.23</v>
      </c>
      <c r="AG7200" s="14">
        <v>0</v>
      </c>
      <c r="AH7200" s="64">
        <f t="shared" si="1121"/>
        <v>9589</v>
      </c>
      <c r="AJ7200" s="126" t="e">
        <v>#N/A</v>
      </c>
      <c r="AK7200" s="80">
        <f t="shared" si="1118"/>
        <v>0</v>
      </c>
      <c r="AL7200" s="85"/>
      <c r="AM7200" s="85"/>
    </row>
    <row r="7201" spans="1:39" s="86" customFormat="1" ht="13.25" hidden="1" customHeight="1" x14ac:dyDescent="0.3">
      <c r="A7201" s="89" t="s">
        <v>3978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3767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119"/>
        <v>1562.1999999999971</v>
      </c>
      <c r="X7201" s="6">
        <f t="shared" si="1114"/>
        <v>23191.666666666668</v>
      </c>
      <c r="Y7201" s="13">
        <f t="shared" si="1116"/>
        <v>0</v>
      </c>
      <c r="Z7201" s="66">
        <v>0</v>
      </c>
      <c r="AA7201" s="6">
        <v>0</v>
      </c>
      <c r="AB7201" s="4">
        <f t="shared" si="1117"/>
        <v>23191.666666666668</v>
      </c>
      <c r="AC7201" s="6">
        <f t="shared" si="1115"/>
        <v>463.83333333333212</v>
      </c>
      <c r="AD7201" s="6">
        <f t="shared" si="1120"/>
        <v>23655.5</v>
      </c>
      <c r="AE7201" s="14">
        <f>VLOOKUP(I7201,[2]媒体政策预估表!A:N,MATCH(O7201,[2]媒体政策预估表!$A$2:$M$2,0),0)</f>
        <v>7.0000000000000007E-2</v>
      </c>
      <c r="AF7201" s="6">
        <f t="shared" si="1113"/>
        <v>1655.8850000000002</v>
      </c>
      <c r="AG7201" s="14">
        <v>0</v>
      </c>
      <c r="AH7201" s="64">
        <f t="shared" si="1121"/>
        <v>23655.5</v>
      </c>
      <c r="AJ7201" s="126" t="e">
        <v>#N/A</v>
      </c>
      <c r="AK7201" s="80">
        <f t="shared" si="1118"/>
        <v>0</v>
      </c>
      <c r="AL7201" s="85"/>
      <c r="AM7201" s="85"/>
    </row>
    <row r="7202" spans="1:39" s="86" customFormat="1" ht="13.25" hidden="1" customHeight="1" x14ac:dyDescent="0.3">
      <c r="A7202" s="89" t="s">
        <v>3792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3767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119"/>
        <v>82673</v>
      </c>
      <c r="X7202" s="6">
        <f t="shared" si="1114"/>
        <v>378227.72277227725</v>
      </c>
      <c r="Y7202" s="13">
        <f t="shared" si="1116"/>
        <v>0</v>
      </c>
      <c r="Z7202" s="66">
        <v>0</v>
      </c>
      <c r="AA7202" s="6">
        <v>0</v>
      </c>
      <c r="AB7202" s="4">
        <f t="shared" si="1117"/>
        <v>378227.72277227725</v>
      </c>
      <c r="AC7202" s="6">
        <f t="shared" si="1115"/>
        <v>3782.2772277227486</v>
      </c>
      <c r="AD7202" s="6">
        <f t="shared" si="1120"/>
        <v>382010</v>
      </c>
      <c r="AE7202" s="14">
        <f>VLOOKUP(I7202,[2]媒体政策预估表!A:N,MATCH(O7202,[2]媒体政策预估表!$A$2:$M$2,0),0)</f>
        <v>7.0000000000000007E-2</v>
      </c>
      <c r="AF7202" s="6">
        <f t="shared" si="1113"/>
        <v>26740.7</v>
      </c>
      <c r="AG7202" s="14">
        <v>0</v>
      </c>
      <c r="AH7202" s="64">
        <f t="shared" si="1121"/>
        <v>382010</v>
      </c>
      <c r="AJ7202" s="126" t="e">
        <v>#N/A</v>
      </c>
      <c r="AK7202" s="80">
        <f t="shared" si="1118"/>
        <v>0</v>
      </c>
      <c r="AL7202" s="85"/>
      <c r="AM7202" s="85"/>
    </row>
    <row r="7203" spans="1:39" s="86" customFormat="1" ht="13.25" hidden="1" customHeight="1" x14ac:dyDescent="0.3">
      <c r="A7203" s="89" t="s">
        <v>3978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3767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119"/>
        <v>49298.610000000015</v>
      </c>
      <c r="X7203" s="6">
        <f t="shared" si="1114"/>
        <v>37979.117647058818</v>
      </c>
      <c r="Y7203" s="13">
        <f t="shared" si="1116"/>
        <v>0</v>
      </c>
      <c r="Z7203" s="66">
        <v>0</v>
      </c>
      <c r="AA7203" s="6">
        <v>0</v>
      </c>
      <c r="AB7203" s="4">
        <f t="shared" si="1117"/>
        <v>37979.117647058818</v>
      </c>
      <c r="AC7203" s="6">
        <f t="shared" si="1115"/>
        <v>759.58235294117912</v>
      </c>
      <c r="AD7203" s="6">
        <f t="shared" si="1120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113"/>
        <v>2711.7089999999998</v>
      </c>
      <c r="AG7203" s="14">
        <v>0</v>
      </c>
      <c r="AH7203" s="64">
        <f t="shared" si="1121"/>
        <v>38738.699999999997</v>
      </c>
      <c r="AJ7203" s="126" t="e">
        <v>#N/A</v>
      </c>
      <c r="AK7203" s="80">
        <f t="shared" si="1118"/>
        <v>0</v>
      </c>
      <c r="AL7203" s="85"/>
      <c r="AM7203" s="85"/>
    </row>
    <row r="7204" spans="1:39" s="86" customFormat="1" ht="13.25" hidden="1" customHeight="1" x14ac:dyDescent="0.3">
      <c r="A7204" s="89" t="s">
        <v>3978</v>
      </c>
      <c r="B7204" s="86" t="s">
        <v>35</v>
      </c>
      <c r="C7204" s="86" t="s">
        <v>144</v>
      </c>
      <c r="D7204" s="86" t="s">
        <v>145</v>
      </c>
      <c r="E7204" s="86" t="s">
        <v>4043</v>
      </c>
      <c r="F7204" s="86" t="s">
        <v>4043</v>
      </c>
      <c r="G7204" s="86" t="s">
        <v>4043</v>
      </c>
      <c r="H7204" s="144">
        <v>360</v>
      </c>
      <c r="I7204" s="86" t="s">
        <v>1060</v>
      </c>
      <c r="J7204" s="47" t="s">
        <v>3325</v>
      </c>
      <c r="K7204" s="47" t="s">
        <v>3767</v>
      </c>
      <c r="L7204" s="47" t="s">
        <v>35</v>
      </c>
      <c r="M7204" s="86" t="s">
        <v>4044</v>
      </c>
      <c r="O7204" s="47" t="s">
        <v>410</v>
      </c>
      <c r="P7204" s="47" t="s">
        <v>41</v>
      </c>
      <c r="Q7204" s="14">
        <v>0</v>
      </c>
      <c r="R7204" s="143" t="s">
        <v>4045</v>
      </c>
      <c r="S7204" s="47"/>
      <c r="T7204" s="6">
        <v>0</v>
      </c>
      <c r="U7204" s="6">
        <v>47000</v>
      </c>
      <c r="V7204" s="6">
        <v>38083.4</v>
      </c>
      <c r="W7204" s="6">
        <f t="shared" si="1119"/>
        <v>8916.5999999999985</v>
      </c>
      <c r="X7204" s="6">
        <f t="shared" si="1114"/>
        <v>38083.4</v>
      </c>
      <c r="Y7204" s="13">
        <f t="shared" si="1116"/>
        <v>0</v>
      </c>
      <c r="Z7204" s="66">
        <v>0</v>
      </c>
      <c r="AA7204" s="6">
        <v>0</v>
      </c>
      <c r="AB7204" s="4">
        <f t="shared" si="1117"/>
        <v>38083.4</v>
      </c>
      <c r="AC7204" s="6">
        <f t="shared" si="1115"/>
        <v>0</v>
      </c>
      <c r="AD7204" s="6">
        <f t="shared" si="1120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122">AD7204*AE7204</f>
        <v>2665.8380000000002</v>
      </c>
      <c r="AG7204" s="14">
        <v>0</v>
      </c>
      <c r="AH7204" s="64">
        <f t="shared" si="1121"/>
        <v>38083.4</v>
      </c>
      <c r="AJ7204" s="126" t="e">
        <v>#N/A</v>
      </c>
      <c r="AK7204" s="80">
        <f t="shared" si="1118"/>
        <v>0</v>
      </c>
      <c r="AL7204" s="85"/>
      <c r="AM7204" s="85"/>
    </row>
    <row r="7205" spans="1:39" s="86" customFormat="1" ht="13.25" hidden="1" customHeight="1" x14ac:dyDescent="0.3">
      <c r="A7205" s="89" t="s">
        <v>3978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3767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119"/>
        <v>7775.7999999999884</v>
      </c>
      <c r="X7205" s="6">
        <f t="shared" si="1114"/>
        <v>137700.5</v>
      </c>
      <c r="Y7205" s="13">
        <f t="shared" si="1116"/>
        <v>0</v>
      </c>
      <c r="Z7205" s="66">
        <v>0</v>
      </c>
      <c r="AA7205" s="6">
        <v>0</v>
      </c>
      <c r="AB7205" s="4">
        <f t="shared" si="1117"/>
        <v>137700.5</v>
      </c>
      <c r="AC7205" s="6">
        <f t="shared" si="1115"/>
        <v>0</v>
      </c>
      <c r="AD7205" s="6">
        <f t="shared" si="1120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122"/>
        <v>9639.0350000000017</v>
      </c>
      <c r="AG7205" s="14">
        <v>0</v>
      </c>
      <c r="AH7205" s="64">
        <f t="shared" si="1121"/>
        <v>137700.5</v>
      </c>
      <c r="AJ7205" s="126" t="e">
        <v>#N/A</v>
      </c>
      <c r="AK7205" s="80">
        <f t="shared" si="1118"/>
        <v>0</v>
      </c>
      <c r="AL7205" s="85"/>
      <c r="AM7205" s="85"/>
    </row>
    <row r="7206" spans="1:39" s="86" customFormat="1" ht="13.25" hidden="1" customHeight="1" x14ac:dyDescent="0.3">
      <c r="A7206" s="89" t="s">
        <v>3978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3767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119"/>
        <v>7377.9000000000087</v>
      </c>
      <c r="X7206" s="6">
        <f t="shared" si="1114"/>
        <v>37251.199999999997</v>
      </c>
      <c r="Y7206" s="13">
        <f t="shared" si="1116"/>
        <v>0</v>
      </c>
      <c r="Z7206" s="66">
        <v>0</v>
      </c>
      <c r="AA7206" s="6">
        <v>0</v>
      </c>
      <c r="AB7206" s="4">
        <f t="shared" si="1117"/>
        <v>37251.199999999997</v>
      </c>
      <c r="AC7206" s="6">
        <f t="shared" si="1115"/>
        <v>0</v>
      </c>
      <c r="AD7206" s="6">
        <f t="shared" si="1120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122"/>
        <v>2607.5839999999998</v>
      </c>
      <c r="AG7206" s="14">
        <v>0</v>
      </c>
      <c r="AH7206" s="64">
        <f t="shared" si="1121"/>
        <v>37251.199999999997</v>
      </c>
      <c r="AJ7206" s="126" t="e">
        <v>#N/A</v>
      </c>
      <c r="AK7206" s="80">
        <f t="shared" si="1118"/>
        <v>0</v>
      </c>
      <c r="AL7206" s="85"/>
      <c r="AM7206" s="85"/>
    </row>
    <row r="7207" spans="1:39" s="86" customFormat="1" ht="13.25" hidden="1" customHeight="1" x14ac:dyDescent="0.3">
      <c r="A7207" s="89" t="s">
        <v>3978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3767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119"/>
        <v>6449.6299999999992</v>
      </c>
      <c r="X7207" s="6">
        <f t="shared" si="1114"/>
        <v>9270.9</v>
      </c>
      <c r="Y7207" s="13">
        <f t="shared" si="1116"/>
        <v>0</v>
      </c>
      <c r="Z7207" s="66">
        <v>0</v>
      </c>
      <c r="AA7207" s="6">
        <v>0</v>
      </c>
      <c r="AB7207" s="4">
        <f t="shared" si="1117"/>
        <v>9270.9</v>
      </c>
      <c r="AC7207" s="6">
        <f t="shared" si="1115"/>
        <v>0</v>
      </c>
      <c r="AD7207" s="6">
        <f t="shared" si="1120"/>
        <v>9270.9</v>
      </c>
      <c r="AE7207" s="14">
        <f>VLOOKUP(I7207,[2]媒体政策预估表!A:N,MATCH(O7207,[2]媒体政策预估表!$A$2:$M$2,0),0)</f>
        <v>7.0000000000000007E-2</v>
      </c>
      <c r="AF7207" s="6">
        <f t="shared" si="1122"/>
        <v>648.96300000000008</v>
      </c>
      <c r="AG7207" s="14">
        <v>0</v>
      </c>
      <c r="AH7207" s="64">
        <f t="shared" si="1121"/>
        <v>9270.9</v>
      </c>
      <c r="AJ7207" s="126" t="e">
        <v>#N/A</v>
      </c>
      <c r="AK7207" s="80">
        <f t="shared" si="1118"/>
        <v>0</v>
      </c>
      <c r="AL7207" s="85"/>
      <c r="AM7207" s="85"/>
    </row>
    <row r="7208" spans="1:39" s="86" customFormat="1" ht="13.25" hidden="1" customHeight="1" x14ac:dyDescent="0.3">
      <c r="A7208" s="89" t="s">
        <v>3978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3767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4046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119"/>
        <v>61136.199999999983</v>
      </c>
      <c r="X7208" s="6">
        <f t="shared" si="1114"/>
        <v>102650.1</v>
      </c>
      <c r="Y7208" s="13">
        <f t="shared" si="1116"/>
        <v>0</v>
      </c>
      <c r="Z7208" s="66">
        <v>0</v>
      </c>
      <c r="AA7208" s="6">
        <v>0</v>
      </c>
      <c r="AB7208" s="4">
        <f t="shared" si="1117"/>
        <v>102650.1</v>
      </c>
      <c r="AC7208" s="6">
        <f t="shared" si="1115"/>
        <v>0</v>
      </c>
      <c r="AD7208" s="6">
        <f t="shared" si="1120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122"/>
        <v>7185.5070000000014</v>
      </c>
      <c r="AG7208" s="14">
        <v>0</v>
      </c>
      <c r="AH7208" s="64">
        <f t="shared" si="1121"/>
        <v>102650.1</v>
      </c>
      <c r="AJ7208" s="126" t="e">
        <v>#N/A</v>
      </c>
      <c r="AK7208" s="80">
        <f t="shared" si="1118"/>
        <v>0</v>
      </c>
      <c r="AL7208" s="85"/>
      <c r="AM7208" s="85"/>
    </row>
    <row r="7209" spans="1:39" s="86" customFormat="1" ht="13.25" hidden="1" customHeight="1" x14ac:dyDescent="0.3">
      <c r="A7209" s="89" t="s">
        <v>3978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3767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119"/>
        <v>0</v>
      </c>
      <c r="X7209" s="6">
        <f t="shared" si="1114"/>
        <v>161660.4</v>
      </c>
      <c r="Y7209" s="13">
        <f t="shared" si="1116"/>
        <v>0</v>
      </c>
      <c r="Z7209" s="66">
        <v>0</v>
      </c>
      <c r="AA7209" s="6">
        <v>0</v>
      </c>
      <c r="AB7209" s="4">
        <f t="shared" si="1117"/>
        <v>161660.4</v>
      </c>
      <c r="AC7209" s="6">
        <f t="shared" si="1115"/>
        <v>0</v>
      </c>
      <c r="AD7209" s="6">
        <f t="shared" si="1120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122"/>
        <v>11316.228000000001</v>
      </c>
      <c r="AG7209" s="14">
        <v>0</v>
      </c>
      <c r="AH7209" s="64">
        <f t="shared" si="1121"/>
        <v>161660.4</v>
      </c>
      <c r="AJ7209" s="126" t="e">
        <v>#N/A</v>
      </c>
      <c r="AK7209" s="80">
        <f t="shared" si="1118"/>
        <v>0</v>
      </c>
      <c r="AL7209" s="85"/>
      <c r="AM7209" s="85"/>
    </row>
    <row r="7210" spans="1:39" s="86" customFormat="1" ht="13.25" hidden="1" customHeight="1" x14ac:dyDescent="0.3">
      <c r="A7210" s="89" t="s">
        <v>3978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3767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119"/>
        <v>9275.5999999999767</v>
      </c>
      <c r="X7210" s="6">
        <f t="shared" si="1114"/>
        <v>203267.35294117648</v>
      </c>
      <c r="Y7210" s="13">
        <f t="shared" si="1116"/>
        <v>0</v>
      </c>
      <c r="Z7210" s="66">
        <v>0</v>
      </c>
      <c r="AA7210" s="6">
        <v>0</v>
      </c>
      <c r="AB7210" s="4">
        <f t="shared" si="1117"/>
        <v>203267.35294117648</v>
      </c>
      <c r="AC7210" s="6">
        <f t="shared" si="1115"/>
        <v>4065.3470588235359</v>
      </c>
      <c r="AD7210" s="6">
        <f t="shared" si="1120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122"/>
        <v>14513.289000000002</v>
      </c>
      <c r="AG7210" s="14">
        <v>0</v>
      </c>
      <c r="AH7210" s="64">
        <f t="shared" si="1121"/>
        <v>207332.7</v>
      </c>
      <c r="AJ7210" s="126" t="e">
        <v>#N/A</v>
      </c>
      <c r="AK7210" s="80">
        <f t="shared" si="1118"/>
        <v>0</v>
      </c>
      <c r="AL7210" s="85"/>
      <c r="AM7210" s="85"/>
    </row>
    <row r="7211" spans="1:39" s="86" customFormat="1" ht="13.25" hidden="1" customHeight="1" x14ac:dyDescent="0.3">
      <c r="A7211" s="89" t="s">
        <v>3978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3767</v>
      </c>
      <c r="L7211" s="47" t="s">
        <v>35</v>
      </c>
      <c r="M7211" s="86" t="s">
        <v>4047</v>
      </c>
      <c r="O7211" s="47" t="s">
        <v>410</v>
      </c>
      <c r="P7211" s="47" t="s">
        <v>41</v>
      </c>
      <c r="Q7211" s="14">
        <v>0</v>
      </c>
      <c r="R7211" s="143" t="s">
        <v>4048</v>
      </c>
      <c r="S7211" s="47"/>
      <c r="T7211" s="6">
        <v>0</v>
      </c>
      <c r="U7211" s="6">
        <v>2000</v>
      </c>
      <c r="V7211" s="6">
        <v>0</v>
      </c>
      <c r="W7211" s="6">
        <f t="shared" si="1119"/>
        <v>2000</v>
      </c>
      <c r="X7211" s="6">
        <f t="shared" si="1114"/>
        <v>0</v>
      </c>
      <c r="Y7211" s="13">
        <f t="shared" si="1116"/>
        <v>0</v>
      </c>
      <c r="Z7211" s="66">
        <v>0</v>
      </c>
      <c r="AA7211" s="6">
        <v>0</v>
      </c>
      <c r="AB7211" s="4">
        <f t="shared" si="1117"/>
        <v>0</v>
      </c>
      <c r="AC7211" s="6">
        <f t="shared" si="1115"/>
        <v>0</v>
      </c>
      <c r="AD7211" s="6">
        <f t="shared" si="1120"/>
        <v>0</v>
      </c>
      <c r="AE7211" s="14">
        <f>VLOOKUP(I7211,[2]媒体政策预估表!A:N,MATCH(O7211,[2]媒体政策预估表!$A$2:$M$2,0),0)</f>
        <v>7.0000000000000007E-2</v>
      </c>
      <c r="AF7211" s="6">
        <f t="shared" si="1122"/>
        <v>0</v>
      </c>
      <c r="AG7211" s="14">
        <v>0</v>
      </c>
      <c r="AH7211" s="64">
        <f t="shared" si="1121"/>
        <v>0</v>
      </c>
      <c r="AJ7211" s="126" t="e">
        <v>#N/A</v>
      </c>
      <c r="AK7211" s="80">
        <f t="shared" si="1118"/>
        <v>0</v>
      </c>
      <c r="AL7211" s="85"/>
      <c r="AM7211" s="85"/>
    </row>
    <row r="7212" spans="1:39" s="86" customFormat="1" ht="13.25" hidden="1" customHeight="1" x14ac:dyDescent="0.3">
      <c r="A7212" s="89" t="s">
        <v>3978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3767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119"/>
        <v>14827.5</v>
      </c>
      <c r="X7212" s="6">
        <f t="shared" si="1114"/>
        <v>14527.5</v>
      </c>
      <c r="Y7212" s="13">
        <f t="shared" si="1116"/>
        <v>0</v>
      </c>
      <c r="Z7212" s="66">
        <v>0</v>
      </c>
      <c r="AA7212" s="6">
        <v>0</v>
      </c>
      <c r="AB7212" s="4">
        <f t="shared" si="1117"/>
        <v>14527.5</v>
      </c>
      <c r="AC7212" s="6">
        <f t="shared" si="1115"/>
        <v>0</v>
      </c>
      <c r="AD7212" s="6">
        <f t="shared" si="1120"/>
        <v>14527.5</v>
      </c>
      <c r="AE7212" s="14">
        <f>VLOOKUP(I7212,[2]媒体政策预估表!A:N,MATCH(O7212,[2]媒体政策预估表!$A$2:$M$2,0),0)</f>
        <v>7.0000000000000007E-2</v>
      </c>
      <c r="AF7212" s="6">
        <f t="shared" si="1122"/>
        <v>1016.9250000000001</v>
      </c>
      <c r="AG7212" s="14">
        <v>0</v>
      </c>
      <c r="AH7212" s="64">
        <f t="shared" si="1121"/>
        <v>14527.5</v>
      </c>
      <c r="AJ7212" s="126" t="e">
        <v>#N/A</v>
      </c>
      <c r="AK7212" s="80">
        <f t="shared" si="1118"/>
        <v>0</v>
      </c>
      <c r="AL7212" s="85"/>
      <c r="AM7212" s="85"/>
    </row>
    <row r="7213" spans="1:39" s="86" customFormat="1" ht="13.25" hidden="1" customHeight="1" x14ac:dyDescent="0.3">
      <c r="A7213" s="89" t="s">
        <v>3978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3767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119"/>
        <v>12661.563330000004</v>
      </c>
      <c r="X7213" s="6">
        <f t="shared" si="1114"/>
        <v>103092.71320588235</v>
      </c>
      <c r="Y7213" s="13">
        <f t="shared" si="1116"/>
        <v>0</v>
      </c>
      <c r="Z7213" s="66">
        <v>0</v>
      </c>
      <c r="AA7213" s="6">
        <v>0</v>
      </c>
      <c r="AB7213" s="4">
        <f t="shared" si="1117"/>
        <v>103092.71320588235</v>
      </c>
      <c r="AC7213" s="6">
        <f t="shared" si="1115"/>
        <v>2061.8542641176464</v>
      </c>
      <c r="AD7213" s="6">
        <f t="shared" si="1120"/>
        <v>105154.56746999999</v>
      </c>
      <c r="AE7213" s="14">
        <f>VLOOKUP(I7213,[2]媒体政策预估表!A:N,MATCH(O7213,[2]媒体政策预估表!$A$2:$M$2,0),0)</f>
        <v>0.1</v>
      </c>
      <c r="AF7213" s="6">
        <f t="shared" si="1122"/>
        <v>10515.456747</v>
      </c>
      <c r="AG7213" s="14">
        <v>0</v>
      </c>
      <c r="AH7213" s="64">
        <f t="shared" si="1121"/>
        <v>105154.56746999999</v>
      </c>
      <c r="AJ7213" s="126" t="e">
        <v>#N/A</v>
      </c>
      <c r="AK7213" s="80">
        <f t="shared" si="1118"/>
        <v>0</v>
      </c>
      <c r="AL7213" s="85"/>
      <c r="AM7213" s="85"/>
    </row>
    <row r="7214" spans="1:39" s="86" customFormat="1" ht="13.25" hidden="1" customHeight="1" x14ac:dyDescent="0.3">
      <c r="A7214" s="89" t="s">
        <v>3978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3767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119"/>
        <v>150903.01</v>
      </c>
      <c r="X7214" s="6">
        <f t="shared" si="1114"/>
        <v>494535.6</v>
      </c>
      <c r="Y7214" s="13">
        <f t="shared" si="1116"/>
        <v>0</v>
      </c>
      <c r="Z7214" s="66">
        <v>0</v>
      </c>
      <c r="AA7214" s="6">
        <v>0</v>
      </c>
      <c r="AB7214" s="4">
        <f t="shared" si="1117"/>
        <v>494535.6</v>
      </c>
      <c r="AC7214" s="6">
        <f t="shared" si="1115"/>
        <v>0</v>
      </c>
      <c r="AD7214" s="6">
        <f t="shared" si="1120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122"/>
        <v>34617.491999999998</v>
      </c>
      <c r="AG7214" s="14">
        <v>0</v>
      </c>
      <c r="AH7214" s="64">
        <f t="shared" si="1121"/>
        <v>494535.6</v>
      </c>
      <c r="AJ7214" s="126" t="e">
        <v>#N/A</v>
      </c>
      <c r="AK7214" s="80">
        <f t="shared" si="1118"/>
        <v>0</v>
      </c>
      <c r="AL7214" s="85"/>
      <c r="AM7214" s="85"/>
    </row>
    <row r="7215" spans="1:39" s="86" customFormat="1" ht="13.25" hidden="1" customHeight="1" x14ac:dyDescent="0.3">
      <c r="A7215" s="89" t="s">
        <v>3978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3767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119"/>
        <v>93880.390000000014</v>
      </c>
      <c r="X7215" s="6">
        <f t="shared" si="1114"/>
        <v>143906</v>
      </c>
      <c r="Y7215" s="13">
        <f t="shared" si="1116"/>
        <v>0</v>
      </c>
      <c r="Z7215" s="66">
        <v>0</v>
      </c>
      <c r="AA7215" s="6">
        <v>0</v>
      </c>
      <c r="AB7215" s="4">
        <f t="shared" si="1117"/>
        <v>143906</v>
      </c>
      <c r="AC7215" s="6">
        <f t="shared" si="1115"/>
        <v>0</v>
      </c>
      <c r="AD7215" s="6">
        <f t="shared" si="1120"/>
        <v>143906</v>
      </c>
      <c r="AE7215" s="14">
        <f>VLOOKUP(I7215,[2]媒体政策预估表!A:N,MATCH(O7215,[2]媒体政策预估表!$A$2:$M$2,0),0)</f>
        <v>7.0000000000000007E-2</v>
      </c>
      <c r="AF7215" s="6">
        <f t="shared" si="1122"/>
        <v>10073.42</v>
      </c>
      <c r="AG7215" s="14">
        <v>0</v>
      </c>
      <c r="AH7215" s="64">
        <f t="shared" si="1121"/>
        <v>143906</v>
      </c>
      <c r="AJ7215" s="126" t="e">
        <v>#N/A</v>
      </c>
      <c r="AK7215" s="80">
        <f t="shared" si="1118"/>
        <v>0</v>
      </c>
      <c r="AL7215" s="85"/>
      <c r="AM7215" s="85"/>
    </row>
    <row r="7216" spans="1:39" s="86" customFormat="1" ht="13.25" hidden="1" customHeight="1" x14ac:dyDescent="0.3">
      <c r="A7216" s="89" t="s">
        <v>3978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3767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119"/>
        <v>5511.239999999998</v>
      </c>
      <c r="X7216" s="6">
        <f t="shared" ref="X7216:X7279" si="1123">IF(P7216="折扣",V7216*Q7216,IF(P7216="返现",V7216,V7216/(1+Q7216)))</f>
        <v>3545</v>
      </c>
      <c r="Y7216" s="13">
        <f t="shared" si="1116"/>
        <v>0</v>
      </c>
      <c r="Z7216" s="66">
        <v>0</v>
      </c>
      <c r="AA7216" s="6">
        <v>0</v>
      </c>
      <c r="AB7216" s="4">
        <f t="shared" si="1117"/>
        <v>3545</v>
      </c>
      <c r="AC7216" s="6">
        <f t="shared" si="1115"/>
        <v>0</v>
      </c>
      <c r="AD7216" s="6">
        <f t="shared" si="1120"/>
        <v>3545</v>
      </c>
      <c r="AE7216" s="14">
        <f>VLOOKUP(I7216,[2]媒体政策预估表!A:N,MATCH(O7216,[2]媒体政策预估表!$A$2:$M$2,0),0)</f>
        <v>7.0000000000000007E-2</v>
      </c>
      <c r="AF7216" s="6">
        <f t="shared" si="1122"/>
        <v>248.15000000000003</v>
      </c>
      <c r="AG7216" s="14">
        <v>0</v>
      </c>
      <c r="AH7216" s="64">
        <f t="shared" si="1121"/>
        <v>3545</v>
      </c>
      <c r="AJ7216" s="126" t="e">
        <v>#N/A</v>
      </c>
      <c r="AK7216" s="80">
        <f t="shared" si="1118"/>
        <v>0</v>
      </c>
      <c r="AL7216" s="85"/>
      <c r="AM7216" s="85"/>
    </row>
    <row r="7217" spans="1:39" s="86" customFormat="1" ht="13.25" hidden="1" customHeight="1" x14ac:dyDescent="0.3">
      <c r="A7217" s="89" t="s">
        <v>3978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3767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119"/>
        <v>55050.350000000035</v>
      </c>
      <c r="X7217" s="6">
        <f t="shared" si="1123"/>
        <v>164677</v>
      </c>
      <c r="Y7217" s="13">
        <f t="shared" si="1116"/>
        <v>0</v>
      </c>
      <c r="Z7217" s="66">
        <v>0</v>
      </c>
      <c r="AA7217" s="6">
        <v>0</v>
      </c>
      <c r="AB7217" s="4">
        <f t="shared" si="1117"/>
        <v>164677</v>
      </c>
      <c r="AC7217" s="6">
        <f t="shared" si="1115"/>
        <v>0</v>
      </c>
      <c r="AD7217" s="6">
        <f t="shared" si="1120"/>
        <v>164677</v>
      </c>
      <c r="AE7217" s="14">
        <f>VLOOKUP(I7217,[2]媒体政策预估表!A:N,MATCH(O7217,[2]媒体政策预估表!$A$2:$M$2,0),0)</f>
        <v>7.0000000000000007E-2</v>
      </c>
      <c r="AF7217" s="6">
        <f t="shared" si="1122"/>
        <v>11527.390000000001</v>
      </c>
      <c r="AG7217" s="14">
        <v>0</v>
      </c>
      <c r="AH7217" s="64">
        <f t="shared" si="1121"/>
        <v>164677</v>
      </c>
      <c r="AJ7217" s="126" t="e">
        <v>#N/A</v>
      </c>
      <c r="AK7217" s="80">
        <f t="shared" si="1118"/>
        <v>0</v>
      </c>
      <c r="AL7217" s="85"/>
      <c r="AM7217" s="85"/>
    </row>
    <row r="7218" spans="1:39" s="86" customFormat="1" ht="13.25" hidden="1" customHeight="1" x14ac:dyDescent="0.3">
      <c r="A7218" s="89" t="s">
        <v>3978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3767</v>
      </c>
      <c r="L7218" s="47" t="s">
        <v>35</v>
      </c>
      <c r="M7218" s="86" t="s">
        <v>4049</v>
      </c>
      <c r="O7218" s="47" t="s">
        <v>410</v>
      </c>
      <c r="P7218" s="47" t="s">
        <v>41</v>
      </c>
      <c r="Q7218" s="14">
        <v>0</v>
      </c>
      <c r="R7218" s="143" t="s">
        <v>4050</v>
      </c>
      <c r="S7218" s="47"/>
      <c r="T7218" s="6">
        <v>0</v>
      </c>
      <c r="U7218" s="6">
        <v>100000</v>
      </c>
      <c r="V7218" s="6">
        <v>70530</v>
      </c>
      <c r="W7218" s="6">
        <f t="shared" si="1119"/>
        <v>29470</v>
      </c>
      <c r="X7218" s="6">
        <f t="shared" si="1123"/>
        <v>70530</v>
      </c>
      <c r="Y7218" s="13">
        <f t="shared" si="1116"/>
        <v>0</v>
      </c>
      <c r="Z7218" s="66">
        <v>0</v>
      </c>
      <c r="AA7218" s="6">
        <v>0</v>
      </c>
      <c r="AB7218" s="4">
        <f t="shared" si="1117"/>
        <v>70530</v>
      </c>
      <c r="AC7218" s="6">
        <f t="shared" si="1115"/>
        <v>0</v>
      </c>
      <c r="AD7218" s="6">
        <f t="shared" si="1120"/>
        <v>70530</v>
      </c>
      <c r="AE7218" s="14">
        <f>VLOOKUP(I7218,[2]媒体政策预估表!A:N,MATCH(O7218,[2]媒体政策预估表!$A$2:$M$2,0),0)</f>
        <v>7.0000000000000007E-2</v>
      </c>
      <c r="AF7218" s="6">
        <f t="shared" si="1122"/>
        <v>4937.1000000000004</v>
      </c>
      <c r="AG7218" s="14">
        <v>0</v>
      </c>
      <c r="AH7218" s="64">
        <f t="shared" si="1121"/>
        <v>70530</v>
      </c>
      <c r="AJ7218" s="126" t="e">
        <v>#N/A</v>
      </c>
      <c r="AK7218" s="80">
        <f t="shared" si="1118"/>
        <v>0</v>
      </c>
      <c r="AL7218" s="85"/>
      <c r="AM7218" s="85"/>
    </row>
    <row r="7219" spans="1:39" s="86" customFormat="1" ht="13.25" hidden="1" customHeight="1" x14ac:dyDescent="0.3">
      <c r="A7219" s="89" t="s">
        <v>3978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3767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119"/>
        <v>31939.100000000006</v>
      </c>
      <c r="X7219" s="6">
        <f t="shared" si="1123"/>
        <v>97622.7</v>
      </c>
      <c r="Y7219" s="13">
        <f t="shared" si="1116"/>
        <v>0</v>
      </c>
      <c r="Z7219" s="66">
        <v>0</v>
      </c>
      <c r="AA7219" s="6">
        <v>0</v>
      </c>
      <c r="AB7219" s="4">
        <f t="shared" si="1117"/>
        <v>97622.7</v>
      </c>
      <c r="AC7219" s="6">
        <f t="shared" si="1115"/>
        <v>0</v>
      </c>
      <c r="AD7219" s="6">
        <f t="shared" si="1120"/>
        <v>97622.7</v>
      </c>
      <c r="AE7219" s="14">
        <f>VLOOKUP(I7219,[2]媒体政策预估表!A:N,MATCH(O7219,[2]媒体政策预估表!$A$2:$M$2,0),0)</f>
        <v>7.0000000000000007E-2</v>
      </c>
      <c r="AF7219" s="6">
        <f t="shared" si="1122"/>
        <v>6833.5890000000009</v>
      </c>
      <c r="AG7219" s="14">
        <v>0</v>
      </c>
      <c r="AH7219" s="64">
        <f t="shared" si="1121"/>
        <v>97622.7</v>
      </c>
      <c r="AJ7219" s="126" t="e">
        <v>#N/A</v>
      </c>
      <c r="AK7219" s="80">
        <f t="shared" si="1118"/>
        <v>0</v>
      </c>
      <c r="AL7219" s="85"/>
      <c r="AM7219" s="85"/>
    </row>
    <row r="7220" spans="1:39" s="86" customFormat="1" ht="13.25" hidden="1" customHeight="1" x14ac:dyDescent="0.3">
      <c r="A7220" s="89" t="s">
        <v>3792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3767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119"/>
        <v>7629.4999999999964</v>
      </c>
      <c r="X7220" s="6">
        <f t="shared" si="1123"/>
        <v>8507.7000000000007</v>
      </c>
      <c r="Y7220" s="13">
        <f t="shared" si="1116"/>
        <v>0</v>
      </c>
      <c r="Z7220" s="66">
        <v>0</v>
      </c>
      <c r="AA7220" s="6">
        <v>0</v>
      </c>
      <c r="AB7220" s="4">
        <f t="shared" si="1117"/>
        <v>8507.7000000000007</v>
      </c>
      <c r="AC7220" s="6">
        <f t="shared" si="1115"/>
        <v>0</v>
      </c>
      <c r="AD7220" s="6">
        <f t="shared" si="1120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122"/>
        <v>595.5390000000001</v>
      </c>
      <c r="AG7220" s="14">
        <v>0</v>
      </c>
      <c r="AH7220" s="64">
        <f t="shared" si="1121"/>
        <v>8507.7000000000007</v>
      </c>
      <c r="AJ7220" s="126" t="e">
        <v>#N/A</v>
      </c>
      <c r="AK7220" s="80">
        <f t="shared" si="1118"/>
        <v>0</v>
      </c>
      <c r="AL7220" s="85"/>
      <c r="AM7220" s="85"/>
    </row>
    <row r="7221" spans="1:39" s="86" customFormat="1" ht="13.25" hidden="1" customHeight="1" x14ac:dyDescent="0.3">
      <c r="A7221" s="89" t="s">
        <v>3978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3767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119"/>
        <v>17087.300000000003</v>
      </c>
      <c r="X7221" s="6">
        <f t="shared" si="1123"/>
        <v>46918.2</v>
      </c>
      <c r="Y7221" s="13">
        <f t="shared" si="1116"/>
        <v>0</v>
      </c>
      <c r="Z7221" s="66">
        <v>0</v>
      </c>
      <c r="AA7221" s="6">
        <v>0</v>
      </c>
      <c r="AB7221" s="4">
        <f t="shared" si="1117"/>
        <v>46918.2</v>
      </c>
      <c r="AC7221" s="6">
        <f t="shared" si="1115"/>
        <v>0</v>
      </c>
      <c r="AD7221" s="6">
        <f t="shared" si="1120"/>
        <v>46918.2</v>
      </c>
      <c r="AE7221" s="14">
        <f>VLOOKUP(I7221,[2]媒体政策预估表!A:N,MATCH(O7221,[2]媒体政策预估表!$A$2:$M$2,0),0)</f>
        <v>7.0000000000000007E-2</v>
      </c>
      <c r="AF7221" s="6">
        <f t="shared" si="1122"/>
        <v>3284.2739999999999</v>
      </c>
      <c r="AG7221" s="14">
        <v>0</v>
      </c>
      <c r="AH7221" s="64">
        <f t="shared" si="1121"/>
        <v>46918.2</v>
      </c>
      <c r="AJ7221" s="126" t="e">
        <v>#N/A</v>
      </c>
      <c r="AK7221" s="80">
        <f t="shared" si="1118"/>
        <v>0</v>
      </c>
      <c r="AL7221" s="85"/>
      <c r="AM7221" s="85"/>
    </row>
    <row r="7222" spans="1:39" s="86" customFormat="1" ht="13.25" hidden="1" customHeight="1" x14ac:dyDescent="0.3">
      <c r="A7222" s="89" t="s">
        <v>3978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3767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119"/>
        <v>7591.5</v>
      </c>
      <c r="X7222" s="6">
        <f t="shared" si="1123"/>
        <v>3389.5</v>
      </c>
      <c r="Y7222" s="13">
        <f t="shared" si="1116"/>
        <v>0</v>
      </c>
      <c r="Z7222" s="66">
        <v>0</v>
      </c>
      <c r="AA7222" s="6">
        <v>0</v>
      </c>
      <c r="AB7222" s="4">
        <f t="shared" si="1117"/>
        <v>3389.5</v>
      </c>
      <c r="AC7222" s="6">
        <f t="shared" si="1115"/>
        <v>0</v>
      </c>
      <c r="AD7222" s="6">
        <f t="shared" si="1120"/>
        <v>3389.5</v>
      </c>
      <c r="AE7222" s="14">
        <f>VLOOKUP(I7222,[2]媒体政策预估表!A:N,MATCH(O7222,[2]媒体政策预估表!$A$2:$M$2,0),0)</f>
        <v>7.0000000000000007E-2</v>
      </c>
      <c r="AF7222" s="6">
        <f t="shared" si="1122"/>
        <v>237.26500000000001</v>
      </c>
      <c r="AG7222" s="14">
        <v>0</v>
      </c>
      <c r="AH7222" s="64">
        <f t="shared" si="1121"/>
        <v>3389.5</v>
      </c>
      <c r="AJ7222" s="126" t="e">
        <v>#N/A</v>
      </c>
      <c r="AK7222" s="80">
        <f t="shared" si="1118"/>
        <v>0</v>
      </c>
      <c r="AL7222" s="85"/>
      <c r="AM7222" s="85"/>
    </row>
    <row r="7223" spans="1:39" s="86" customFormat="1" ht="13.25" hidden="1" customHeight="1" x14ac:dyDescent="0.3">
      <c r="A7223" s="89" t="s">
        <v>3978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3767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119"/>
        <v>4531.3</v>
      </c>
      <c r="X7223" s="6">
        <f t="shared" si="1123"/>
        <v>6624.7</v>
      </c>
      <c r="Y7223" s="13">
        <f t="shared" si="1116"/>
        <v>0</v>
      </c>
      <c r="Z7223" s="66">
        <v>0</v>
      </c>
      <c r="AA7223" s="6">
        <v>0</v>
      </c>
      <c r="AB7223" s="4">
        <f t="shared" si="1117"/>
        <v>6624.7</v>
      </c>
      <c r="AC7223" s="6">
        <f t="shared" si="1115"/>
        <v>0</v>
      </c>
      <c r="AD7223" s="6">
        <f t="shared" si="1120"/>
        <v>6624.7</v>
      </c>
      <c r="AE7223" s="14">
        <f>VLOOKUP(I7223,[2]媒体政策预估表!A:N,MATCH(O7223,[2]媒体政策预估表!$A$2:$M$2,0),0)</f>
        <v>7.0000000000000007E-2</v>
      </c>
      <c r="AF7223" s="6">
        <f t="shared" si="1122"/>
        <v>463.72900000000004</v>
      </c>
      <c r="AG7223" s="14">
        <v>0</v>
      </c>
      <c r="AH7223" s="64">
        <f t="shared" si="1121"/>
        <v>6624.7</v>
      </c>
      <c r="AJ7223" s="126" t="e">
        <v>#N/A</v>
      </c>
      <c r="AK7223" s="80">
        <f t="shared" si="1118"/>
        <v>0</v>
      </c>
      <c r="AL7223" s="85"/>
      <c r="AM7223" s="85"/>
    </row>
    <row r="7224" spans="1:39" s="86" customFormat="1" ht="13.25" hidden="1" customHeight="1" x14ac:dyDescent="0.3">
      <c r="A7224" s="89" t="s">
        <v>3978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3767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119"/>
        <v>5000.0099999999929</v>
      </c>
      <c r="X7224" s="6">
        <f t="shared" si="1123"/>
        <v>5037.3999999999996</v>
      </c>
      <c r="Y7224" s="13">
        <f t="shared" si="1116"/>
        <v>0</v>
      </c>
      <c r="Z7224" s="66">
        <v>0</v>
      </c>
      <c r="AA7224" s="6">
        <v>0</v>
      </c>
      <c r="AB7224" s="4">
        <f t="shared" si="1117"/>
        <v>5037.3999999999996</v>
      </c>
      <c r="AC7224" s="6">
        <f t="shared" si="1115"/>
        <v>0</v>
      </c>
      <c r="AD7224" s="6">
        <f t="shared" si="1120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122"/>
        <v>352.61799999999999</v>
      </c>
      <c r="AG7224" s="14">
        <v>0</v>
      </c>
      <c r="AH7224" s="64">
        <f t="shared" si="1121"/>
        <v>5037.3999999999996</v>
      </c>
      <c r="AJ7224" s="126" t="e">
        <v>#N/A</v>
      </c>
      <c r="AK7224" s="80">
        <f t="shared" si="1118"/>
        <v>0</v>
      </c>
      <c r="AL7224" s="85"/>
      <c r="AM7224" s="85"/>
    </row>
    <row r="7225" spans="1:39" s="86" customFormat="1" ht="13.25" hidden="1" customHeight="1" x14ac:dyDescent="0.3">
      <c r="A7225" s="89" t="s">
        <v>3978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3767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119"/>
        <v>10826.699999999993</v>
      </c>
      <c r="X7225" s="6">
        <f t="shared" si="1123"/>
        <v>22416.2</v>
      </c>
      <c r="Y7225" s="13">
        <f t="shared" si="1116"/>
        <v>0</v>
      </c>
      <c r="Z7225" s="66">
        <v>0</v>
      </c>
      <c r="AA7225" s="6">
        <v>0</v>
      </c>
      <c r="AB7225" s="4">
        <f t="shared" si="1117"/>
        <v>22416.2</v>
      </c>
      <c r="AC7225" s="6">
        <f t="shared" si="1115"/>
        <v>0</v>
      </c>
      <c r="AD7225" s="6">
        <f t="shared" si="1120"/>
        <v>22416.2</v>
      </c>
      <c r="AE7225" s="14">
        <f>VLOOKUP(I7225,[2]媒体政策预估表!A:N,MATCH(O7225,[2]媒体政策预估表!$A$2:$M$2,0),0)</f>
        <v>7.0000000000000007E-2</v>
      </c>
      <c r="AF7225" s="6">
        <f t="shared" si="1122"/>
        <v>1569.1340000000002</v>
      </c>
      <c r="AG7225" s="14">
        <v>0</v>
      </c>
      <c r="AH7225" s="64">
        <f t="shared" si="1121"/>
        <v>22416.2</v>
      </c>
      <c r="AJ7225" s="126" t="e">
        <v>#N/A</v>
      </c>
      <c r="AK7225" s="80">
        <f t="shared" si="1118"/>
        <v>0</v>
      </c>
      <c r="AL7225" s="85"/>
      <c r="AM7225" s="85"/>
    </row>
    <row r="7226" spans="1:39" s="86" customFormat="1" ht="13.25" hidden="1" customHeight="1" x14ac:dyDescent="0.3">
      <c r="A7226" s="89" t="s">
        <v>3978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3767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119"/>
        <v>37373.099999999991</v>
      </c>
      <c r="X7226" s="6">
        <f t="shared" si="1123"/>
        <v>119629.2</v>
      </c>
      <c r="Y7226" s="13">
        <f t="shared" si="1116"/>
        <v>0</v>
      </c>
      <c r="Z7226" s="66">
        <v>0</v>
      </c>
      <c r="AA7226" s="6">
        <v>0</v>
      </c>
      <c r="AB7226" s="4">
        <f t="shared" si="1117"/>
        <v>119629.2</v>
      </c>
      <c r="AC7226" s="6">
        <f t="shared" si="1115"/>
        <v>0</v>
      </c>
      <c r="AD7226" s="6">
        <f t="shared" si="1120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122"/>
        <v>8374.0439999999999</v>
      </c>
      <c r="AG7226" s="14">
        <v>0</v>
      </c>
      <c r="AH7226" s="64">
        <f t="shared" si="1121"/>
        <v>119629.2</v>
      </c>
      <c r="AJ7226" s="126" t="e">
        <v>#N/A</v>
      </c>
      <c r="AK7226" s="80">
        <f t="shared" si="1118"/>
        <v>0</v>
      </c>
      <c r="AL7226" s="85"/>
      <c r="AM7226" s="85"/>
    </row>
    <row r="7227" spans="1:39" s="86" customFormat="1" ht="13.25" hidden="1" customHeight="1" x14ac:dyDescent="0.3">
      <c r="A7227" s="89" t="s">
        <v>3978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3767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119"/>
        <v>3021.5999999999985</v>
      </c>
      <c r="X7227" s="6">
        <f t="shared" si="1123"/>
        <v>7276.5</v>
      </c>
      <c r="Y7227" s="13">
        <f t="shared" si="1116"/>
        <v>0</v>
      </c>
      <c r="Z7227" s="66">
        <v>0</v>
      </c>
      <c r="AA7227" s="6">
        <v>0</v>
      </c>
      <c r="AB7227" s="4">
        <f t="shared" si="1117"/>
        <v>7276.5</v>
      </c>
      <c r="AC7227" s="6">
        <f t="shared" si="1115"/>
        <v>0</v>
      </c>
      <c r="AD7227" s="6">
        <f t="shared" si="1120"/>
        <v>7276.5</v>
      </c>
      <c r="AE7227" s="14">
        <f>VLOOKUP(I7227,[2]媒体政策预估表!A:N,MATCH(O7227,[2]媒体政策预估表!$A$2:$M$2,0),0)</f>
        <v>7.0000000000000007E-2</v>
      </c>
      <c r="AF7227" s="6">
        <f t="shared" si="1122"/>
        <v>509.35500000000008</v>
      </c>
      <c r="AG7227" s="14">
        <v>0</v>
      </c>
      <c r="AH7227" s="64">
        <f t="shared" si="1121"/>
        <v>7276.5</v>
      </c>
      <c r="AJ7227" s="126" t="e">
        <v>#N/A</v>
      </c>
      <c r="AK7227" s="80">
        <f t="shared" si="1118"/>
        <v>0</v>
      </c>
      <c r="AL7227" s="85"/>
      <c r="AM7227" s="85"/>
    </row>
    <row r="7228" spans="1:39" s="86" customFormat="1" ht="13.25" hidden="1" customHeight="1" x14ac:dyDescent="0.3">
      <c r="A7228" s="89" t="s">
        <v>3978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3767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119"/>
        <v>64917.199999999983</v>
      </c>
      <c r="X7228" s="6">
        <f t="shared" si="1123"/>
        <v>158665.20000000001</v>
      </c>
      <c r="Y7228" s="13">
        <f t="shared" si="1116"/>
        <v>0</v>
      </c>
      <c r="Z7228" s="66">
        <v>0</v>
      </c>
      <c r="AA7228" s="6">
        <v>0</v>
      </c>
      <c r="AB7228" s="4">
        <f t="shared" si="1117"/>
        <v>158665.20000000001</v>
      </c>
      <c r="AC7228" s="6">
        <f t="shared" si="1115"/>
        <v>0</v>
      </c>
      <c r="AD7228" s="6">
        <f t="shared" si="1120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122"/>
        <v>11106.564000000002</v>
      </c>
      <c r="AG7228" s="14">
        <v>0</v>
      </c>
      <c r="AH7228" s="64">
        <f t="shared" si="1121"/>
        <v>158665.20000000001</v>
      </c>
      <c r="AJ7228" s="126" t="e">
        <v>#N/A</v>
      </c>
      <c r="AK7228" s="80">
        <f t="shared" si="1118"/>
        <v>0</v>
      </c>
      <c r="AL7228" s="85"/>
      <c r="AM7228" s="85"/>
    </row>
    <row r="7229" spans="1:39" s="86" customFormat="1" ht="13.25" hidden="1" customHeight="1" x14ac:dyDescent="0.3">
      <c r="A7229" s="89" t="s">
        <v>3978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3767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119"/>
        <v>34990.069999999992</v>
      </c>
      <c r="X7229" s="6">
        <f t="shared" si="1123"/>
        <v>55958.823529411762</v>
      </c>
      <c r="Y7229" s="13">
        <f t="shared" si="1116"/>
        <v>0</v>
      </c>
      <c r="Z7229" s="66">
        <v>0</v>
      </c>
      <c r="AA7229" s="6">
        <v>0</v>
      </c>
      <c r="AB7229" s="4">
        <f t="shared" si="1117"/>
        <v>55958.823529411762</v>
      </c>
      <c r="AC7229" s="6">
        <f t="shared" si="1115"/>
        <v>1119.1764705882379</v>
      </c>
      <c r="AD7229" s="6">
        <f t="shared" si="1120"/>
        <v>57078</v>
      </c>
      <c r="AE7229" s="14">
        <f>VLOOKUP(I7229,[2]媒体政策预估表!A:N,MATCH(O7229,[2]媒体政策预估表!$A$2:$M$2,0),0)</f>
        <v>7.0000000000000007E-2</v>
      </c>
      <c r="AF7229" s="6">
        <f t="shared" si="1122"/>
        <v>3995.4600000000005</v>
      </c>
      <c r="AG7229" s="14">
        <v>0</v>
      </c>
      <c r="AH7229" s="64">
        <f t="shared" si="1121"/>
        <v>57078</v>
      </c>
      <c r="AJ7229" s="126" t="e">
        <v>#N/A</v>
      </c>
      <c r="AK7229" s="80">
        <f t="shared" si="1118"/>
        <v>0</v>
      </c>
      <c r="AL7229" s="85"/>
      <c r="AM7229" s="85"/>
    </row>
    <row r="7230" spans="1:39" s="86" customFormat="1" ht="13.25" hidden="1" customHeight="1" x14ac:dyDescent="0.3">
      <c r="A7230" s="89" t="s">
        <v>3978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3767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119"/>
        <v>2665.5999999999985</v>
      </c>
      <c r="X7230" s="6">
        <f t="shared" si="1123"/>
        <v>53334.400000000001</v>
      </c>
      <c r="Y7230" s="13">
        <f t="shared" si="1116"/>
        <v>0</v>
      </c>
      <c r="Z7230" s="66">
        <v>0</v>
      </c>
      <c r="AA7230" s="6">
        <v>0</v>
      </c>
      <c r="AB7230" s="4">
        <f t="shared" si="1117"/>
        <v>53334.400000000001</v>
      </c>
      <c r="AC7230" s="6">
        <f t="shared" ref="AC7230:AC7293" si="1124">IF(P7230="返现",X7230*Q7230,V7230-X7230)</f>
        <v>0</v>
      </c>
      <c r="AD7230" s="6">
        <f t="shared" si="1120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122"/>
        <v>3733.4080000000004</v>
      </c>
      <c r="AG7230" s="14">
        <v>0</v>
      </c>
      <c r="AH7230" s="64">
        <f t="shared" si="1121"/>
        <v>53334.400000000001</v>
      </c>
      <c r="AJ7230" s="126" t="e">
        <v>#N/A</v>
      </c>
      <c r="AK7230" s="80">
        <f t="shared" si="1118"/>
        <v>0</v>
      </c>
      <c r="AL7230" s="85"/>
      <c r="AM7230" s="85"/>
    </row>
    <row r="7231" spans="1:39" s="86" customFormat="1" ht="13.25" hidden="1" customHeight="1" x14ac:dyDescent="0.3">
      <c r="A7231" s="89" t="s">
        <v>3978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3767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119"/>
        <v>0</v>
      </c>
      <c r="X7231" s="6">
        <f t="shared" si="1123"/>
        <v>0</v>
      </c>
      <c r="Y7231" s="13">
        <f t="shared" si="1116"/>
        <v>0</v>
      </c>
      <c r="Z7231" s="66">
        <v>0</v>
      </c>
      <c r="AA7231" s="6">
        <v>0</v>
      </c>
      <c r="AB7231" s="4">
        <f t="shared" si="1117"/>
        <v>0</v>
      </c>
      <c r="AC7231" s="6">
        <f t="shared" si="1124"/>
        <v>0</v>
      </c>
      <c r="AD7231" s="6">
        <f t="shared" si="1120"/>
        <v>0</v>
      </c>
      <c r="AE7231" s="14">
        <f>VLOOKUP(I7231,[2]媒体政策预估表!A:N,MATCH(O7231,[2]媒体政策预估表!$A$2:$M$2,0),0)</f>
        <v>7.0000000000000007E-2</v>
      </c>
      <c r="AF7231" s="6">
        <f t="shared" si="1122"/>
        <v>0</v>
      </c>
      <c r="AG7231" s="14">
        <v>0</v>
      </c>
      <c r="AH7231" s="64">
        <f t="shared" si="1121"/>
        <v>0</v>
      </c>
      <c r="AJ7231" s="126" t="e">
        <v>#N/A</v>
      </c>
      <c r="AK7231" s="80">
        <f t="shared" si="1118"/>
        <v>0</v>
      </c>
      <c r="AL7231" s="85"/>
      <c r="AM7231" s="85"/>
    </row>
    <row r="7232" spans="1:39" s="86" customFormat="1" ht="13.25" hidden="1" customHeight="1" x14ac:dyDescent="0.3">
      <c r="A7232" s="89" t="s">
        <v>3978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3767</v>
      </c>
      <c r="L7232" s="47" t="s">
        <v>35</v>
      </c>
      <c r="M7232" s="86" t="s">
        <v>4051</v>
      </c>
      <c r="O7232" s="47" t="s">
        <v>410</v>
      </c>
      <c r="P7232" s="47" t="s">
        <v>46</v>
      </c>
      <c r="Q7232" s="14">
        <v>0.02</v>
      </c>
      <c r="R7232" s="143" t="s">
        <v>4052</v>
      </c>
      <c r="S7232" s="47"/>
      <c r="T7232" s="6">
        <v>0</v>
      </c>
      <c r="U7232" s="6">
        <v>15490.5</v>
      </c>
      <c r="V7232" s="6">
        <v>933.5</v>
      </c>
      <c r="W7232" s="6">
        <f t="shared" si="1119"/>
        <v>14557</v>
      </c>
      <c r="X7232" s="6">
        <f t="shared" si="1123"/>
        <v>915.19607843137248</v>
      </c>
      <c r="Y7232" s="13">
        <f t="shared" si="1116"/>
        <v>0</v>
      </c>
      <c r="Z7232" s="66">
        <v>0</v>
      </c>
      <c r="AA7232" s="6">
        <v>0</v>
      </c>
      <c r="AB7232" s="4">
        <f t="shared" si="1117"/>
        <v>915.19607843137248</v>
      </c>
      <c r="AC7232" s="6">
        <f t="shared" si="1124"/>
        <v>18.303921568627516</v>
      </c>
      <c r="AD7232" s="6">
        <f t="shared" si="1120"/>
        <v>933.5</v>
      </c>
      <c r="AE7232" s="14">
        <f>VLOOKUP(I7232,[2]媒体政策预估表!A:N,MATCH(O7232,[2]媒体政策预估表!$A$2:$M$2,0),0)</f>
        <v>7.0000000000000007E-2</v>
      </c>
      <c r="AF7232" s="6">
        <f t="shared" si="1122"/>
        <v>65.345000000000013</v>
      </c>
      <c r="AG7232" s="14">
        <v>0</v>
      </c>
      <c r="AH7232" s="64">
        <f t="shared" si="1121"/>
        <v>933.5</v>
      </c>
      <c r="AJ7232" s="126" t="e">
        <v>#N/A</v>
      </c>
      <c r="AK7232" s="80">
        <f t="shared" si="1118"/>
        <v>0</v>
      </c>
      <c r="AL7232" s="85"/>
      <c r="AM7232" s="85"/>
    </row>
    <row r="7233" spans="1:39" s="86" customFormat="1" ht="13.25" hidden="1" customHeight="1" x14ac:dyDescent="0.3">
      <c r="A7233" s="89" t="s">
        <v>3978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3767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119"/>
        <v>3111.2000000000116</v>
      </c>
      <c r="X7233" s="6">
        <f t="shared" si="1123"/>
        <v>84427.128712871287</v>
      </c>
      <c r="Y7233" s="13">
        <f t="shared" si="1116"/>
        <v>0</v>
      </c>
      <c r="Z7233" s="66">
        <v>0</v>
      </c>
      <c r="AA7233" s="6">
        <v>0</v>
      </c>
      <c r="AB7233" s="4">
        <f t="shared" si="1117"/>
        <v>84427.128712871287</v>
      </c>
      <c r="AC7233" s="6">
        <f t="shared" si="1124"/>
        <v>844.27128712870763</v>
      </c>
      <c r="AD7233" s="6">
        <f t="shared" si="1120"/>
        <v>85271.4</v>
      </c>
      <c r="AE7233" s="14">
        <f>VLOOKUP(I7233,[2]媒体政策预估表!A:N,MATCH(O7233,[2]媒体政策预估表!$A$2:$M$2,0),0)</f>
        <v>7.0000000000000007E-2</v>
      </c>
      <c r="AF7233" s="6">
        <f t="shared" si="1122"/>
        <v>5968.9980000000005</v>
      </c>
      <c r="AG7233" s="14">
        <v>0</v>
      </c>
      <c r="AH7233" s="64">
        <f t="shared" si="1121"/>
        <v>85271.4</v>
      </c>
      <c r="AJ7233" s="126" t="e">
        <v>#N/A</v>
      </c>
      <c r="AK7233" s="80">
        <f t="shared" si="1118"/>
        <v>0</v>
      </c>
      <c r="AL7233" s="85"/>
      <c r="AM7233" s="85"/>
    </row>
    <row r="7234" spans="1:39" s="86" customFormat="1" ht="13.25" hidden="1" customHeight="1" x14ac:dyDescent="0.3">
      <c r="A7234" s="89" t="s">
        <v>3792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3767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119"/>
        <v>6727.5800000000017</v>
      </c>
      <c r="X7234" s="6">
        <f t="shared" si="1123"/>
        <v>43125.841584158414</v>
      </c>
      <c r="Y7234" s="13">
        <f t="shared" si="1116"/>
        <v>0</v>
      </c>
      <c r="Z7234" s="66">
        <v>0</v>
      </c>
      <c r="AA7234" s="6">
        <v>0</v>
      </c>
      <c r="AB7234" s="4">
        <f t="shared" si="1117"/>
        <v>43125.841584158414</v>
      </c>
      <c r="AC7234" s="6">
        <f t="shared" si="1124"/>
        <v>431.25841584158479</v>
      </c>
      <c r="AD7234" s="6">
        <f t="shared" si="1120"/>
        <v>43557.1</v>
      </c>
      <c r="AE7234" s="14">
        <f>VLOOKUP(I7234,[2]媒体政策预估表!A:N,MATCH(O7234,[2]媒体政策预估表!$A$2:$M$2,0),0)</f>
        <v>7.0000000000000007E-2</v>
      </c>
      <c r="AF7234" s="6">
        <f t="shared" si="1122"/>
        <v>3048.9970000000003</v>
      </c>
      <c r="AG7234" s="14">
        <v>0</v>
      </c>
      <c r="AH7234" s="64">
        <f t="shared" si="1121"/>
        <v>43557.1</v>
      </c>
      <c r="AJ7234" s="126" t="e">
        <v>#N/A</v>
      </c>
      <c r="AK7234" s="80">
        <f t="shared" si="1118"/>
        <v>0</v>
      </c>
      <c r="AL7234" s="85"/>
      <c r="AM7234" s="85"/>
    </row>
    <row r="7235" spans="1:39" s="86" customFormat="1" ht="13.25" hidden="1" customHeight="1" x14ac:dyDescent="0.3">
      <c r="A7235" s="89" t="s">
        <v>3978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3767</v>
      </c>
      <c r="L7235" s="47" t="s">
        <v>35</v>
      </c>
      <c r="M7235" s="86" t="s">
        <v>4053</v>
      </c>
      <c r="O7235" s="47" t="s">
        <v>410</v>
      </c>
      <c r="P7235" s="47" t="s">
        <v>41</v>
      </c>
      <c r="Q7235" s="14">
        <v>0</v>
      </c>
      <c r="R7235" s="143" t="s">
        <v>4054</v>
      </c>
      <c r="S7235" s="47"/>
      <c r="T7235" s="6">
        <v>0</v>
      </c>
      <c r="U7235" s="6">
        <v>0</v>
      </c>
      <c r="V7235" s="6">
        <v>0</v>
      </c>
      <c r="W7235" s="6">
        <f t="shared" si="1119"/>
        <v>0</v>
      </c>
      <c r="X7235" s="6">
        <f t="shared" si="1123"/>
        <v>0</v>
      </c>
      <c r="Y7235" s="13">
        <f t="shared" ref="Y7235:Y7298" si="1125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126">X7235+AA7235</f>
        <v>0</v>
      </c>
      <c r="AC7235" s="6">
        <f t="shared" si="1124"/>
        <v>0</v>
      </c>
      <c r="AD7235" s="6">
        <f t="shared" si="1120"/>
        <v>0</v>
      </c>
      <c r="AE7235" s="14">
        <f>VLOOKUP(I7235,[2]媒体政策预估表!A:N,MATCH(O7235,[2]媒体政策预估表!$A$2:$M$2,0),0)</f>
        <v>7.0000000000000007E-2</v>
      </c>
      <c r="AF7235" s="6">
        <f t="shared" si="1122"/>
        <v>0</v>
      </c>
      <c r="AG7235" s="14">
        <v>0</v>
      </c>
      <c r="AH7235" s="64">
        <f t="shared" si="1121"/>
        <v>0</v>
      </c>
      <c r="AJ7235" s="126" t="e">
        <v>#N/A</v>
      </c>
      <c r="AK7235" s="80">
        <f t="shared" ref="AK7235:AK7298" si="1127">X7235+AA7235-AB7235</f>
        <v>0</v>
      </c>
      <c r="AL7235" s="85"/>
      <c r="AM7235" s="85"/>
    </row>
    <row r="7236" spans="1:39" s="86" customFormat="1" ht="13.25" hidden="1" customHeight="1" x14ac:dyDescent="0.3">
      <c r="A7236" s="89" t="s">
        <v>3978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3767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119"/>
        <v>10621.800000000001</v>
      </c>
      <c r="X7236" s="6">
        <f t="shared" si="1123"/>
        <v>13846.1</v>
      </c>
      <c r="Y7236" s="13">
        <f t="shared" si="1125"/>
        <v>0</v>
      </c>
      <c r="Z7236" s="66">
        <v>0</v>
      </c>
      <c r="AA7236" s="6">
        <v>0</v>
      </c>
      <c r="AB7236" s="4">
        <f t="shared" si="1126"/>
        <v>13846.1</v>
      </c>
      <c r="AC7236" s="6">
        <f t="shared" si="1124"/>
        <v>0</v>
      </c>
      <c r="AD7236" s="6">
        <f t="shared" si="1120"/>
        <v>13846.1</v>
      </c>
      <c r="AE7236" s="14">
        <f>VLOOKUP(I7236,[2]媒体政策预估表!A:N,MATCH(O7236,[2]媒体政策预估表!$A$2:$M$2,0),0)</f>
        <v>7.0000000000000007E-2</v>
      </c>
      <c r="AF7236" s="6">
        <f t="shared" si="1122"/>
        <v>969.22700000000009</v>
      </c>
      <c r="AG7236" s="14">
        <v>0</v>
      </c>
      <c r="AH7236" s="64">
        <f t="shared" si="1121"/>
        <v>13846.1</v>
      </c>
      <c r="AJ7236" s="126" t="e">
        <v>#N/A</v>
      </c>
      <c r="AK7236" s="80">
        <f t="shared" si="1127"/>
        <v>0</v>
      </c>
      <c r="AL7236" s="85"/>
      <c r="AM7236" s="85"/>
    </row>
    <row r="7237" spans="1:39" s="86" customFormat="1" ht="13.25" hidden="1" customHeight="1" x14ac:dyDescent="0.3">
      <c r="A7237" s="89" t="s">
        <v>3978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3767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119"/>
        <v>9380.2999999999993</v>
      </c>
      <c r="X7237" s="6">
        <f t="shared" si="1123"/>
        <v>28465.7</v>
      </c>
      <c r="Y7237" s="13">
        <f t="shared" si="1125"/>
        <v>0</v>
      </c>
      <c r="Z7237" s="66">
        <v>0</v>
      </c>
      <c r="AA7237" s="6">
        <v>0</v>
      </c>
      <c r="AB7237" s="4">
        <f t="shared" si="1126"/>
        <v>28465.7</v>
      </c>
      <c r="AC7237" s="6">
        <f t="shared" si="1124"/>
        <v>0</v>
      </c>
      <c r="AD7237" s="6">
        <f t="shared" si="1120"/>
        <v>28465.7</v>
      </c>
      <c r="AE7237" s="14">
        <f>VLOOKUP(I7237,[2]媒体政策预估表!A:N,MATCH(O7237,[2]媒体政策预估表!$A$2:$M$2,0),0)</f>
        <v>7.0000000000000007E-2</v>
      </c>
      <c r="AF7237" s="6">
        <f t="shared" si="1122"/>
        <v>1992.5990000000002</v>
      </c>
      <c r="AG7237" s="14">
        <v>0</v>
      </c>
      <c r="AH7237" s="64">
        <f t="shared" si="1121"/>
        <v>28465.7</v>
      </c>
      <c r="AJ7237" s="126" t="e">
        <v>#N/A</v>
      </c>
      <c r="AK7237" s="80">
        <f t="shared" si="1127"/>
        <v>0</v>
      </c>
      <c r="AL7237" s="85"/>
      <c r="AM7237" s="85"/>
    </row>
    <row r="7238" spans="1:39" s="86" customFormat="1" ht="13.25" hidden="1" customHeight="1" x14ac:dyDescent="0.3">
      <c r="A7238" s="89" t="s">
        <v>3978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3767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119"/>
        <v>7888.1999999999971</v>
      </c>
      <c r="X7238" s="6">
        <f t="shared" si="1123"/>
        <v>27904</v>
      </c>
      <c r="Y7238" s="13">
        <f t="shared" si="1125"/>
        <v>0</v>
      </c>
      <c r="Z7238" s="66">
        <v>0</v>
      </c>
      <c r="AA7238" s="6">
        <v>0</v>
      </c>
      <c r="AB7238" s="4">
        <f t="shared" si="1126"/>
        <v>27904</v>
      </c>
      <c r="AC7238" s="6">
        <f t="shared" si="1124"/>
        <v>0</v>
      </c>
      <c r="AD7238" s="6">
        <f t="shared" si="1120"/>
        <v>27904</v>
      </c>
      <c r="AE7238" s="14">
        <f>VLOOKUP(I7238,[2]媒体政策预估表!A:N,MATCH(O7238,[2]媒体政策预估表!$A$2:$M$2,0),0)</f>
        <v>7.0000000000000007E-2</v>
      </c>
      <c r="AF7238" s="6">
        <f t="shared" si="1122"/>
        <v>1953.2800000000002</v>
      </c>
      <c r="AG7238" s="14">
        <v>0</v>
      </c>
      <c r="AH7238" s="64">
        <f t="shared" si="1121"/>
        <v>27904</v>
      </c>
      <c r="AJ7238" s="126" t="e">
        <v>#N/A</v>
      </c>
      <c r="AK7238" s="80">
        <f t="shared" si="1127"/>
        <v>0</v>
      </c>
      <c r="AL7238" s="85"/>
      <c r="AM7238" s="85"/>
    </row>
    <row r="7239" spans="1:39" s="86" customFormat="1" ht="13.25" hidden="1" customHeight="1" x14ac:dyDescent="0.3">
      <c r="A7239" s="89" t="s">
        <v>3978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3767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119"/>
        <v>23310.739999999962</v>
      </c>
      <c r="X7239" s="6">
        <f t="shared" si="1123"/>
        <v>189560.2</v>
      </c>
      <c r="Y7239" s="13">
        <f t="shared" si="1125"/>
        <v>0</v>
      </c>
      <c r="Z7239" s="66">
        <v>0</v>
      </c>
      <c r="AA7239" s="6">
        <v>0</v>
      </c>
      <c r="AB7239" s="4">
        <f t="shared" si="1126"/>
        <v>189560.2</v>
      </c>
      <c r="AC7239" s="6">
        <f t="shared" si="1124"/>
        <v>0</v>
      </c>
      <c r="AD7239" s="6">
        <f t="shared" si="1120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122"/>
        <v>13269.214000000002</v>
      </c>
      <c r="AG7239" s="14">
        <v>0</v>
      </c>
      <c r="AH7239" s="64">
        <f t="shared" si="1121"/>
        <v>189560.2</v>
      </c>
      <c r="AJ7239" s="126" t="e">
        <v>#N/A</v>
      </c>
      <c r="AK7239" s="80">
        <f t="shared" si="1127"/>
        <v>0</v>
      </c>
      <c r="AL7239" s="85"/>
      <c r="AM7239" s="85"/>
    </row>
    <row r="7240" spans="1:39" s="86" customFormat="1" ht="13.25" hidden="1" customHeight="1" x14ac:dyDescent="0.3">
      <c r="A7240" s="89" t="s">
        <v>3978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3767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119"/>
        <v>91698.890000000072</v>
      </c>
      <c r="X7240" s="6">
        <f t="shared" si="1123"/>
        <v>501929.2</v>
      </c>
      <c r="Y7240" s="13">
        <f t="shared" si="1125"/>
        <v>0</v>
      </c>
      <c r="Z7240" s="66">
        <v>0</v>
      </c>
      <c r="AA7240" s="6">
        <v>0</v>
      </c>
      <c r="AB7240" s="4">
        <f t="shared" si="1126"/>
        <v>501929.2</v>
      </c>
      <c r="AC7240" s="6">
        <f t="shared" si="1124"/>
        <v>0</v>
      </c>
      <c r="AD7240" s="6">
        <f t="shared" si="1120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122"/>
        <v>35135.044000000002</v>
      </c>
      <c r="AG7240" s="14">
        <v>0</v>
      </c>
      <c r="AH7240" s="64">
        <f t="shared" si="1121"/>
        <v>501929.2</v>
      </c>
      <c r="AJ7240" s="126" t="e">
        <v>#N/A</v>
      </c>
      <c r="AK7240" s="80">
        <f t="shared" si="1127"/>
        <v>0</v>
      </c>
      <c r="AL7240" s="85"/>
      <c r="AM7240" s="85"/>
    </row>
    <row r="7241" spans="1:39" s="86" customFormat="1" ht="13.25" hidden="1" customHeight="1" x14ac:dyDescent="0.3">
      <c r="A7241" s="89" t="s">
        <v>3978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4055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3767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4056</v>
      </c>
      <c r="S7241" s="47"/>
      <c r="T7241" s="6">
        <v>0</v>
      </c>
      <c r="U7241" s="6">
        <v>30000</v>
      </c>
      <c r="V7241" s="6">
        <v>11293.5</v>
      </c>
      <c r="W7241" s="6">
        <f t="shared" si="1119"/>
        <v>18706.5</v>
      </c>
      <c r="X7241" s="6">
        <f t="shared" si="1123"/>
        <v>11293.5</v>
      </c>
      <c r="Y7241" s="13">
        <f t="shared" si="1125"/>
        <v>0</v>
      </c>
      <c r="Z7241" s="66">
        <v>0</v>
      </c>
      <c r="AA7241" s="6">
        <v>0</v>
      </c>
      <c r="AB7241" s="4">
        <f t="shared" si="1126"/>
        <v>11293.5</v>
      </c>
      <c r="AC7241" s="6">
        <f t="shared" si="1124"/>
        <v>0</v>
      </c>
      <c r="AD7241" s="6">
        <f t="shared" si="1120"/>
        <v>11293.5</v>
      </c>
      <c r="AE7241" s="14">
        <f>VLOOKUP(I7241,[2]媒体政策预估表!A:N,MATCH(O7241,[2]媒体政策预估表!$A$2:$M$2,0),0)</f>
        <v>7.0000000000000007E-2</v>
      </c>
      <c r="AF7241" s="6">
        <f t="shared" si="1122"/>
        <v>790.54500000000007</v>
      </c>
      <c r="AG7241" s="14">
        <v>0</v>
      </c>
      <c r="AH7241" s="64">
        <f t="shared" si="1121"/>
        <v>11293.5</v>
      </c>
      <c r="AJ7241" s="126" t="e">
        <v>#N/A</v>
      </c>
      <c r="AK7241" s="80">
        <f t="shared" si="1127"/>
        <v>0</v>
      </c>
      <c r="AL7241" s="85"/>
      <c r="AM7241" s="85"/>
    </row>
    <row r="7242" spans="1:39" s="86" customFormat="1" ht="13.25" hidden="1" customHeight="1" x14ac:dyDescent="0.3">
      <c r="A7242" s="89" t="s">
        <v>3792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3767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119"/>
        <v>32618.799999999988</v>
      </c>
      <c r="X7242" s="6">
        <f t="shared" si="1123"/>
        <v>374768.1</v>
      </c>
      <c r="Y7242" s="13">
        <f t="shared" si="1125"/>
        <v>0</v>
      </c>
      <c r="Z7242" s="66">
        <v>0</v>
      </c>
      <c r="AA7242" s="6">
        <v>0</v>
      </c>
      <c r="AB7242" s="4">
        <f t="shared" si="1126"/>
        <v>374768.1</v>
      </c>
      <c r="AC7242" s="6">
        <f t="shared" si="1124"/>
        <v>0</v>
      </c>
      <c r="AD7242" s="6">
        <f t="shared" si="1120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122"/>
        <v>26233.767</v>
      </c>
      <c r="AG7242" s="14">
        <v>0</v>
      </c>
      <c r="AH7242" s="64">
        <f t="shared" si="1121"/>
        <v>374768.1</v>
      </c>
      <c r="AJ7242" s="126" t="e">
        <v>#N/A</v>
      </c>
      <c r="AK7242" s="80">
        <f t="shared" si="1127"/>
        <v>0</v>
      </c>
      <c r="AL7242" s="85"/>
      <c r="AM7242" s="85"/>
    </row>
    <row r="7243" spans="1:39" s="86" customFormat="1" ht="13.25" hidden="1" customHeight="1" x14ac:dyDescent="0.3">
      <c r="A7243" s="89" t="s">
        <v>3978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3767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119"/>
        <v>37274.299999999988</v>
      </c>
      <c r="X7243" s="6">
        <f t="shared" si="1123"/>
        <v>282384.8</v>
      </c>
      <c r="Y7243" s="13">
        <f t="shared" si="1125"/>
        <v>0</v>
      </c>
      <c r="Z7243" s="66">
        <v>0</v>
      </c>
      <c r="AA7243" s="6">
        <v>0</v>
      </c>
      <c r="AB7243" s="4">
        <f t="shared" si="1126"/>
        <v>282384.8</v>
      </c>
      <c r="AC7243" s="6">
        <f t="shared" si="1124"/>
        <v>0</v>
      </c>
      <c r="AD7243" s="6">
        <f t="shared" si="1120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122"/>
        <v>19766.936000000002</v>
      </c>
      <c r="AG7243" s="14">
        <v>0</v>
      </c>
      <c r="AH7243" s="64">
        <f t="shared" si="1121"/>
        <v>282384.8</v>
      </c>
      <c r="AJ7243" s="126" t="e">
        <v>#N/A</v>
      </c>
      <c r="AK7243" s="80">
        <f t="shared" si="1127"/>
        <v>0</v>
      </c>
      <c r="AL7243" s="85"/>
      <c r="AM7243" s="85"/>
    </row>
    <row r="7244" spans="1:39" s="86" customFormat="1" ht="13.25" hidden="1" customHeight="1" x14ac:dyDescent="0.3">
      <c r="A7244" s="89" t="s">
        <v>3978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3767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4057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119"/>
        <v>27069.200000000001</v>
      </c>
      <c r="X7244" s="6">
        <f t="shared" si="1123"/>
        <v>22930.799999999999</v>
      </c>
      <c r="Y7244" s="13">
        <f t="shared" si="1125"/>
        <v>0</v>
      </c>
      <c r="Z7244" s="66">
        <v>0</v>
      </c>
      <c r="AA7244" s="6">
        <v>0</v>
      </c>
      <c r="AB7244" s="4">
        <f t="shared" si="1126"/>
        <v>22930.799999999999</v>
      </c>
      <c r="AC7244" s="6">
        <f t="shared" si="1124"/>
        <v>0</v>
      </c>
      <c r="AD7244" s="6">
        <f t="shared" si="1120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122"/>
        <v>1605.1560000000002</v>
      </c>
      <c r="AG7244" s="14">
        <v>0</v>
      </c>
      <c r="AH7244" s="64">
        <f t="shared" si="1121"/>
        <v>22930.799999999999</v>
      </c>
      <c r="AJ7244" s="126" t="e">
        <v>#N/A</v>
      </c>
      <c r="AK7244" s="80">
        <f t="shared" si="1127"/>
        <v>0</v>
      </c>
      <c r="AL7244" s="85"/>
      <c r="AM7244" s="85"/>
    </row>
    <row r="7245" spans="1:39" s="86" customFormat="1" ht="13.25" hidden="1" customHeight="1" x14ac:dyDescent="0.3">
      <c r="A7245" s="89" t="s">
        <v>3978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3767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119"/>
        <v>14074.099999999999</v>
      </c>
      <c r="X7245" s="6">
        <f t="shared" si="1123"/>
        <v>54981.274509803923</v>
      </c>
      <c r="Y7245" s="13">
        <f t="shared" si="1125"/>
        <v>0</v>
      </c>
      <c r="Z7245" s="66">
        <v>0</v>
      </c>
      <c r="AA7245" s="6">
        <v>0</v>
      </c>
      <c r="AB7245" s="4">
        <f t="shared" si="1126"/>
        <v>54981.274509803923</v>
      </c>
      <c r="AC7245" s="6">
        <f t="shared" si="1124"/>
        <v>1099.6254901960783</v>
      </c>
      <c r="AD7245" s="6">
        <f t="shared" si="1120"/>
        <v>56080.9</v>
      </c>
      <c r="AE7245" s="14">
        <f>VLOOKUP(I7245,[2]媒体政策预估表!A:N,MATCH(O7245,[2]媒体政策预估表!$A$2:$M$2,0),0)</f>
        <v>7.0000000000000007E-2</v>
      </c>
      <c r="AF7245" s="6">
        <f t="shared" si="1122"/>
        <v>3925.6630000000005</v>
      </c>
      <c r="AG7245" s="14">
        <v>0</v>
      </c>
      <c r="AH7245" s="64">
        <f t="shared" si="1121"/>
        <v>56080.9</v>
      </c>
      <c r="AJ7245" s="126" t="e">
        <v>#N/A</v>
      </c>
      <c r="AK7245" s="80">
        <f t="shared" si="1127"/>
        <v>0</v>
      </c>
      <c r="AL7245" s="85"/>
      <c r="AM7245" s="85"/>
    </row>
    <row r="7246" spans="1:39" s="86" customFormat="1" ht="13.25" hidden="1" customHeight="1" x14ac:dyDescent="0.3">
      <c r="A7246" s="89" t="s">
        <v>3978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3767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119"/>
        <v>38191.960000000079</v>
      </c>
      <c r="X7246" s="6">
        <f t="shared" si="1123"/>
        <v>442538.11881188117</v>
      </c>
      <c r="Y7246" s="13">
        <f t="shared" si="1125"/>
        <v>0</v>
      </c>
      <c r="Z7246" s="66">
        <v>0</v>
      </c>
      <c r="AA7246" s="6">
        <v>0</v>
      </c>
      <c r="AB7246" s="4">
        <f t="shared" si="1126"/>
        <v>442538.11881188117</v>
      </c>
      <c r="AC7246" s="6">
        <f t="shared" si="1124"/>
        <v>4425.3811881188303</v>
      </c>
      <c r="AD7246" s="6">
        <f t="shared" si="1120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122"/>
        <v>31287.445000000003</v>
      </c>
      <c r="AG7246" s="14">
        <v>0</v>
      </c>
      <c r="AH7246" s="64">
        <f t="shared" si="1121"/>
        <v>446963.5</v>
      </c>
      <c r="AJ7246" s="126" t="e">
        <v>#N/A</v>
      </c>
      <c r="AK7246" s="80">
        <f t="shared" si="1127"/>
        <v>0</v>
      </c>
      <c r="AL7246" s="85"/>
      <c r="AM7246" s="85"/>
    </row>
    <row r="7247" spans="1:39" s="86" customFormat="1" ht="13.25" hidden="1" customHeight="1" x14ac:dyDescent="0.3">
      <c r="A7247" s="89" t="s">
        <v>3978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3767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119"/>
        <v>105979.6002499999</v>
      </c>
      <c r="X7247" s="6">
        <f t="shared" si="1123"/>
        <v>1105190.5940594058</v>
      </c>
      <c r="Y7247" s="13">
        <f t="shared" si="1125"/>
        <v>0</v>
      </c>
      <c r="Z7247" s="66">
        <v>0</v>
      </c>
      <c r="AA7247" s="6">
        <v>0</v>
      </c>
      <c r="AB7247" s="4">
        <f t="shared" si="1126"/>
        <v>1105190.5940594058</v>
      </c>
      <c r="AC7247" s="6">
        <f t="shared" si="1124"/>
        <v>11051.905940594152</v>
      </c>
      <c r="AD7247" s="6">
        <f t="shared" si="1120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122"/>
        <v>78136.975000000006</v>
      </c>
      <c r="AG7247" s="14">
        <v>0</v>
      </c>
      <c r="AH7247" s="64">
        <f t="shared" si="1121"/>
        <v>1116242.5</v>
      </c>
      <c r="AJ7247" s="126" t="e">
        <v>#N/A</v>
      </c>
      <c r="AK7247" s="80">
        <f t="shared" si="1127"/>
        <v>0</v>
      </c>
      <c r="AL7247" s="85"/>
      <c r="AM7247" s="85"/>
    </row>
    <row r="7248" spans="1:39" s="86" customFormat="1" ht="13.25" hidden="1" customHeight="1" x14ac:dyDescent="0.3">
      <c r="A7248" s="89" t="s">
        <v>3978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3767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119"/>
        <v>2530000</v>
      </c>
      <c r="X7248" s="6">
        <f t="shared" si="1123"/>
        <v>0</v>
      </c>
      <c r="Y7248" s="13">
        <f t="shared" si="1125"/>
        <v>0</v>
      </c>
      <c r="Z7248" s="66">
        <v>0</v>
      </c>
      <c r="AA7248" s="6">
        <v>0</v>
      </c>
      <c r="AB7248" s="4">
        <f t="shared" si="1126"/>
        <v>0</v>
      </c>
      <c r="AC7248" s="6">
        <f t="shared" si="1124"/>
        <v>0</v>
      </c>
      <c r="AD7248" s="6">
        <f t="shared" si="1120"/>
        <v>0</v>
      </c>
      <c r="AE7248" s="14">
        <f>VLOOKUP(I7248,[2]媒体政策预估表!A:N,MATCH(O7248,[2]媒体政策预估表!$A$2:$M$2,0),0)</f>
        <v>7.0000000000000007E-2</v>
      </c>
      <c r="AF7248" s="6">
        <f t="shared" si="1122"/>
        <v>0</v>
      </c>
      <c r="AG7248" s="14">
        <v>0</v>
      </c>
      <c r="AH7248" s="64">
        <f t="shared" si="1121"/>
        <v>0</v>
      </c>
      <c r="AJ7248" s="126" t="e">
        <v>#N/A</v>
      </c>
      <c r="AK7248" s="80">
        <f t="shared" si="1127"/>
        <v>0</v>
      </c>
      <c r="AL7248" s="85"/>
      <c r="AM7248" s="85"/>
    </row>
    <row r="7249" spans="1:39" s="86" customFormat="1" ht="13.25" hidden="1" customHeight="1" x14ac:dyDescent="0.3">
      <c r="A7249" s="89" t="s">
        <v>3792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3767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119"/>
        <v>6571.340000000002</v>
      </c>
      <c r="X7249" s="6">
        <f t="shared" si="1123"/>
        <v>14646.6</v>
      </c>
      <c r="Y7249" s="13">
        <f t="shared" si="1125"/>
        <v>0</v>
      </c>
      <c r="Z7249" s="66">
        <v>0</v>
      </c>
      <c r="AA7249" s="6">
        <v>0</v>
      </c>
      <c r="AB7249" s="4">
        <f t="shared" si="1126"/>
        <v>14646.6</v>
      </c>
      <c r="AC7249" s="6">
        <f t="shared" si="1124"/>
        <v>0</v>
      </c>
      <c r="AD7249" s="6">
        <f t="shared" si="1120"/>
        <v>14646.6</v>
      </c>
      <c r="AE7249" s="14">
        <f>VLOOKUP(I7249,[2]媒体政策预估表!A:N,MATCH(O7249,[2]媒体政策预估表!$A$2:$M$2,0),0)</f>
        <v>7.0000000000000007E-2</v>
      </c>
      <c r="AF7249" s="6">
        <f t="shared" si="1122"/>
        <v>1025.2620000000002</v>
      </c>
      <c r="AG7249" s="14">
        <v>0</v>
      </c>
      <c r="AH7249" s="64">
        <f t="shared" si="1121"/>
        <v>14646.6</v>
      </c>
      <c r="AJ7249" s="126" t="e">
        <v>#N/A</v>
      </c>
      <c r="AK7249" s="80">
        <f t="shared" si="1127"/>
        <v>0</v>
      </c>
      <c r="AL7249" s="85"/>
      <c r="AM7249" s="85"/>
    </row>
    <row r="7250" spans="1:39" s="86" customFormat="1" ht="13.25" hidden="1" customHeight="1" x14ac:dyDescent="0.3">
      <c r="A7250" s="89" t="s">
        <v>3978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3767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119"/>
        <v>375571.89725000039</v>
      </c>
      <c r="X7250" s="6">
        <f t="shared" si="1123"/>
        <v>6915058.2899599997</v>
      </c>
      <c r="Y7250" s="13">
        <f t="shared" si="1125"/>
        <v>0</v>
      </c>
      <c r="Z7250" s="66">
        <v>0</v>
      </c>
      <c r="AA7250" s="6">
        <v>0</v>
      </c>
      <c r="AB7250" s="4">
        <f t="shared" si="1126"/>
        <v>6915058.2899599997</v>
      </c>
      <c r="AC7250" s="6">
        <f t="shared" si="1124"/>
        <v>0</v>
      </c>
      <c r="AD7250" s="6">
        <f t="shared" si="1120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122"/>
        <v>484054.08029720001</v>
      </c>
      <c r="AG7250" s="14">
        <v>0</v>
      </c>
      <c r="AH7250" s="64">
        <f t="shared" si="1121"/>
        <v>6915058.2899599997</v>
      </c>
      <c r="AJ7250" s="126" t="e">
        <v>#N/A</v>
      </c>
      <c r="AK7250" s="80">
        <f t="shared" si="1127"/>
        <v>0</v>
      </c>
      <c r="AL7250" s="85"/>
      <c r="AM7250" s="85"/>
    </row>
    <row r="7251" spans="1:39" s="86" customFormat="1" ht="13.25" hidden="1" customHeight="1" x14ac:dyDescent="0.3">
      <c r="A7251" s="89" t="s">
        <v>3978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3767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119"/>
        <v>36510</v>
      </c>
      <c r="X7251" s="6">
        <f t="shared" si="1123"/>
        <v>339928</v>
      </c>
      <c r="Y7251" s="13">
        <f t="shared" si="1125"/>
        <v>0</v>
      </c>
      <c r="Z7251" s="66">
        <v>0</v>
      </c>
      <c r="AA7251" s="6">
        <v>0</v>
      </c>
      <c r="AB7251" s="4">
        <f t="shared" si="1126"/>
        <v>339928</v>
      </c>
      <c r="AC7251" s="6">
        <f t="shared" si="1124"/>
        <v>0</v>
      </c>
      <c r="AD7251" s="6">
        <f t="shared" si="1120"/>
        <v>339928</v>
      </c>
      <c r="AE7251" s="14">
        <f>VLOOKUP(I7251,[2]媒体政策预估表!A:N,MATCH(O7251,[2]媒体政策预估表!$A$2:$M$2,0),0)</f>
        <v>7.0000000000000007E-2</v>
      </c>
      <c r="AF7251" s="6">
        <f t="shared" si="1122"/>
        <v>23794.960000000003</v>
      </c>
      <c r="AG7251" s="14">
        <v>0</v>
      </c>
      <c r="AH7251" s="64">
        <f t="shared" si="1121"/>
        <v>339928</v>
      </c>
      <c r="AJ7251" s="126" t="e">
        <v>#N/A</v>
      </c>
      <c r="AK7251" s="80">
        <f t="shared" si="1127"/>
        <v>0</v>
      </c>
      <c r="AL7251" s="85"/>
      <c r="AM7251" s="85"/>
    </row>
    <row r="7252" spans="1:39" s="86" customFormat="1" ht="13.25" hidden="1" customHeight="1" x14ac:dyDescent="0.3">
      <c r="A7252" s="89" t="s">
        <v>3978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3767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119"/>
        <v>30431.20000000007</v>
      </c>
      <c r="X7252" s="6">
        <f t="shared" si="1123"/>
        <v>282510.09999999998</v>
      </c>
      <c r="Y7252" s="13">
        <f t="shared" si="1125"/>
        <v>0</v>
      </c>
      <c r="Z7252" s="66">
        <v>0</v>
      </c>
      <c r="AA7252" s="6">
        <v>0</v>
      </c>
      <c r="AB7252" s="4">
        <f t="shared" si="1126"/>
        <v>282510.09999999998</v>
      </c>
      <c r="AC7252" s="6">
        <f t="shared" si="1124"/>
        <v>0</v>
      </c>
      <c r="AD7252" s="6">
        <f t="shared" si="1120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122"/>
        <v>19775.706999999999</v>
      </c>
      <c r="AG7252" s="14">
        <v>0</v>
      </c>
      <c r="AH7252" s="64">
        <f t="shared" si="1121"/>
        <v>282510.09999999998</v>
      </c>
      <c r="AJ7252" s="126" t="e">
        <v>#N/A</v>
      </c>
      <c r="AK7252" s="80">
        <f t="shared" si="1127"/>
        <v>0</v>
      </c>
      <c r="AL7252" s="85"/>
      <c r="AM7252" s="85"/>
    </row>
    <row r="7253" spans="1:39" s="86" customFormat="1" ht="13.25" hidden="1" customHeight="1" x14ac:dyDescent="0.3">
      <c r="A7253" s="89" t="s">
        <v>3978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3767</v>
      </c>
      <c r="L7253" s="47" t="s">
        <v>35</v>
      </c>
      <c r="M7253" s="86" t="s">
        <v>4058</v>
      </c>
      <c r="O7253" s="47" t="s">
        <v>410</v>
      </c>
      <c r="P7253" s="47" t="s">
        <v>41</v>
      </c>
      <c r="Q7253" s="14">
        <v>0</v>
      </c>
      <c r="R7253" s="143" t="s">
        <v>4059</v>
      </c>
      <c r="S7253" s="47"/>
      <c r="T7253" s="6">
        <v>0</v>
      </c>
      <c r="U7253" s="6">
        <v>40000</v>
      </c>
      <c r="V7253" s="6">
        <v>13424.7</v>
      </c>
      <c r="W7253" s="6">
        <f t="shared" si="1119"/>
        <v>26575.3</v>
      </c>
      <c r="X7253" s="6">
        <f t="shared" si="1123"/>
        <v>13424.7</v>
      </c>
      <c r="Y7253" s="13">
        <f t="shared" si="1125"/>
        <v>0</v>
      </c>
      <c r="Z7253" s="66">
        <v>0</v>
      </c>
      <c r="AA7253" s="6">
        <v>0</v>
      </c>
      <c r="AB7253" s="4">
        <f t="shared" si="1126"/>
        <v>13424.7</v>
      </c>
      <c r="AC7253" s="6">
        <f t="shared" si="1124"/>
        <v>0</v>
      </c>
      <c r="AD7253" s="6">
        <f t="shared" si="1120"/>
        <v>13424.7</v>
      </c>
      <c r="AE7253" s="14">
        <f>VLOOKUP(I7253,[2]媒体政策预估表!A:N,MATCH(O7253,[2]媒体政策预估表!$A$2:$M$2,0),0)</f>
        <v>7.0000000000000007E-2</v>
      </c>
      <c r="AF7253" s="6">
        <f t="shared" si="1122"/>
        <v>939.72900000000016</v>
      </c>
      <c r="AG7253" s="14">
        <v>0</v>
      </c>
      <c r="AH7253" s="64">
        <f t="shared" si="1121"/>
        <v>13424.7</v>
      </c>
      <c r="AJ7253" s="126" t="e">
        <v>#N/A</v>
      </c>
      <c r="AK7253" s="80">
        <f t="shared" si="1127"/>
        <v>0</v>
      </c>
      <c r="AL7253" s="85"/>
      <c r="AM7253" s="85"/>
    </row>
    <row r="7254" spans="1:39" s="86" customFormat="1" ht="13.25" hidden="1" customHeight="1" x14ac:dyDescent="0.3">
      <c r="A7254" s="89" t="s">
        <v>3978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3767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119"/>
        <v>26557.849999999991</v>
      </c>
      <c r="X7254" s="6">
        <f t="shared" si="1123"/>
        <v>58327.647058823524</v>
      </c>
      <c r="Y7254" s="13">
        <f t="shared" si="1125"/>
        <v>0</v>
      </c>
      <c r="Z7254" s="66">
        <v>0</v>
      </c>
      <c r="AA7254" s="6">
        <v>0</v>
      </c>
      <c r="AB7254" s="4">
        <f t="shared" si="1126"/>
        <v>58327.647058823524</v>
      </c>
      <c r="AC7254" s="6">
        <f t="shared" si="1124"/>
        <v>1166.5529411764728</v>
      </c>
      <c r="AD7254" s="6">
        <f t="shared" si="1120"/>
        <v>59494.2</v>
      </c>
      <c r="AE7254" s="14">
        <f>VLOOKUP(I7254,[2]媒体政策预估表!A:N,MATCH(O7254,[2]媒体政策预估表!$A$2:$M$2,0),0)</f>
        <v>7.0000000000000007E-2</v>
      </c>
      <c r="AF7254" s="6">
        <f t="shared" si="1122"/>
        <v>4164.5940000000001</v>
      </c>
      <c r="AG7254" s="14">
        <v>0</v>
      </c>
      <c r="AH7254" s="64">
        <f t="shared" si="1121"/>
        <v>59494.2</v>
      </c>
      <c r="AJ7254" s="126" t="e">
        <v>#N/A</v>
      </c>
      <c r="AK7254" s="80">
        <f t="shared" si="1127"/>
        <v>0</v>
      </c>
      <c r="AL7254" s="85"/>
      <c r="AM7254" s="85"/>
    </row>
    <row r="7255" spans="1:39" s="86" customFormat="1" ht="13.25" hidden="1" customHeight="1" x14ac:dyDescent="0.3">
      <c r="A7255" s="89" t="s">
        <v>3978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3767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4060</v>
      </c>
      <c r="S7255" s="47"/>
      <c r="T7255" s="6">
        <v>0</v>
      </c>
      <c r="U7255" s="6">
        <v>10000</v>
      </c>
      <c r="V7255" s="6">
        <v>5761.6</v>
      </c>
      <c r="W7255" s="6">
        <f t="shared" si="1119"/>
        <v>4238.3999999999996</v>
      </c>
      <c r="X7255" s="6">
        <f t="shared" si="1123"/>
        <v>5761.6</v>
      </c>
      <c r="Y7255" s="13">
        <f t="shared" si="1125"/>
        <v>0</v>
      </c>
      <c r="Z7255" s="66">
        <v>0</v>
      </c>
      <c r="AA7255" s="6">
        <v>0</v>
      </c>
      <c r="AB7255" s="4"/>
      <c r="AC7255" s="6">
        <f t="shared" si="1124"/>
        <v>0</v>
      </c>
      <c r="AD7255" s="6">
        <f t="shared" si="1120"/>
        <v>5761.6</v>
      </c>
      <c r="AE7255" s="14">
        <f>VLOOKUP(I7255,[2]媒体政策预估表!A:N,MATCH(O7255,[2]媒体政策预估表!$A$2:$M$2,0),0)</f>
        <v>7.0000000000000007E-2</v>
      </c>
      <c r="AF7255" s="6">
        <f t="shared" si="1122"/>
        <v>403.31200000000007</v>
      </c>
      <c r="AG7255" s="14">
        <v>0</v>
      </c>
      <c r="AH7255" s="64">
        <f t="shared" si="1121"/>
        <v>5761.6</v>
      </c>
      <c r="AJ7255" s="126">
        <v>112</v>
      </c>
      <c r="AK7255" s="80">
        <f t="shared" si="1127"/>
        <v>5761.6</v>
      </c>
      <c r="AL7255" s="85"/>
      <c r="AM7255" s="85"/>
    </row>
    <row r="7256" spans="1:39" s="86" customFormat="1" ht="13.25" hidden="1" customHeight="1" x14ac:dyDescent="0.3">
      <c r="A7256" s="89" t="s">
        <v>3978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3767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119"/>
        <v>15408.87999999999</v>
      </c>
      <c r="X7256" s="6">
        <f t="shared" si="1123"/>
        <v>62344.235294117658</v>
      </c>
      <c r="Y7256" s="13">
        <f t="shared" si="1125"/>
        <v>0</v>
      </c>
      <c r="Z7256" s="66">
        <v>0</v>
      </c>
      <c r="AA7256" s="6">
        <v>0</v>
      </c>
      <c r="AB7256" s="4">
        <f t="shared" si="1126"/>
        <v>62344.235294117658</v>
      </c>
      <c r="AC7256" s="6">
        <f t="shared" si="1124"/>
        <v>1246.8847058823521</v>
      </c>
      <c r="AD7256" s="6">
        <f t="shared" si="1120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122"/>
        <v>4451.3784000000014</v>
      </c>
      <c r="AG7256" s="14">
        <v>0</v>
      </c>
      <c r="AH7256" s="64">
        <f t="shared" si="1121"/>
        <v>63591.12000000001</v>
      </c>
      <c r="AJ7256" s="126" t="e">
        <v>#N/A</v>
      </c>
      <c r="AK7256" s="80">
        <f t="shared" si="1127"/>
        <v>0</v>
      </c>
      <c r="AL7256" s="85"/>
      <c r="AM7256" s="85"/>
    </row>
    <row r="7257" spans="1:39" s="86" customFormat="1" ht="13.25" hidden="1" customHeight="1" x14ac:dyDescent="0.3">
      <c r="A7257" s="89" t="s">
        <v>3978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3767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128">T7257+U7257-V7257</f>
        <v>2349.0800000000017</v>
      </c>
      <c r="X7257" s="6">
        <f t="shared" si="1123"/>
        <v>16390.784313725489</v>
      </c>
      <c r="Y7257" s="13">
        <f t="shared" si="1125"/>
        <v>0</v>
      </c>
      <c r="Z7257" s="66">
        <v>0</v>
      </c>
      <c r="AA7257" s="6">
        <v>0</v>
      </c>
      <c r="AB7257" s="4">
        <f t="shared" si="1126"/>
        <v>16390.784313725489</v>
      </c>
      <c r="AC7257" s="6">
        <f t="shared" si="1124"/>
        <v>327.81568627450906</v>
      </c>
      <c r="AD7257" s="6">
        <f t="shared" ref="AD7257:AD7320" si="1129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122"/>
        <v>1170.3019999999999</v>
      </c>
      <c r="AG7257" s="14">
        <v>0</v>
      </c>
      <c r="AH7257" s="64">
        <f t="shared" ref="AH7257:AH7320" si="1130">V7257</f>
        <v>16718.599999999999</v>
      </c>
      <c r="AJ7257" s="126" t="e">
        <v>#N/A</v>
      </c>
      <c r="AK7257" s="80">
        <f t="shared" si="1127"/>
        <v>0</v>
      </c>
      <c r="AL7257" s="85"/>
      <c r="AM7257" s="85"/>
    </row>
    <row r="7258" spans="1:39" s="86" customFormat="1" ht="13.25" hidden="1" customHeight="1" x14ac:dyDescent="0.3">
      <c r="A7258" s="89" t="s">
        <v>3978</v>
      </c>
      <c r="B7258" s="86" t="s">
        <v>35</v>
      </c>
      <c r="C7258" s="86" t="s">
        <v>144</v>
      </c>
      <c r="D7258" s="86" t="s">
        <v>161</v>
      </c>
      <c r="E7258" s="86" t="s">
        <v>4061</v>
      </c>
      <c r="F7258" s="86" t="s">
        <v>4061</v>
      </c>
      <c r="G7258" s="86" t="s">
        <v>4061</v>
      </c>
      <c r="H7258" s="144">
        <v>360</v>
      </c>
      <c r="I7258" s="86" t="s">
        <v>1060</v>
      </c>
      <c r="J7258" s="47" t="s">
        <v>3325</v>
      </c>
      <c r="K7258" s="47" t="s">
        <v>3767</v>
      </c>
      <c r="L7258" s="47" t="s">
        <v>35</v>
      </c>
      <c r="M7258" s="86" t="s">
        <v>4061</v>
      </c>
      <c r="O7258" s="47" t="s">
        <v>410</v>
      </c>
      <c r="P7258" s="47" t="s">
        <v>46</v>
      </c>
      <c r="Q7258" s="14">
        <v>0.02</v>
      </c>
      <c r="R7258" s="143" t="s">
        <v>4062</v>
      </c>
      <c r="S7258" s="47"/>
      <c r="T7258" s="6">
        <v>0</v>
      </c>
      <c r="U7258" s="6">
        <v>30000</v>
      </c>
      <c r="V7258" s="6">
        <v>14189.7</v>
      </c>
      <c r="W7258" s="6">
        <f t="shared" si="1128"/>
        <v>15810.3</v>
      </c>
      <c r="X7258" s="6">
        <f t="shared" si="1123"/>
        <v>13911.470588235294</v>
      </c>
      <c r="Y7258" s="13">
        <f t="shared" si="1125"/>
        <v>0</v>
      </c>
      <c r="Z7258" s="66">
        <v>0</v>
      </c>
      <c r="AA7258" s="6">
        <v>0</v>
      </c>
      <c r="AB7258" s="4">
        <f t="shared" si="1126"/>
        <v>13911.470588235294</v>
      </c>
      <c r="AC7258" s="6">
        <f t="shared" si="1124"/>
        <v>278.22941176470704</v>
      </c>
      <c r="AD7258" s="6">
        <f t="shared" si="1129"/>
        <v>14189.7</v>
      </c>
      <c r="AE7258" s="14">
        <f>VLOOKUP(I7258,[2]媒体政策预估表!A:N,MATCH(O7258,[2]媒体政策预估表!$A$2:$M$2,0),0)</f>
        <v>7.0000000000000007E-2</v>
      </c>
      <c r="AF7258" s="6">
        <f t="shared" si="1122"/>
        <v>993.27900000000011</v>
      </c>
      <c r="AG7258" s="14">
        <v>0</v>
      </c>
      <c r="AH7258" s="64">
        <f t="shared" si="1130"/>
        <v>14189.7</v>
      </c>
      <c r="AJ7258" s="126" t="e">
        <v>#N/A</v>
      </c>
      <c r="AK7258" s="80">
        <f t="shared" si="1127"/>
        <v>0</v>
      </c>
      <c r="AL7258" s="85"/>
      <c r="AM7258" s="85"/>
    </row>
    <row r="7259" spans="1:39" s="86" customFormat="1" ht="13.25" hidden="1" customHeight="1" x14ac:dyDescent="0.3">
      <c r="A7259" s="89" t="s">
        <v>3978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3767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128"/>
        <v>1145289.76893</v>
      </c>
      <c r="X7259" s="6">
        <f t="shared" si="1123"/>
        <v>441.55576470588238</v>
      </c>
      <c r="Y7259" s="13">
        <f t="shared" si="1125"/>
        <v>0</v>
      </c>
      <c r="Z7259" s="66">
        <v>0</v>
      </c>
      <c r="AA7259" s="6">
        <v>0</v>
      </c>
      <c r="AB7259" s="4">
        <f t="shared" si="1126"/>
        <v>441.55576470588238</v>
      </c>
      <c r="AC7259" s="6">
        <f t="shared" si="1124"/>
        <v>8.8311152941176374</v>
      </c>
      <c r="AD7259" s="6">
        <f t="shared" si="1129"/>
        <v>450.38688000000002</v>
      </c>
      <c r="AE7259" s="14">
        <f>VLOOKUP(I7259,[2]媒体政策预估表!A:N,MATCH(O7259,[2]媒体政策预估表!$A$2:$M$2,0),0)</f>
        <v>0.1</v>
      </c>
      <c r="AF7259" s="6">
        <f t="shared" si="1122"/>
        <v>45.038688000000008</v>
      </c>
      <c r="AG7259" s="14">
        <v>0</v>
      </c>
      <c r="AH7259" s="64">
        <f t="shared" si="1130"/>
        <v>450.38688000000002</v>
      </c>
      <c r="AJ7259" s="126" t="e">
        <v>#N/A</v>
      </c>
      <c r="AK7259" s="80">
        <f t="shared" si="1127"/>
        <v>0</v>
      </c>
      <c r="AL7259" s="85"/>
      <c r="AM7259" s="85"/>
    </row>
    <row r="7260" spans="1:39" s="86" customFormat="1" ht="13.25" hidden="1" customHeight="1" x14ac:dyDescent="0.3">
      <c r="A7260" s="89" t="s">
        <v>3978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3767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128"/>
        <v>1559087.898779999</v>
      </c>
      <c r="X7260" s="6">
        <f t="shared" si="1123"/>
        <v>4104632.846852941</v>
      </c>
      <c r="Y7260" s="13">
        <f t="shared" si="1125"/>
        <v>0</v>
      </c>
      <c r="Z7260" s="66">
        <v>0</v>
      </c>
      <c r="AA7260" s="6">
        <v>0</v>
      </c>
      <c r="AB7260" s="4">
        <f t="shared" si="1126"/>
        <v>4104632.846852941</v>
      </c>
      <c r="AC7260" s="6">
        <f t="shared" si="1124"/>
        <v>82092.656937059015</v>
      </c>
      <c r="AD7260" s="6">
        <f t="shared" si="1129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122"/>
        <v>293070.78526530002</v>
      </c>
      <c r="AG7260" s="14">
        <v>0</v>
      </c>
      <c r="AH7260" s="64">
        <f t="shared" si="1130"/>
        <v>4186725.50379</v>
      </c>
      <c r="AJ7260" s="126" t="e">
        <v>#N/A</v>
      </c>
      <c r="AK7260" s="80">
        <f t="shared" si="1127"/>
        <v>0</v>
      </c>
      <c r="AL7260" s="85"/>
      <c r="AM7260" s="85"/>
    </row>
    <row r="7261" spans="1:39" s="86" customFormat="1" ht="13.25" hidden="1" customHeight="1" x14ac:dyDescent="0.3">
      <c r="A7261" s="89" t="s">
        <v>3978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3767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128"/>
        <v>121250.70000000004</v>
      </c>
      <c r="X7261" s="6">
        <f t="shared" si="1123"/>
        <v>138039.41666666666</v>
      </c>
      <c r="Y7261" s="13">
        <f t="shared" si="1125"/>
        <v>0</v>
      </c>
      <c r="Z7261" s="66">
        <v>0</v>
      </c>
      <c r="AA7261" s="6">
        <v>0</v>
      </c>
      <c r="AB7261" s="4">
        <f t="shared" si="1126"/>
        <v>138039.41666666666</v>
      </c>
      <c r="AC7261" s="6">
        <f t="shared" si="1124"/>
        <v>2760.7883333333302</v>
      </c>
      <c r="AD7261" s="6">
        <f t="shared" si="1129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122"/>
        <v>9856.0143499999995</v>
      </c>
      <c r="AG7261" s="14">
        <v>0</v>
      </c>
      <c r="AH7261" s="64">
        <f t="shared" si="1130"/>
        <v>140800.20499999999</v>
      </c>
      <c r="AJ7261" s="126" t="e">
        <v>#N/A</v>
      </c>
      <c r="AK7261" s="80">
        <f t="shared" si="1127"/>
        <v>0</v>
      </c>
      <c r="AL7261" s="85"/>
      <c r="AM7261" s="85"/>
    </row>
    <row r="7262" spans="1:39" s="86" customFormat="1" ht="13.25" hidden="1" customHeight="1" x14ac:dyDescent="0.3">
      <c r="A7262" s="89" t="s">
        <v>3978</v>
      </c>
      <c r="B7262" s="86" t="s">
        <v>35</v>
      </c>
      <c r="C7262" s="86" t="s">
        <v>144</v>
      </c>
      <c r="D7262" s="86" t="s">
        <v>161</v>
      </c>
      <c r="E7262" s="86" t="s">
        <v>4063</v>
      </c>
      <c r="F7262" s="86" t="s">
        <v>4063</v>
      </c>
      <c r="G7262" s="86" t="s">
        <v>4063</v>
      </c>
      <c r="H7262" s="144">
        <v>360</v>
      </c>
      <c r="I7262" s="86" t="s">
        <v>1060</v>
      </c>
      <c r="J7262" s="47" t="s">
        <v>3325</v>
      </c>
      <c r="K7262" s="47" t="s">
        <v>3767</v>
      </c>
      <c r="L7262" s="47" t="s">
        <v>35</v>
      </c>
      <c r="M7262" s="86" t="s">
        <v>4064</v>
      </c>
      <c r="O7262" s="47" t="s">
        <v>410</v>
      </c>
      <c r="P7262" s="47" t="s">
        <v>46</v>
      </c>
      <c r="Q7262" s="14">
        <v>0.02</v>
      </c>
      <c r="R7262" s="143" t="s">
        <v>4065</v>
      </c>
      <c r="S7262" s="47"/>
      <c r="T7262" s="6">
        <v>0</v>
      </c>
      <c r="U7262" s="6">
        <v>30000</v>
      </c>
      <c r="V7262" s="6">
        <v>19584.2</v>
      </c>
      <c r="W7262" s="6">
        <f t="shared" si="1128"/>
        <v>10415.799999999999</v>
      </c>
      <c r="X7262" s="6">
        <f t="shared" si="1123"/>
        <v>19200.196078431374</v>
      </c>
      <c r="Y7262" s="13">
        <f t="shared" si="1125"/>
        <v>0</v>
      </c>
      <c r="Z7262" s="66">
        <v>0</v>
      </c>
      <c r="AA7262" s="6">
        <v>0</v>
      </c>
      <c r="AB7262" s="4">
        <f t="shared" si="1126"/>
        <v>19200.196078431374</v>
      </c>
      <c r="AC7262" s="6">
        <f t="shared" si="1124"/>
        <v>384.00392156862654</v>
      </c>
      <c r="AD7262" s="6">
        <f t="shared" si="1129"/>
        <v>19584.2</v>
      </c>
      <c r="AE7262" s="14">
        <f>VLOOKUP(I7262,[2]媒体政策预估表!A:N,MATCH(O7262,[2]媒体政策预估表!$A$2:$M$2,0),0)</f>
        <v>7.0000000000000007E-2</v>
      </c>
      <c r="AF7262" s="6">
        <f t="shared" si="1122"/>
        <v>1370.8940000000002</v>
      </c>
      <c r="AG7262" s="14">
        <v>0</v>
      </c>
      <c r="AH7262" s="64">
        <f t="shared" si="1130"/>
        <v>19584.2</v>
      </c>
      <c r="AJ7262" s="126" t="e">
        <v>#N/A</v>
      </c>
      <c r="AK7262" s="80">
        <f t="shared" si="1127"/>
        <v>0</v>
      </c>
      <c r="AL7262" s="85"/>
      <c r="AM7262" s="85"/>
    </row>
    <row r="7263" spans="1:39" s="86" customFormat="1" ht="13.25" hidden="1" customHeight="1" x14ac:dyDescent="0.3">
      <c r="A7263" s="89" t="s">
        <v>3978</v>
      </c>
      <c r="B7263" s="86" t="s">
        <v>35</v>
      </c>
      <c r="C7263" s="86" t="s">
        <v>144</v>
      </c>
      <c r="D7263" s="86" t="s">
        <v>161</v>
      </c>
      <c r="E7263" s="86" t="s">
        <v>4063</v>
      </c>
      <c r="F7263" s="86" t="s">
        <v>4063</v>
      </c>
      <c r="G7263" s="86" t="s">
        <v>4063</v>
      </c>
      <c r="H7263" s="144">
        <v>360</v>
      </c>
      <c r="I7263" s="86" t="s">
        <v>1060</v>
      </c>
      <c r="J7263" s="47" t="s">
        <v>3325</v>
      </c>
      <c r="K7263" s="47" t="s">
        <v>3767</v>
      </c>
      <c r="L7263" s="47" t="s">
        <v>35</v>
      </c>
      <c r="M7263" s="86" t="s">
        <v>4066</v>
      </c>
      <c r="O7263" s="47" t="s">
        <v>410</v>
      </c>
      <c r="P7263" s="47" t="s">
        <v>46</v>
      </c>
      <c r="Q7263" s="14">
        <v>0.02</v>
      </c>
      <c r="R7263" s="143" t="s">
        <v>4067</v>
      </c>
      <c r="S7263" s="47"/>
      <c r="T7263" s="6">
        <v>0</v>
      </c>
      <c r="U7263" s="6">
        <v>10000</v>
      </c>
      <c r="V7263" s="6">
        <v>9515.01</v>
      </c>
      <c r="W7263" s="6">
        <f t="shared" si="1128"/>
        <v>484.98999999999978</v>
      </c>
      <c r="X7263" s="6">
        <f t="shared" si="1123"/>
        <v>9328.4411764705874</v>
      </c>
      <c r="Y7263" s="13">
        <f t="shared" si="1125"/>
        <v>0</v>
      </c>
      <c r="Z7263" s="66">
        <v>0</v>
      </c>
      <c r="AA7263" s="6">
        <v>0</v>
      </c>
      <c r="AB7263" s="4">
        <f t="shared" si="1126"/>
        <v>9328.4411764705874</v>
      </c>
      <c r="AC7263" s="6">
        <f t="shared" si="1124"/>
        <v>186.56882352941284</v>
      </c>
      <c r="AD7263" s="6">
        <f t="shared" si="1129"/>
        <v>9515.01</v>
      </c>
      <c r="AE7263" s="14">
        <f>VLOOKUP(I7263,[2]媒体政策预估表!A:N,MATCH(O7263,[2]媒体政策预估表!$A$2:$M$2,0),0)</f>
        <v>7.0000000000000007E-2</v>
      </c>
      <c r="AF7263" s="6">
        <f t="shared" si="1122"/>
        <v>666.05070000000012</v>
      </c>
      <c r="AG7263" s="14">
        <v>0</v>
      </c>
      <c r="AH7263" s="64">
        <f t="shared" si="1130"/>
        <v>9515.01</v>
      </c>
      <c r="AJ7263" s="126" t="e">
        <v>#N/A</v>
      </c>
      <c r="AK7263" s="80">
        <f t="shared" si="1127"/>
        <v>0</v>
      </c>
      <c r="AL7263" s="85"/>
      <c r="AM7263" s="85"/>
    </row>
    <row r="7264" spans="1:39" s="86" customFormat="1" ht="13.25" hidden="1" customHeight="1" x14ac:dyDescent="0.3">
      <c r="A7264" s="89" t="s">
        <v>3978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3767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128"/>
        <v>10329.700000000012</v>
      </c>
      <c r="X7264" s="6">
        <f t="shared" si="1123"/>
        <v>135806.39999999999</v>
      </c>
      <c r="Y7264" s="13">
        <f t="shared" si="1125"/>
        <v>0</v>
      </c>
      <c r="Z7264" s="66">
        <v>0</v>
      </c>
      <c r="AA7264" s="6">
        <v>0</v>
      </c>
      <c r="AB7264" s="4">
        <f t="shared" si="1126"/>
        <v>135806.39999999999</v>
      </c>
      <c r="AC7264" s="6">
        <f t="shared" si="1124"/>
        <v>0</v>
      </c>
      <c r="AD7264" s="6">
        <f t="shared" si="1129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122"/>
        <v>9506.4480000000003</v>
      </c>
      <c r="AG7264" s="14">
        <v>0</v>
      </c>
      <c r="AH7264" s="64">
        <f t="shared" si="1130"/>
        <v>135806.39999999999</v>
      </c>
      <c r="AJ7264" s="126" t="e">
        <v>#N/A</v>
      </c>
      <c r="AK7264" s="80">
        <f t="shared" si="1127"/>
        <v>0</v>
      </c>
      <c r="AL7264" s="85"/>
      <c r="AM7264" s="85"/>
    </row>
    <row r="7265" spans="1:39" s="86" customFormat="1" ht="13.25" hidden="1" customHeight="1" x14ac:dyDescent="0.3">
      <c r="A7265" s="89" t="s">
        <v>3978</v>
      </c>
      <c r="B7265" s="86" t="s">
        <v>35</v>
      </c>
      <c r="C7265" s="86" t="s">
        <v>144</v>
      </c>
      <c r="D7265" s="86" t="s">
        <v>161</v>
      </c>
      <c r="E7265" s="86" t="s">
        <v>3759</v>
      </c>
      <c r="F7265" s="86" t="s">
        <v>3759</v>
      </c>
      <c r="G7265" s="86" t="s">
        <v>3759</v>
      </c>
      <c r="H7265" s="143">
        <v>360</v>
      </c>
      <c r="I7265" s="86" t="s">
        <v>1060</v>
      </c>
      <c r="J7265" s="47" t="s">
        <v>3325</v>
      </c>
      <c r="K7265" s="47" t="s">
        <v>3767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128"/>
        <v>-6953.7</v>
      </c>
      <c r="X7265" s="6">
        <f t="shared" si="1123"/>
        <v>0</v>
      </c>
      <c r="Y7265" s="13">
        <f t="shared" si="1125"/>
        <v>0</v>
      </c>
      <c r="Z7265" s="66">
        <v>0</v>
      </c>
      <c r="AA7265" s="6">
        <v>0</v>
      </c>
      <c r="AB7265" s="4">
        <f t="shared" si="1126"/>
        <v>0</v>
      </c>
      <c r="AC7265" s="6">
        <f t="shared" si="1124"/>
        <v>0</v>
      </c>
      <c r="AD7265" s="6">
        <f t="shared" si="1129"/>
        <v>0</v>
      </c>
      <c r="AE7265" s="14">
        <f>VLOOKUP(I7265,[2]媒体政策预估表!A:N,MATCH(O7265,[2]媒体政策预估表!$A$2:$M$2,0),0)</f>
        <v>7.0000000000000007E-2</v>
      </c>
      <c r="AF7265" s="6">
        <f t="shared" si="1122"/>
        <v>0</v>
      </c>
      <c r="AG7265" s="14">
        <v>0</v>
      </c>
      <c r="AH7265" s="64">
        <f t="shared" si="1130"/>
        <v>0</v>
      </c>
      <c r="AJ7265" s="126" t="e">
        <v>#N/A</v>
      </c>
      <c r="AK7265" s="80">
        <f t="shared" si="1127"/>
        <v>0</v>
      </c>
      <c r="AL7265" s="85"/>
      <c r="AM7265" s="85"/>
    </row>
    <row r="7266" spans="1:39" s="86" customFormat="1" ht="13.25" hidden="1" customHeight="1" x14ac:dyDescent="0.3">
      <c r="A7266" s="89" t="s">
        <v>3978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3767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128"/>
        <v>17986.049999999988</v>
      </c>
      <c r="X7266" s="6">
        <f t="shared" si="1123"/>
        <v>214444.21568627452</v>
      </c>
      <c r="Y7266" s="13">
        <f t="shared" si="1125"/>
        <v>0</v>
      </c>
      <c r="Z7266" s="66">
        <v>0</v>
      </c>
      <c r="AA7266" s="6">
        <v>0</v>
      </c>
      <c r="AB7266" s="4">
        <f t="shared" si="1126"/>
        <v>214444.21568627452</v>
      </c>
      <c r="AC7266" s="6">
        <f t="shared" si="1124"/>
        <v>4288.884313725488</v>
      </c>
      <c r="AD7266" s="6">
        <f t="shared" si="1129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122"/>
        <v>15311.317000000003</v>
      </c>
      <c r="AG7266" s="14">
        <v>0</v>
      </c>
      <c r="AH7266" s="64">
        <f t="shared" si="1130"/>
        <v>218733.1</v>
      </c>
      <c r="AJ7266" s="126" t="e">
        <v>#N/A</v>
      </c>
      <c r="AK7266" s="80">
        <f t="shared" si="1127"/>
        <v>0</v>
      </c>
      <c r="AL7266" s="85"/>
      <c r="AM7266" s="85"/>
    </row>
    <row r="7267" spans="1:39" s="86" customFormat="1" ht="13.25" hidden="1" customHeight="1" x14ac:dyDescent="0.3">
      <c r="A7267" s="89" t="s">
        <v>3978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3767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128"/>
        <v>5910.1000000000058</v>
      </c>
      <c r="X7267" s="6">
        <f t="shared" si="1123"/>
        <v>51789.7</v>
      </c>
      <c r="Y7267" s="13">
        <f t="shared" si="1125"/>
        <v>0</v>
      </c>
      <c r="Z7267" s="66">
        <v>0</v>
      </c>
      <c r="AA7267" s="6">
        <v>0</v>
      </c>
      <c r="AB7267" s="4">
        <f t="shared" si="1126"/>
        <v>51789.7</v>
      </c>
      <c r="AC7267" s="6">
        <f t="shared" si="1124"/>
        <v>0</v>
      </c>
      <c r="AD7267" s="6">
        <f t="shared" si="1129"/>
        <v>51789.7</v>
      </c>
      <c r="AE7267" s="14">
        <f>VLOOKUP(I7267,[2]媒体政策预估表!A:N,MATCH(O7267,[2]媒体政策预估表!$A$2:$M$2,0),0)</f>
        <v>7.0000000000000007E-2</v>
      </c>
      <c r="AF7267" s="6">
        <f t="shared" si="1122"/>
        <v>3625.279</v>
      </c>
      <c r="AG7267" s="14">
        <v>0</v>
      </c>
      <c r="AH7267" s="64">
        <f t="shared" si="1130"/>
        <v>51789.7</v>
      </c>
      <c r="AJ7267" s="126" t="e">
        <v>#N/A</v>
      </c>
      <c r="AK7267" s="80">
        <f t="shared" si="1127"/>
        <v>0</v>
      </c>
      <c r="AL7267" s="85"/>
      <c r="AM7267" s="85"/>
    </row>
    <row r="7268" spans="1:39" s="86" customFormat="1" ht="13.25" hidden="1" customHeight="1" x14ac:dyDescent="0.3">
      <c r="A7268" s="89" t="s">
        <v>3978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3767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128"/>
        <v>11389.200000000012</v>
      </c>
      <c r="X7268" s="6">
        <f t="shared" si="1123"/>
        <v>95104.4</v>
      </c>
      <c r="Y7268" s="13">
        <f t="shared" si="1125"/>
        <v>0</v>
      </c>
      <c r="Z7268" s="66">
        <v>0</v>
      </c>
      <c r="AA7268" s="6">
        <v>0</v>
      </c>
      <c r="AB7268" s="4">
        <f t="shared" si="1126"/>
        <v>95104.4</v>
      </c>
      <c r="AC7268" s="6">
        <f t="shared" si="1124"/>
        <v>0</v>
      </c>
      <c r="AD7268" s="6">
        <f t="shared" si="1129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131">AD7268*AE7268</f>
        <v>6657.308</v>
      </c>
      <c r="AG7268" s="14">
        <v>0</v>
      </c>
      <c r="AH7268" s="64">
        <f t="shared" si="1130"/>
        <v>95104.4</v>
      </c>
      <c r="AJ7268" s="126" t="e">
        <v>#N/A</v>
      </c>
      <c r="AK7268" s="80">
        <f t="shared" si="1127"/>
        <v>0</v>
      </c>
      <c r="AL7268" s="85"/>
      <c r="AM7268" s="85"/>
    </row>
    <row r="7269" spans="1:39" s="86" customFormat="1" ht="13.25" hidden="1" customHeight="1" x14ac:dyDescent="0.3">
      <c r="A7269" s="89" t="s">
        <v>3978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3767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128"/>
        <v>3541.9399999999878</v>
      </c>
      <c r="X7269" s="6">
        <f t="shared" si="1123"/>
        <v>59163.3</v>
      </c>
      <c r="Y7269" s="13">
        <f t="shared" si="1125"/>
        <v>0</v>
      </c>
      <c r="Z7269" s="66">
        <v>0</v>
      </c>
      <c r="AA7269" s="6">
        <v>0</v>
      </c>
      <c r="AB7269" s="4">
        <f t="shared" si="1126"/>
        <v>59163.3</v>
      </c>
      <c r="AC7269" s="6">
        <f t="shared" si="1124"/>
        <v>0</v>
      </c>
      <c r="AD7269" s="6">
        <f t="shared" si="1129"/>
        <v>59163.3</v>
      </c>
      <c r="AE7269" s="14">
        <f>VLOOKUP(I7269,[2]媒体政策预估表!A:N,MATCH(O7269,[2]媒体政策预估表!$A$2:$M$2,0),0)</f>
        <v>7.0000000000000007E-2</v>
      </c>
      <c r="AF7269" s="6">
        <f t="shared" si="1131"/>
        <v>4141.4310000000005</v>
      </c>
      <c r="AG7269" s="14">
        <v>0</v>
      </c>
      <c r="AH7269" s="64">
        <f t="shared" si="1130"/>
        <v>59163.3</v>
      </c>
      <c r="AJ7269" s="126" t="e">
        <v>#N/A</v>
      </c>
      <c r="AK7269" s="80">
        <f t="shared" si="1127"/>
        <v>0</v>
      </c>
      <c r="AL7269" s="85"/>
      <c r="AM7269" s="85"/>
    </row>
    <row r="7270" spans="1:39" s="86" customFormat="1" ht="13.25" hidden="1" customHeight="1" x14ac:dyDescent="0.3">
      <c r="A7270" s="89" t="s">
        <v>3978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3767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4068</v>
      </c>
      <c r="S7270" s="47"/>
      <c r="T7270" s="6">
        <v>0</v>
      </c>
      <c r="U7270" s="6">
        <v>341</v>
      </c>
      <c r="V7270" s="6">
        <v>341</v>
      </c>
      <c r="W7270" s="6">
        <f t="shared" si="1128"/>
        <v>0</v>
      </c>
      <c r="X7270" s="6">
        <f t="shared" si="1123"/>
        <v>341</v>
      </c>
      <c r="Y7270" s="13">
        <f t="shared" si="1125"/>
        <v>0</v>
      </c>
      <c r="Z7270" s="66">
        <v>0</v>
      </c>
      <c r="AA7270" s="6">
        <v>0</v>
      </c>
      <c r="AB7270" s="4">
        <f t="shared" si="1126"/>
        <v>341</v>
      </c>
      <c r="AC7270" s="6">
        <f t="shared" si="1124"/>
        <v>0</v>
      </c>
      <c r="AD7270" s="6">
        <f t="shared" si="1129"/>
        <v>341</v>
      </c>
      <c r="AE7270" s="14">
        <f>VLOOKUP(I7270,[2]媒体政策预估表!A:N,MATCH(O7270,[2]媒体政策预估表!$A$2:$M$2,0),0)</f>
        <v>7.0000000000000007E-2</v>
      </c>
      <c r="AF7270" s="6">
        <f t="shared" si="1131"/>
        <v>23.87</v>
      </c>
      <c r="AG7270" s="14">
        <v>0</v>
      </c>
      <c r="AH7270" s="64">
        <f t="shared" si="1130"/>
        <v>341</v>
      </c>
      <c r="AJ7270" s="126" t="e">
        <v>#N/A</v>
      </c>
      <c r="AK7270" s="80">
        <f t="shared" si="1127"/>
        <v>0</v>
      </c>
      <c r="AL7270" s="85"/>
      <c r="AM7270" s="85"/>
    </row>
    <row r="7271" spans="1:39" s="86" customFormat="1" ht="13.25" hidden="1" customHeight="1" x14ac:dyDescent="0.3">
      <c r="A7271" s="89" t="s">
        <v>3978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3767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128"/>
        <v>8537.290009999997</v>
      </c>
      <c r="X7271" s="6">
        <f t="shared" si="1123"/>
        <v>154838.70000000001</v>
      </c>
      <c r="Y7271" s="13">
        <f t="shared" si="1125"/>
        <v>0</v>
      </c>
      <c r="Z7271" s="66">
        <v>0</v>
      </c>
      <c r="AA7271" s="6">
        <v>0</v>
      </c>
      <c r="AB7271" s="4">
        <f t="shared" si="1126"/>
        <v>154838.70000000001</v>
      </c>
      <c r="AC7271" s="6">
        <f t="shared" si="1124"/>
        <v>0</v>
      </c>
      <c r="AD7271" s="6">
        <f t="shared" si="1129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131"/>
        <v>10838.709000000003</v>
      </c>
      <c r="AG7271" s="14">
        <v>0</v>
      </c>
      <c r="AH7271" s="64">
        <f t="shared" si="1130"/>
        <v>154838.70000000001</v>
      </c>
      <c r="AJ7271" s="126" t="e">
        <v>#N/A</v>
      </c>
      <c r="AK7271" s="80">
        <f t="shared" si="1127"/>
        <v>0</v>
      </c>
      <c r="AL7271" s="85"/>
      <c r="AM7271" s="85"/>
    </row>
    <row r="7272" spans="1:39" s="86" customFormat="1" ht="13.25" hidden="1" customHeight="1" x14ac:dyDescent="0.3">
      <c r="A7272" s="89" t="s">
        <v>3978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3767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128"/>
        <v>737696.3</v>
      </c>
      <c r="X7272" s="6">
        <f t="shared" si="1123"/>
        <v>193790</v>
      </c>
      <c r="Y7272" s="13">
        <f t="shared" si="1125"/>
        <v>0</v>
      </c>
      <c r="Z7272" s="66">
        <v>0</v>
      </c>
      <c r="AA7272" s="6">
        <v>0</v>
      </c>
      <c r="AB7272" s="4">
        <f t="shared" si="1126"/>
        <v>193790</v>
      </c>
      <c r="AC7272" s="6">
        <f t="shared" si="1124"/>
        <v>5813.7000000000116</v>
      </c>
      <c r="AD7272" s="6">
        <f t="shared" si="1129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131"/>
        <v>13972.259000000002</v>
      </c>
      <c r="AG7272" s="14">
        <v>0</v>
      </c>
      <c r="AH7272" s="64">
        <f t="shared" si="1130"/>
        <v>199603.7</v>
      </c>
      <c r="AJ7272" s="126" t="e">
        <v>#N/A</v>
      </c>
      <c r="AK7272" s="80">
        <f t="shared" si="1127"/>
        <v>0</v>
      </c>
      <c r="AL7272" s="85"/>
      <c r="AM7272" s="85"/>
    </row>
    <row r="7273" spans="1:39" s="86" customFormat="1" ht="13.25" hidden="1" customHeight="1" x14ac:dyDescent="0.3">
      <c r="A7273" s="89" t="s">
        <v>3978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3767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128"/>
        <v>368291.87</v>
      </c>
      <c r="X7273" s="6">
        <f t="shared" si="1123"/>
        <v>679161.42</v>
      </c>
      <c r="Y7273" s="13">
        <f t="shared" si="1125"/>
        <v>0</v>
      </c>
      <c r="Z7273" s="66">
        <v>0</v>
      </c>
      <c r="AA7273" s="6">
        <v>0</v>
      </c>
      <c r="AB7273" s="4">
        <f t="shared" si="1126"/>
        <v>679161.42</v>
      </c>
      <c r="AC7273" s="6">
        <f t="shared" si="1124"/>
        <v>0</v>
      </c>
      <c r="AD7273" s="6">
        <f t="shared" si="1129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131"/>
        <v>47541.299400000011</v>
      </c>
      <c r="AG7273" s="14">
        <v>0</v>
      </c>
      <c r="AH7273" s="64">
        <f t="shared" si="1130"/>
        <v>679161.42</v>
      </c>
      <c r="AJ7273" s="126" t="e">
        <v>#N/A</v>
      </c>
      <c r="AK7273" s="80">
        <f t="shared" si="1127"/>
        <v>0</v>
      </c>
      <c r="AL7273" s="85"/>
      <c r="AM7273" s="85"/>
    </row>
    <row r="7274" spans="1:39" s="86" customFormat="1" ht="13.25" hidden="1" customHeight="1" x14ac:dyDescent="0.3">
      <c r="A7274" s="89" t="s">
        <v>3978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128"/>
        <v>738719.09973999998</v>
      </c>
      <c r="X7274" s="6">
        <f t="shared" si="1123"/>
        <v>104334.49744000001</v>
      </c>
      <c r="Y7274" s="13">
        <f t="shared" si="1125"/>
        <v>0</v>
      </c>
      <c r="Z7274" s="66">
        <v>0.02</v>
      </c>
      <c r="AA7274" s="6">
        <f t="shared" ref="AA7274:AA7276" si="1132">X7274/(1-Z7274)*Z7274</f>
        <v>2129.2754579591838</v>
      </c>
      <c r="AB7274" s="4">
        <f t="shared" si="1126"/>
        <v>106463.77289795919</v>
      </c>
      <c r="AC7274" s="6">
        <f t="shared" si="1124"/>
        <v>0</v>
      </c>
      <c r="AD7274" s="6">
        <f t="shared" si="1129"/>
        <v>104334.49744000001</v>
      </c>
      <c r="AE7274" s="14">
        <f>VLOOKUP(I7274,[2]媒体政策预估表!A:N,MATCH(O7274,[2]媒体政策预估表!$A$2:$M$2,0),0)</f>
        <v>0.02</v>
      </c>
      <c r="AF7274" s="6">
        <f t="shared" si="1131"/>
        <v>2086.6899488000004</v>
      </c>
      <c r="AG7274" s="14">
        <v>0</v>
      </c>
      <c r="AH7274" s="64">
        <f t="shared" si="1130"/>
        <v>104334.49744000001</v>
      </c>
      <c r="AJ7274" s="126" t="e">
        <v>#N/A</v>
      </c>
      <c r="AK7274" s="80">
        <f t="shared" si="1127"/>
        <v>0</v>
      </c>
      <c r="AL7274" s="85"/>
      <c r="AM7274" s="85"/>
    </row>
    <row r="7275" spans="1:39" s="86" customFormat="1" ht="13.25" hidden="1" customHeight="1" x14ac:dyDescent="0.3">
      <c r="A7275" s="89" t="s">
        <v>3978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128"/>
        <v>29400</v>
      </c>
      <c r="X7275" s="6">
        <f t="shared" si="1123"/>
        <v>0</v>
      </c>
      <c r="Y7275" s="13">
        <f t="shared" si="1125"/>
        <v>0</v>
      </c>
      <c r="Z7275" s="66">
        <v>0.02</v>
      </c>
      <c r="AA7275" s="6">
        <f t="shared" si="1132"/>
        <v>0</v>
      </c>
      <c r="AB7275" s="4">
        <f t="shared" si="1126"/>
        <v>0</v>
      </c>
      <c r="AC7275" s="6">
        <f t="shared" si="1124"/>
        <v>0</v>
      </c>
      <c r="AD7275" s="6">
        <f t="shared" si="1129"/>
        <v>0</v>
      </c>
      <c r="AE7275" s="14">
        <f>VLOOKUP(I7275,[2]媒体政策预估表!A:N,MATCH(O7275,[2]媒体政策预估表!$A$2:$M$2,0),0)</f>
        <v>0.02</v>
      </c>
      <c r="AF7275" s="6">
        <f t="shared" si="1131"/>
        <v>0</v>
      </c>
      <c r="AG7275" s="14">
        <v>0</v>
      </c>
      <c r="AH7275" s="64">
        <f t="shared" si="1130"/>
        <v>0</v>
      </c>
      <c r="AJ7275" s="126" t="e">
        <v>#N/A</v>
      </c>
      <c r="AK7275" s="80">
        <f t="shared" si="1127"/>
        <v>0</v>
      </c>
      <c r="AL7275" s="85"/>
      <c r="AM7275" s="85"/>
    </row>
    <row r="7276" spans="1:39" s="86" customFormat="1" ht="13.25" hidden="1" customHeight="1" x14ac:dyDescent="0.3">
      <c r="A7276" s="89" t="s">
        <v>3978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128"/>
        <v>-28.299999999813735</v>
      </c>
      <c r="X7276" s="6">
        <f t="shared" si="1123"/>
        <v>210394.8</v>
      </c>
      <c r="Y7276" s="13">
        <f t="shared" si="1125"/>
        <v>0</v>
      </c>
      <c r="Z7276" s="66">
        <v>0.02</v>
      </c>
      <c r="AA7276" s="6">
        <f t="shared" si="1132"/>
        <v>4293.7714285714283</v>
      </c>
      <c r="AB7276" s="4">
        <f t="shared" si="1126"/>
        <v>214688.57142857142</v>
      </c>
      <c r="AC7276" s="6">
        <f t="shared" si="1124"/>
        <v>0</v>
      </c>
      <c r="AD7276" s="6">
        <f t="shared" si="1129"/>
        <v>210394.8</v>
      </c>
      <c r="AE7276" s="14">
        <f>VLOOKUP(I7276,[2]媒体政策预估表!A:N,MATCH(O7276,[2]媒体政策预估表!$A$2:$M$2,0),0)</f>
        <v>0.02</v>
      </c>
      <c r="AF7276" s="6">
        <f t="shared" si="1131"/>
        <v>4207.8959999999997</v>
      </c>
      <c r="AG7276" s="14">
        <v>0</v>
      </c>
      <c r="AH7276" s="64">
        <f t="shared" si="1130"/>
        <v>210394.8</v>
      </c>
      <c r="AJ7276" s="126" t="e">
        <v>#N/A</v>
      </c>
      <c r="AK7276" s="80">
        <f t="shared" si="1127"/>
        <v>0</v>
      </c>
      <c r="AL7276" s="85"/>
      <c r="AM7276" s="85"/>
    </row>
    <row r="7277" spans="1:39" s="86" customFormat="1" ht="13.25" hidden="1" customHeight="1" x14ac:dyDescent="0.3">
      <c r="A7277" s="89" t="s">
        <v>3978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3767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128"/>
        <v>9589.3999999999978</v>
      </c>
      <c r="X7277" s="6">
        <f t="shared" si="1123"/>
        <v>31253.8</v>
      </c>
      <c r="Y7277" s="13">
        <f t="shared" si="1125"/>
        <v>0</v>
      </c>
      <c r="Z7277" s="66">
        <v>0</v>
      </c>
      <c r="AA7277" s="6">
        <v>0</v>
      </c>
      <c r="AB7277" s="4">
        <f t="shared" si="1126"/>
        <v>31253.8</v>
      </c>
      <c r="AC7277" s="6">
        <f t="shared" si="1124"/>
        <v>0</v>
      </c>
      <c r="AD7277" s="6">
        <f t="shared" si="1129"/>
        <v>31253.8</v>
      </c>
      <c r="AE7277" s="14">
        <f>VLOOKUP(I7277,[2]媒体政策预估表!A:N,MATCH(O7277,[2]媒体政策预估表!$A$2:$M$2,0),0)</f>
        <v>7.0000000000000007E-2</v>
      </c>
      <c r="AF7277" s="6">
        <f t="shared" si="1131"/>
        <v>2187.7660000000001</v>
      </c>
      <c r="AG7277" s="14">
        <v>0</v>
      </c>
      <c r="AH7277" s="64">
        <f t="shared" si="1130"/>
        <v>31253.8</v>
      </c>
      <c r="AJ7277" s="126" t="e">
        <v>#N/A</v>
      </c>
      <c r="AK7277" s="80">
        <f t="shared" si="1127"/>
        <v>0</v>
      </c>
      <c r="AL7277" s="85"/>
      <c r="AM7277" s="85"/>
    </row>
    <row r="7278" spans="1:39" s="86" customFormat="1" ht="13.25" hidden="1" customHeight="1" x14ac:dyDescent="0.3">
      <c r="A7278" s="89" t="s">
        <v>3978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3767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128"/>
        <v>9744.3000400000019</v>
      </c>
      <c r="X7278" s="6">
        <f t="shared" si="1123"/>
        <v>144054.1</v>
      </c>
      <c r="Y7278" s="13">
        <f t="shared" si="1125"/>
        <v>0</v>
      </c>
      <c r="Z7278" s="66">
        <v>0</v>
      </c>
      <c r="AA7278" s="6">
        <v>0</v>
      </c>
      <c r="AB7278" s="4">
        <f t="shared" si="1126"/>
        <v>144054.1</v>
      </c>
      <c r="AC7278" s="6">
        <f t="shared" si="1124"/>
        <v>0</v>
      </c>
      <c r="AD7278" s="6">
        <f t="shared" si="1129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131"/>
        <v>10083.787000000002</v>
      </c>
      <c r="AG7278" s="14">
        <v>0</v>
      </c>
      <c r="AH7278" s="64">
        <f t="shared" si="1130"/>
        <v>144054.1</v>
      </c>
      <c r="AJ7278" s="126" t="e">
        <v>#N/A</v>
      </c>
      <c r="AK7278" s="80">
        <f t="shared" si="1127"/>
        <v>0</v>
      </c>
      <c r="AL7278" s="85"/>
      <c r="AM7278" s="85"/>
    </row>
    <row r="7279" spans="1:39" s="86" customFormat="1" ht="13.25" hidden="1" customHeight="1" x14ac:dyDescent="0.3">
      <c r="A7279" s="89" t="s">
        <v>3978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128"/>
        <v>4563518.1559299994</v>
      </c>
      <c r="X7279" s="6">
        <f t="shared" si="1123"/>
        <v>2276897.6577400002</v>
      </c>
      <c r="Y7279" s="13">
        <f t="shared" si="1125"/>
        <v>0</v>
      </c>
      <c r="Z7279" s="66">
        <v>0</v>
      </c>
      <c r="AA7279" s="6">
        <v>0</v>
      </c>
      <c r="AB7279" s="4">
        <f t="shared" si="1126"/>
        <v>2276897.6577400002</v>
      </c>
      <c r="AC7279" s="6">
        <f t="shared" si="1124"/>
        <v>0</v>
      </c>
      <c r="AD7279" s="6">
        <f t="shared" si="1129"/>
        <v>2276897.6577400002</v>
      </c>
      <c r="AE7279" s="14">
        <f>VLOOKUP(I7279,[2]媒体政策预估表!A:N,MATCH(O7279,[2]媒体政策预估表!$A$2:$M$2,0),0)</f>
        <v>0.02</v>
      </c>
      <c r="AF7279" s="6">
        <f t="shared" si="1131"/>
        <v>45537.953154800001</v>
      </c>
      <c r="AG7279" s="14">
        <v>0</v>
      </c>
      <c r="AH7279" s="64">
        <f t="shared" si="1130"/>
        <v>2276897.6577400002</v>
      </c>
      <c r="AJ7279" s="126" t="e">
        <v>#N/A</v>
      </c>
      <c r="AK7279" s="80">
        <f t="shared" si="1127"/>
        <v>0</v>
      </c>
      <c r="AL7279" s="85"/>
      <c r="AM7279" s="85"/>
    </row>
    <row r="7280" spans="1:39" s="86" customFormat="1" ht="13.25" hidden="1" customHeight="1" x14ac:dyDescent="0.3">
      <c r="A7280" s="89" t="s">
        <v>3978</v>
      </c>
      <c r="B7280" s="86" t="s">
        <v>35</v>
      </c>
      <c r="C7280" s="86" t="s">
        <v>164</v>
      </c>
      <c r="D7280" s="86" t="s">
        <v>305</v>
      </c>
      <c r="E7280" s="86" t="s">
        <v>4069</v>
      </c>
      <c r="F7280" s="86" t="s">
        <v>4069</v>
      </c>
      <c r="G7280" s="86" t="s">
        <v>4069</v>
      </c>
      <c r="H7280" s="144">
        <v>360</v>
      </c>
      <c r="I7280" s="86" t="s">
        <v>1060</v>
      </c>
      <c r="J7280" s="47" t="s">
        <v>3325</v>
      </c>
      <c r="K7280" s="47" t="s">
        <v>3767</v>
      </c>
      <c r="L7280" s="47" t="s">
        <v>35</v>
      </c>
      <c r="M7280" s="86" t="s">
        <v>4069</v>
      </c>
      <c r="O7280" s="47" t="s">
        <v>410</v>
      </c>
      <c r="P7280" s="47" t="s">
        <v>46</v>
      </c>
      <c r="Q7280" s="14">
        <v>0.02</v>
      </c>
      <c r="R7280" s="143" t="s">
        <v>4070</v>
      </c>
      <c r="S7280" s="47"/>
      <c r="T7280" s="6">
        <v>0</v>
      </c>
      <c r="U7280" s="6">
        <v>13307.1</v>
      </c>
      <c r="V7280" s="6">
        <v>13307.1</v>
      </c>
      <c r="W7280" s="6">
        <f t="shared" si="1128"/>
        <v>0</v>
      </c>
      <c r="X7280" s="6">
        <f t="shared" ref="X7280:X7343" si="1133">IF(P7280="折扣",V7280*Q7280,IF(P7280="返现",V7280,V7280/(1+Q7280)))</f>
        <v>13046.176470588236</v>
      </c>
      <c r="Y7280" s="13">
        <f t="shared" si="1125"/>
        <v>0</v>
      </c>
      <c r="Z7280" s="66">
        <v>0</v>
      </c>
      <c r="AA7280" s="6">
        <v>0</v>
      </c>
      <c r="AB7280" s="4">
        <f t="shared" si="1126"/>
        <v>13046.176470588236</v>
      </c>
      <c r="AC7280" s="6">
        <f t="shared" si="1124"/>
        <v>260.92352941176432</v>
      </c>
      <c r="AD7280" s="6">
        <f t="shared" si="1129"/>
        <v>13307.1</v>
      </c>
      <c r="AE7280" s="14">
        <f>VLOOKUP(I7280,[2]媒体政策预估表!A:N,MATCH(O7280,[2]媒体政策预估表!$A$2:$M$2,0),0)</f>
        <v>7.0000000000000007E-2</v>
      </c>
      <c r="AF7280" s="6">
        <f t="shared" si="1131"/>
        <v>931.49700000000007</v>
      </c>
      <c r="AG7280" s="14">
        <v>0</v>
      </c>
      <c r="AH7280" s="64">
        <f t="shared" si="1130"/>
        <v>13307.1</v>
      </c>
      <c r="AJ7280" s="126" t="e">
        <v>#N/A</v>
      </c>
      <c r="AK7280" s="80">
        <f t="shared" si="1127"/>
        <v>0</v>
      </c>
      <c r="AL7280" s="85"/>
      <c r="AM7280" s="85"/>
    </row>
    <row r="7281" spans="1:39" s="86" customFormat="1" ht="13.25" hidden="1" customHeight="1" x14ac:dyDescent="0.3">
      <c r="A7281" s="89" t="s">
        <v>3978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3767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128"/>
        <v>68275.380000000121</v>
      </c>
      <c r="X7281" s="6">
        <f t="shared" si="1133"/>
        <v>544635.69999999995</v>
      </c>
      <c r="Y7281" s="13">
        <f t="shared" si="1125"/>
        <v>0</v>
      </c>
      <c r="Z7281" s="66">
        <v>0</v>
      </c>
      <c r="AA7281" s="6">
        <v>0</v>
      </c>
      <c r="AB7281" s="4">
        <f t="shared" si="1126"/>
        <v>544635.69999999995</v>
      </c>
      <c r="AC7281" s="6">
        <f t="shared" si="1124"/>
        <v>0</v>
      </c>
      <c r="AD7281" s="6">
        <f t="shared" si="1129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131"/>
        <v>38124.499000000003</v>
      </c>
      <c r="AG7281" s="14">
        <v>0</v>
      </c>
      <c r="AH7281" s="64">
        <f t="shared" si="1130"/>
        <v>544635.69999999995</v>
      </c>
      <c r="AJ7281" s="126" t="e">
        <v>#N/A</v>
      </c>
      <c r="AK7281" s="80">
        <f t="shared" si="1127"/>
        <v>0</v>
      </c>
      <c r="AL7281" s="85"/>
      <c r="AM7281" s="85"/>
    </row>
    <row r="7282" spans="1:39" s="86" customFormat="1" ht="13.25" hidden="1" customHeight="1" x14ac:dyDescent="0.3">
      <c r="A7282" s="89" t="s">
        <v>3978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3767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128"/>
        <v>12017.400000000009</v>
      </c>
      <c r="X7282" s="6">
        <f t="shared" si="1133"/>
        <v>46298.7</v>
      </c>
      <c r="Y7282" s="13">
        <f t="shared" si="1125"/>
        <v>0</v>
      </c>
      <c r="Z7282" s="66">
        <v>0</v>
      </c>
      <c r="AA7282" s="6">
        <v>0</v>
      </c>
      <c r="AB7282" s="4">
        <f t="shared" si="1126"/>
        <v>46298.7</v>
      </c>
      <c r="AC7282" s="6">
        <f t="shared" si="1124"/>
        <v>0</v>
      </c>
      <c r="AD7282" s="6">
        <f t="shared" si="1129"/>
        <v>46298.7</v>
      </c>
      <c r="AE7282" s="14">
        <f>VLOOKUP(I7282,[2]媒体政策预估表!A:N,MATCH(O7282,[2]媒体政策预估表!$A$2:$M$2,0),0)</f>
        <v>7.0000000000000007E-2</v>
      </c>
      <c r="AF7282" s="6">
        <f t="shared" si="1131"/>
        <v>3240.9090000000001</v>
      </c>
      <c r="AG7282" s="14">
        <v>0</v>
      </c>
      <c r="AH7282" s="64">
        <f t="shared" si="1130"/>
        <v>46298.7</v>
      </c>
      <c r="AJ7282" s="126" t="e">
        <v>#N/A</v>
      </c>
      <c r="AK7282" s="80">
        <f t="shared" si="1127"/>
        <v>0</v>
      </c>
      <c r="AL7282" s="85"/>
      <c r="AM7282" s="85"/>
    </row>
    <row r="7283" spans="1:39" s="86" customFormat="1" ht="13.25" hidden="1" customHeight="1" x14ac:dyDescent="0.3">
      <c r="A7283" s="89" t="s">
        <v>3978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3767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128"/>
        <v>8583.6700000000055</v>
      </c>
      <c r="X7283" s="6">
        <f t="shared" si="1133"/>
        <v>48474.29</v>
      </c>
      <c r="Y7283" s="13">
        <f t="shared" si="1125"/>
        <v>0</v>
      </c>
      <c r="Z7283" s="66">
        <v>0</v>
      </c>
      <c r="AA7283" s="6">
        <v>0</v>
      </c>
      <c r="AB7283" s="4">
        <f t="shared" si="1126"/>
        <v>48474.29</v>
      </c>
      <c r="AC7283" s="6">
        <f t="shared" si="1124"/>
        <v>0</v>
      </c>
      <c r="AD7283" s="6">
        <f t="shared" si="1129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131"/>
        <v>3393.2003000000004</v>
      </c>
      <c r="AG7283" s="14">
        <v>0</v>
      </c>
      <c r="AH7283" s="64">
        <f t="shared" si="1130"/>
        <v>48474.29</v>
      </c>
      <c r="AJ7283" s="126" t="e">
        <v>#N/A</v>
      </c>
      <c r="AK7283" s="80">
        <f t="shared" si="1127"/>
        <v>0</v>
      </c>
      <c r="AL7283" s="85"/>
      <c r="AM7283" s="85"/>
    </row>
    <row r="7284" spans="1:39" s="86" customFormat="1" ht="13.25" hidden="1" customHeight="1" x14ac:dyDescent="0.3">
      <c r="A7284" s="89" t="s">
        <v>3978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3767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128"/>
        <v>0</v>
      </c>
      <c r="X7284" s="6">
        <f t="shared" si="1133"/>
        <v>-4739.2156862745096</v>
      </c>
      <c r="Y7284" s="13">
        <f t="shared" si="1125"/>
        <v>94.784313725490392</v>
      </c>
      <c r="Z7284" s="66">
        <v>0</v>
      </c>
      <c r="AA7284" s="6">
        <v>0</v>
      </c>
      <c r="AB7284" s="4">
        <f t="shared" si="1126"/>
        <v>-4739.2156862745096</v>
      </c>
      <c r="AC7284" s="6">
        <f t="shared" si="1124"/>
        <v>-94.784313725490392</v>
      </c>
      <c r="AD7284" s="6">
        <f t="shared" si="1129"/>
        <v>-4834</v>
      </c>
      <c r="AE7284" s="14">
        <f>VLOOKUP(I7284,[2]媒体政策预估表!A:N,MATCH(O7284,[2]媒体政策预估表!$A$2:$M$2,0),0)</f>
        <v>7.0000000000000007E-2</v>
      </c>
      <c r="AF7284" s="6">
        <f t="shared" si="1131"/>
        <v>-338.38000000000005</v>
      </c>
      <c r="AG7284" s="14">
        <v>0</v>
      </c>
      <c r="AH7284" s="64">
        <f t="shared" si="1130"/>
        <v>-4834</v>
      </c>
      <c r="AJ7284" s="126" t="e">
        <v>#N/A</v>
      </c>
      <c r="AK7284" s="80">
        <f t="shared" si="1127"/>
        <v>0</v>
      </c>
      <c r="AL7284" s="85"/>
      <c r="AM7284" s="85"/>
    </row>
    <row r="7285" spans="1:39" s="86" customFormat="1" ht="13.25" hidden="1" customHeight="1" x14ac:dyDescent="0.3">
      <c r="A7285" s="89" t="s">
        <v>3978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3767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128"/>
        <v>7894</v>
      </c>
      <c r="X7285" s="6">
        <f t="shared" si="1133"/>
        <v>14337.8</v>
      </c>
      <c r="Y7285" s="13">
        <f t="shared" si="1125"/>
        <v>0</v>
      </c>
      <c r="Z7285" s="66">
        <v>0</v>
      </c>
      <c r="AA7285" s="6">
        <v>0</v>
      </c>
      <c r="AB7285" s="4">
        <f t="shared" si="1126"/>
        <v>14337.8</v>
      </c>
      <c r="AC7285" s="6">
        <f t="shared" si="1124"/>
        <v>0</v>
      </c>
      <c r="AD7285" s="6">
        <f t="shared" si="1129"/>
        <v>14337.8</v>
      </c>
      <c r="AE7285" s="14">
        <f>VLOOKUP(I7285,[2]媒体政策预估表!A:N,MATCH(O7285,[2]媒体政策预估表!$A$2:$M$2,0),0)</f>
        <v>7.0000000000000007E-2</v>
      </c>
      <c r="AF7285" s="6">
        <f t="shared" si="1131"/>
        <v>1003.6460000000001</v>
      </c>
      <c r="AG7285" s="14">
        <v>0</v>
      </c>
      <c r="AH7285" s="64">
        <f t="shared" si="1130"/>
        <v>14337.8</v>
      </c>
      <c r="AJ7285" s="126" t="e">
        <v>#N/A</v>
      </c>
      <c r="AK7285" s="80">
        <f t="shared" si="1127"/>
        <v>0</v>
      </c>
      <c r="AL7285" s="85"/>
      <c r="AM7285" s="85"/>
    </row>
    <row r="7286" spans="1:39" s="86" customFormat="1" ht="13.25" hidden="1" customHeight="1" x14ac:dyDescent="0.3">
      <c r="A7286" s="89" t="s">
        <v>3978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3767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128"/>
        <v>7445.4700000000012</v>
      </c>
      <c r="X7286" s="6">
        <f t="shared" si="1133"/>
        <v>65099.7</v>
      </c>
      <c r="Y7286" s="13">
        <f t="shared" si="1125"/>
        <v>0</v>
      </c>
      <c r="Z7286" s="66">
        <v>0</v>
      </c>
      <c r="AA7286" s="6">
        <v>0</v>
      </c>
      <c r="AB7286" s="4">
        <f t="shared" si="1126"/>
        <v>65099.7</v>
      </c>
      <c r="AC7286" s="6">
        <f t="shared" si="1124"/>
        <v>0</v>
      </c>
      <c r="AD7286" s="6">
        <f t="shared" si="1129"/>
        <v>65099.7</v>
      </c>
      <c r="AE7286" s="14">
        <f>VLOOKUP(I7286,[2]媒体政策预估表!A:N,MATCH(O7286,[2]媒体政策预估表!$A$2:$M$2,0),0)</f>
        <v>7.0000000000000007E-2</v>
      </c>
      <c r="AF7286" s="6">
        <f t="shared" si="1131"/>
        <v>4556.9790000000003</v>
      </c>
      <c r="AG7286" s="14">
        <v>0</v>
      </c>
      <c r="AH7286" s="64">
        <f t="shared" si="1130"/>
        <v>65099.7</v>
      </c>
      <c r="AJ7286" s="126" t="e">
        <v>#N/A</v>
      </c>
      <c r="AK7286" s="80">
        <f t="shared" si="1127"/>
        <v>0</v>
      </c>
      <c r="AL7286" s="85"/>
      <c r="AM7286" s="85"/>
    </row>
    <row r="7287" spans="1:39" s="86" customFormat="1" ht="13.25" hidden="1" customHeight="1" x14ac:dyDescent="0.3">
      <c r="A7287" s="89" t="s">
        <v>3978</v>
      </c>
      <c r="B7287" s="86" t="s">
        <v>35</v>
      </c>
      <c r="C7287" s="86" t="s">
        <v>164</v>
      </c>
      <c r="D7287" s="86" t="s">
        <v>305</v>
      </c>
      <c r="E7287" s="86" t="s">
        <v>3875</v>
      </c>
      <c r="F7287" s="86" t="s">
        <v>3875</v>
      </c>
      <c r="G7287" s="86" t="s">
        <v>3875</v>
      </c>
      <c r="H7287" s="144">
        <v>360</v>
      </c>
      <c r="I7287" s="86" t="s">
        <v>1060</v>
      </c>
      <c r="J7287" s="47" t="s">
        <v>3325</v>
      </c>
      <c r="K7287" s="47" t="s">
        <v>3767</v>
      </c>
      <c r="L7287" s="47" t="s">
        <v>35</v>
      </c>
      <c r="M7287" s="86" t="s">
        <v>3875</v>
      </c>
      <c r="O7287" s="47" t="s">
        <v>410</v>
      </c>
      <c r="P7287" s="47" t="s">
        <v>46</v>
      </c>
      <c r="Q7287" s="14">
        <v>0.01</v>
      </c>
      <c r="R7287" s="143" t="s">
        <v>4071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128"/>
        <v>87390.399999999994</v>
      </c>
      <c r="X7287" s="6">
        <f t="shared" si="1133"/>
        <v>52088.712871287127</v>
      </c>
      <c r="Y7287" s="13">
        <f t="shared" si="1125"/>
        <v>0</v>
      </c>
      <c r="Z7287" s="66">
        <v>0</v>
      </c>
      <c r="AA7287" s="6">
        <v>0</v>
      </c>
      <c r="AB7287" s="4">
        <f t="shared" si="1126"/>
        <v>52088.712871287127</v>
      </c>
      <c r="AC7287" s="6">
        <f t="shared" si="1124"/>
        <v>520.88712871287134</v>
      </c>
      <c r="AD7287" s="6">
        <f t="shared" si="1129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131"/>
        <v>3682.672</v>
      </c>
      <c r="AG7287" s="14">
        <v>0</v>
      </c>
      <c r="AH7287" s="64">
        <f t="shared" si="1130"/>
        <v>52609.599999999999</v>
      </c>
      <c r="AJ7287" s="126" t="e">
        <v>#N/A</v>
      </c>
      <c r="AK7287" s="80">
        <f t="shared" si="1127"/>
        <v>0</v>
      </c>
      <c r="AL7287" s="85"/>
      <c r="AM7287" s="85"/>
    </row>
    <row r="7288" spans="1:39" s="86" customFormat="1" ht="13.25" hidden="1" customHeight="1" x14ac:dyDescent="0.3">
      <c r="A7288" s="89" t="s">
        <v>3978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3767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128"/>
        <v>36935.350019999998</v>
      </c>
      <c r="X7288" s="6">
        <f t="shared" si="1133"/>
        <v>76575.899999999994</v>
      </c>
      <c r="Y7288" s="13">
        <f t="shared" si="1125"/>
        <v>0</v>
      </c>
      <c r="Z7288" s="66">
        <v>0</v>
      </c>
      <c r="AA7288" s="6">
        <v>0</v>
      </c>
      <c r="AB7288" s="4">
        <f t="shared" si="1126"/>
        <v>76575.899999999994</v>
      </c>
      <c r="AC7288" s="6">
        <f t="shared" si="1124"/>
        <v>0</v>
      </c>
      <c r="AD7288" s="6">
        <f t="shared" si="1129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131"/>
        <v>5360.3130000000001</v>
      </c>
      <c r="AG7288" s="14">
        <v>0</v>
      </c>
      <c r="AH7288" s="64">
        <f t="shared" si="1130"/>
        <v>76575.899999999994</v>
      </c>
      <c r="AJ7288" s="126" t="e">
        <v>#N/A</v>
      </c>
      <c r="AK7288" s="80">
        <f t="shared" si="1127"/>
        <v>0</v>
      </c>
      <c r="AL7288" s="85"/>
      <c r="AM7288" s="85"/>
    </row>
    <row r="7289" spans="1:39" s="86" customFormat="1" ht="13.25" hidden="1" customHeight="1" x14ac:dyDescent="0.3">
      <c r="A7289" s="89" t="s">
        <v>3978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3767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128"/>
        <v>8.9999999886458681E-5</v>
      </c>
      <c r="X7289" s="6">
        <f t="shared" si="1133"/>
        <v>779.1</v>
      </c>
      <c r="Y7289" s="13">
        <f t="shared" si="1125"/>
        <v>0</v>
      </c>
      <c r="Z7289" s="66">
        <v>0</v>
      </c>
      <c r="AA7289" s="6">
        <v>0</v>
      </c>
      <c r="AB7289" s="4">
        <f t="shared" si="1126"/>
        <v>779.1</v>
      </c>
      <c r="AC7289" s="6">
        <f t="shared" si="1124"/>
        <v>0</v>
      </c>
      <c r="AD7289" s="6">
        <f t="shared" si="1129"/>
        <v>779.1</v>
      </c>
      <c r="AE7289" s="14">
        <f>VLOOKUP(I7289,[2]媒体政策预估表!A:N,MATCH(O7289,[2]媒体政策预估表!$A$2:$M$2,0),0)</f>
        <v>7.0000000000000007E-2</v>
      </c>
      <c r="AF7289" s="6">
        <f t="shared" si="1131"/>
        <v>54.537000000000006</v>
      </c>
      <c r="AG7289" s="14">
        <v>0</v>
      </c>
      <c r="AH7289" s="64">
        <f t="shared" si="1130"/>
        <v>779.1</v>
      </c>
      <c r="AJ7289" s="126" t="e">
        <v>#N/A</v>
      </c>
      <c r="AK7289" s="80">
        <f t="shared" si="1127"/>
        <v>0</v>
      </c>
      <c r="AL7289" s="85"/>
      <c r="AM7289" s="85"/>
    </row>
    <row r="7290" spans="1:39" s="86" customFormat="1" ht="13.25" hidden="1" customHeight="1" x14ac:dyDescent="0.3">
      <c r="A7290" s="89" t="s">
        <v>3978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3767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128"/>
        <v>-2.1600499167107046E-12</v>
      </c>
      <c r="X7290" s="6">
        <f t="shared" si="1133"/>
        <v>732.9</v>
      </c>
      <c r="Y7290" s="13">
        <f t="shared" si="1125"/>
        <v>0</v>
      </c>
      <c r="Z7290" s="66">
        <v>0</v>
      </c>
      <c r="AA7290" s="6">
        <v>0</v>
      </c>
      <c r="AB7290" s="4">
        <f t="shared" si="1126"/>
        <v>732.9</v>
      </c>
      <c r="AC7290" s="6">
        <f t="shared" si="1124"/>
        <v>0</v>
      </c>
      <c r="AD7290" s="6">
        <f t="shared" si="1129"/>
        <v>732.9</v>
      </c>
      <c r="AE7290" s="14">
        <f>VLOOKUP(I7290,[2]媒体政策预估表!A:N,MATCH(O7290,[2]媒体政策预估表!$A$2:$M$2,0),0)</f>
        <v>7.0000000000000007E-2</v>
      </c>
      <c r="AF7290" s="6">
        <f t="shared" si="1131"/>
        <v>51.303000000000004</v>
      </c>
      <c r="AG7290" s="14">
        <v>0</v>
      </c>
      <c r="AH7290" s="64">
        <f t="shared" si="1130"/>
        <v>732.9</v>
      </c>
      <c r="AJ7290" s="126" t="e">
        <v>#N/A</v>
      </c>
      <c r="AK7290" s="80">
        <f t="shared" si="1127"/>
        <v>0</v>
      </c>
      <c r="AL7290" s="85"/>
      <c r="AM7290" s="85"/>
    </row>
    <row r="7291" spans="1:39" s="86" customFormat="1" ht="13.25" hidden="1" customHeight="1" x14ac:dyDescent="0.3">
      <c r="A7291" s="89" t="s">
        <v>3978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3767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128"/>
        <v>4.3200998334214091E-12</v>
      </c>
      <c r="X7291" s="6">
        <f t="shared" si="1133"/>
        <v>571.20000000000005</v>
      </c>
      <c r="Y7291" s="13">
        <f t="shared" si="1125"/>
        <v>0</v>
      </c>
      <c r="Z7291" s="66">
        <v>0</v>
      </c>
      <c r="AA7291" s="6">
        <v>0</v>
      </c>
      <c r="AB7291" s="4">
        <f t="shared" si="1126"/>
        <v>571.20000000000005</v>
      </c>
      <c r="AC7291" s="6">
        <f t="shared" si="1124"/>
        <v>0</v>
      </c>
      <c r="AD7291" s="6">
        <f t="shared" si="1129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131"/>
        <v>39.984000000000009</v>
      </c>
      <c r="AG7291" s="14">
        <v>0</v>
      </c>
      <c r="AH7291" s="64">
        <f t="shared" si="1130"/>
        <v>571.20000000000005</v>
      </c>
      <c r="AJ7291" s="126" t="e">
        <v>#N/A</v>
      </c>
      <c r="AK7291" s="80">
        <f t="shared" si="1127"/>
        <v>0</v>
      </c>
      <c r="AL7291" s="85"/>
      <c r="AM7291" s="85"/>
    </row>
    <row r="7292" spans="1:39" s="86" customFormat="1" ht="13.25" hidden="1" customHeight="1" x14ac:dyDescent="0.3">
      <c r="A7292" s="89" t="s">
        <v>3978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3767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128"/>
        <v>213606.07999999996</v>
      </c>
      <c r="X7292" s="6">
        <f t="shared" si="1133"/>
        <v>544804.21568627458</v>
      </c>
      <c r="Y7292" s="13">
        <f t="shared" si="1125"/>
        <v>0</v>
      </c>
      <c r="Z7292" s="66">
        <v>0</v>
      </c>
      <c r="AA7292" s="6">
        <v>0</v>
      </c>
      <c r="AB7292" s="4">
        <f t="shared" si="1126"/>
        <v>544804.21568627458</v>
      </c>
      <c r="AC7292" s="6">
        <f t="shared" si="1124"/>
        <v>10896.084313725471</v>
      </c>
      <c r="AD7292" s="6">
        <f t="shared" si="1129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131"/>
        <v>38899.021000000008</v>
      </c>
      <c r="AG7292" s="14">
        <v>0</v>
      </c>
      <c r="AH7292" s="64">
        <f t="shared" si="1130"/>
        <v>555700.30000000005</v>
      </c>
      <c r="AJ7292" s="126" t="e">
        <v>#N/A</v>
      </c>
      <c r="AK7292" s="80">
        <f t="shared" si="1127"/>
        <v>0</v>
      </c>
      <c r="AL7292" s="85"/>
      <c r="AM7292" s="85"/>
    </row>
    <row r="7293" spans="1:39" s="86" customFormat="1" ht="13.25" hidden="1" customHeight="1" x14ac:dyDescent="0.3">
      <c r="A7293" s="89" t="s">
        <v>3978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3767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128"/>
        <v>9265.2500000000018</v>
      </c>
      <c r="X7293" s="6">
        <f t="shared" si="1133"/>
        <v>8137.15</v>
      </c>
      <c r="Y7293" s="13">
        <f t="shared" si="1125"/>
        <v>0</v>
      </c>
      <c r="Z7293" s="66">
        <v>0</v>
      </c>
      <c r="AA7293" s="6">
        <v>0</v>
      </c>
      <c r="AB7293" s="4">
        <f t="shared" si="1126"/>
        <v>8137.15</v>
      </c>
      <c r="AC7293" s="6">
        <f t="shared" si="1124"/>
        <v>0</v>
      </c>
      <c r="AD7293" s="6">
        <f t="shared" si="1129"/>
        <v>8137.15</v>
      </c>
      <c r="AE7293" s="14">
        <f>VLOOKUP(I7293,[2]媒体政策预估表!A:N,MATCH(O7293,[2]媒体政策预估表!$A$2:$M$2,0),0)</f>
        <v>7.0000000000000007E-2</v>
      </c>
      <c r="AF7293" s="6">
        <f t="shared" si="1131"/>
        <v>569.60050000000001</v>
      </c>
      <c r="AG7293" s="14">
        <v>0</v>
      </c>
      <c r="AH7293" s="64">
        <f t="shared" si="1130"/>
        <v>8137.15</v>
      </c>
      <c r="AJ7293" s="126" t="e">
        <v>#N/A</v>
      </c>
      <c r="AK7293" s="80">
        <f t="shared" si="1127"/>
        <v>0</v>
      </c>
      <c r="AL7293" s="85"/>
      <c r="AM7293" s="85"/>
    </row>
    <row r="7294" spans="1:39" s="86" customFormat="1" ht="13.25" hidden="1" customHeight="1" x14ac:dyDescent="0.3">
      <c r="A7294" s="89" t="s">
        <v>3978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3767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128"/>
        <v>0</v>
      </c>
      <c r="X7294" s="6">
        <f t="shared" si="1133"/>
        <v>0</v>
      </c>
      <c r="Y7294" s="13">
        <f t="shared" si="1125"/>
        <v>0</v>
      </c>
      <c r="Z7294" s="66">
        <v>0</v>
      </c>
      <c r="AA7294" s="6">
        <v>0</v>
      </c>
      <c r="AB7294" s="4">
        <f t="shared" si="1126"/>
        <v>0</v>
      </c>
      <c r="AC7294" s="6">
        <f t="shared" ref="AC7294:AC7357" si="1134">IF(P7294="返现",X7294*Q7294,V7294-X7294)</f>
        <v>0</v>
      </c>
      <c r="AD7294" s="6">
        <f t="shared" si="1129"/>
        <v>0</v>
      </c>
      <c r="AE7294" s="14">
        <f>VLOOKUP(I7294,[2]媒体政策预估表!A:N,MATCH(O7294,[2]媒体政策预估表!$A$2:$M$2,0),0)</f>
        <v>7.0000000000000007E-2</v>
      </c>
      <c r="AF7294" s="6">
        <f t="shared" si="1131"/>
        <v>0</v>
      </c>
      <c r="AG7294" s="14">
        <v>0</v>
      </c>
      <c r="AH7294" s="64">
        <f t="shared" si="1130"/>
        <v>0</v>
      </c>
      <c r="AJ7294" s="126" t="e">
        <v>#N/A</v>
      </c>
      <c r="AK7294" s="80">
        <f t="shared" si="1127"/>
        <v>0</v>
      </c>
      <c r="AL7294" s="85"/>
      <c r="AM7294" s="85"/>
    </row>
    <row r="7295" spans="1:39" s="86" customFormat="1" ht="13.25" hidden="1" customHeight="1" x14ac:dyDescent="0.3">
      <c r="A7295" s="89" t="s">
        <v>3978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3767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128"/>
        <v>29655.110000000073</v>
      </c>
      <c r="X7295" s="6">
        <f t="shared" si="1133"/>
        <v>164437.79999999999</v>
      </c>
      <c r="Y7295" s="13">
        <f t="shared" si="1125"/>
        <v>0</v>
      </c>
      <c r="Z7295" s="66">
        <v>0</v>
      </c>
      <c r="AA7295" s="6">
        <v>0</v>
      </c>
      <c r="AB7295" s="4">
        <f t="shared" si="1126"/>
        <v>164437.79999999999</v>
      </c>
      <c r="AC7295" s="6">
        <f t="shared" si="1134"/>
        <v>0</v>
      </c>
      <c r="AD7295" s="6">
        <f t="shared" si="1129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131"/>
        <v>11510.646000000001</v>
      </c>
      <c r="AG7295" s="14">
        <v>0</v>
      </c>
      <c r="AH7295" s="64">
        <f t="shared" si="1130"/>
        <v>164437.79999999999</v>
      </c>
      <c r="AJ7295" s="126" t="e">
        <v>#N/A</v>
      </c>
      <c r="AK7295" s="80">
        <f t="shared" si="1127"/>
        <v>0</v>
      </c>
      <c r="AL7295" s="85"/>
      <c r="AM7295" s="85"/>
    </row>
    <row r="7296" spans="1:39" s="86" customFormat="1" ht="13.25" hidden="1" customHeight="1" x14ac:dyDescent="0.3">
      <c r="A7296" s="89" t="s">
        <v>3978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3767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128"/>
        <v>8870.2000000000007</v>
      </c>
      <c r="X7296" s="6">
        <f t="shared" si="1133"/>
        <v>5971.5</v>
      </c>
      <c r="Y7296" s="13">
        <f t="shared" si="1125"/>
        <v>0</v>
      </c>
      <c r="Z7296" s="66">
        <v>0</v>
      </c>
      <c r="AA7296" s="6">
        <v>0</v>
      </c>
      <c r="AB7296" s="4">
        <f t="shared" si="1126"/>
        <v>5971.5</v>
      </c>
      <c r="AC7296" s="6">
        <f t="shared" si="1134"/>
        <v>0</v>
      </c>
      <c r="AD7296" s="6">
        <f t="shared" si="1129"/>
        <v>5971.5</v>
      </c>
      <c r="AE7296" s="14">
        <f>VLOOKUP(I7296,[2]媒体政策预估表!A:N,MATCH(O7296,[2]媒体政策预估表!$A$2:$M$2,0),0)</f>
        <v>7.0000000000000007E-2</v>
      </c>
      <c r="AF7296" s="6">
        <f t="shared" si="1131"/>
        <v>418.00500000000005</v>
      </c>
      <c r="AG7296" s="14">
        <v>0</v>
      </c>
      <c r="AH7296" s="64">
        <f t="shared" si="1130"/>
        <v>5971.5</v>
      </c>
      <c r="AJ7296" s="126" t="e">
        <v>#N/A</v>
      </c>
      <c r="AK7296" s="80">
        <f t="shared" si="1127"/>
        <v>0</v>
      </c>
      <c r="AL7296" s="85"/>
      <c r="AM7296" s="85"/>
    </row>
    <row r="7297" spans="1:39" s="86" customFormat="1" ht="13.25" hidden="1" customHeight="1" x14ac:dyDescent="0.3">
      <c r="A7297" s="89" t="s">
        <v>3978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3767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128"/>
        <v>25213.465010000014</v>
      </c>
      <c r="X7297" s="6">
        <f t="shared" si="1133"/>
        <v>87450.22</v>
      </c>
      <c r="Y7297" s="13">
        <f t="shared" si="1125"/>
        <v>0</v>
      </c>
      <c r="Z7297" s="66">
        <v>0</v>
      </c>
      <c r="AA7297" s="6">
        <v>0</v>
      </c>
      <c r="AB7297" s="4">
        <f t="shared" si="1126"/>
        <v>87450.22</v>
      </c>
      <c r="AC7297" s="6">
        <f t="shared" si="1134"/>
        <v>0</v>
      </c>
      <c r="AD7297" s="6">
        <f t="shared" si="1129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131"/>
        <v>6121.5154000000002</v>
      </c>
      <c r="AG7297" s="14">
        <v>0</v>
      </c>
      <c r="AH7297" s="64">
        <f t="shared" si="1130"/>
        <v>87450.22</v>
      </c>
      <c r="AJ7297" s="126" t="e">
        <v>#N/A</v>
      </c>
      <c r="AK7297" s="80">
        <f t="shared" si="1127"/>
        <v>0</v>
      </c>
      <c r="AL7297" s="85"/>
      <c r="AM7297" s="85"/>
    </row>
    <row r="7298" spans="1:39" s="86" customFormat="1" ht="13.25" hidden="1" customHeight="1" x14ac:dyDescent="0.3">
      <c r="A7298" s="89" t="s">
        <v>3978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3767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128"/>
        <v>0</v>
      </c>
      <c r="X7298" s="6">
        <f t="shared" si="1133"/>
        <v>25836.3</v>
      </c>
      <c r="Y7298" s="13">
        <f t="shared" si="1125"/>
        <v>0</v>
      </c>
      <c r="Z7298" s="66">
        <v>0</v>
      </c>
      <c r="AA7298" s="6">
        <v>0</v>
      </c>
      <c r="AB7298" s="4">
        <f t="shared" si="1126"/>
        <v>25836.3</v>
      </c>
      <c r="AC7298" s="6">
        <f t="shared" si="1134"/>
        <v>0</v>
      </c>
      <c r="AD7298" s="6">
        <f t="shared" si="1129"/>
        <v>25836.3</v>
      </c>
      <c r="AE7298" s="14">
        <f>VLOOKUP(I7298,[2]媒体政策预估表!A:N,MATCH(O7298,[2]媒体政策预估表!$A$2:$M$2,0),0)</f>
        <v>7.0000000000000007E-2</v>
      </c>
      <c r="AF7298" s="6">
        <f t="shared" si="1131"/>
        <v>1808.5410000000002</v>
      </c>
      <c r="AG7298" s="14">
        <v>0</v>
      </c>
      <c r="AH7298" s="64">
        <f t="shared" si="1130"/>
        <v>25836.3</v>
      </c>
      <c r="AJ7298" s="126" t="e">
        <v>#N/A</v>
      </c>
      <c r="AK7298" s="80">
        <f t="shared" si="1127"/>
        <v>0</v>
      </c>
      <c r="AL7298" s="85"/>
      <c r="AM7298" s="85"/>
    </row>
    <row r="7299" spans="1:39" s="86" customFormat="1" ht="13.25" hidden="1" customHeight="1" x14ac:dyDescent="0.3">
      <c r="A7299" s="89" t="s">
        <v>3978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3767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128"/>
        <v>391528.78023999976</v>
      </c>
      <c r="X7299" s="6">
        <f t="shared" si="1133"/>
        <v>1266843.21976</v>
      </c>
      <c r="Y7299" s="13">
        <f t="shared" ref="Y7299:Y7362" si="1135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136">X7299+AA7299</f>
        <v>1266843.21976</v>
      </c>
      <c r="AC7299" s="6">
        <f t="shared" si="1134"/>
        <v>0</v>
      </c>
      <c r="AD7299" s="6">
        <f t="shared" si="1129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131"/>
        <v>88679.025383200002</v>
      </c>
      <c r="AG7299" s="14">
        <v>0</v>
      </c>
      <c r="AH7299" s="64">
        <f t="shared" si="1130"/>
        <v>1266843.21976</v>
      </c>
      <c r="AJ7299" s="126" t="e">
        <v>#N/A</v>
      </c>
      <c r="AK7299" s="80">
        <f t="shared" ref="AK7299:AK7362" si="1137">X7299+AA7299-AB7299</f>
        <v>0</v>
      </c>
      <c r="AL7299" s="85"/>
      <c r="AM7299" s="85"/>
    </row>
    <row r="7300" spans="1:39" s="86" customFormat="1" ht="13.25" hidden="1" customHeight="1" x14ac:dyDescent="0.3">
      <c r="A7300" s="89" t="s">
        <v>3978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3767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4072</v>
      </c>
      <c r="S7300" s="47"/>
      <c r="T7300" s="6">
        <v>0</v>
      </c>
      <c r="U7300" s="6">
        <v>20000</v>
      </c>
      <c r="V7300" s="6">
        <v>8496</v>
      </c>
      <c r="W7300" s="6">
        <f t="shared" si="1128"/>
        <v>11504</v>
      </c>
      <c r="X7300" s="6">
        <f t="shared" si="1133"/>
        <v>8496</v>
      </c>
      <c r="Y7300" s="13">
        <f t="shared" si="1135"/>
        <v>0</v>
      </c>
      <c r="Z7300" s="66">
        <v>0</v>
      </c>
      <c r="AA7300" s="6">
        <v>0</v>
      </c>
      <c r="AB7300" s="4">
        <f t="shared" si="1136"/>
        <v>8496</v>
      </c>
      <c r="AC7300" s="6">
        <f t="shared" si="1134"/>
        <v>0</v>
      </c>
      <c r="AD7300" s="6">
        <f t="shared" si="1129"/>
        <v>8496</v>
      </c>
      <c r="AE7300" s="14">
        <f>VLOOKUP(I7300,[2]媒体政策预估表!A:N,MATCH(O7300,[2]媒体政策预估表!$A$2:$M$2,0),0)</f>
        <v>7.0000000000000007E-2</v>
      </c>
      <c r="AF7300" s="6">
        <f t="shared" si="1131"/>
        <v>594.72</v>
      </c>
      <c r="AG7300" s="14">
        <v>0</v>
      </c>
      <c r="AH7300" s="64">
        <f t="shared" si="1130"/>
        <v>8496</v>
      </c>
      <c r="AJ7300" s="126" t="e">
        <v>#N/A</v>
      </c>
      <c r="AK7300" s="80">
        <f t="shared" si="1137"/>
        <v>0</v>
      </c>
      <c r="AL7300" s="85"/>
      <c r="AM7300" s="85"/>
    </row>
    <row r="7301" spans="1:39" s="86" customFormat="1" ht="13.25" hidden="1" customHeight="1" x14ac:dyDescent="0.3">
      <c r="A7301" s="89" t="s">
        <v>3978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3767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4073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128"/>
        <v>46381.001020000003</v>
      </c>
      <c r="X7301" s="6">
        <f t="shared" si="1133"/>
        <v>3618.9989799999998</v>
      </c>
      <c r="Y7301" s="13">
        <f t="shared" si="1135"/>
        <v>0</v>
      </c>
      <c r="Z7301" s="66">
        <v>0</v>
      </c>
      <c r="AA7301" s="6">
        <v>0</v>
      </c>
      <c r="AB7301" s="4">
        <f t="shared" si="1136"/>
        <v>3618.9989799999998</v>
      </c>
      <c r="AC7301" s="6">
        <f t="shared" si="1134"/>
        <v>0</v>
      </c>
      <c r="AD7301" s="6">
        <f t="shared" si="1129"/>
        <v>3618.9989799999998</v>
      </c>
      <c r="AE7301" s="14">
        <f>VLOOKUP(I7301,[2]媒体政策预估表!A:N,MATCH(O7301,[2]媒体政策预估表!$A$2:$M$2,0),0)</f>
        <v>0.1</v>
      </c>
      <c r="AF7301" s="6">
        <f t="shared" si="1131"/>
        <v>361.89989800000001</v>
      </c>
      <c r="AG7301" s="14">
        <v>0</v>
      </c>
      <c r="AH7301" s="64">
        <f t="shared" si="1130"/>
        <v>3618.9989799999998</v>
      </c>
      <c r="AJ7301" s="126" t="e">
        <v>#N/A</v>
      </c>
      <c r="AK7301" s="80">
        <f t="shared" si="1137"/>
        <v>0</v>
      </c>
      <c r="AL7301" s="85"/>
      <c r="AM7301" s="85"/>
    </row>
    <row r="7302" spans="1:39" s="86" customFormat="1" ht="13.25" hidden="1" customHeight="1" x14ac:dyDescent="0.3">
      <c r="A7302" s="89" t="s">
        <v>3978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3767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128"/>
        <v>131620.05084000016</v>
      </c>
      <c r="X7302" s="6">
        <f t="shared" si="1133"/>
        <v>1820170.19</v>
      </c>
      <c r="Y7302" s="13">
        <f t="shared" si="1135"/>
        <v>0</v>
      </c>
      <c r="Z7302" s="66">
        <v>0</v>
      </c>
      <c r="AA7302" s="6">
        <v>0</v>
      </c>
      <c r="AB7302" s="4">
        <f t="shared" si="1136"/>
        <v>1820170.19</v>
      </c>
      <c r="AC7302" s="6">
        <f t="shared" si="1134"/>
        <v>0</v>
      </c>
      <c r="AD7302" s="6">
        <f t="shared" si="1129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131"/>
        <v>127411.91330000001</v>
      </c>
      <c r="AG7302" s="14">
        <v>0</v>
      </c>
      <c r="AH7302" s="64">
        <f t="shared" si="1130"/>
        <v>1820170.19</v>
      </c>
      <c r="AJ7302" s="126" t="e">
        <v>#N/A</v>
      </c>
      <c r="AK7302" s="80">
        <f t="shared" si="1137"/>
        <v>0</v>
      </c>
      <c r="AL7302" s="85"/>
      <c r="AM7302" s="85"/>
    </row>
    <row r="7303" spans="1:39" s="86" customFormat="1" ht="13.25" hidden="1" customHeight="1" x14ac:dyDescent="0.3">
      <c r="A7303" s="89" t="s">
        <v>3978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3767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128"/>
        <v>129966.90000000002</v>
      </c>
      <c r="X7303" s="6">
        <f t="shared" si="1133"/>
        <v>457240.4</v>
      </c>
      <c r="Y7303" s="13">
        <f t="shared" si="1135"/>
        <v>0</v>
      </c>
      <c r="Z7303" s="66">
        <v>0</v>
      </c>
      <c r="AA7303" s="6">
        <v>0</v>
      </c>
      <c r="AB7303" s="4">
        <f t="shared" si="1136"/>
        <v>457240.4</v>
      </c>
      <c r="AC7303" s="6">
        <f t="shared" si="1134"/>
        <v>0</v>
      </c>
      <c r="AD7303" s="6">
        <f t="shared" si="1129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131"/>
        <v>32006.828000000005</v>
      </c>
      <c r="AG7303" s="14">
        <v>0</v>
      </c>
      <c r="AH7303" s="64">
        <f t="shared" si="1130"/>
        <v>457240.4</v>
      </c>
      <c r="AJ7303" s="126" t="e">
        <v>#N/A</v>
      </c>
      <c r="AK7303" s="80">
        <f t="shared" si="1137"/>
        <v>0</v>
      </c>
      <c r="AL7303" s="85"/>
      <c r="AM7303" s="85"/>
    </row>
    <row r="7304" spans="1:39" s="86" customFormat="1" ht="13.25" hidden="1" customHeight="1" x14ac:dyDescent="0.3">
      <c r="A7304" s="89" t="s">
        <v>3978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3767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128"/>
        <v>6455.7000000000007</v>
      </c>
      <c r="X7304" s="6">
        <f t="shared" si="1133"/>
        <v>22678.7</v>
      </c>
      <c r="Y7304" s="13">
        <f t="shared" si="1135"/>
        <v>0</v>
      </c>
      <c r="Z7304" s="66">
        <v>0</v>
      </c>
      <c r="AA7304" s="6">
        <v>0</v>
      </c>
      <c r="AB7304" s="4">
        <f t="shared" si="1136"/>
        <v>22678.7</v>
      </c>
      <c r="AC7304" s="6">
        <f t="shared" si="1134"/>
        <v>0</v>
      </c>
      <c r="AD7304" s="6">
        <f t="shared" si="1129"/>
        <v>22678.7</v>
      </c>
      <c r="AE7304" s="14">
        <f>VLOOKUP(I7304,[2]媒体政策预估表!A:N,MATCH(O7304,[2]媒体政策预估表!$A$2:$M$2,0),0)</f>
        <v>7.0000000000000007E-2</v>
      </c>
      <c r="AF7304" s="6">
        <f t="shared" si="1131"/>
        <v>1587.5090000000002</v>
      </c>
      <c r="AG7304" s="14">
        <v>0</v>
      </c>
      <c r="AH7304" s="64">
        <f t="shared" si="1130"/>
        <v>22678.7</v>
      </c>
      <c r="AJ7304" s="126" t="e">
        <v>#N/A</v>
      </c>
      <c r="AK7304" s="80">
        <f t="shared" si="1137"/>
        <v>0</v>
      </c>
      <c r="AL7304" s="85"/>
      <c r="AM7304" s="85"/>
    </row>
    <row r="7305" spans="1:39" s="86" customFormat="1" ht="13.25" hidden="1" customHeight="1" x14ac:dyDescent="0.3">
      <c r="A7305" s="89" t="s">
        <v>3978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3767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128"/>
        <v>24261.100000000006</v>
      </c>
      <c r="X7305" s="6">
        <f t="shared" si="1133"/>
        <v>41011.199999999997</v>
      </c>
      <c r="Y7305" s="13">
        <f t="shared" si="1135"/>
        <v>0</v>
      </c>
      <c r="Z7305" s="66">
        <v>0</v>
      </c>
      <c r="AA7305" s="6">
        <v>0</v>
      </c>
      <c r="AB7305" s="4">
        <f t="shared" si="1136"/>
        <v>41011.199999999997</v>
      </c>
      <c r="AC7305" s="6">
        <f t="shared" si="1134"/>
        <v>0</v>
      </c>
      <c r="AD7305" s="6">
        <f t="shared" si="1129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131"/>
        <v>2870.7840000000001</v>
      </c>
      <c r="AG7305" s="14">
        <v>0</v>
      </c>
      <c r="AH7305" s="64">
        <f t="shared" si="1130"/>
        <v>41011.199999999997</v>
      </c>
      <c r="AJ7305" s="126" t="e">
        <v>#N/A</v>
      </c>
      <c r="AK7305" s="80">
        <f t="shared" si="1137"/>
        <v>0</v>
      </c>
      <c r="AL7305" s="85"/>
      <c r="AM7305" s="85"/>
    </row>
    <row r="7306" spans="1:39" s="86" customFormat="1" ht="13.25" hidden="1" customHeight="1" x14ac:dyDescent="0.3">
      <c r="A7306" s="89" t="s">
        <v>3978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3767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128"/>
        <v>86785.200000000012</v>
      </c>
      <c r="X7306" s="6">
        <f t="shared" si="1133"/>
        <v>481358.3</v>
      </c>
      <c r="Y7306" s="13">
        <f t="shared" si="1135"/>
        <v>0</v>
      </c>
      <c r="Z7306" s="66">
        <v>0</v>
      </c>
      <c r="AA7306" s="6">
        <v>0</v>
      </c>
      <c r="AB7306" s="4">
        <f t="shared" si="1136"/>
        <v>481358.3</v>
      </c>
      <c r="AC7306" s="6">
        <f t="shared" si="1134"/>
        <v>0</v>
      </c>
      <c r="AD7306" s="6">
        <f t="shared" si="1129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131"/>
        <v>33695.081000000006</v>
      </c>
      <c r="AG7306" s="14">
        <v>0</v>
      </c>
      <c r="AH7306" s="64">
        <f t="shared" si="1130"/>
        <v>481358.3</v>
      </c>
      <c r="AJ7306" s="126" t="e">
        <v>#N/A</v>
      </c>
      <c r="AK7306" s="80">
        <f t="shared" si="1137"/>
        <v>0</v>
      </c>
      <c r="AL7306" s="85"/>
      <c r="AM7306" s="85"/>
    </row>
    <row r="7307" spans="1:39" s="86" customFormat="1" ht="13.25" hidden="1" customHeight="1" x14ac:dyDescent="0.3">
      <c r="A7307" s="89" t="s">
        <v>3978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3767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4074</v>
      </c>
      <c r="S7307" s="47"/>
      <c r="T7307" s="6">
        <v>0</v>
      </c>
      <c r="U7307" s="6">
        <v>20000</v>
      </c>
      <c r="V7307" s="6">
        <v>2559.1167</v>
      </c>
      <c r="W7307" s="6">
        <f t="shared" si="1128"/>
        <v>17440.883300000001</v>
      </c>
      <c r="X7307" s="6">
        <f t="shared" si="1133"/>
        <v>2559.1167</v>
      </c>
      <c r="Y7307" s="13">
        <f t="shared" si="1135"/>
        <v>0</v>
      </c>
      <c r="Z7307" s="66">
        <v>0</v>
      </c>
      <c r="AA7307" s="6">
        <v>0</v>
      </c>
      <c r="AB7307" s="4">
        <f t="shared" si="1136"/>
        <v>2559.1167</v>
      </c>
      <c r="AC7307" s="6">
        <f t="shared" si="1134"/>
        <v>0</v>
      </c>
      <c r="AD7307" s="6">
        <f t="shared" si="1129"/>
        <v>2559.1167</v>
      </c>
      <c r="AE7307" s="14">
        <f>VLOOKUP(I7307,[2]媒体政策预估表!A:N,MATCH(O7307,[2]媒体政策预估表!$A$2:$M$2,0),0)</f>
        <v>0.1</v>
      </c>
      <c r="AF7307" s="6">
        <f t="shared" si="1131"/>
        <v>255.91167000000002</v>
      </c>
      <c r="AG7307" s="14">
        <v>0</v>
      </c>
      <c r="AH7307" s="64">
        <f t="shared" si="1130"/>
        <v>2559.1167</v>
      </c>
      <c r="AJ7307" s="126" t="e">
        <v>#N/A</v>
      </c>
      <c r="AK7307" s="80">
        <f t="shared" si="1137"/>
        <v>0</v>
      </c>
      <c r="AL7307" s="85"/>
      <c r="AM7307" s="85"/>
    </row>
    <row r="7308" spans="1:39" s="86" customFormat="1" ht="13.25" hidden="1" customHeight="1" x14ac:dyDescent="0.3">
      <c r="A7308" s="89" t="s">
        <v>3978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3767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128"/>
        <v>16189.199999999997</v>
      </c>
      <c r="X7308" s="6">
        <f t="shared" si="1133"/>
        <v>68077.3</v>
      </c>
      <c r="Y7308" s="13">
        <f t="shared" si="1135"/>
        <v>0</v>
      </c>
      <c r="Z7308" s="66">
        <v>0</v>
      </c>
      <c r="AA7308" s="6">
        <v>0</v>
      </c>
      <c r="AB7308" s="4">
        <f t="shared" si="1136"/>
        <v>68077.3</v>
      </c>
      <c r="AC7308" s="6">
        <f t="shared" si="1134"/>
        <v>0</v>
      </c>
      <c r="AD7308" s="6">
        <f t="shared" si="1129"/>
        <v>68077.3</v>
      </c>
      <c r="AE7308" s="14">
        <f>VLOOKUP(I7308,[2]媒体政策预估表!A:N,MATCH(O7308,[2]媒体政策预估表!$A$2:$M$2,0),0)</f>
        <v>7.0000000000000007E-2</v>
      </c>
      <c r="AF7308" s="6">
        <f t="shared" si="1131"/>
        <v>4765.411000000001</v>
      </c>
      <c r="AG7308" s="14">
        <v>0</v>
      </c>
      <c r="AH7308" s="64">
        <f t="shared" si="1130"/>
        <v>68077.3</v>
      </c>
      <c r="AJ7308" s="126" t="e">
        <v>#N/A</v>
      </c>
      <c r="AK7308" s="80">
        <f t="shared" si="1137"/>
        <v>0</v>
      </c>
      <c r="AL7308" s="85"/>
      <c r="AM7308" s="85"/>
    </row>
    <row r="7309" spans="1:39" s="86" customFormat="1" ht="13.25" hidden="1" customHeight="1" x14ac:dyDescent="0.3">
      <c r="A7309" s="89" t="s">
        <v>3978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3767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128"/>
        <v>22428.699999999997</v>
      </c>
      <c r="X7309" s="6">
        <f t="shared" si="1133"/>
        <v>47441</v>
      </c>
      <c r="Y7309" s="13">
        <f t="shared" si="1135"/>
        <v>0</v>
      </c>
      <c r="Z7309" s="66">
        <v>0</v>
      </c>
      <c r="AA7309" s="6">
        <v>0</v>
      </c>
      <c r="AB7309" s="4">
        <f t="shared" si="1136"/>
        <v>47441</v>
      </c>
      <c r="AC7309" s="6">
        <f t="shared" si="1134"/>
        <v>0</v>
      </c>
      <c r="AD7309" s="6">
        <f t="shared" si="1129"/>
        <v>47441</v>
      </c>
      <c r="AE7309" s="14">
        <f>VLOOKUP(I7309,[2]媒体政策预估表!A:N,MATCH(O7309,[2]媒体政策预估表!$A$2:$M$2,0),0)</f>
        <v>7.0000000000000007E-2</v>
      </c>
      <c r="AF7309" s="6">
        <f t="shared" si="1131"/>
        <v>3320.8700000000003</v>
      </c>
      <c r="AG7309" s="14">
        <v>0</v>
      </c>
      <c r="AH7309" s="64">
        <f t="shared" si="1130"/>
        <v>47441</v>
      </c>
      <c r="AJ7309" s="126" t="e">
        <v>#N/A</v>
      </c>
      <c r="AK7309" s="80">
        <f t="shared" si="1137"/>
        <v>0</v>
      </c>
      <c r="AL7309" s="85"/>
      <c r="AM7309" s="85"/>
    </row>
    <row r="7310" spans="1:39" s="86" customFormat="1" ht="13.25" hidden="1" customHeight="1" x14ac:dyDescent="0.3">
      <c r="A7310" s="89" t="s">
        <v>3978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3767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128"/>
        <v>25707.100000000024</v>
      </c>
      <c r="X7310" s="6">
        <f t="shared" si="1133"/>
        <v>26292.3</v>
      </c>
      <c r="Y7310" s="13">
        <f t="shared" si="1135"/>
        <v>0</v>
      </c>
      <c r="Z7310" s="66">
        <v>0</v>
      </c>
      <c r="AA7310" s="6">
        <v>0</v>
      </c>
      <c r="AB7310" s="4">
        <f t="shared" si="1136"/>
        <v>26292.3</v>
      </c>
      <c r="AC7310" s="6">
        <f t="shared" si="1134"/>
        <v>0</v>
      </c>
      <c r="AD7310" s="6">
        <f t="shared" si="1129"/>
        <v>26292.3</v>
      </c>
      <c r="AE7310" s="14">
        <f>VLOOKUP(I7310,[2]媒体政策预估表!A:N,MATCH(O7310,[2]媒体政策预估表!$A$2:$M$2,0),0)</f>
        <v>7.0000000000000007E-2</v>
      </c>
      <c r="AF7310" s="6">
        <f t="shared" si="1131"/>
        <v>1840.461</v>
      </c>
      <c r="AG7310" s="14">
        <v>0</v>
      </c>
      <c r="AH7310" s="64">
        <f t="shared" si="1130"/>
        <v>26292.3</v>
      </c>
      <c r="AJ7310" s="126" t="e">
        <v>#N/A</v>
      </c>
      <c r="AK7310" s="80">
        <f t="shared" si="1137"/>
        <v>0</v>
      </c>
      <c r="AL7310" s="85"/>
      <c r="AM7310" s="85"/>
    </row>
    <row r="7311" spans="1:39" s="86" customFormat="1" ht="13.25" hidden="1" customHeight="1" x14ac:dyDescent="0.3">
      <c r="A7311" s="89" t="s">
        <v>3978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3767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128"/>
        <v>57373.3</v>
      </c>
      <c r="X7311" s="6">
        <f t="shared" si="1133"/>
        <v>82325.7</v>
      </c>
      <c r="Y7311" s="13">
        <f t="shared" si="1135"/>
        <v>0</v>
      </c>
      <c r="Z7311" s="66">
        <v>0</v>
      </c>
      <c r="AA7311" s="6">
        <v>0</v>
      </c>
      <c r="AB7311" s="4">
        <f t="shared" si="1136"/>
        <v>82325.7</v>
      </c>
      <c r="AC7311" s="6">
        <f t="shared" si="1134"/>
        <v>0</v>
      </c>
      <c r="AD7311" s="6">
        <f t="shared" si="1129"/>
        <v>82325.7</v>
      </c>
      <c r="AE7311" s="14">
        <f>VLOOKUP(I7311,[2]媒体政策预估表!A:N,MATCH(O7311,[2]媒体政策预估表!$A$2:$M$2,0),0)</f>
        <v>7.0000000000000007E-2</v>
      </c>
      <c r="AF7311" s="6">
        <f t="shared" si="1131"/>
        <v>5762.799</v>
      </c>
      <c r="AG7311" s="14">
        <v>0</v>
      </c>
      <c r="AH7311" s="64">
        <f t="shared" si="1130"/>
        <v>82325.7</v>
      </c>
      <c r="AJ7311" s="126" t="e">
        <v>#N/A</v>
      </c>
      <c r="AK7311" s="80">
        <f t="shared" si="1137"/>
        <v>0</v>
      </c>
      <c r="AL7311" s="85"/>
      <c r="AM7311" s="85"/>
    </row>
    <row r="7312" spans="1:39" s="86" customFormat="1" ht="13.25" hidden="1" customHeight="1" x14ac:dyDescent="0.3">
      <c r="A7312" s="89" t="s">
        <v>3978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3767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128"/>
        <v>392099.20533000003</v>
      </c>
      <c r="X7312" s="6">
        <f t="shared" si="1133"/>
        <v>169229.46780000001</v>
      </c>
      <c r="Y7312" s="13">
        <f t="shared" si="1135"/>
        <v>0</v>
      </c>
      <c r="Z7312" s="66">
        <v>0</v>
      </c>
      <c r="AA7312" s="6">
        <v>0</v>
      </c>
      <c r="AB7312" s="4">
        <f t="shared" si="1136"/>
        <v>169229.46780000001</v>
      </c>
      <c r="AC7312" s="6">
        <f t="shared" si="1134"/>
        <v>0</v>
      </c>
      <c r="AD7312" s="6">
        <f t="shared" si="1129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131"/>
        <v>11846.062746000001</v>
      </c>
      <c r="AG7312" s="14">
        <v>0</v>
      </c>
      <c r="AH7312" s="64">
        <f t="shared" si="1130"/>
        <v>169229.46780000001</v>
      </c>
      <c r="AJ7312" s="126" t="e">
        <v>#N/A</v>
      </c>
      <c r="AK7312" s="80">
        <f t="shared" si="1137"/>
        <v>0</v>
      </c>
      <c r="AL7312" s="85"/>
      <c r="AM7312" s="85"/>
    </row>
    <row r="7313" spans="1:39" s="86" customFormat="1" ht="13.25" hidden="1" customHeight="1" x14ac:dyDescent="0.3">
      <c r="A7313" s="89" t="s">
        <v>3978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3767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128"/>
        <v>54714.440000000104</v>
      </c>
      <c r="X7313" s="6">
        <f t="shared" si="1133"/>
        <v>92242.871287128713</v>
      </c>
      <c r="Y7313" s="13">
        <f t="shared" si="1135"/>
        <v>0</v>
      </c>
      <c r="Z7313" s="66">
        <v>0</v>
      </c>
      <c r="AA7313" s="6">
        <v>0</v>
      </c>
      <c r="AB7313" s="4">
        <f t="shared" si="1136"/>
        <v>92242.871287128713</v>
      </c>
      <c r="AC7313" s="6">
        <f t="shared" si="1134"/>
        <v>922.42871287128946</v>
      </c>
      <c r="AD7313" s="6">
        <f t="shared" si="1129"/>
        <v>93165.3</v>
      </c>
      <c r="AE7313" s="14">
        <f>VLOOKUP(I7313,[2]媒体政策预估表!A:N,MATCH(O7313,[2]媒体政策预估表!$A$2:$M$2,0),0)</f>
        <v>7.0000000000000007E-2</v>
      </c>
      <c r="AF7313" s="6">
        <f t="shared" si="1131"/>
        <v>6521.5710000000008</v>
      </c>
      <c r="AG7313" s="14">
        <v>0</v>
      </c>
      <c r="AH7313" s="64">
        <f t="shared" si="1130"/>
        <v>93165.3</v>
      </c>
      <c r="AJ7313" s="126" t="e">
        <v>#N/A</v>
      </c>
      <c r="AK7313" s="80">
        <f t="shared" si="1137"/>
        <v>0</v>
      </c>
      <c r="AL7313" s="85"/>
      <c r="AM7313" s="85"/>
    </row>
    <row r="7314" spans="1:39" s="86" customFormat="1" ht="13.25" hidden="1" customHeight="1" x14ac:dyDescent="0.3">
      <c r="A7314" s="89" t="s">
        <v>3978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3767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4075</v>
      </c>
      <c r="S7314" s="47"/>
      <c r="T7314" s="6">
        <v>0</v>
      </c>
      <c r="U7314" s="6">
        <v>20000</v>
      </c>
      <c r="V7314" s="6">
        <v>0</v>
      </c>
      <c r="W7314" s="6">
        <f t="shared" si="1128"/>
        <v>20000</v>
      </c>
      <c r="X7314" s="6">
        <f t="shared" si="1133"/>
        <v>0</v>
      </c>
      <c r="Y7314" s="13">
        <f t="shared" si="1135"/>
        <v>0</v>
      </c>
      <c r="Z7314" s="66">
        <v>0</v>
      </c>
      <c r="AA7314" s="6">
        <v>0</v>
      </c>
      <c r="AB7314" s="4">
        <f t="shared" si="1136"/>
        <v>0</v>
      </c>
      <c r="AC7314" s="6">
        <f t="shared" si="1134"/>
        <v>0</v>
      </c>
      <c r="AD7314" s="6">
        <f t="shared" si="1129"/>
        <v>0</v>
      </c>
      <c r="AE7314" s="14">
        <f>VLOOKUP(I7314,[2]媒体政策预估表!A:N,MATCH(O7314,[2]媒体政策预估表!$A$2:$M$2,0),0)</f>
        <v>0.1</v>
      </c>
      <c r="AF7314" s="6">
        <f t="shared" si="1131"/>
        <v>0</v>
      </c>
      <c r="AG7314" s="14">
        <v>0</v>
      </c>
      <c r="AH7314" s="64">
        <f t="shared" si="1130"/>
        <v>0</v>
      </c>
      <c r="AJ7314" s="126" t="e">
        <v>#N/A</v>
      </c>
      <c r="AK7314" s="80">
        <f t="shared" si="1137"/>
        <v>0</v>
      </c>
      <c r="AL7314" s="85"/>
      <c r="AM7314" s="85"/>
    </row>
    <row r="7315" spans="1:39" s="86" customFormat="1" ht="13.25" hidden="1" customHeight="1" x14ac:dyDescent="0.3">
      <c r="A7315" s="89" t="s">
        <v>3978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3767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128"/>
        <v>2217462.0084299999</v>
      </c>
      <c r="X7315" s="6">
        <f t="shared" si="1133"/>
        <v>1439345.33317</v>
      </c>
      <c r="Y7315" s="13">
        <f t="shared" si="1135"/>
        <v>0</v>
      </c>
      <c r="Z7315" s="66">
        <v>0</v>
      </c>
      <c r="AA7315" s="6">
        <v>0</v>
      </c>
      <c r="AB7315" s="4">
        <f t="shared" si="1136"/>
        <v>1439345.33317</v>
      </c>
      <c r="AC7315" s="6">
        <f t="shared" si="1134"/>
        <v>0</v>
      </c>
      <c r="AD7315" s="6">
        <f t="shared" si="1129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131"/>
        <v>100754.17332190002</v>
      </c>
      <c r="AG7315" s="14">
        <v>0</v>
      </c>
      <c r="AH7315" s="64">
        <f t="shared" si="1130"/>
        <v>1439345.33317</v>
      </c>
      <c r="AJ7315" s="126" t="e">
        <v>#N/A</v>
      </c>
      <c r="AK7315" s="80">
        <f t="shared" si="1137"/>
        <v>0</v>
      </c>
      <c r="AL7315" s="85"/>
      <c r="AM7315" s="85"/>
    </row>
    <row r="7316" spans="1:39" s="86" customFormat="1" ht="13.25" hidden="1" customHeight="1" x14ac:dyDescent="0.3">
      <c r="A7316" s="89" t="s">
        <v>3978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3767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128"/>
        <v>102112.79999999999</v>
      </c>
      <c r="X7316" s="6">
        <f t="shared" si="1133"/>
        <v>118313.60000000001</v>
      </c>
      <c r="Y7316" s="13">
        <f t="shared" si="1135"/>
        <v>0</v>
      </c>
      <c r="Z7316" s="66">
        <v>0</v>
      </c>
      <c r="AA7316" s="6">
        <v>0</v>
      </c>
      <c r="AB7316" s="4">
        <f t="shared" si="1136"/>
        <v>118313.60000000001</v>
      </c>
      <c r="AC7316" s="6">
        <f t="shared" si="1134"/>
        <v>0</v>
      </c>
      <c r="AD7316" s="6">
        <f t="shared" si="1129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131"/>
        <v>8281.9520000000011</v>
      </c>
      <c r="AG7316" s="14">
        <v>0</v>
      </c>
      <c r="AH7316" s="64">
        <f t="shared" si="1130"/>
        <v>118313.60000000001</v>
      </c>
      <c r="AJ7316" s="126" t="e">
        <v>#N/A</v>
      </c>
      <c r="AK7316" s="80">
        <f t="shared" si="1137"/>
        <v>0</v>
      </c>
      <c r="AL7316" s="85"/>
      <c r="AM7316" s="85"/>
    </row>
    <row r="7317" spans="1:39" s="86" customFormat="1" ht="13.25" hidden="1" customHeight="1" x14ac:dyDescent="0.3">
      <c r="A7317" s="89" t="s">
        <v>3978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3767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128"/>
        <v>2785.0599999999995</v>
      </c>
      <c r="X7317" s="6">
        <f t="shared" si="1133"/>
        <v>9040.4</v>
      </c>
      <c r="Y7317" s="13">
        <f t="shared" si="1135"/>
        <v>0</v>
      </c>
      <c r="Z7317" s="66">
        <v>0</v>
      </c>
      <c r="AA7317" s="6">
        <v>0</v>
      </c>
      <c r="AB7317" s="4">
        <f t="shared" si="1136"/>
        <v>9040.4</v>
      </c>
      <c r="AC7317" s="6">
        <f t="shared" si="1134"/>
        <v>0</v>
      </c>
      <c r="AD7317" s="6">
        <f t="shared" si="1129"/>
        <v>9040.4</v>
      </c>
      <c r="AE7317" s="14">
        <f>VLOOKUP(I7317,[2]媒体政策预估表!A:N,MATCH(O7317,[2]媒体政策预估表!$A$2:$M$2,0),0)</f>
        <v>7.0000000000000007E-2</v>
      </c>
      <c r="AF7317" s="6">
        <f t="shared" si="1131"/>
        <v>632.82800000000009</v>
      </c>
      <c r="AG7317" s="14">
        <v>0</v>
      </c>
      <c r="AH7317" s="64">
        <f t="shared" si="1130"/>
        <v>9040.4</v>
      </c>
      <c r="AJ7317" s="126" t="e">
        <v>#N/A</v>
      </c>
      <c r="AK7317" s="80">
        <f t="shared" si="1137"/>
        <v>0</v>
      </c>
      <c r="AL7317" s="85"/>
      <c r="AM7317" s="85"/>
    </row>
    <row r="7318" spans="1:39" s="86" customFormat="1" ht="13.25" hidden="1" customHeight="1" x14ac:dyDescent="0.3">
      <c r="A7318" s="89" t="s">
        <v>3978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3767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128"/>
        <v>13191.920000000006</v>
      </c>
      <c r="X7318" s="6">
        <f t="shared" si="1133"/>
        <v>62935.1</v>
      </c>
      <c r="Y7318" s="13">
        <f t="shared" si="1135"/>
        <v>0</v>
      </c>
      <c r="Z7318" s="66">
        <v>0</v>
      </c>
      <c r="AA7318" s="6">
        <v>0</v>
      </c>
      <c r="AB7318" s="4">
        <f t="shared" si="1136"/>
        <v>62935.1</v>
      </c>
      <c r="AC7318" s="6">
        <f t="shared" si="1134"/>
        <v>0</v>
      </c>
      <c r="AD7318" s="6">
        <f t="shared" si="1129"/>
        <v>62935.1</v>
      </c>
      <c r="AE7318" s="14">
        <f>VLOOKUP(I7318,[2]媒体政策预估表!A:N,MATCH(O7318,[2]媒体政策预估表!$A$2:$M$2,0),0)</f>
        <v>7.0000000000000007E-2</v>
      </c>
      <c r="AF7318" s="6">
        <f t="shared" si="1131"/>
        <v>4405.4570000000003</v>
      </c>
      <c r="AG7318" s="14">
        <v>0</v>
      </c>
      <c r="AH7318" s="64">
        <f t="shared" si="1130"/>
        <v>62935.1</v>
      </c>
      <c r="AJ7318" s="126" t="e">
        <v>#N/A</v>
      </c>
      <c r="AK7318" s="80">
        <f t="shared" si="1137"/>
        <v>0</v>
      </c>
      <c r="AL7318" s="85"/>
      <c r="AM7318" s="85"/>
    </row>
    <row r="7319" spans="1:39" s="86" customFormat="1" ht="13.25" hidden="1" customHeight="1" x14ac:dyDescent="0.3">
      <c r="A7319" s="89" t="s">
        <v>3978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4076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3767</v>
      </c>
      <c r="L7319" s="47" t="s">
        <v>35</v>
      </c>
      <c r="M7319" s="86" t="s">
        <v>4077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128"/>
        <v>2076</v>
      </c>
      <c r="X7319" s="6">
        <f t="shared" si="1133"/>
        <v>905.88235294117646</v>
      </c>
      <c r="Y7319" s="13">
        <f t="shared" si="1135"/>
        <v>0</v>
      </c>
      <c r="Z7319" s="66">
        <v>0</v>
      </c>
      <c r="AA7319" s="6">
        <v>0</v>
      </c>
      <c r="AB7319" s="4">
        <f t="shared" si="1136"/>
        <v>905.88235294117646</v>
      </c>
      <c r="AC7319" s="6">
        <f t="shared" si="1134"/>
        <v>18.117647058823536</v>
      </c>
      <c r="AD7319" s="6">
        <f t="shared" si="1129"/>
        <v>924</v>
      </c>
      <c r="AE7319" s="14">
        <f>VLOOKUP(I7319,[2]媒体政策预估表!A:N,MATCH(O7319,[2]媒体政策预估表!$A$2:$M$2,0),0)</f>
        <v>7.0000000000000007E-2</v>
      </c>
      <c r="AF7319" s="6">
        <f t="shared" si="1131"/>
        <v>64.680000000000007</v>
      </c>
      <c r="AG7319" s="14">
        <v>0</v>
      </c>
      <c r="AH7319" s="64">
        <f t="shared" si="1130"/>
        <v>924</v>
      </c>
      <c r="AJ7319" s="126" t="e">
        <v>#N/A</v>
      </c>
      <c r="AK7319" s="80">
        <f t="shared" si="1137"/>
        <v>0</v>
      </c>
      <c r="AL7319" s="85"/>
      <c r="AM7319" s="85"/>
    </row>
    <row r="7320" spans="1:39" s="86" customFormat="1" ht="13.25" hidden="1" customHeight="1" x14ac:dyDescent="0.3">
      <c r="A7320" s="89" t="s">
        <v>3978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3767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128"/>
        <v>35361.100000000006</v>
      </c>
      <c r="X7320" s="6">
        <f t="shared" si="1133"/>
        <v>39058.199999999997</v>
      </c>
      <c r="Y7320" s="13">
        <f t="shared" si="1135"/>
        <v>0</v>
      </c>
      <c r="Z7320" s="66">
        <v>0</v>
      </c>
      <c r="AA7320" s="6">
        <v>0</v>
      </c>
      <c r="AB7320" s="4">
        <f t="shared" si="1136"/>
        <v>39058.199999999997</v>
      </c>
      <c r="AC7320" s="6">
        <f t="shared" si="1134"/>
        <v>0</v>
      </c>
      <c r="AD7320" s="6">
        <f t="shared" si="1129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131"/>
        <v>2734.0740000000001</v>
      </c>
      <c r="AG7320" s="14">
        <v>0</v>
      </c>
      <c r="AH7320" s="64">
        <f t="shared" si="1130"/>
        <v>39058.199999999997</v>
      </c>
      <c r="AJ7320" s="126" t="e">
        <v>#N/A</v>
      </c>
      <c r="AK7320" s="80">
        <f t="shared" si="1137"/>
        <v>0</v>
      </c>
      <c r="AL7320" s="85"/>
      <c r="AM7320" s="85"/>
    </row>
    <row r="7321" spans="1:39" s="86" customFormat="1" ht="13.25" hidden="1" customHeight="1" x14ac:dyDescent="0.3">
      <c r="A7321" s="89" t="s">
        <v>3978</v>
      </c>
      <c r="B7321" s="86" t="s">
        <v>35</v>
      </c>
      <c r="C7321" s="86" t="s">
        <v>164</v>
      </c>
      <c r="D7321" s="86" t="s">
        <v>174</v>
      </c>
      <c r="E7321" s="86" t="s">
        <v>4078</v>
      </c>
      <c r="F7321" s="86" t="s">
        <v>4078</v>
      </c>
      <c r="G7321" s="86" t="s">
        <v>4078</v>
      </c>
      <c r="H7321" s="144">
        <v>360</v>
      </c>
      <c r="I7321" s="86" t="s">
        <v>1060</v>
      </c>
      <c r="J7321" s="47" t="s">
        <v>3325</v>
      </c>
      <c r="K7321" s="47" t="s">
        <v>3767</v>
      </c>
      <c r="L7321" s="47" t="s">
        <v>35</v>
      </c>
      <c r="M7321" s="86" t="s">
        <v>4078</v>
      </c>
      <c r="O7321" s="47" t="s">
        <v>410</v>
      </c>
      <c r="P7321" s="47" t="s">
        <v>41</v>
      </c>
      <c r="Q7321" s="14">
        <v>0</v>
      </c>
      <c r="R7321" s="143" t="s">
        <v>4079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138">T7321+U7321-V7321</f>
        <v>65.299999999999272</v>
      </c>
      <c r="X7321" s="6">
        <f t="shared" si="1133"/>
        <v>9934.7000000000007</v>
      </c>
      <c r="Y7321" s="13">
        <f t="shared" si="1135"/>
        <v>0</v>
      </c>
      <c r="Z7321" s="66">
        <v>0</v>
      </c>
      <c r="AA7321" s="6">
        <v>0</v>
      </c>
      <c r="AB7321" s="4">
        <f t="shared" si="1136"/>
        <v>9934.7000000000007</v>
      </c>
      <c r="AC7321" s="6">
        <f t="shared" si="1134"/>
        <v>0</v>
      </c>
      <c r="AD7321" s="6">
        <f t="shared" ref="AD7321:AD7384" si="1139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131"/>
        <v>695.42900000000009</v>
      </c>
      <c r="AG7321" s="14">
        <v>0</v>
      </c>
      <c r="AH7321" s="64">
        <f t="shared" ref="AH7321:AH7384" si="1140">V7321</f>
        <v>9934.7000000000007</v>
      </c>
      <c r="AJ7321" s="126" t="e">
        <v>#N/A</v>
      </c>
      <c r="AK7321" s="80">
        <f t="shared" si="1137"/>
        <v>0</v>
      </c>
      <c r="AL7321" s="85"/>
      <c r="AM7321" s="85"/>
    </row>
    <row r="7322" spans="1:39" s="86" customFormat="1" ht="13.25" hidden="1" customHeight="1" x14ac:dyDescent="0.3">
      <c r="A7322" s="89" t="s">
        <v>3978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3767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138"/>
        <v>48586</v>
      </c>
      <c r="X7322" s="6">
        <f t="shared" si="1133"/>
        <v>28139.5</v>
      </c>
      <c r="Y7322" s="13">
        <f t="shared" si="1135"/>
        <v>0</v>
      </c>
      <c r="Z7322" s="66">
        <v>0</v>
      </c>
      <c r="AA7322" s="6">
        <v>0</v>
      </c>
      <c r="AB7322" s="4">
        <f t="shared" si="1136"/>
        <v>28139.5</v>
      </c>
      <c r="AC7322" s="6">
        <f t="shared" si="1134"/>
        <v>0</v>
      </c>
      <c r="AD7322" s="6">
        <f t="shared" si="1139"/>
        <v>28139.5</v>
      </c>
      <c r="AE7322" s="14">
        <f>VLOOKUP(I7322,[2]媒体政策预估表!A:N,MATCH(O7322,[2]媒体政策预估表!$A$2:$M$2,0),0)</f>
        <v>7.0000000000000007E-2</v>
      </c>
      <c r="AF7322" s="6">
        <f t="shared" si="1131"/>
        <v>1969.7650000000001</v>
      </c>
      <c r="AG7322" s="14">
        <v>0</v>
      </c>
      <c r="AH7322" s="64">
        <f t="shared" si="1140"/>
        <v>28139.5</v>
      </c>
      <c r="AJ7322" s="126" t="e">
        <v>#N/A</v>
      </c>
      <c r="AK7322" s="80">
        <f t="shared" si="1137"/>
        <v>0</v>
      </c>
      <c r="AL7322" s="85"/>
      <c r="AM7322" s="85"/>
    </row>
    <row r="7323" spans="1:39" s="86" customFormat="1" ht="13.25" hidden="1" customHeight="1" x14ac:dyDescent="0.3">
      <c r="A7323" s="89" t="s">
        <v>3978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3767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138"/>
        <v>271854.54445000004</v>
      </c>
      <c r="X7323" s="6">
        <f t="shared" si="1133"/>
        <v>70521.85555445544</v>
      </c>
      <c r="Y7323" s="13">
        <f t="shared" si="1135"/>
        <v>0</v>
      </c>
      <c r="Z7323" s="66">
        <v>0</v>
      </c>
      <c r="AA7323" s="6">
        <v>0</v>
      </c>
      <c r="AB7323" s="4">
        <f t="shared" si="1136"/>
        <v>70521.85555445544</v>
      </c>
      <c r="AC7323" s="6">
        <f t="shared" si="1134"/>
        <v>705.21855554456124</v>
      </c>
      <c r="AD7323" s="6">
        <f t="shared" si="1139"/>
        <v>71227.074110000001</v>
      </c>
      <c r="AE7323" s="14">
        <f>VLOOKUP(I7323,[2]媒体政策预估表!A:N,MATCH(O7323,[2]媒体政策预估表!$A$2:$M$2,0),0)</f>
        <v>0.1</v>
      </c>
      <c r="AF7323" s="6">
        <f t="shared" si="1131"/>
        <v>7122.7074110000003</v>
      </c>
      <c r="AG7323" s="14">
        <v>0</v>
      </c>
      <c r="AH7323" s="64">
        <f t="shared" si="1140"/>
        <v>71227.074110000001</v>
      </c>
      <c r="AJ7323" s="126" t="e">
        <v>#N/A</v>
      </c>
      <c r="AK7323" s="80">
        <f t="shared" si="1137"/>
        <v>0</v>
      </c>
      <c r="AL7323" s="85"/>
      <c r="AM7323" s="85"/>
    </row>
    <row r="7324" spans="1:39" s="86" customFormat="1" ht="13.25" hidden="1" customHeight="1" x14ac:dyDescent="0.3">
      <c r="A7324" s="89" t="s">
        <v>3978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3767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138"/>
        <v>889324.89636999986</v>
      </c>
      <c r="X7324" s="6">
        <f t="shared" si="1133"/>
        <v>9615.7348118811879</v>
      </c>
      <c r="Y7324" s="13">
        <f t="shared" si="1135"/>
        <v>0</v>
      </c>
      <c r="Z7324" s="66">
        <v>0</v>
      </c>
      <c r="AA7324" s="6">
        <v>0</v>
      </c>
      <c r="AB7324" s="4">
        <f t="shared" si="1136"/>
        <v>9615.7348118811879</v>
      </c>
      <c r="AC7324" s="6">
        <f t="shared" si="1134"/>
        <v>96.157348118811569</v>
      </c>
      <c r="AD7324" s="6">
        <f t="shared" si="1139"/>
        <v>9711.8921599999994</v>
      </c>
      <c r="AE7324" s="14">
        <f>VLOOKUP(I7324,[2]媒体政策预估表!A:N,MATCH(O7324,[2]媒体政策预估表!$A$2:$M$2,0),0)</f>
        <v>0.1</v>
      </c>
      <c r="AF7324" s="6">
        <f t="shared" si="1131"/>
        <v>971.18921599999999</v>
      </c>
      <c r="AG7324" s="14">
        <v>0</v>
      </c>
      <c r="AH7324" s="64">
        <f t="shared" si="1140"/>
        <v>9711.8921599999994</v>
      </c>
      <c r="AJ7324" s="126" t="e">
        <v>#N/A</v>
      </c>
      <c r="AK7324" s="80">
        <f t="shared" si="1137"/>
        <v>0</v>
      </c>
      <c r="AL7324" s="85"/>
      <c r="AM7324" s="85"/>
    </row>
    <row r="7325" spans="1:39" s="86" customFormat="1" ht="13.25" hidden="1" customHeight="1" x14ac:dyDescent="0.3">
      <c r="A7325" s="89" t="s">
        <v>3978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3767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138"/>
        <v>339920.15225000004</v>
      </c>
      <c r="X7325" s="6">
        <f t="shared" si="1133"/>
        <v>19599.567881188119</v>
      </c>
      <c r="Y7325" s="13">
        <f t="shared" si="1135"/>
        <v>0</v>
      </c>
      <c r="Z7325" s="66">
        <v>0</v>
      </c>
      <c r="AA7325" s="6">
        <v>0</v>
      </c>
      <c r="AB7325" s="4">
        <f t="shared" si="1136"/>
        <v>19599.567881188119</v>
      </c>
      <c r="AC7325" s="6">
        <f t="shared" si="1134"/>
        <v>195.99567881187977</v>
      </c>
      <c r="AD7325" s="6">
        <f t="shared" si="1139"/>
        <v>19795.563559999999</v>
      </c>
      <c r="AE7325" s="14">
        <f>VLOOKUP(I7325,[2]媒体政策预估表!A:N,MATCH(O7325,[2]媒体政策预估表!$A$2:$M$2,0),0)</f>
        <v>0.1</v>
      </c>
      <c r="AF7325" s="6">
        <f t="shared" si="1131"/>
        <v>1979.5563560000001</v>
      </c>
      <c r="AG7325" s="14">
        <v>0</v>
      </c>
      <c r="AH7325" s="64">
        <f t="shared" si="1140"/>
        <v>19795.563559999999</v>
      </c>
      <c r="AJ7325" s="126" t="e">
        <v>#N/A</v>
      </c>
      <c r="AK7325" s="80">
        <f t="shared" si="1137"/>
        <v>0</v>
      </c>
      <c r="AL7325" s="85"/>
      <c r="AM7325" s="85"/>
    </row>
    <row r="7326" spans="1:39" s="86" customFormat="1" ht="13.25" hidden="1" customHeight="1" x14ac:dyDescent="0.3">
      <c r="A7326" s="89" t="s">
        <v>3978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3767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138"/>
        <v>28072.306850000001</v>
      </c>
      <c r="X7326" s="6">
        <f t="shared" si="1133"/>
        <v>45161.026821782172</v>
      </c>
      <c r="Y7326" s="13">
        <f t="shared" si="1135"/>
        <v>0</v>
      </c>
      <c r="Z7326" s="66">
        <v>0</v>
      </c>
      <c r="AA7326" s="6">
        <v>0</v>
      </c>
      <c r="AB7326" s="4">
        <f t="shared" si="1136"/>
        <v>45161.026821782172</v>
      </c>
      <c r="AC7326" s="6">
        <f t="shared" si="1134"/>
        <v>451.61026821782434</v>
      </c>
      <c r="AD7326" s="6">
        <f t="shared" si="1139"/>
        <v>45612.637089999997</v>
      </c>
      <c r="AE7326" s="14">
        <f>VLOOKUP(I7326,[2]媒体政策预估表!A:N,MATCH(O7326,[2]媒体政策预估表!$A$2:$M$2,0),0)</f>
        <v>0.1</v>
      </c>
      <c r="AF7326" s="6">
        <f t="shared" si="1131"/>
        <v>4561.2637089999998</v>
      </c>
      <c r="AG7326" s="14">
        <v>0</v>
      </c>
      <c r="AH7326" s="64">
        <f t="shared" si="1140"/>
        <v>45612.637089999997</v>
      </c>
      <c r="AJ7326" s="126" t="e">
        <v>#N/A</v>
      </c>
      <c r="AK7326" s="80">
        <f t="shared" si="1137"/>
        <v>0</v>
      </c>
      <c r="AL7326" s="85"/>
      <c r="AM7326" s="85"/>
    </row>
    <row r="7327" spans="1:39" s="86" customFormat="1" ht="13.25" hidden="1" customHeight="1" x14ac:dyDescent="0.3">
      <c r="A7327" s="89" t="s">
        <v>3978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3767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138"/>
        <v>183080.57776000001</v>
      </c>
      <c r="X7327" s="6">
        <f t="shared" si="1133"/>
        <v>1065.8484059405941</v>
      </c>
      <c r="Y7327" s="13">
        <f t="shared" si="1135"/>
        <v>0</v>
      </c>
      <c r="Z7327" s="66">
        <v>0</v>
      </c>
      <c r="AA7327" s="6">
        <v>0</v>
      </c>
      <c r="AB7327" s="4">
        <f t="shared" si="1136"/>
        <v>1065.8484059405941</v>
      </c>
      <c r="AC7327" s="6">
        <f t="shared" si="1134"/>
        <v>10.658484059405964</v>
      </c>
      <c r="AD7327" s="6">
        <f t="shared" si="1139"/>
        <v>1076.5068900000001</v>
      </c>
      <c r="AE7327" s="14">
        <f>VLOOKUP(I7327,[2]媒体政策预估表!A:N,MATCH(O7327,[2]媒体政策预估表!$A$2:$M$2,0),0)</f>
        <v>0.1</v>
      </c>
      <c r="AF7327" s="6">
        <f t="shared" si="1131"/>
        <v>107.65068900000001</v>
      </c>
      <c r="AG7327" s="14">
        <v>0</v>
      </c>
      <c r="AH7327" s="64">
        <f t="shared" si="1140"/>
        <v>1076.5068900000001</v>
      </c>
      <c r="AJ7327" s="126" t="e">
        <v>#N/A</v>
      </c>
      <c r="AK7327" s="80">
        <f t="shared" si="1137"/>
        <v>0</v>
      </c>
      <c r="AL7327" s="85"/>
      <c r="AM7327" s="85"/>
    </row>
    <row r="7328" spans="1:39" s="86" customFormat="1" ht="13.25" hidden="1" customHeight="1" x14ac:dyDescent="0.3">
      <c r="A7328" s="89" t="s">
        <v>3978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3767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138"/>
        <v>2308282.0460300017</v>
      </c>
      <c r="X7328" s="6">
        <f t="shared" si="1133"/>
        <v>6037870.3398799999</v>
      </c>
      <c r="Y7328" s="13">
        <f t="shared" si="1135"/>
        <v>0</v>
      </c>
      <c r="Z7328" s="66">
        <v>0</v>
      </c>
      <c r="AA7328" s="6">
        <v>0</v>
      </c>
      <c r="AB7328" s="4">
        <f t="shared" si="1136"/>
        <v>6037870.3398799999</v>
      </c>
      <c r="AC7328" s="6">
        <f t="shared" si="1134"/>
        <v>0</v>
      </c>
      <c r="AD7328" s="6">
        <f t="shared" si="1139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131"/>
        <v>422650.92379160004</v>
      </c>
      <c r="AG7328" s="14">
        <v>0</v>
      </c>
      <c r="AH7328" s="64">
        <f t="shared" si="1140"/>
        <v>6037870.3398799999</v>
      </c>
      <c r="AJ7328" s="126" t="e">
        <v>#N/A</v>
      </c>
      <c r="AK7328" s="80">
        <f t="shared" si="1137"/>
        <v>0</v>
      </c>
      <c r="AL7328" s="85"/>
      <c r="AM7328" s="85"/>
    </row>
    <row r="7329" spans="1:39" s="86" customFormat="1" ht="13.25" hidden="1" customHeight="1" x14ac:dyDescent="0.3">
      <c r="A7329" s="89" t="s">
        <v>3978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3767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138"/>
        <v>59253.700000000012</v>
      </c>
      <c r="X7329" s="6">
        <f t="shared" si="1133"/>
        <v>198539.3</v>
      </c>
      <c r="Y7329" s="13">
        <f t="shared" si="1135"/>
        <v>0</v>
      </c>
      <c r="Z7329" s="66">
        <v>0</v>
      </c>
      <c r="AA7329" s="6">
        <v>0</v>
      </c>
      <c r="AB7329" s="4">
        <f t="shared" si="1136"/>
        <v>198539.3</v>
      </c>
      <c r="AC7329" s="6">
        <f t="shared" si="1134"/>
        <v>0</v>
      </c>
      <c r="AD7329" s="6">
        <f t="shared" si="1139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131"/>
        <v>13897.751</v>
      </c>
      <c r="AG7329" s="14">
        <v>0</v>
      </c>
      <c r="AH7329" s="64">
        <f t="shared" si="1140"/>
        <v>198539.3</v>
      </c>
      <c r="AJ7329" s="126" t="e">
        <v>#N/A</v>
      </c>
      <c r="AK7329" s="80">
        <f t="shared" si="1137"/>
        <v>0</v>
      </c>
      <c r="AL7329" s="85"/>
      <c r="AM7329" s="85"/>
    </row>
    <row r="7330" spans="1:39" s="86" customFormat="1" ht="13.25" hidden="1" customHeight="1" x14ac:dyDescent="0.3">
      <c r="A7330" s="89" t="s">
        <v>3978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3767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138"/>
        <v>101409.69000000003</v>
      </c>
      <c r="X7330" s="6">
        <f t="shared" si="1133"/>
        <v>193667.9</v>
      </c>
      <c r="Y7330" s="13">
        <f t="shared" si="1135"/>
        <v>0</v>
      </c>
      <c r="Z7330" s="66">
        <v>0</v>
      </c>
      <c r="AA7330" s="6">
        <v>0</v>
      </c>
      <c r="AB7330" s="4">
        <f t="shared" si="1136"/>
        <v>193667.9</v>
      </c>
      <c r="AC7330" s="6">
        <f t="shared" si="1134"/>
        <v>0</v>
      </c>
      <c r="AD7330" s="6">
        <f t="shared" si="1139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131"/>
        <v>13556.753000000001</v>
      </c>
      <c r="AG7330" s="14">
        <v>0</v>
      </c>
      <c r="AH7330" s="64">
        <f t="shared" si="1140"/>
        <v>193667.9</v>
      </c>
      <c r="AJ7330" s="126" t="e">
        <v>#N/A</v>
      </c>
      <c r="AK7330" s="80">
        <f t="shared" si="1137"/>
        <v>0</v>
      </c>
      <c r="AL7330" s="85"/>
      <c r="AM7330" s="85"/>
    </row>
    <row r="7331" spans="1:39" s="86" customFormat="1" ht="13.25" hidden="1" customHeight="1" x14ac:dyDescent="0.3">
      <c r="A7331" s="89" t="s">
        <v>3978</v>
      </c>
      <c r="B7331" s="86" t="s">
        <v>35</v>
      </c>
      <c r="C7331" s="86" t="s">
        <v>164</v>
      </c>
      <c r="D7331" s="86" t="s">
        <v>174</v>
      </c>
      <c r="E7331" s="86" t="s">
        <v>4080</v>
      </c>
      <c r="F7331" s="86" t="s">
        <v>4080</v>
      </c>
      <c r="G7331" s="86" t="s">
        <v>4080</v>
      </c>
      <c r="H7331" s="144">
        <v>360</v>
      </c>
      <c r="I7331" s="86" t="s">
        <v>1060</v>
      </c>
      <c r="J7331" s="47" t="s">
        <v>3325</v>
      </c>
      <c r="K7331" s="47" t="s">
        <v>3767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138"/>
        <v>18755.000000000007</v>
      </c>
      <c r="X7331" s="6">
        <f t="shared" si="1133"/>
        <v>11244.999999999995</v>
      </c>
      <c r="Y7331" s="13">
        <f t="shared" si="1135"/>
        <v>0</v>
      </c>
      <c r="Z7331" s="66">
        <v>0</v>
      </c>
      <c r="AA7331" s="6">
        <v>0</v>
      </c>
      <c r="AB7331" s="4">
        <f t="shared" si="1136"/>
        <v>11244.999999999995</v>
      </c>
      <c r="AC7331" s="6">
        <f t="shared" si="1134"/>
        <v>0</v>
      </c>
      <c r="AD7331" s="6">
        <f t="shared" si="1139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131"/>
        <v>787.14999999999964</v>
      </c>
      <c r="AG7331" s="14">
        <v>0</v>
      </c>
      <c r="AH7331" s="64">
        <f t="shared" si="1140"/>
        <v>11244.999999999995</v>
      </c>
      <c r="AJ7331" s="126" t="e">
        <v>#N/A</v>
      </c>
      <c r="AK7331" s="80">
        <f t="shared" si="1137"/>
        <v>0</v>
      </c>
      <c r="AL7331" s="85"/>
      <c r="AM7331" s="85"/>
    </row>
    <row r="7332" spans="1:39" s="86" customFormat="1" ht="13.25" hidden="1" customHeight="1" x14ac:dyDescent="0.3">
      <c r="A7332" s="89" t="s">
        <v>3978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3767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138"/>
        <v>125090.71000000002</v>
      </c>
      <c r="X7332" s="6">
        <f t="shared" si="1133"/>
        <v>265624.31372549018</v>
      </c>
      <c r="Y7332" s="13">
        <f t="shared" si="1135"/>
        <v>0</v>
      </c>
      <c r="Z7332" s="66">
        <v>0</v>
      </c>
      <c r="AA7332" s="6">
        <v>0</v>
      </c>
      <c r="AB7332" s="4">
        <f t="shared" si="1136"/>
        <v>265624.31372549018</v>
      </c>
      <c r="AC7332" s="6">
        <f t="shared" si="1134"/>
        <v>5312.4862745098071</v>
      </c>
      <c r="AD7332" s="6">
        <f t="shared" si="1139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141">AD7332*AE7332</f>
        <v>18965.576000000001</v>
      </c>
      <c r="AG7332" s="14">
        <v>0</v>
      </c>
      <c r="AH7332" s="64">
        <f t="shared" si="1140"/>
        <v>270936.8</v>
      </c>
      <c r="AJ7332" s="126" t="e">
        <v>#N/A</v>
      </c>
      <c r="AK7332" s="80">
        <f t="shared" si="1137"/>
        <v>0</v>
      </c>
      <c r="AL7332" s="85"/>
      <c r="AM7332" s="85"/>
    </row>
    <row r="7333" spans="1:39" s="86" customFormat="1" ht="13.25" hidden="1" customHeight="1" x14ac:dyDescent="0.3">
      <c r="A7333" s="89" t="s">
        <v>3978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3767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138"/>
        <v>0</v>
      </c>
      <c r="X7333" s="6">
        <f t="shared" si="1133"/>
        <v>-15749.215686274511</v>
      </c>
      <c r="Y7333" s="13">
        <f t="shared" si="1135"/>
        <v>314.98431372549021</v>
      </c>
      <c r="Z7333" s="66">
        <v>0</v>
      </c>
      <c r="AA7333" s="6">
        <v>0</v>
      </c>
      <c r="AB7333" s="4">
        <f t="shared" si="1136"/>
        <v>-15749.215686274511</v>
      </c>
      <c r="AC7333" s="6">
        <f t="shared" si="1134"/>
        <v>-314.98431372549021</v>
      </c>
      <c r="AD7333" s="6">
        <f t="shared" si="1139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141"/>
        <v>-1124.4940000000001</v>
      </c>
      <c r="AG7333" s="14">
        <v>0</v>
      </c>
      <c r="AH7333" s="64">
        <f t="shared" si="1140"/>
        <v>-16064.2</v>
      </c>
      <c r="AJ7333" s="126" t="e">
        <v>#N/A</v>
      </c>
      <c r="AK7333" s="80">
        <f t="shared" si="1137"/>
        <v>0</v>
      </c>
      <c r="AL7333" s="85"/>
      <c r="AM7333" s="85"/>
    </row>
    <row r="7334" spans="1:39" s="86" customFormat="1" ht="13.25" hidden="1" customHeight="1" x14ac:dyDescent="0.3">
      <c r="A7334" s="89" t="s">
        <v>3978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3767</v>
      </c>
      <c r="L7334" s="47" t="s">
        <v>35</v>
      </c>
      <c r="M7334" s="86" t="s">
        <v>3981</v>
      </c>
      <c r="O7334" s="47" t="s">
        <v>410</v>
      </c>
      <c r="P7334" s="47" t="s">
        <v>41</v>
      </c>
      <c r="Q7334" s="14">
        <v>0</v>
      </c>
      <c r="R7334" s="143" t="s">
        <v>4081</v>
      </c>
      <c r="S7334" s="47"/>
      <c r="T7334" s="6">
        <v>0</v>
      </c>
      <c r="U7334" s="6">
        <v>10000</v>
      </c>
      <c r="V7334" s="6">
        <v>5576.1</v>
      </c>
      <c r="W7334" s="6">
        <f t="shared" si="1138"/>
        <v>4423.8999999999996</v>
      </c>
      <c r="X7334" s="6">
        <f t="shared" si="1133"/>
        <v>5576.1</v>
      </c>
      <c r="Y7334" s="13">
        <f t="shared" si="1135"/>
        <v>0</v>
      </c>
      <c r="Z7334" s="66">
        <v>0</v>
      </c>
      <c r="AA7334" s="6">
        <v>0</v>
      </c>
      <c r="AB7334" s="4">
        <f t="shared" si="1136"/>
        <v>5576.1</v>
      </c>
      <c r="AC7334" s="6">
        <f t="shared" si="1134"/>
        <v>0</v>
      </c>
      <c r="AD7334" s="6">
        <f t="shared" si="1139"/>
        <v>5576.1</v>
      </c>
      <c r="AE7334" s="14">
        <f>VLOOKUP(I7334,[2]媒体政策预估表!A:N,MATCH(O7334,[2]媒体政策预估表!$A$2:$M$2,0),0)</f>
        <v>7.0000000000000007E-2</v>
      </c>
      <c r="AF7334" s="6">
        <f t="shared" si="1141"/>
        <v>390.32700000000006</v>
      </c>
      <c r="AG7334" s="14">
        <v>0</v>
      </c>
      <c r="AH7334" s="64">
        <f t="shared" si="1140"/>
        <v>5576.1</v>
      </c>
      <c r="AJ7334" s="126" t="e">
        <v>#N/A</v>
      </c>
      <c r="AK7334" s="80">
        <f t="shared" si="1137"/>
        <v>0</v>
      </c>
      <c r="AL7334" s="85"/>
      <c r="AM7334" s="85"/>
    </row>
    <row r="7335" spans="1:39" s="86" customFormat="1" ht="13.25" hidden="1" customHeight="1" x14ac:dyDescent="0.3">
      <c r="A7335" s="89" t="s">
        <v>3978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3767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138"/>
        <v>1537.6399999999994</v>
      </c>
      <c r="X7335" s="6">
        <f t="shared" si="1133"/>
        <v>12355.4</v>
      </c>
      <c r="Y7335" s="13">
        <f t="shared" si="1135"/>
        <v>0</v>
      </c>
      <c r="Z7335" s="66">
        <v>0</v>
      </c>
      <c r="AA7335" s="6">
        <v>0</v>
      </c>
      <c r="AB7335" s="4">
        <f t="shared" si="1136"/>
        <v>12355.4</v>
      </c>
      <c r="AC7335" s="6">
        <f t="shared" si="1134"/>
        <v>0</v>
      </c>
      <c r="AD7335" s="6">
        <f t="shared" si="1139"/>
        <v>12355.4</v>
      </c>
      <c r="AE7335" s="14">
        <f>VLOOKUP(I7335,[2]媒体政策预估表!A:N,MATCH(O7335,[2]媒体政策预估表!$A$2:$M$2,0),0)</f>
        <v>7.0000000000000007E-2</v>
      </c>
      <c r="AF7335" s="6">
        <f t="shared" si="1141"/>
        <v>864.87800000000004</v>
      </c>
      <c r="AG7335" s="14">
        <v>0</v>
      </c>
      <c r="AH7335" s="64">
        <f t="shared" si="1140"/>
        <v>12355.4</v>
      </c>
      <c r="AJ7335" s="126" t="e">
        <v>#N/A</v>
      </c>
      <c r="AK7335" s="80">
        <f t="shared" si="1137"/>
        <v>0</v>
      </c>
      <c r="AL7335" s="85"/>
      <c r="AM7335" s="85"/>
    </row>
    <row r="7336" spans="1:39" s="86" customFormat="1" ht="13.25" hidden="1" customHeight="1" x14ac:dyDescent="0.3">
      <c r="A7336" s="89" t="s">
        <v>3978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3767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138"/>
        <v>1938.1500000000015</v>
      </c>
      <c r="X7336" s="6">
        <f t="shared" si="1133"/>
        <v>6587.1</v>
      </c>
      <c r="Y7336" s="13">
        <f t="shared" si="1135"/>
        <v>0</v>
      </c>
      <c r="Z7336" s="66">
        <v>0</v>
      </c>
      <c r="AA7336" s="6">
        <v>0</v>
      </c>
      <c r="AB7336" s="4">
        <f t="shared" si="1136"/>
        <v>6587.1</v>
      </c>
      <c r="AC7336" s="6">
        <f t="shared" si="1134"/>
        <v>0</v>
      </c>
      <c r="AD7336" s="6">
        <f t="shared" si="1139"/>
        <v>6587.1</v>
      </c>
      <c r="AE7336" s="14">
        <f>VLOOKUP(I7336,[2]媒体政策预估表!A:N,MATCH(O7336,[2]媒体政策预估表!$A$2:$M$2,0),0)</f>
        <v>7.0000000000000007E-2</v>
      </c>
      <c r="AF7336" s="6">
        <f t="shared" si="1141"/>
        <v>461.09700000000009</v>
      </c>
      <c r="AG7336" s="14">
        <v>0</v>
      </c>
      <c r="AH7336" s="64">
        <f t="shared" si="1140"/>
        <v>6587.1</v>
      </c>
      <c r="AJ7336" s="126" t="e">
        <v>#N/A</v>
      </c>
      <c r="AK7336" s="80">
        <f t="shared" si="1137"/>
        <v>0</v>
      </c>
      <c r="AL7336" s="85"/>
      <c r="AM7336" s="85"/>
    </row>
    <row r="7337" spans="1:39" s="86" customFormat="1" ht="13.25" hidden="1" customHeight="1" x14ac:dyDescent="0.3">
      <c r="A7337" s="89" t="s">
        <v>3978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3767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138"/>
        <v>4327.5</v>
      </c>
      <c r="X7337" s="6">
        <f t="shared" si="1133"/>
        <v>7358</v>
      </c>
      <c r="Y7337" s="13">
        <f t="shared" si="1135"/>
        <v>0</v>
      </c>
      <c r="Z7337" s="66">
        <v>0</v>
      </c>
      <c r="AA7337" s="6">
        <v>0</v>
      </c>
      <c r="AB7337" s="4"/>
      <c r="AC7337" s="6">
        <f t="shared" si="1134"/>
        <v>0</v>
      </c>
      <c r="AD7337" s="6">
        <f t="shared" si="1139"/>
        <v>7358</v>
      </c>
      <c r="AE7337" s="14">
        <f>VLOOKUP(I7337,[2]媒体政策预估表!A:N,MATCH(O7337,[2]媒体政策预估表!$A$2:$M$2,0),0)</f>
        <v>7.0000000000000007E-2</v>
      </c>
      <c r="AF7337" s="6">
        <f t="shared" si="1141"/>
        <v>515.06000000000006</v>
      </c>
      <c r="AG7337" s="14">
        <v>0</v>
      </c>
      <c r="AH7337" s="64">
        <f t="shared" si="1140"/>
        <v>7358</v>
      </c>
      <c r="AJ7337" s="126">
        <v>114</v>
      </c>
      <c r="AK7337" s="80">
        <f t="shared" si="1137"/>
        <v>7358</v>
      </c>
      <c r="AL7337" s="85"/>
      <c r="AM7337" s="85"/>
    </row>
    <row r="7338" spans="1:39" s="86" customFormat="1" ht="13.25" hidden="1" customHeight="1" x14ac:dyDescent="0.3">
      <c r="A7338" s="89" t="s">
        <v>3978</v>
      </c>
      <c r="B7338" s="86" t="s">
        <v>35</v>
      </c>
      <c r="C7338" s="86" t="s">
        <v>164</v>
      </c>
      <c r="D7338" s="86" t="s">
        <v>174</v>
      </c>
      <c r="E7338" s="86" t="s">
        <v>3825</v>
      </c>
      <c r="F7338" s="86" t="s">
        <v>3825</v>
      </c>
      <c r="G7338" s="86" t="s">
        <v>3825</v>
      </c>
      <c r="H7338" s="144">
        <v>360</v>
      </c>
      <c r="I7338" s="86" t="s">
        <v>1060</v>
      </c>
      <c r="J7338" s="47" t="s">
        <v>3325</v>
      </c>
      <c r="K7338" s="47" t="s">
        <v>3767</v>
      </c>
      <c r="L7338" s="47" t="s">
        <v>35</v>
      </c>
      <c r="M7338" s="86" t="s">
        <v>3825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138"/>
        <v>2442.6800000000003</v>
      </c>
      <c r="X7338" s="6">
        <f t="shared" si="1133"/>
        <v>20800.392156862745</v>
      </c>
      <c r="Y7338" s="13">
        <f t="shared" si="1135"/>
        <v>0</v>
      </c>
      <c r="Z7338" s="66">
        <v>0</v>
      </c>
      <c r="AA7338" s="6">
        <v>0</v>
      </c>
      <c r="AB7338" s="4">
        <f t="shared" si="1136"/>
        <v>20800.392156862745</v>
      </c>
      <c r="AC7338" s="6">
        <f t="shared" si="1134"/>
        <v>416.00784313725671</v>
      </c>
      <c r="AD7338" s="6">
        <f t="shared" si="1139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141"/>
        <v>1485.1480000000001</v>
      </c>
      <c r="AG7338" s="14">
        <v>0</v>
      </c>
      <c r="AH7338" s="64">
        <f t="shared" si="1140"/>
        <v>21216.400000000001</v>
      </c>
      <c r="AJ7338" s="126" t="e">
        <v>#N/A</v>
      </c>
      <c r="AK7338" s="80">
        <f t="shared" si="1137"/>
        <v>0</v>
      </c>
      <c r="AL7338" s="85"/>
      <c r="AM7338" s="85"/>
    </row>
    <row r="7339" spans="1:39" s="86" customFormat="1" ht="13.25" hidden="1" customHeight="1" x14ac:dyDescent="0.3">
      <c r="A7339" s="89" t="s">
        <v>3978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3767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138"/>
        <v>18289.54</v>
      </c>
      <c r="X7339" s="6">
        <f t="shared" si="1133"/>
        <v>53653.9</v>
      </c>
      <c r="Y7339" s="13">
        <f t="shared" si="1135"/>
        <v>0</v>
      </c>
      <c r="Z7339" s="66">
        <v>0</v>
      </c>
      <c r="AA7339" s="6">
        <v>0</v>
      </c>
      <c r="AB7339" s="4">
        <f t="shared" si="1136"/>
        <v>53653.9</v>
      </c>
      <c r="AC7339" s="6">
        <f t="shared" si="1134"/>
        <v>0</v>
      </c>
      <c r="AD7339" s="6">
        <f t="shared" si="1139"/>
        <v>53653.9</v>
      </c>
      <c r="AE7339" s="14">
        <f>VLOOKUP(I7339,[2]媒体政策预估表!A:N,MATCH(O7339,[2]媒体政策预估表!$A$2:$M$2,0),0)</f>
        <v>7.0000000000000007E-2</v>
      </c>
      <c r="AF7339" s="6">
        <f t="shared" si="1141"/>
        <v>3755.7730000000006</v>
      </c>
      <c r="AG7339" s="14">
        <v>0</v>
      </c>
      <c r="AH7339" s="64">
        <f t="shared" si="1140"/>
        <v>53653.9</v>
      </c>
      <c r="AJ7339" s="126" t="e">
        <v>#N/A</v>
      </c>
      <c r="AK7339" s="80">
        <f t="shared" si="1137"/>
        <v>0</v>
      </c>
      <c r="AL7339" s="85"/>
      <c r="AM7339" s="85"/>
    </row>
    <row r="7340" spans="1:39" s="86" customFormat="1" ht="13.25" hidden="1" customHeight="1" x14ac:dyDescent="0.3">
      <c r="A7340" s="89" t="s">
        <v>3978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3767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138"/>
        <v>3.637978807091713E-12</v>
      </c>
      <c r="X7340" s="6">
        <f t="shared" si="1133"/>
        <v>0</v>
      </c>
      <c r="Y7340" s="13">
        <f t="shared" si="1135"/>
        <v>0</v>
      </c>
      <c r="Z7340" s="66">
        <v>0</v>
      </c>
      <c r="AA7340" s="6">
        <v>0</v>
      </c>
      <c r="AB7340" s="4">
        <f t="shared" si="1136"/>
        <v>0</v>
      </c>
      <c r="AC7340" s="6">
        <f t="shared" si="1134"/>
        <v>0</v>
      </c>
      <c r="AD7340" s="6">
        <f t="shared" si="1139"/>
        <v>0</v>
      </c>
      <c r="AE7340" s="14">
        <f>VLOOKUP(I7340,[2]媒体政策预估表!A:N,MATCH(O7340,[2]媒体政策预估表!$A$2:$M$2,0),0)</f>
        <v>7.0000000000000007E-2</v>
      </c>
      <c r="AF7340" s="6">
        <f t="shared" si="1141"/>
        <v>0</v>
      </c>
      <c r="AG7340" s="14">
        <v>0</v>
      </c>
      <c r="AH7340" s="64">
        <f t="shared" si="1140"/>
        <v>0</v>
      </c>
      <c r="AJ7340" s="126" t="e">
        <v>#N/A</v>
      </c>
      <c r="AK7340" s="80">
        <f t="shared" si="1137"/>
        <v>0</v>
      </c>
      <c r="AL7340" s="85"/>
      <c r="AM7340" s="85"/>
    </row>
    <row r="7341" spans="1:39" s="86" customFormat="1" ht="13.25" hidden="1" customHeight="1" x14ac:dyDescent="0.3">
      <c r="A7341" s="89" t="s">
        <v>3978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3767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138"/>
        <v>3464.4000000000015</v>
      </c>
      <c r="X7341" s="6">
        <f t="shared" si="1133"/>
        <v>31978</v>
      </c>
      <c r="Y7341" s="13">
        <f t="shared" si="1135"/>
        <v>0</v>
      </c>
      <c r="Z7341" s="66">
        <v>0</v>
      </c>
      <c r="AA7341" s="6">
        <v>0</v>
      </c>
      <c r="AB7341" s="4">
        <f t="shared" si="1136"/>
        <v>31978</v>
      </c>
      <c r="AC7341" s="6">
        <f t="shared" si="1134"/>
        <v>0</v>
      </c>
      <c r="AD7341" s="6">
        <f t="shared" si="1139"/>
        <v>31978</v>
      </c>
      <c r="AE7341" s="14">
        <f>VLOOKUP(I7341,[2]媒体政策预估表!A:N,MATCH(O7341,[2]媒体政策预估表!$A$2:$M$2,0),0)</f>
        <v>7.0000000000000007E-2</v>
      </c>
      <c r="AF7341" s="6">
        <f t="shared" si="1141"/>
        <v>2238.46</v>
      </c>
      <c r="AG7341" s="14">
        <v>0</v>
      </c>
      <c r="AH7341" s="64">
        <f t="shared" si="1140"/>
        <v>31978</v>
      </c>
      <c r="AJ7341" s="126" t="e">
        <v>#N/A</v>
      </c>
      <c r="AK7341" s="80">
        <f t="shared" si="1137"/>
        <v>0</v>
      </c>
      <c r="AL7341" s="85"/>
      <c r="AM7341" s="85"/>
    </row>
    <row r="7342" spans="1:39" s="86" customFormat="1" ht="13.25" hidden="1" customHeight="1" x14ac:dyDescent="0.3">
      <c r="A7342" s="89" t="s">
        <v>3978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3767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138"/>
        <v>149805.60000000003</v>
      </c>
      <c r="X7342" s="6">
        <f t="shared" si="1133"/>
        <v>202296.2</v>
      </c>
      <c r="Y7342" s="13">
        <f t="shared" si="1135"/>
        <v>0</v>
      </c>
      <c r="Z7342" s="66">
        <v>0</v>
      </c>
      <c r="AA7342" s="6">
        <v>0</v>
      </c>
      <c r="AB7342" s="4">
        <f t="shared" si="1136"/>
        <v>202296.2</v>
      </c>
      <c r="AC7342" s="6">
        <f t="shared" si="1134"/>
        <v>0</v>
      </c>
      <c r="AD7342" s="6">
        <f t="shared" si="1139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141"/>
        <v>14160.734000000002</v>
      </c>
      <c r="AG7342" s="14">
        <v>0</v>
      </c>
      <c r="AH7342" s="64">
        <f t="shared" si="1140"/>
        <v>202296.2</v>
      </c>
      <c r="AJ7342" s="126" t="e">
        <v>#N/A</v>
      </c>
      <c r="AK7342" s="80">
        <f t="shared" si="1137"/>
        <v>0</v>
      </c>
      <c r="AL7342" s="85"/>
      <c r="AM7342" s="85"/>
    </row>
    <row r="7343" spans="1:39" s="86" customFormat="1" ht="13.25" hidden="1" customHeight="1" x14ac:dyDescent="0.3">
      <c r="A7343" s="89" t="s">
        <v>3978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3767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138"/>
        <v>2289.2999999999993</v>
      </c>
      <c r="X7343" s="6">
        <f t="shared" si="1133"/>
        <v>10203.1</v>
      </c>
      <c r="Y7343" s="13">
        <f t="shared" si="1135"/>
        <v>0</v>
      </c>
      <c r="Z7343" s="66">
        <v>0</v>
      </c>
      <c r="AA7343" s="6">
        <v>0</v>
      </c>
      <c r="AB7343" s="4"/>
      <c r="AC7343" s="6">
        <f t="shared" si="1134"/>
        <v>0</v>
      </c>
      <c r="AD7343" s="6">
        <f t="shared" si="1139"/>
        <v>10203.1</v>
      </c>
      <c r="AE7343" s="14">
        <f>VLOOKUP(I7343,[2]媒体政策预估表!A:N,MATCH(O7343,[2]媒体政策预估表!$A$2:$M$2,0),0)</f>
        <v>7.0000000000000007E-2</v>
      </c>
      <c r="AF7343" s="6">
        <f t="shared" si="1141"/>
        <v>714.2170000000001</v>
      </c>
      <c r="AG7343" s="14">
        <v>0</v>
      </c>
      <c r="AH7343" s="64">
        <f t="shared" si="1140"/>
        <v>10203.1</v>
      </c>
      <c r="AJ7343" s="126">
        <v>111</v>
      </c>
      <c r="AK7343" s="80">
        <f t="shared" si="1137"/>
        <v>10203.1</v>
      </c>
      <c r="AL7343" s="85"/>
      <c r="AM7343" s="85"/>
    </row>
    <row r="7344" spans="1:39" s="86" customFormat="1" ht="13.25" hidden="1" customHeight="1" x14ac:dyDescent="0.3">
      <c r="A7344" s="89" t="s">
        <v>3978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3767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138"/>
        <v>49584.149999999994</v>
      </c>
      <c r="X7344" s="6">
        <f t="shared" ref="X7344:X7407" si="1142">IF(P7344="折扣",V7344*Q7344,IF(P7344="返现",V7344,V7344/(1+Q7344)))</f>
        <v>70849.899999999994</v>
      </c>
      <c r="Y7344" s="13">
        <f t="shared" si="1135"/>
        <v>0</v>
      </c>
      <c r="Z7344" s="66">
        <v>0</v>
      </c>
      <c r="AA7344" s="6">
        <v>0</v>
      </c>
      <c r="AB7344" s="4">
        <f t="shared" si="1136"/>
        <v>70849.899999999994</v>
      </c>
      <c r="AC7344" s="6">
        <f t="shared" si="1134"/>
        <v>0</v>
      </c>
      <c r="AD7344" s="6">
        <f t="shared" si="1139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141"/>
        <v>4959.4930000000004</v>
      </c>
      <c r="AG7344" s="14">
        <v>0</v>
      </c>
      <c r="AH7344" s="64">
        <f t="shared" si="1140"/>
        <v>70849.899999999994</v>
      </c>
      <c r="AJ7344" s="126" t="e">
        <v>#N/A</v>
      </c>
      <c r="AK7344" s="80">
        <f t="shared" si="1137"/>
        <v>0</v>
      </c>
      <c r="AL7344" s="85"/>
      <c r="AM7344" s="85"/>
    </row>
    <row r="7345" spans="1:39" s="86" customFormat="1" ht="13.25" hidden="1" customHeight="1" x14ac:dyDescent="0.3">
      <c r="A7345" s="89" t="s">
        <v>3978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3767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138"/>
        <v>23078.100000000006</v>
      </c>
      <c r="X7345" s="6">
        <f t="shared" si="1142"/>
        <v>132100.5</v>
      </c>
      <c r="Y7345" s="13">
        <f t="shared" si="1135"/>
        <v>0</v>
      </c>
      <c r="Z7345" s="66">
        <v>0</v>
      </c>
      <c r="AA7345" s="6">
        <v>0</v>
      </c>
      <c r="AB7345" s="4">
        <f t="shared" si="1136"/>
        <v>132100.5</v>
      </c>
      <c r="AC7345" s="6">
        <f t="shared" si="1134"/>
        <v>0</v>
      </c>
      <c r="AD7345" s="6">
        <f t="shared" si="1139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141"/>
        <v>9247.0350000000017</v>
      </c>
      <c r="AG7345" s="14">
        <v>0</v>
      </c>
      <c r="AH7345" s="64">
        <f t="shared" si="1140"/>
        <v>132100.5</v>
      </c>
      <c r="AJ7345" s="126" t="e">
        <v>#N/A</v>
      </c>
      <c r="AK7345" s="80">
        <f t="shared" si="1137"/>
        <v>0</v>
      </c>
      <c r="AL7345" s="85"/>
      <c r="AM7345" s="85"/>
    </row>
    <row r="7346" spans="1:39" s="86" customFormat="1" ht="13.25" hidden="1" customHeight="1" x14ac:dyDescent="0.3">
      <c r="A7346" s="89" t="s">
        <v>3978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3767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138"/>
        <v>92574.910000000033</v>
      </c>
      <c r="X7346" s="6">
        <f t="shared" si="1142"/>
        <v>339227.5</v>
      </c>
      <c r="Y7346" s="13">
        <f t="shared" si="1135"/>
        <v>0</v>
      </c>
      <c r="Z7346" s="66">
        <v>0</v>
      </c>
      <c r="AA7346" s="6">
        <v>0</v>
      </c>
      <c r="AB7346" s="4">
        <f t="shared" si="1136"/>
        <v>339227.5</v>
      </c>
      <c r="AC7346" s="6">
        <f t="shared" si="1134"/>
        <v>0</v>
      </c>
      <c r="AD7346" s="6">
        <f t="shared" si="1139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141"/>
        <v>23745.925000000003</v>
      </c>
      <c r="AG7346" s="14">
        <v>0</v>
      </c>
      <c r="AH7346" s="64">
        <f t="shared" si="1140"/>
        <v>339227.5</v>
      </c>
      <c r="AJ7346" s="126" t="e">
        <v>#N/A</v>
      </c>
      <c r="AK7346" s="80">
        <f t="shared" si="1137"/>
        <v>0</v>
      </c>
      <c r="AL7346" s="85"/>
      <c r="AM7346" s="85"/>
    </row>
    <row r="7347" spans="1:39" s="86" customFormat="1" ht="13.25" hidden="1" customHeight="1" x14ac:dyDescent="0.3">
      <c r="A7347" s="89" t="s">
        <v>3978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3767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138"/>
        <v>85854.560000000027</v>
      </c>
      <c r="X7347" s="6">
        <f t="shared" si="1142"/>
        <v>153266.6</v>
      </c>
      <c r="Y7347" s="13">
        <f t="shared" si="1135"/>
        <v>0</v>
      </c>
      <c r="Z7347" s="66">
        <v>0</v>
      </c>
      <c r="AA7347" s="6">
        <v>0</v>
      </c>
      <c r="AB7347" s="4">
        <f t="shared" si="1136"/>
        <v>153266.6</v>
      </c>
      <c r="AC7347" s="6">
        <f t="shared" si="1134"/>
        <v>0</v>
      </c>
      <c r="AD7347" s="6">
        <f t="shared" si="1139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141"/>
        <v>10728.662000000002</v>
      </c>
      <c r="AG7347" s="14">
        <v>0</v>
      </c>
      <c r="AH7347" s="64">
        <f t="shared" si="1140"/>
        <v>153266.6</v>
      </c>
      <c r="AJ7347" s="126" t="e">
        <v>#N/A</v>
      </c>
      <c r="AK7347" s="80">
        <f t="shared" si="1137"/>
        <v>0</v>
      </c>
      <c r="AL7347" s="85"/>
      <c r="AM7347" s="85"/>
    </row>
    <row r="7348" spans="1:39" s="86" customFormat="1" ht="13.25" hidden="1" customHeight="1" x14ac:dyDescent="0.3">
      <c r="A7348" s="89" t="s">
        <v>3978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3767</v>
      </c>
      <c r="L7348" s="47" t="s">
        <v>35</v>
      </c>
      <c r="M7348" s="86" t="s">
        <v>4082</v>
      </c>
      <c r="O7348" s="47" t="s">
        <v>410</v>
      </c>
      <c r="P7348" s="47" t="s">
        <v>46</v>
      </c>
      <c r="Q7348" s="14">
        <v>0.02</v>
      </c>
      <c r="R7348" s="143" t="s">
        <v>4083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138"/>
        <v>33350.6</v>
      </c>
      <c r="X7348" s="6">
        <f t="shared" si="1142"/>
        <v>16322.941176470589</v>
      </c>
      <c r="Y7348" s="13">
        <f t="shared" si="1135"/>
        <v>0</v>
      </c>
      <c r="Z7348" s="66">
        <v>0</v>
      </c>
      <c r="AA7348" s="6">
        <v>0</v>
      </c>
      <c r="AB7348" s="4">
        <f t="shared" si="1136"/>
        <v>16322.941176470589</v>
      </c>
      <c r="AC7348" s="6">
        <f t="shared" si="1134"/>
        <v>326.45882352941226</v>
      </c>
      <c r="AD7348" s="6">
        <f t="shared" si="1139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141"/>
        <v>1165.4580000000003</v>
      </c>
      <c r="AG7348" s="14">
        <v>0</v>
      </c>
      <c r="AH7348" s="64">
        <f t="shared" si="1140"/>
        <v>16649.400000000001</v>
      </c>
      <c r="AJ7348" s="126" t="e">
        <v>#N/A</v>
      </c>
      <c r="AK7348" s="80">
        <f t="shared" si="1137"/>
        <v>0</v>
      </c>
      <c r="AL7348" s="85"/>
      <c r="AM7348" s="85"/>
    </row>
    <row r="7349" spans="1:39" s="86" customFormat="1" ht="13.25" hidden="1" customHeight="1" x14ac:dyDescent="0.3">
      <c r="A7349" s="89" t="s">
        <v>3978</v>
      </c>
      <c r="B7349" s="86" t="s">
        <v>35</v>
      </c>
      <c r="C7349" s="86" t="s">
        <v>164</v>
      </c>
      <c r="D7349" s="86" t="s">
        <v>174</v>
      </c>
      <c r="E7349" s="86" t="s">
        <v>4084</v>
      </c>
      <c r="F7349" s="86" t="s">
        <v>4084</v>
      </c>
      <c r="G7349" s="86" t="s">
        <v>4084</v>
      </c>
      <c r="H7349" s="144">
        <v>360</v>
      </c>
      <c r="I7349" s="86" t="s">
        <v>1060</v>
      </c>
      <c r="J7349" s="47" t="s">
        <v>3325</v>
      </c>
      <c r="K7349" s="47" t="s">
        <v>3767</v>
      </c>
      <c r="L7349" s="47" t="s">
        <v>35</v>
      </c>
      <c r="M7349" s="86" t="s">
        <v>4085</v>
      </c>
      <c r="O7349" s="47" t="s">
        <v>410</v>
      </c>
      <c r="P7349" s="47" t="s">
        <v>46</v>
      </c>
      <c r="Q7349" s="14">
        <v>0.02</v>
      </c>
      <c r="R7349" s="143" t="s">
        <v>4086</v>
      </c>
      <c r="S7349" s="47"/>
      <c r="T7349" s="6">
        <v>0</v>
      </c>
      <c r="U7349" s="6">
        <v>10000</v>
      </c>
      <c r="V7349" s="6">
        <v>5688.8</v>
      </c>
      <c r="W7349" s="6">
        <f t="shared" si="1138"/>
        <v>4311.2</v>
      </c>
      <c r="X7349" s="6">
        <f t="shared" si="1142"/>
        <v>5577.2549019607841</v>
      </c>
      <c r="Y7349" s="13">
        <f t="shared" si="1135"/>
        <v>0</v>
      </c>
      <c r="Z7349" s="66">
        <v>0</v>
      </c>
      <c r="AA7349" s="6">
        <v>0</v>
      </c>
      <c r="AB7349" s="4">
        <f t="shared" si="1136"/>
        <v>5577.2549019607841</v>
      </c>
      <c r="AC7349" s="6">
        <f t="shared" si="1134"/>
        <v>111.5450980392161</v>
      </c>
      <c r="AD7349" s="6">
        <f t="shared" si="1139"/>
        <v>5688.8</v>
      </c>
      <c r="AE7349" s="14">
        <f>VLOOKUP(I7349,[2]媒体政策预估表!A:N,MATCH(O7349,[2]媒体政策预估表!$A$2:$M$2,0),0)</f>
        <v>7.0000000000000007E-2</v>
      </c>
      <c r="AF7349" s="6">
        <f t="shared" si="1141"/>
        <v>398.21600000000007</v>
      </c>
      <c r="AG7349" s="14">
        <v>0</v>
      </c>
      <c r="AH7349" s="64">
        <f t="shared" si="1140"/>
        <v>5688.8</v>
      </c>
      <c r="AJ7349" s="126" t="e">
        <v>#N/A</v>
      </c>
      <c r="AK7349" s="80">
        <f t="shared" si="1137"/>
        <v>0</v>
      </c>
      <c r="AL7349" s="85"/>
      <c r="AM7349" s="85"/>
    </row>
    <row r="7350" spans="1:39" s="86" customFormat="1" ht="13.25" hidden="1" customHeight="1" x14ac:dyDescent="0.3">
      <c r="A7350" s="89" t="s">
        <v>3978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3767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138"/>
        <v>129746.59999999998</v>
      </c>
      <c r="X7350" s="6">
        <f t="shared" si="1142"/>
        <v>622197.9411764706</v>
      </c>
      <c r="Y7350" s="13">
        <f t="shared" si="1135"/>
        <v>0</v>
      </c>
      <c r="Z7350" s="66">
        <v>0</v>
      </c>
      <c r="AA7350" s="6">
        <v>0</v>
      </c>
      <c r="AB7350" s="4">
        <f t="shared" si="1136"/>
        <v>622197.9411764706</v>
      </c>
      <c r="AC7350" s="6">
        <f t="shared" si="1134"/>
        <v>12443.958823529421</v>
      </c>
      <c r="AD7350" s="6">
        <f t="shared" si="1139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141"/>
        <v>44424.933000000005</v>
      </c>
      <c r="AG7350" s="14">
        <v>0</v>
      </c>
      <c r="AH7350" s="64">
        <f t="shared" si="1140"/>
        <v>634641.9</v>
      </c>
      <c r="AJ7350" s="126" t="e">
        <v>#N/A</v>
      </c>
      <c r="AK7350" s="80">
        <f t="shared" si="1137"/>
        <v>0</v>
      </c>
      <c r="AL7350" s="85"/>
      <c r="AM7350" s="85"/>
    </row>
    <row r="7351" spans="1:39" s="86" customFormat="1" ht="13.25" hidden="1" customHeight="1" x14ac:dyDescent="0.3">
      <c r="A7351" s="89" t="s">
        <v>3978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3767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138"/>
        <v>27200.200000000004</v>
      </c>
      <c r="X7351" s="6">
        <f t="shared" si="1142"/>
        <v>22799.799999999996</v>
      </c>
      <c r="Y7351" s="13">
        <f t="shared" si="1135"/>
        <v>0</v>
      </c>
      <c r="Z7351" s="66">
        <v>0</v>
      </c>
      <c r="AA7351" s="6">
        <v>0</v>
      </c>
      <c r="AB7351" s="4">
        <f t="shared" si="1136"/>
        <v>22799.799999999996</v>
      </c>
      <c r="AC7351" s="6">
        <f t="shared" si="1134"/>
        <v>0</v>
      </c>
      <c r="AD7351" s="6">
        <f t="shared" si="1139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141"/>
        <v>1595.9859999999999</v>
      </c>
      <c r="AG7351" s="14">
        <v>0</v>
      </c>
      <c r="AH7351" s="64">
        <f t="shared" si="1140"/>
        <v>22799.799999999996</v>
      </c>
      <c r="AJ7351" s="126" t="e">
        <v>#N/A</v>
      </c>
      <c r="AK7351" s="80">
        <f t="shared" si="1137"/>
        <v>0</v>
      </c>
      <c r="AL7351" s="85"/>
      <c r="AM7351" s="85"/>
    </row>
    <row r="7352" spans="1:39" s="86" customFormat="1" ht="13.25" hidden="1" customHeight="1" x14ac:dyDescent="0.3">
      <c r="A7352" s="89" t="s">
        <v>3978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3767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138"/>
        <v>25160.010000000009</v>
      </c>
      <c r="X7352" s="6">
        <f t="shared" si="1142"/>
        <v>137539.9</v>
      </c>
      <c r="Y7352" s="13">
        <f t="shared" si="1135"/>
        <v>0</v>
      </c>
      <c r="Z7352" s="66">
        <v>0</v>
      </c>
      <c r="AA7352" s="6">
        <v>0</v>
      </c>
      <c r="AB7352" s="4">
        <f t="shared" si="1136"/>
        <v>137539.9</v>
      </c>
      <c r="AC7352" s="6">
        <f t="shared" si="1134"/>
        <v>0</v>
      </c>
      <c r="AD7352" s="6">
        <f t="shared" si="1139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141"/>
        <v>9627.7929999999997</v>
      </c>
      <c r="AG7352" s="14">
        <v>0</v>
      </c>
      <c r="AH7352" s="64">
        <f t="shared" si="1140"/>
        <v>137539.9</v>
      </c>
      <c r="AJ7352" s="126" t="e">
        <v>#N/A</v>
      </c>
      <c r="AK7352" s="80">
        <f t="shared" si="1137"/>
        <v>0</v>
      </c>
      <c r="AL7352" s="85"/>
      <c r="AM7352" s="85"/>
    </row>
    <row r="7353" spans="1:39" s="86" customFormat="1" ht="13.25" hidden="1" customHeight="1" x14ac:dyDescent="0.3">
      <c r="A7353" s="89" t="s">
        <v>3978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3767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138"/>
        <v>6805.609999999986</v>
      </c>
      <c r="X7353" s="6">
        <f t="shared" si="1142"/>
        <v>51621.7</v>
      </c>
      <c r="Y7353" s="13">
        <f t="shared" si="1135"/>
        <v>0</v>
      </c>
      <c r="Z7353" s="66">
        <v>0</v>
      </c>
      <c r="AA7353" s="6">
        <v>0</v>
      </c>
      <c r="AB7353" s="4">
        <f t="shared" si="1136"/>
        <v>51621.7</v>
      </c>
      <c r="AC7353" s="6">
        <f t="shared" si="1134"/>
        <v>0</v>
      </c>
      <c r="AD7353" s="6">
        <f t="shared" si="1139"/>
        <v>51621.7</v>
      </c>
      <c r="AE7353" s="14">
        <f>VLOOKUP(I7353,[2]媒体政策预估表!A:N,MATCH(O7353,[2]媒体政策预估表!$A$2:$M$2,0),0)</f>
        <v>7.0000000000000007E-2</v>
      </c>
      <c r="AF7353" s="6">
        <f t="shared" si="1141"/>
        <v>3613.5190000000002</v>
      </c>
      <c r="AG7353" s="14">
        <v>0</v>
      </c>
      <c r="AH7353" s="64">
        <f t="shared" si="1140"/>
        <v>51621.7</v>
      </c>
      <c r="AJ7353" s="126" t="e">
        <v>#N/A</v>
      </c>
      <c r="AK7353" s="80">
        <f t="shared" si="1137"/>
        <v>0</v>
      </c>
      <c r="AL7353" s="85"/>
      <c r="AM7353" s="85"/>
    </row>
    <row r="7354" spans="1:39" s="86" customFormat="1" ht="13.25" hidden="1" customHeight="1" x14ac:dyDescent="0.3">
      <c r="A7354" s="89" t="s">
        <v>3978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3767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138"/>
        <v>4376.5599999999904</v>
      </c>
      <c r="X7354" s="6">
        <f t="shared" si="1142"/>
        <v>43418.8</v>
      </c>
      <c r="Y7354" s="13">
        <f t="shared" si="1135"/>
        <v>0</v>
      </c>
      <c r="Z7354" s="66">
        <v>0</v>
      </c>
      <c r="AA7354" s="6">
        <v>0</v>
      </c>
      <c r="AB7354" s="4">
        <f t="shared" si="1136"/>
        <v>43418.8</v>
      </c>
      <c r="AC7354" s="6">
        <f t="shared" si="1134"/>
        <v>0</v>
      </c>
      <c r="AD7354" s="6">
        <f t="shared" si="1139"/>
        <v>43418.8</v>
      </c>
      <c r="AE7354" s="14">
        <f>VLOOKUP(I7354,[2]媒体政策预估表!A:N,MATCH(O7354,[2]媒体政策预估表!$A$2:$M$2,0),0)</f>
        <v>7.0000000000000007E-2</v>
      </c>
      <c r="AF7354" s="6">
        <f t="shared" si="1141"/>
        <v>3039.3160000000007</v>
      </c>
      <c r="AG7354" s="14">
        <v>0</v>
      </c>
      <c r="AH7354" s="64">
        <f t="shared" si="1140"/>
        <v>43418.8</v>
      </c>
      <c r="AJ7354" s="126" t="e">
        <v>#N/A</v>
      </c>
      <c r="AK7354" s="80">
        <f t="shared" si="1137"/>
        <v>0</v>
      </c>
      <c r="AL7354" s="85"/>
      <c r="AM7354" s="85"/>
    </row>
    <row r="7355" spans="1:39" s="86" customFormat="1" ht="13.25" hidden="1" customHeight="1" x14ac:dyDescent="0.3">
      <c r="A7355" s="89" t="s">
        <v>3978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3767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138"/>
        <v>1007.1000000000149</v>
      </c>
      <c r="X7355" s="6">
        <f t="shared" si="1142"/>
        <v>9787.1</v>
      </c>
      <c r="Y7355" s="13">
        <f t="shared" si="1135"/>
        <v>0</v>
      </c>
      <c r="Z7355" s="66">
        <v>0</v>
      </c>
      <c r="AA7355" s="6">
        <v>0</v>
      </c>
      <c r="AB7355" s="4">
        <f t="shared" si="1136"/>
        <v>9787.1</v>
      </c>
      <c r="AC7355" s="6">
        <f t="shared" si="1134"/>
        <v>0</v>
      </c>
      <c r="AD7355" s="6">
        <f t="shared" si="1139"/>
        <v>9787.1</v>
      </c>
      <c r="AE7355" s="14">
        <f>VLOOKUP(I7355,[2]媒体政策预估表!A:N,MATCH(O7355,[2]媒体政策预估表!$A$2:$M$2,0),0)</f>
        <v>7.0000000000000007E-2</v>
      </c>
      <c r="AF7355" s="6">
        <f t="shared" si="1141"/>
        <v>685.09700000000009</v>
      </c>
      <c r="AG7355" s="14">
        <v>0</v>
      </c>
      <c r="AH7355" s="64">
        <f t="shared" si="1140"/>
        <v>9787.1</v>
      </c>
      <c r="AJ7355" s="126" t="e">
        <v>#N/A</v>
      </c>
      <c r="AK7355" s="80">
        <f t="shared" si="1137"/>
        <v>0</v>
      </c>
      <c r="AL7355" s="85"/>
      <c r="AM7355" s="85"/>
    </row>
    <row r="7356" spans="1:39" s="86" customFormat="1" ht="13.25" hidden="1" customHeight="1" x14ac:dyDescent="0.3">
      <c r="A7356" s="89" t="s">
        <v>3978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3767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138"/>
        <v>30261.394679999998</v>
      </c>
      <c r="X7356" s="6">
        <f t="shared" si="1142"/>
        <v>0</v>
      </c>
      <c r="Y7356" s="13">
        <f t="shared" si="1135"/>
        <v>0</v>
      </c>
      <c r="Z7356" s="66">
        <v>0</v>
      </c>
      <c r="AA7356" s="6">
        <v>0</v>
      </c>
      <c r="AB7356" s="4">
        <f t="shared" si="1136"/>
        <v>0</v>
      </c>
      <c r="AC7356" s="6">
        <f t="shared" si="1134"/>
        <v>0</v>
      </c>
      <c r="AD7356" s="6">
        <f t="shared" si="1139"/>
        <v>0</v>
      </c>
      <c r="AE7356" s="14">
        <f>VLOOKUP(I7356,[2]媒体政策预估表!A:N,MATCH(O7356,[2]媒体政策预估表!$A$2:$M$2,0),0)</f>
        <v>0.1</v>
      </c>
      <c r="AF7356" s="6">
        <f t="shared" si="1141"/>
        <v>0</v>
      </c>
      <c r="AG7356" s="14">
        <v>0</v>
      </c>
      <c r="AH7356" s="64">
        <f t="shared" si="1140"/>
        <v>0</v>
      </c>
      <c r="AJ7356" s="126" t="e">
        <v>#N/A</v>
      </c>
      <c r="AK7356" s="80">
        <f t="shared" si="1137"/>
        <v>0</v>
      </c>
      <c r="AL7356" s="85"/>
      <c r="AM7356" s="85"/>
    </row>
    <row r="7357" spans="1:39" s="86" customFormat="1" ht="13.25" hidden="1" customHeight="1" x14ac:dyDescent="0.3">
      <c r="A7357" s="89" t="s">
        <v>3978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3767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138"/>
        <v>1.590000007126946E-3</v>
      </c>
      <c r="X7357" s="6">
        <f t="shared" si="1142"/>
        <v>0</v>
      </c>
      <c r="Y7357" s="13">
        <f t="shared" si="1135"/>
        <v>0</v>
      </c>
      <c r="Z7357" s="66">
        <v>0</v>
      </c>
      <c r="AA7357" s="6">
        <v>0</v>
      </c>
      <c r="AB7357" s="4">
        <f t="shared" si="1136"/>
        <v>0</v>
      </c>
      <c r="AC7357" s="6">
        <f t="shared" si="1134"/>
        <v>0</v>
      </c>
      <c r="AD7357" s="6">
        <f t="shared" si="1139"/>
        <v>0</v>
      </c>
      <c r="AE7357" s="14">
        <f>VLOOKUP(I7357,[2]媒体政策预估表!A:N,MATCH(O7357,[2]媒体政策预估表!$A$2:$M$2,0),0)</f>
        <v>0.1</v>
      </c>
      <c r="AF7357" s="6">
        <f t="shared" si="1141"/>
        <v>0</v>
      </c>
      <c r="AG7357" s="14">
        <v>0</v>
      </c>
      <c r="AH7357" s="64">
        <f t="shared" si="1140"/>
        <v>0</v>
      </c>
      <c r="AJ7357" s="126" t="e">
        <v>#N/A</v>
      </c>
      <c r="AK7357" s="80">
        <f t="shared" si="1137"/>
        <v>0</v>
      </c>
      <c r="AL7357" s="85"/>
      <c r="AM7357" s="85"/>
    </row>
    <row r="7358" spans="1:39" s="86" customFormat="1" ht="13.25" hidden="1" customHeight="1" x14ac:dyDescent="0.3">
      <c r="A7358" s="89" t="s">
        <v>3978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3767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138"/>
        <v>4.6000000000058208</v>
      </c>
      <c r="X7358" s="6">
        <f t="shared" si="1142"/>
        <v>0</v>
      </c>
      <c r="Y7358" s="13">
        <f t="shared" si="1135"/>
        <v>0</v>
      </c>
      <c r="Z7358" s="66">
        <v>0</v>
      </c>
      <c r="AA7358" s="6">
        <v>0</v>
      </c>
      <c r="AB7358" s="4">
        <f t="shared" si="1136"/>
        <v>0</v>
      </c>
      <c r="AC7358" s="6">
        <f t="shared" ref="AC7358:AC7421" si="1143">IF(P7358="返现",X7358*Q7358,V7358-X7358)</f>
        <v>0</v>
      </c>
      <c r="AD7358" s="6">
        <f t="shared" si="1139"/>
        <v>0</v>
      </c>
      <c r="AE7358" s="14">
        <f>VLOOKUP(I7358,[2]媒体政策预估表!A:N,MATCH(O7358,[2]媒体政策预估表!$A$2:$M$2,0),0)</f>
        <v>7.0000000000000007E-2</v>
      </c>
      <c r="AF7358" s="6">
        <f t="shared" si="1141"/>
        <v>0</v>
      </c>
      <c r="AG7358" s="14">
        <v>0</v>
      </c>
      <c r="AH7358" s="64">
        <f t="shared" si="1140"/>
        <v>0</v>
      </c>
      <c r="AJ7358" s="126" t="e">
        <v>#N/A</v>
      </c>
      <c r="AK7358" s="80">
        <f t="shared" si="1137"/>
        <v>0</v>
      </c>
      <c r="AL7358" s="85"/>
      <c r="AM7358" s="85"/>
    </row>
    <row r="7359" spans="1:39" s="86" customFormat="1" ht="13.25" hidden="1" customHeight="1" x14ac:dyDescent="0.3">
      <c r="A7359" s="89" t="s">
        <v>3978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3767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138"/>
        <v>550.17000000004191</v>
      </c>
      <c r="X7359" s="6">
        <f t="shared" si="1142"/>
        <v>139548</v>
      </c>
      <c r="Y7359" s="13">
        <f t="shared" si="1135"/>
        <v>0</v>
      </c>
      <c r="Z7359" s="66">
        <v>0</v>
      </c>
      <c r="AA7359" s="6">
        <v>0</v>
      </c>
      <c r="AB7359" s="4">
        <f t="shared" si="1136"/>
        <v>139548</v>
      </c>
      <c r="AC7359" s="6">
        <f t="shared" si="1143"/>
        <v>0</v>
      </c>
      <c r="AD7359" s="6">
        <f t="shared" si="1139"/>
        <v>139548</v>
      </c>
      <c r="AE7359" s="14">
        <f>VLOOKUP(I7359,[2]媒体政策预估表!A:N,MATCH(O7359,[2]媒体政策预估表!$A$2:$M$2,0),0)</f>
        <v>7.0000000000000007E-2</v>
      </c>
      <c r="AF7359" s="6">
        <f t="shared" si="1141"/>
        <v>9768.36</v>
      </c>
      <c r="AG7359" s="14">
        <v>0</v>
      </c>
      <c r="AH7359" s="64">
        <f t="shared" si="1140"/>
        <v>139548</v>
      </c>
      <c r="AJ7359" s="126" t="e">
        <v>#N/A</v>
      </c>
      <c r="AK7359" s="80">
        <f t="shared" si="1137"/>
        <v>0</v>
      </c>
      <c r="AL7359" s="85"/>
      <c r="AM7359" s="85"/>
    </row>
    <row r="7360" spans="1:39" s="86" customFormat="1" ht="13.25" hidden="1" customHeight="1" x14ac:dyDescent="0.3">
      <c r="A7360" s="89" t="s">
        <v>3978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3767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138"/>
        <v>55348.008420000042</v>
      </c>
      <c r="X7360" s="6">
        <f t="shared" si="1142"/>
        <v>114423.26</v>
      </c>
      <c r="Y7360" s="13">
        <f t="shared" si="1135"/>
        <v>0</v>
      </c>
      <c r="Z7360" s="66">
        <v>0</v>
      </c>
      <c r="AA7360" s="6">
        <v>0</v>
      </c>
      <c r="AB7360" s="4">
        <f t="shared" si="1136"/>
        <v>114423.26</v>
      </c>
      <c r="AC7360" s="6">
        <f t="shared" si="1143"/>
        <v>0</v>
      </c>
      <c r="AD7360" s="6">
        <f t="shared" si="1139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141"/>
        <v>8009.6282000000001</v>
      </c>
      <c r="AG7360" s="14">
        <v>0</v>
      </c>
      <c r="AH7360" s="64">
        <f t="shared" si="1140"/>
        <v>114423.26</v>
      </c>
      <c r="AJ7360" s="126" t="e">
        <v>#N/A</v>
      </c>
      <c r="AK7360" s="80">
        <f t="shared" si="1137"/>
        <v>0</v>
      </c>
      <c r="AL7360" s="85"/>
      <c r="AM7360" s="85"/>
    </row>
    <row r="7361" spans="1:39" s="86" customFormat="1" ht="13.25" hidden="1" customHeight="1" x14ac:dyDescent="0.3">
      <c r="A7361" s="89" t="s">
        <v>3978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3767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138"/>
        <v>25946.699999999997</v>
      </c>
      <c r="X7361" s="6">
        <f t="shared" si="1142"/>
        <v>45024.5</v>
      </c>
      <c r="Y7361" s="13">
        <f t="shared" si="1135"/>
        <v>0</v>
      </c>
      <c r="Z7361" s="66">
        <v>0</v>
      </c>
      <c r="AA7361" s="6">
        <v>0</v>
      </c>
      <c r="AB7361" s="4">
        <f t="shared" si="1136"/>
        <v>45024.5</v>
      </c>
      <c r="AC7361" s="6">
        <f t="shared" si="1143"/>
        <v>0</v>
      </c>
      <c r="AD7361" s="6">
        <f t="shared" si="1139"/>
        <v>45024.5</v>
      </c>
      <c r="AE7361" s="14">
        <f>VLOOKUP(I7361,[2]媒体政策预估表!A:N,MATCH(O7361,[2]媒体政策预估表!$A$2:$M$2,0),0)</f>
        <v>7.0000000000000007E-2</v>
      </c>
      <c r="AF7361" s="6">
        <f t="shared" si="1141"/>
        <v>3151.7150000000001</v>
      </c>
      <c r="AG7361" s="14">
        <v>0</v>
      </c>
      <c r="AH7361" s="64">
        <f t="shared" si="1140"/>
        <v>45024.5</v>
      </c>
      <c r="AJ7361" s="126" t="e">
        <v>#N/A</v>
      </c>
      <c r="AK7361" s="80">
        <f t="shared" si="1137"/>
        <v>0</v>
      </c>
      <c r="AL7361" s="85"/>
      <c r="AM7361" s="85"/>
    </row>
    <row r="7362" spans="1:39" s="86" customFormat="1" ht="13.25" hidden="1" customHeight="1" x14ac:dyDescent="0.3">
      <c r="A7362" s="89" t="s">
        <v>3978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3767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138"/>
        <v>41750</v>
      </c>
      <c r="X7362" s="6">
        <f t="shared" si="1142"/>
        <v>274966.5</v>
      </c>
      <c r="Y7362" s="13">
        <f t="shared" si="1135"/>
        <v>0</v>
      </c>
      <c r="Z7362" s="66">
        <v>0</v>
      </c>
      <c r="AA7362" s="6">
        <v>0</v>
      </c>
      <c r="AB7362" s="4">
        <f t="shared" si="1136"/>
        <v>274966.5</v>
      </c>
      <c r="AC7362" s="6">
        <f t="shared" si="1143"/>
        <v>0</v>
      </c>
      <c r="AD7362" s="6">
        <f t="shared" si="1139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141"/>
        <v>19247.655000000002</v>
      </c>
      <c r="AG7362" s="14">
        <v>0</v>
      </c>
      <c r="AH7362" s="64">
        <f t="shared" si="1140"/>
        <v>274966.5</v>
      </c>
      <c r="AJ7362" s="126" t="e">
        <v>#N/A</v>
      </c>
      <c r="AK7362" s="80">
        <f t="shared" si="1137"/>
        <v>0</v>
      </c>
      <c r="AL7362" s="85"/>
      <c r="AM7362" s="85"/>
    </row>
    <row r="7363" spans="1:39" s="86" customFormat="1" ht="13.25" hidden="1" customHeight="1" x14ac:dyDescent="0.3">
      <c r="A7363" s="89" t="s">
        <v>3978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3767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138"/>
        <v>50480.200000000026</v>
      </c>
      <c r="X7363" s="6">
        <f t="shared" si="1142"/>
        <v>92843.199999999997</v>
      </c>
      <c r="Y7363" s="13">
        <f t="shared" ref="Y7363:Y7426" si="1144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145">X7363+AA7363</f>
        <v>92843.199999999997</v>
      </c>
      <c r="AC7363" s="6">
        <f t="shared" si="1143"/>
        <v>0</v>
      </c>
      <c r="AD7363" s="6">
        <f t="shared" si="1139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141"/>
        <v>6499.0240000000003</v>
      </c>
      <c r="AG7363" s="14">
        <v>0</v>
      </c>
      <c r="AH7363" s="64">
        <f t="shared" si="1140"/>
        <v>92843.199999999997</v>
      </c>
      <c r="AJ7363" s="126" t="e">
        <v>#N/A</v>
      </c>
      <c r="AK7363" s="80">
        <f t="shared" ref="AK7363:AK7426" si="1146">X7363+AA7363-AB7363</f>
        <v>0</v>
      </c>
      <c r="AL7363" s="85"/>
      <c r="AM7363" s="85"/>
    </row>
    <row r="7364" spans="1:39" s="86" customFormat="1" ht="13.25" hidden="1" customHeight="1" x14ac:dyDescent="0.3">
      <c r="A7364" s="89" t="s">
        <v>3978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3767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138"/>
        <v>1579.2200000000012</v>
      </c>
      <c r="X7364" s="6">
        <f t="shared" si="1142"/>
        <v>28179.599999999999</v>
      </c>
      <c r="Y7364" s="13">
        <f t="shared" si="1144"/>
        <v>0</v>
      </c>
      <c r="Z7364" s="66">
        <v>0</v>
      </c>
      <c r="AA7364" s="6">
        <v>0</v>
      </c>
      <c r="AB7364" s="4">
        <v>20988.212156862748</v>
      </c>
      <c r="AC7364" s="6">
        <f t="shared" si="1143"/>
        <v>0</v>
      </c>
      <c r="AD7364" s="6">
        <f t="shared" si="1139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141"/>
        <v>1972.5720000000001</v>
      </c>
      <c r="AG7364" s="14">
        <v>0</v>
      </c>
      <c r="AH7364" s="64">
        <f t="shared" si="1140"/>
        <v>28179.599999999999</v>
      </c>
      <c r="AJ7364" s="126" t="s">
        <v>4225</v>
      </c>
      <c r="AK7364" s="80">
        <f t="shared" si="1146"/>
        <v>7191.3878431372505</v>
      </c>
      <c r="AL7364" s="85"/>
      <c r="AM7364" s="85"/>
    </row>
    <row r="7365" spans="1:39" s="86" customFormat="1" ht="13.25" hidden="1" customHeight="1" x14ac:dyDescent="0.3">
      <c r="A7365" s="89" t="s">
        <v>3978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3767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138"/>
        <v>27332.200000000012</v>
      </c>
      <c r="X7365" s="6">
        <f t="shared" si="1142"/>
        <v>107191.9</v>
      </c>
      <c r="Y7365" s="13">
        <f t="shared" si="1144"/>
        <v>0</v>
      </c>
      <c r="Z7365" s="66">
        <v>0</v>
      </c>
      <c r="AA7365" s="6">
        <v>0</v>
      </c>
      <c r="AB7365" s="4">
        <f t="shared" si="1145"/>
        <v>107191.9</v>
      </c>
      <c r="AC7365" s="6">
        <f t="shared" si="1143"/>
        <v>0</v>
      </c>
      <c r="AD7365" s="6">
        <f t="shared" si="1139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141"/>
        <v>7503.433</v>
      </c>
      <c r="AG7365" s="14">
        <v>0</v>
      </c>
      <c r="AH7365" s="64">
        <f t="shared" si="1140"/>
        <v>107191.9</v>
      </c>
      <c r="AJ7365" s="126" t="e">
        <v>#N/A</v>
      </c>
      <c r="AK7365" s="80">
        <f t="shared" si="1146"/>
        <v>0</v>
      </c>
      <c r="AL7365" s="85"/>
      <c r="AM7365" s="85"/>
    </row>
    <row r="7366" spans="1:39" s="86" customFormat="1" ht="13.25" hidden="1" customHeight="1" x14ac:dyDescent="0.3">
      <c r="A7366" s="89" t="s">
        <v>3978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3767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138"/>
        <v>0</v>
      </c>
      <c r="X7366" s="6">
        <f t="shared" si="1142"/>
        <v>118552.7</v>
      </c>
      <c r="Y7366" s="13">
        <f t="shared" si="1144"/>
        <v>0</v>
      </c>
      <c r="Z7366" s="66">
        <v>0</v>
      </c>
      <c r="AA7366" s="6">
        <v>0</v>
      </c>
      <c r="AB7366" s="4">
        <f t="shared" si="1145"/>
        <v>118552.7</v>
      </c>
      <c r="AC7366" s="6">
        <f t="shared" si="1143"/>
        <v>0</v>
      </c>
      <c r="AD7366" s="6">
        <f t="shared" si="1139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141"/>
        <v>8298.6890000000003</v>
      </c>
      <c r="AG7366" s="14">
        <v>0</v>
      </c>
      <c r="AH7366" s="64">
        <f t="shared" si="1140"/>
        <v>118552.7</v>
      </c>
      <c r="AJ7366" s="126" t="e">
        <v>#N/A</v>
      </c>
      <c r="AK7366" s="80">
        <f t="shared" si="1146"/>
        <v>0</v>
      </c>
      <c r="AL7366" s="85"/>
      <c r="AM7366" s="85"/>
    </row>
    <row r="7367" spans="1:39" s="86" customFormat="1" ht="13.25" hidden="1" customHeight="1" x14ac:dyDescent="0.3">
      <c r="A7367" s="89" t="s">
        <v>3978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3767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138"/>
        <v>9793.7000000000007</v>
      </c>
      <c r="X7367" s="6">
        <f t="shared" si="1142"/>
        <v>26756.633663366338</v>
      </c>
      <c r="Y7367" s="13">
        <f t="shared" si="1144"/>
        <v>0</v>
      </c>
      <c r="Z7367" s="66">
        <v>0</v>
      </c>
      <c r="AA7367" s="6">
        <v>0</v>
      </c>
      <c r="AB7367" s="4">
        <f t="shared" si="1145"/>
        <v>26756.633663366338</v>
      </c>
      <c r="AC7367" s="6">
        <f t="shared" si="1143"/>
        <v>267.56633663366301</v>
      </c>
      <c r="AD7367" s="6">
        <f t="shared" si="1139"/>
        <v>27024.2</v>
      </c>
      <c r="AE7367" s="14">
        <f>VLOOKUP(I7367,[2]媒体政策预估表!A:N,MATCH(O7367,[2]媒体政策预估表!$A$2:$M$2,0),0)</f>
        <v>7.0000000000000007E-2</v>
      </c>
      <c r="AF7367" s="6">
        <f t="shared" si="1141"/>
        <v>1891.6940000000002</v>
      </c>
      <c r="AG7367" s="14">
        <v>0</v>
      </c>
      <c r="AH7367" s="64">
        <f t="shared" si="1140"/>
        <v>27024.2</v>
      </c>
      <c r="AJ7367" s="126" t="e">
        <v>#N/A</v>
      </c>
      <c r="AK7367" s="80">
        <f t="shared" si="1146"/>
        <v>0</v>
      </c>
      <c r="AL7367" s="85"/>
      <c r="AM7367" s="85"/>
    </row>
    <row r="7368" spans="1:39" s="86" customFormat="1" ht="13.25" hidden="1" customHeight="1" x14ac:dyDescent="0.3">
      <c r="A7368" s="89" t="s">
        <v>3978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3767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138"/>
        <v>149778.45000000013</v>
      </c>
      <c r="X7368" s="6">
        <f t="shared" si="1142"/>
        <v>351364.2</v>
      </c>
      <c r="Y7368" s="13">
        <f t="shared" si="1144"/>
        <v>0</v>
      </c>
      <c r="Z7368" s="66">
        <v>0</v>
      </c>
      <c r="AA7368" s="6">
        <v>0</v>
      </c>
      <c r="AB7368" s="4">
        <f t="shared" si="1145"/>
        <v>351364.2</v>
      </c>
      <c r="AC7368" s="6">
        <f t="shared" si="1143"/>
        <v>0</v>
      </c>
      <c r="AD7368" s="6">
        <f t="shared" si="1139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141"/>
        <v>24595.494000000002</v>
      </c>
      <c r="AG7368" s="14">
        <v>0</v>
      </c>
      <c r="AH7368" s="64">
        <f t="shared" si="1140"/>
        <v>351364.2</v>
      </c>
      <c r="AJ7368" s="126" t="e">
        <v>#N/A</v>
      </c>
      <c r="AK7368" s="80">
        <f t="shared" si="1146"/>
        <v>0</v>
      </c>
      <c r="AL7368" s="85"/>
      <c r="AM7368" s="85"/>
    </row>
    <row r="7369" spans="1:39" s="86" customFormat="1" ht="13.25" hidden="1" customHeight="1" x14ac:dyDescent="0.3">
      <c r="A7369" s="89" t="s">
        <v>3978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3767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138"/>
        <v>168262.55006999976</v>
      </c>
      <c r="X7369" s="6">
        <f t="shared" si="1142"/>
        <v>662413.5</v>
      </c>
      <c r="Y7369" s="13">
        <f t="shared" si="1144"/>
        <v>0</v>
      </c>
      <c r="Z7369" s="66">
        <v>0</v>
      </c>
      <c r="AA7369" s="6">
        <v>0</v>
      </c>
      <c r="AB7369" s="4">
        <f t="shared" si="1145"/>
        <v>662413.5</v>
      </c>
      <c r="AC7369" s="6">
        <f t="shared" si="1143"/>
        <v>0</v>
      </c>
      <c r="AD7369" s="6">
        <f t="shared" si="1139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141"/>
        <v>46368.945000000007</v>
      </c>
      <c r="AG7369" s="14">
        <v>0</v>
      </c>
      <c r="AH7369" s="64">
        <f t="shared" si="1140"/>
        <v>662413.5</v>
      </c>
      <c r="AJ7369" s="126" t="e">
        <v>#N/A</v>
      </c>
      <c r="AK7369" s="80">
        <f t="shared" si="1146"/>
        <v>0</v>
      </c>
      <c r="AL7369" s="85"/>
      <c r="AM7369" s="85"/>
    </row>
    <row r="7370" spans="1:39" s="86" customFormat="1" ht="13.25" hidden="1" customHeight="1" x14ac:dyDescent="0.3">
      <c r="A7370" s="89" t="s">
        <v>3978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3767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138"/>
        <v>158657.92999999993</v>
      </c>
      <c r="X7370" s="6">
        <f t="shared" si="1142"/>
        <v>1200022.6470588236</v>
      </c>
      <c r="Y7370" s="13">
        <f t="shared" si="1144"/>
        <v>0</v>
      </c>
      <c r="Z7370" s="66">
        <v>0</v>
      </c>
      <c r="AA7370" s="6">
        <v>0</v>
      </c>
      <c r="AB7370" s="4">
        <f t="shared" si="1145"/>
        <v>1200022.6470588236</v>
      </c>
      <c r="AC7370" s="6">
        <f t="shared" si="1143"/>
        <v>24000.452941176482</v>
      </c>
      <c r="AD7370" s="6">
        <f t="shared" si="1139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141"/>
        <v>85681.617000000013</v>
      </c>
      <c r="AG7370" s="14">
        <v>0</v>
      </c>
      <c r="AH7370" s="64">
        <f t="shared" si="1140"/>
        <v>1224023.1000000001</v>
      </c>
      <c r="AJ7370" s="126" t="e">
        <v>#N/A</v>
      </c>
      <c r="AK7370" s="80">
        <f t="shared" si="1146"/>
        <v>0</v>
      </c>
      <c r="AL7370" s="85"/>
      <c r="AM7370" s="85"/>
    </row>
    <row r="7371" spans="1:39" s="86" customFormat="1" ht="13.25" hidden="1" customHeight="1" x14ac:dyDescent="0.3">
      <c r="A7371" s="89" t="s">
        <v>3978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3767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138"/>
        <v>58658.000000000015</v>
      </c>
      <c r="X7371" s="6">
        <f t="shared" si="1142"/>
        <v>80740.7</v>
      </c>
      <c r="Y7371" s="13">
        <f t="shared" si="1144"/>
        <v>0</v>
      </c>
      <c r="Z7371" s="66">
        <v>0</v>
      </c>
      <c r="AA7371" s="6">
        <v>0</v>
      </c>
      <c r="AB7371" s="4">
        <f t="shared" si="1145"/>
        <v>80740.7</v>
      </c>
      <c r="AC7371" s="6">
        <f t="shared" si="1143"/>
        <v>0</v>
      </c>
      <c r="AD7371" s="6">
        <f t="shared" si="1139"/>
        <v>80740.7</v>
      </c>
      <c r="AE7371" s="14">
        <f>VLOOKUP(I7371,[2]媒体政策预估表!A:N,MATCH(O7371,[2]媒体政策预估表!$A$2:$M$2,0),0)</f>
        <v>7.0000000000000007E-2</v>
      </c>
      <c r="AF7371" s="6">
        <f t="shared" si="1141"/>
        <v>5651.8490000000002</v>
      </c>
      <c r="AG7371" s="14">
        <v>0</v>
      </c>
      <c r="AH7371" s="64">
        <f t="shared" si="1140"/>
        <v>80740.7</v>
      </c>
      <c r="AJ7371" s="126" t="e">
        <v>#N/A</v>
      </c>
      <c r="AK7371" s="80">
        <f t="shared" si="1146"/>
        <v>0</v>
      </c>
      <c r="AL7371" s="85"/>
      <c r="AM7371" s="85"/>
    </row>
    <row r="7372" spans="1:39" s="86" customFormat="1" ht="13.25" hidden="1" customHeight="1" x14ac:dyDescent="0.3">
      <c r="A7372" s="89" t="s">
        <v>3978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3767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138"/>
        <v>30486.499999999985</v>
      </c>
      <c r="X7372" s="6">
        <f t="shared" si="1142"/>
        <v>52363.3</v>
      </c>
      <c r="Y7372" s="13">
        <f t="shared" si="1144"/>
        <v>0</v>
      </c>
      <c r="Z7372" s="66">
        <v>0</v>
      </c>
      <c r="AA7372" s="6">
        <v>0</v>
      </c>
      <c r="AB7372" s="4">
        <f t="shared" si="1145"/>
        <v>52363.3</v>
      </c>
      <c r="AC7372" s="6">
        <f t="shared" si="1143"/>
        <v>0</v>
      </c>
      <c r="AD7372" s="6">
        <f t="shared" si="1139"/>
        <v>52363.3</v>
      </c>
      <c r="AE7372" s="14">
        <f>VLOOKUP(I7372,[2]媒体政策预估表!A:N,MATCH(O7372,[2]媒体政策预估表!$A$2:$M$2,0),0)</f>
        <v>7.0000000000000007E-2</v>
      </c>
      <c r="AF7372" s="6">
        <f t="shared" si="1141"/>
        <v>3665.4310000000005</v>
      </c>
      <c r="AG7372" s="14">
        <v>0</v>
      </c>
      <c r="AH7372" s="64">
        <f t="shared" si="1140"/>
        <v>52363.3</v>
      </c>
      <c r="AJ7372" s="126" t="e">
        <v>#N/A</v>
      </c>
      <c r="AK7372" s="80">
        <f t="shared" si="1146"/>
        <v>0</v>
      </c>
      <c r="AL7372" s="85"/>
      <c r="AM7372" s="85"/>
    </row>
    <row r="7373" spans="1:39" s="86" customFormat="1" ht="13.25" hidden="1" customHeight="1" x14ac:dyDescent="0.3">
      <c r="A7373" s="89" t="s">
        <v>3978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3767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138"/>
        <v>194855.58999999997</v>
      </c>
      <c r="X7373" s="6">
        <f t="shared" si="1142"/>
        <v>24703.200000000001</v>
      </c>
      <c r="Y7373" s="13">
        <f t="shared" si="1144"/>
        <v>0</v>
      </c>
      <c r="Z7373" s="66">
        <v>0</v>
      </c>
      <c r="AA7373" s="6">
        <v>0</v>
      </c>
      <c r="AB7373" s="4">
        <f t="shared" si="1145"/>
        <v>24703.200000000001</v>
      </c>
      <c r="AC7373" s="6">
        <f t="shared" si="1143"/>
        <v>0</v>
      </c>
      <c r="AD7373" s="6">
        <f t="shared" si="1139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141"/>
        <v>1729.2240000000002</v>
      </c>
      <c r="AG7373" s="14">
        <v>0</v>
      </c>
      <c r="AH7373" s="64">
        <f t="shared" si="1140"/>
        <v>24703.200000000001</v>
      </c>
      <c r="AJ7373" s="126" t="e">
        <v>#N/A</v>
      </c>
      <c r="AK7373" s="80">
        <f t="shared" si="1146"/>
        <v>0</v>
      </c>
      <c r="AL7373" s="85"/>
      <c r="AM7373" s="85"/>
    </row>
    <row r="7374" spans="1:39" s="86" customFormat="1" ht="13.25" hidden="1" customHeight="1" x14ac:dyDescent="0.3">
      <c r="A7374" s="89" t="s">
        <v>3978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3767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138"/>
        <v>817637.18999999983</v>
      </c>
      <c r="X7374" s="6">
        <f t="shared" si="1142"/>
        <v>14961.9</v>
      </c>
      <c r="Y7374" s="13">
        <f t="shared" si="1144"/>
        <v>0</v>
      </c>
      <c r="Z7374" s="66">
        <v>0</v>
      </c>
      <c r="AA7374" s="6">
        <v>0</v>
      </c>
      <c r="AB7374" s="4">
        <f t="shared" si="1145"/>
        <v>14961.9</v>
      </c>
      <c r="AC7374" s="6">
        <f t="shared" si="1143"/>
        <v>0</v>
      </c>
      <c r="AD7374" s="6">
        <f t="shared" si="1139"/>
        <v>14961.9</v>
      </c>
      <c r="AE7374" s="14">
        <f>VLOOKUP(I7374,[2]媒体政策预估表!A:N,MATCH(O7374,[2]媒体政策预估表!$A$2:$M$2,0),0)</f>
        <v>7.0000000000000007E-2</v>
      </c>
      <c r="AF7374" s="6">
        <f t="shared" si="1141"/>
        <v>1047.3330000000001</v>
      </c>
      <c r="AG7374" s="14">
        <v>0</v>
      </c>
      <c r="AH7374" s="64">
        <f t="shared" si="1140"/>
        <v>14961.9</v>
      </c>
      <c r="AJ7374" s="126" t="e">
        <v>#N/A</v>
      </c>
      <c r="AK7374" s="80">
        <f t="shared" si="1146"/>
        <v>0</v>
      </c>
      <c r="AL7374" s="85"/>
      <c r="AM7374" s="85"/>
    </row>
    <row r="7375" spans="1:39" s="86" customFormat="1" ht="13.25" hidden="1" customHeight="1" x14ac:dyDescent="0.3">
      <c r="A7375" s="89" t="s">
        <v>3978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3767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138"/>
        <v>37535</v>
      </c>
      <c r="X7375" s="6">
        <f t="shared" si="1142"/>
        <v>242596.8</v>
      </c>
      <c r="Y7375" s="13">
        <f t="shared" si="1144"/>
        <v>0</v>
      </c>
      <c r="Z7375" s="66">
        <v>0</v>
      </c>
      <c r="AA7375" s="6">
        <v>0</v>
      </c>
      <c r="AB7375" s="4">
        <f t="shared" si="1145"/>
        <v>242596.8</v>
      </c>
      <c r="AC7375" s="6">
        <f t="shared" si="1143"/>
        <v>0</v>
      </c>
      <c r="AD7375" s="6">
        <f t="shared" si="1139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141"/>
        <v>16981.776000000002</v>
      </c>
      <c r="AG7375" s="14">
        <v>0</v>
      </c>
      <c r="AH7375" s="64">
        <f t="shared" si="1140"/>
        <v>242596.8</v>
      </c>
      <c r="AJ7375" s="126" t="e">
        <v>#N/A</v>
      </c>
      <c r="AK7375" s="80">
        <f t="shared" si="1146"/>
        <v>0</v>
      </c>
      <c r="AL7375" s="85"/>
      <c r="AM7375" s="85"/>
    </row>
    <row r="7376" spans="1:39" s="86" customFormat="1" ht="13.25" hidden="1" customHeight="1" x14ac:dyDescent="0.3">
      <c r="A7376" s="89" t="s">
        <v>3978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3767</v>
      </c>
      <c r="L7376" s="47" t="s">
        <v>35</v>
      </c>
      <c r="M7376" s="86" t="s">
        <v>4087</v>
      </c>
      <c r="O7376" s="47" t="s">
        <v>410</v>
      </c>
      <c r="P7376" s="47" t="s">
        <v>41</v>
      </c>
      <c r="Q7376" s="14">
        <v>0</v>
      </c>
      <c r="R7376" s="143" t="s">
        <v>4088</v>
      </c>
      <c r="S7376" s="47"/>
      <c r="T7376" s="6">
        <v>0</v>
      </c>
      <c r="U7376" s="6">
        <v>10000</v>
      </c>
      <c r="V7376" s="6">
        <v>7628.3</v>
      </c>
      <c r="W7376" s="6">
        <f t="shared" si="1138"/>
        <v>2371.6999999999998</v>
      </c>
      <c r="X7376" s="6">
        <f t="shared" si="1142"/>
        <v>7628.3</v>
      </c>
      <c r="Y7376" s="13">
        <f t="shared" si="1144"/>
        <v>0</v>
      </c>
      <c r="Z7376" s="66">
        <v>0</v>
      </c>
      <c r="AA7376" s="6">
        <v>0</v>
      </c>
      <c r="AB7376" s="4">
        <f t="shared" si="1145"/>
        <v>7628.3</v>
      </c>
      <c r="AC7376" s="6">
        <f t="shared" si="1143"/>
        <v>0</v>
      </c>
      <c r="AD7376" s="6">
        <f t="shared" si="1139"/>
        <v>7628.3</v>
      </c>
      <c r="AE7376" s="14">
        <f>VLOOKUP(I7376,[2]媒体政策预估表!A:N,MATCH(O7376,[2]媒体政策预估表!$A$2:$M$2,0),0)</f>
        <v>7.0000000000000007E-2</v>
      </c>
      <c r="AF7376" s="6">
        <f t="shared" si="1141"/>
        <v>533.98100000000011</v>
      </c>
      <c r="AG7376" s="14">
        <v>0</v>
      </c>
      <c r="AH7376" s="64">
        <f t="shared" si="1140"/>
        <v>7628.3</v>
      </c>
      <c r="AJ7376" s="126" t="e">
        <v>#N/A</v>
      </c>
      <c r="AK7376" s="80">
        <f t="shared" si="1146"/>
        <v>0</v>
      </c>
      <c r="AL7376" s="85"/>
      <c r="AM7376" s="85"/>
    </row>
    <row r="7377" spans="1:39" s="86" customFormat="1" ht="13.25" hidden="1" customHeight="1" x14ac:dyDescent="0.3">
      <c r="A7377" s="89" t="s">
        <v>3978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3767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138"/>
        <v>27853.699999999997</v>
      </c>
      <c r="X7377" s="6">
        <f t="shared" si="1142"/>
        <v>9285.5</v>
      </c>
      <c r="Y7377" s="13">
        <f t="shared" si="1144"/>
        <v>0</v>
      </c>
      <c r="Z7377" s="66">
        <v>0</v>
      </c>
      <c r="AA7377" s="6">
        <v>0</v>
      </c>
      <c r="AB7377" s="4">
        <f t="shared" si="1145"/>
        <v>9285.5</v>
      </c>
      <c r="AC7377" s="6">
        <f t="shared" si="1143"/>
        <v>0</v>
      </c>
      <c r="AD7377" s="6">
        <f t="shared" si="1139"/>
        <v>9285.5</v>
      </c>
      <c r="AE7377" s="14">
        <f>VLOOKUP(I7377,[2]媒体政策预估表!A:N,MATCH(O7377,[2]媒体政策预估表!$A$2:$M$2,0),0)</f>
        <v>7.0000000000000007E-2</v>
      </c>
      <c r="AF7377" s="6">
        <f t="shared" si="1141"/>
        <v>649.98500000000001</v>
      </c>
      <c r="AG7377" s="14">
        <v>0</v>
      </c>
      <c r="AH7377" s="64">
        <f t="shared" si="1140"/>
        <v>9285.5</v>
      </c>
      <c r="AJ7377" s="126" t="e">
        <v>#N/A</v>
      </c>
      <c r="AK7377" s="80">
        <f t="shared" si="1146"/>
        <v>0</v>
      </c>
      <c r="AL7377" s="85"/>
      <c r="AM7377" s="85"/>
    </row>
    <row r="7378" spans="1:39" s="86" customFormat="1" ht="13.25" hidden="1" customHeight="1" x14ac:dyDescent="0.3">
      <c r="A7378" s="89" t="s">
        <v>3978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3767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138"/>
        <v>12534.800000000003</v>
      </c>
      <c r="X7378" s="6">
        <f t="shared" si="1142"/>
        <v>17770</v>
      </c>
      <c r="Y7378" s="13">
        <f t="shared" si="1144"/>
        <v>0</v>
      </c>
      <c r="Z7378" s="66">
        <v>0</v>
      </c>
      <c r="AA7378" s="6">
        <v>0</v>
      </c>
      <c r="AB7378" s="4">
        <f t="shared" si="1145"/>
        <v>17770</v>
      </c>
      <c r="AC7378" s="6">
        <f t="shared" si="1143"/>
        <v>0</v>
      </c>
      <c r="AD7378" s="6">
        <f t="shared" si="1139"/>
        <v>17770</v>
      </c>
      <c r="AE7378" s="14">
        <f>VLOOKUP(I7378,[2]媒体政策预估表!A:N,MATCH(O7378,[2]媒体政策预估表!$A$2:$M$2,0),0)</f>
        <v>7.0000000000000007E-2</v>
      </c>
      <c r="AF7378" s="6">
        <f t="shared" si="1141"/>
        <v>1243.9000000000001</v>
      </c>
      <c r="AG7378" s="14">
        <v>0</v>
      </c>
      <c r="AH7378" s="64">
        <f t="shared" si="1140"/>
        <v>17770</v>
      </c>
      <c r="AJ7378" s="126" t="e">
        <v>#N/A</v>
      </c>
      <c r="AK7378" s="80">
        <f t="shared" si="1146"/>
        <v>0</v>
      </c>
      <c r="AL7378" s="85"/>
      <c r="AM7378" s="85"/>
    </row>
    <row r="7379" spans="1:39" s="86" customFormat="1" ht="13.25" hidden="1" customHeight="1" x14ac:dyDescent="0.3">
      <c r="A7379" s="89" t="s">
        <v>3978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3767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138"/>
        <v>6633.7000000000007</v>
      </c>
      <c r="X7379" s="6">
        <f t="shared" si="1142"/>
        <v>30373.8</v>
      </c>
      <c r="Y7379" s="13">
        <f t="shared" si="1144"/>
        <v>0</v>
      </c>
      <c r="Z7379" s="66">
        <v>0</v>
      </c>
      <c r="AA7379" s="6">
        <v>0</v>
      </c>
      <c r="AB7379" s="4">
        <f t="shared" si="1145"/>
        <v>30373.8</v>
      </c>
      <c r="AC7379" s="6">
        <f t="shared" si="1143"/>
        <v>0</v>
      </c>
      <c r="AD7379" s="6">
        <f t="shared" si="1139"/>
        <v>30373.8</v>
      </c>
      <c r="AE7379" s="14">
        <f>VLOOKUP(I7379,[2]媒体政策预估表!A:N,MATCH(O7379,[2]媒体政策预估表!$A$2:$M$2,0),0)</f>
        <v>7.0000000000000007E-2</v>
      </c>
      <c r="AF7379" s="6">
        <f t="shared" si="1141"/>
        <v>2126.1660000000002</v>
      </c>
      <c r="AG7379" s="14">
        <v>0</v>
      </c>
      <c r="AH7379" s="64">
        <f t="shared" si="1140"/>
        <v>30373.8</v>
      </c>
      <c r="AJ7379" s="126" t="e">
        <v>#N/A</v>
      </c>
      <c r="AK7379" s="80">
        <f t="shared" si="1146"/>
        <v>0</v>
      </c>
      <c r="AL7379" s="85"/>
      <c r="AM7379" s="85"/>
    </row>
    <row r="7380" spans="1:39" s="86" customFormat="1" ht="13.25" hidden="1" customHeight="1" x14ac:dyDescent="0.3">
      <c r="A7380" s="89" t="s">
        <v>3978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3767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138"/>
        <v>762.69999999999709</v>
      </c>
      <c r="X7380" s="6">
        <f t="shared" si="1142"/>
        <v>61633.3</v>
      </c>
      <c r="Y7380" s="13">
        <f t="shared" si="1144"/>
        <v>0</v>
      </c>
      <c r="Z7380" s="66">
        <v>0</v>
      </c>
      <c r="AA7380" s="6">
        <v>0</v>
      </c>
      <c r="AB7380" s="4"/>
      <c r="AC7380" s="6">
        <f t="shared" si="1143"/>
        <v>0</v>
      </c>
      <c r="AD7380" s="6">
        <f t="shared" si="1139"/>
        <v>61633.3</v>
      </c>
      <c r="AE7380" s="14">
        <f>VLOOKUP(I7380,[2]媒体政策预估表!A:N,MATCH(O7380,[2]媒体政策预估表!$A$2:$M$2,0),0)</f>
        <v>7.0000000000000007E-2</v>
      </c>
      <c r="AF7380" s="6">
        <f t="shared" si="1141"/>
        <v>4314.331000000001</v>
      </c>
      <c r="AG7380" s="14">
        <v>0</v>
      </c>
      <c r="AH7380" s="64">
        <f t="shared" si="1140"/>
        <v>61633.3</v>
      </c>
      <c r="AJ7380" s="126">
        <v>113</v>
      </c>
      <c r="AK7380" s="80">
        <f t="shared" si="1146"/>
        <v>61633.3</v>
      </c>
      <c r="AL7380" s="85"/>
      <c r="AM7380" s="85"/>
    </row>
    <row r="7381" spans="1:39" s="86" customFormat="1" ht="13.25" hidden="1" customHeight="1" x14ac:dyDescent="0.3">
      <c r="A7381" s="89" t="s">
        <v>3978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3767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138"/>
        <v>0</v>
      </c>
      <c r="X7381" s="6">
        <f t="shared" si="1142"/>
        <v>87240.049999999988</v>
      </c>
      <c r="Y7381" s="13">
        <f t="shared" si="1144"/>
        <v>0</v>
      </c>
      <c r="Z7381" s="66">
        <v>0</v>
      </c>
      <c r="AA7381" s="6">
        <v>0</v>
      </c>
      <c r="AB7381" s="4">
        <f t="shared" si="1145"/>
        <v>87240.049999999988</v>
      </c>
      <c r="AC7381" s="6">
        <f t="shared" si="1143"/>
        <v>0</v>
      </c>
      <c r="AD7381" s="6">
        <f t="shared" si="1139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141"/>
        <v>6106.8035</v>
      </c>
      <c r="AG7381" s="14">
        <v>0</v>
      </c>
      <c r="AH7381" s="64">
        <f t="shared" si="1140"/>
        <v>87240.049999999988</v>
      </c>
      <c r="AJ7381" s="126" t="e">
        <v>#N/A</v>
      </c>
      <c r="AK7381" s="80">
        <f t="shared" si="1146"/>
        <v>0</v>
      </c>
      <c r="AL7381" s="85"/>
      <c r="AM7381" s="85"/>
    </row>
    <row r="7382" spans="1:39" s="86" customFormat="1" ht="13.25" hidden="1" customHeight="1" x14ac:dyDescent="0.3">
      <c r="A7382" s="89" t="s">
        <v>3978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3767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138"/>
        <v>46801.849999999977</v>
      </c>
      <c r="X7382" s="6">
        <f t="shared" si="1142"/>
        <v>53198.150000000023</v>
      </c>
      <c r="Y7382" s="13">
        <f t="shared" si="1144"/>
        <v>0</v>
      </c>
      <c r="Z7382" s="66">
        <v>0</v>
      </c>
      <c r="AA7382" s="6">
        <v>0</v>
      </c>
      <c r="AB7382" s="4">
        <f t="shared" si="1145"/>
        <v>53198.150000000023</v>
      </c>
      <c r="AC7382" s="6">
        <f t="shared" si="1143"/>
        <v>0</v>
      </c>
      <c r="AD7382" s="6">
        <f t="shared" si="1139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141"/>
        <v>3723.8705000000018</v>
      </c>
      <c r="AG7382" s="14">
        <v>0</v>
      </c>
      <c r="AH7382" s="64">
        <f t="shared" si="1140"/>
        <v>53198.150000000023</v>
      </c>
      <c r="AJ7382" s="126" t="e">
        <v>#N/A</v>
      </c>
      <c r="AK7382" s="80">
        <f t="shared" si="1146"/>
        <v>0</v>
      </c>
      <c r="AL7382" s="85"/>
      <c r="AM7382" s="85"/>
    </row>
    <row r="7383" spans="1:39" s="86" customFormat="1" ht="13.25" hidden="1" customHeight="1" x14ac:dyDescent="0.3">
      <c r="A7383" s="89" t="s">
        <v>3978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3767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138"/>
        <v>3015</v>
      </c>
      <c r="X7383" s="6">
        <f t="shared" si="1142"/>
        <v>59612.2</v>
      </c>
      <c r="Y7383" s="13">
        <f t="shared" si="1144"/>
        <v>0</v>
      </c>
      <c r="Z7383" s="66">
        <v>0</v>
      </c>
      <c r="AA7383" s="6">
        <v>0</v>
      </c>
      <c r="AB7383" s="4">
        <f t="shared" si="1145"/>
        <v>59612.2</v>
      </c>
      <c r="AC7383" s="6">
        <f t="shared" si="1143"/>
        <v>0</v>
      </c>
      <c r="AD7383" s="6">
        <f t="shared" si="1139"/>
        <v>59612.2</v>
      </c>
      <c r="AE7383" s="14">
        <f>VLOOKUP(I7383,[2]媒体政策预估表!A:N,MATCH(O7383,[2]媒体政策预估表!$A$2:$M$2,0),0)</f>
        <v>7.0000000000000007E-2</v>
      </c>
      <c r="AF7383" s="6">
        <f t="shared" si="1141"/>
        <v>4172.8540000000003</v>
      </c>
      <c r="AG7383" s="14">
        <v>0</v>
      </c>
      <c r="AH7383" s="64">
        <f t="shared" si="1140"/>
        <v>59612.2</v>
      </c>
      <c r="AJ7383" s="126" t="e">
        <v>#N/A</v>
      </c>
      <c r="AK7383" s="80">
        <f t="shared" si="1146"/>
        <v>0</v>
      </c>
      <c r="AL7383" s="85"/>
      <c r="AM7383" s="85"/>
    </row>
    <row r="7384" spans="1:39" s="86" customFormat="1" ht="13.25" hidden="1" customHeight="1" x14ac:dyDescent="0.3">
      <c r="A7384" s="89" t="s">
        <v>3978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3767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138"/>
        <v>8648.9799999999959</v>
      </c>
      <c r="X7384" s="6">
        <f t="shared" si="1142"/>
        <v>41175.64356435644</v>
      </c>
      <c r="Y7384" s="13">
        <f t="shared" si="1144"/>
        <v>0</v>
      </c>
      <c r="Z7384" s="66">
        <v>0</v>
      </c>
      <c r="AA7384" s="6">
        <v>0</v>
      </c>
      <c r="AB7384" s="4">
        <f t="shared" si="1145"/>
        <v>41175.64356435644</v>
      </c>
      <c r="AC7384" s="6">
        <f t="shared" si="1143"/>
        <v>411.75643564356142</v>
      </c>
      <c r="AD7384" s="6">
        <f t="shared" si="1139"/>
        <v>41587.4</v>
      </c>
      <c r="AE7384" s="14">
        <f>VLOOKUP(I7384,[2]媒体政策预估表!A:N,MATCH(O7384,[2]媒体政策预估表!$A$2:$M$2,0),0)</f>
        <v>7.0000000000000007E-2</v>
      </c>
      <c r="AF7384" s="6">
        <f t="shared" si="1141"/>
        <v>2911.1180000000004</v>
      </c>
      <c r="AG7384" s="14">
        <v>0</v>
      </c>
      <c r="AH7384" s="64">
        <f t="shared" si="1140"/>
        <v>41587.4</v>
      </c>
      <c r="AJ7384" s="126" t="e">
        <v>#N/A</v>
      </c>
      <c r="AK7384" s="80">
        <f t="shared" si="1146"/>
        <v>0</v>
      </c>
      <c r="AL7384" s="85"/>
      <c r="AM7384" s="85"/>
    </row>
    <row r="7385" spans="1:39" s="86" customFormat="1" ht="13.25" hidden="1" customHeight="1" x14ac:dyDescent="0.3">
      <c r="A7385" s="89" t="s">
        <v>3978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3767</v>
      </c>
      <c r="L7385" s="47" t="s">
        <v>35</v>
      </c>
      <c r="M7385" s="86" t="s">
        <v>4089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147">T7385+U7385-V7385</f>
        <v>28212.000000000029</v>
      </c>
      <c r="X7385" s="6">
        <f t="shared" si="1142"/>
        <v>11671.287128712842</v>
      </c>
      <c r="Y7385" s="13">
        <f t="shared" si="1144"/>
        <v>0</v>
      </c>
      <c r="Z7385" s="66">
        <v>0</v>
      </c>
      <c r="AA7385" s="6">
        <v>0</v>
      </c>
      <c r="AB7385" s="4">
        <f t="shared" si="1145"/>
        <v>11671.287128712842</v>
      </c>
      <c r="AC7385" s="6">
        <f t="shared" si="1143"/>
        <v>116.71287128712902</v>
      </c>
      <c r="AD7385" s="6">
        <f t="shared" ref="AD7385:AD7448" si="1148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141"/>
        <v>825.15999999999804</v>
      </c>
      <c r="AG7385" s="14">
        <v>0</v>
      </c>
      <c r="AH7385" s="64">
        <f t="shared" ref="AH7385:AH7448" si="1149">V7385</f>
        <v>11787.999999999971</v>
      </c>
      <c r="AJ7385" s="126" t="e">
        <v>#N/A</v>
      </c>
      <c r="AK7385" s="80">
        <f t="shared" si="1146"/>
        <v>0</v>
      </c>
      <c r="AL7385" s="85"/>
      <c r="AM7385" s="85"/>
    </row>
    <row r="7386" spans="1:39" s="86" customFormat="1" ht="13.25" hidden="1" customHeight="1" x14ac:dyDescent="0.3">
      <c r="A7386" s="89" t="s">
        <v>3792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3767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147"/>
        <v>0</v>
      </c>
      <c r="X7386" s="6">
        <f t="shared" si="1142"/>
        <v>138711.48514851488</v>
      </c>
      <c r="Y7386" s="13">
        <f t="shared" si="1144"/>
        <v>0</v>
      </c>
      <c r="Z7386" s="66">
        <v>0</v>
      </c>
      <c r="AA7386" s="6">
        <v>0</v>
      </c>
      <c r="AB7386" s="4">
        <f t="shared" si="1145"/>
        <v>138711.48514851488</v>
      </c>
      <c r="AC7386" s="6">
        <f t="shared" si="1143"/>
        <v>1387.114851485152</v>
      </c>
      <c r="AD7386" s="6">
        <f t="shared" si="1148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141"/>
        <v>9806.9020000000037</v>
      </c>
      <c r="AG7386" s="14">
        <v>0</v>
      </c>
      <c r="AH7386" s="64">
        <f t="shared" si="1149"/>
        <v>140098.60000000003</v>
      </c>
      <c r="AJ7386" s="126" t="e">
        <v>#N/A</v>
      </c>
      <c r="AK7386" s="80">
        <f t="shared" si="1146"/>
        <v>0</v>
      </c>
      <c r="AL7386" s="85"/>
      <c r="AM7386" s="85"/>
    </row>
    <row r="7387" spans="1:39" s="86" customFormat="1" ht="13.25" hidden="1" customHeight="1" x14ac:dyDescent="0.3">
      <c r="A7387" s="89" t="s">
        <v>3978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3767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147"/>
        <v>67168.830029999954</v>
      </c>
      <c r="X7387" s="6">
        <f t="shared" si="1142"/>
        <v>760149.41173529415</v>
      </c>
      <c r="Y7387" s="13">
        <f t="shared" si="1144"/>
        <v>0</v>
      </c>
      <c r="Z7387" s="66">
        <v>0</v>
      </c>
      <c r="AA7387" s="6">
        <v>0</v>
      </c>
      <c r="AB7387" s="4">
        <f t="shared" si="1145"/>
        <v>760149.41173529415</v>
      </c>
      <c r="AC7387" s="6">
        <f t="shared" si="1143"/>
        <v>15202.988234705874</v>
      </c>
      <c r="AD7387" s="6">
        <f t="shared" si="1148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141"/>
        <v>54274.667997900004</v>
      </c>
      <c r="AG7387" s="14">
        <v>0</v>
      </c>
      <c r="AH7387" s="64">
        <f t="shared" si="1149"/>
        <v>775352.39997000003</v>
      </c>
      <c r="AJ7387" s="126" t="e">
        <v>#N/A</v>
      </c>
      <c r="AK7387" s="80">
        <f t="shared" si="1146"/>
        <v>0</v>
      </c>
      <c r="AL7387" s="85"/>
      <c r="AM7387" s="85"/>
    </row>
    <row r="7388" spans="1:39" s="86" customFormat="1" ht="13.25" hidden="1" customHeight="1" x14ac:dyDescent="0.3">
      <c r="A7388" s="89" t="s">
        <v>3978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3767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147"/>
        <v>153228.61999999988</v>
      </c>
      <c r="X7388" s="6">
        <f t="shared" si="1142"/>
        <v>1022415</v>
      </c>
      <c r="Y7388" s="13">
        <f t="shared" si="1144"/>
        <v>0</v>
      </c>
      <c r="Z7388" s="66">
        <v>0</v>
      </c>
      <c r="AA7388" s="6">
        <v>0</v>
      </c>
      <c r="AB7388" s="4">
        <f t="shared" si="1145"/>
        <v>1022415</v>
      </c>
      <c r="AC7388" s="6">
        <f t="shared" si="1143"/>
        <v>20448.300000000047</v>
      </c>
      <c r="AD7388" s="6">
        <f t="shared" si="1148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141"/>
        <v>73000.431000000011</v>
      </c>
      <c r="AG7388" s="14">
        <v>0</v>
      </c>
      <c r="AH7388" s="64">
        <f t="shared" si="1149"/>
        <v>1042863.3</v>
      </c>
      <c r="AJ7388" s="126" t="e">
        <v>#N/A</v>
      </c>
      <c r="AK7388" s="80">
        <f t="shared" si="1146"/>
        <v>0</v>
      </c>
      <c r="AL7388" s="85"/>
      <c r="AM7388" s="85"/>
    </row>
    <row r="7389" spans="1:39" s="86" customFormat="1" ht="13.25" hidden="1" customHeight="1" x14ac:dyDescent="0.3">
      <c r="A7389" s="89" t="s">
        <v>3978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3767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147"/>
        <v>5811.8000000000047</v>
      </c>
      <c r="X7389" s="6">
        <f t="shared" si="1142"/>
        <v>15041.078431372549</v>
      </c>
      <c r="Y7389" s="13">
        <f t="shared" si="1144"/>
        <v>0</v>
      </c>
      <c r="Z7389" s="66">
        <v>0</v>
      </c>
      <c r="AA7389" s="6">
        <v>0</v>
      </c>
      <c r="AB7389" s="4">
        <f t="shared" si="1145"/>
        <v>15041.078431372549</v>
      </c>
      <c r="AC7389" s="6">
        <f t="shared" si="1143"/>
        <v>300.82156862745069</v>
      </c>
      <c r="AD7389" s="6">
        <f t="shared" si="1148"/>
        <v>15341.9</v>
      </c>
      <c r="AE7389" s="14">
        <f>VLOOKUP(I7389,[2]媒体政策预估表!A:N,MATCH(O7389,[2]媒体政策预估表!$A$2:$M$2,0),0)</f>
        <v>7.0000000000000007E-2</v>
      </c>
      <c r="AF7389" s="6">
        <f t="shared" si="1141"/>
        <v>1073.933</v>
      </c>
      <c r="AG7389" s="14">
        <v>0</v>
      </c>
      <c r="AH7389" s="64">
        <f t="shared" si="1149"/>
        <v>15341.9</v>
      </c>
      <c r="AJ7389" s="126" t="e">
        <v>#N/A</v>
      </c>
      <c r="AK7389" s="80">
        <f t="shared" si="1146"/>
        <v>0</v>
      </c>
      <c r="AL7389" s="85"/>
      <c r="AM7389" s="85"/>
    </row>
    <row r="7390" spans="1:39" s="86" customFormat="1" ht="13.25" hidden="1" customHeight="1" x14ac:dyDescent="0.3">
      <c r="A7390" s="89" t="s">
        <v>3792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3767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147"/>
        <v>6477.5</v>
      </c>
      <c r="X7390" s="6">
        <f t="shared" si="1142"/>
        <v>15222</v>
      </c>
      <c r="Y7390" s="13">
        <f t="shared" si="1144"/>
        <v>0</v>
      </c>
      <c r="Z7390" s="66">
        <v>0</v>
      </c>
      <c r="AA7390" s="6">
        <v>0</v>
      </c>
      <c r="AB7390" s="4">
        <f t="shared" si="1145"/>
        <v>15222</v>
      </c>
      <c r="AC7390" s="6">
        <f t="shared" si="1143"/>
        <v>0</v>
      </c>
      <c r="AD7390" s="6">
        <f t="shared" si="1148"/>
        <v>15222</v>
      </c>
      <c r="AE7390" s="14">
        <f>VLOOKUP(I7390,[2]媒体政策预估表!A:N,MATCH(O7390,[2]媒体政策预估表!$A$2:$M$2,0),0)</f>
        <v>7.0000000000000007E-2</v>
      </c>
      <c r="AF7390" s="6">
        <f t="shared" si="1141"/>
        <v>1065.5400000000002</v>
      </c>
      <c r="AG7390" s="14">
        <v>0</v>
      </c>
      <c r="AH7390" s="64">
        <f t="shared" si="1149"/>
        <v>15222</v>
      </c>
      <c r="AJ7390" s="126" t="e">
        <v>#N/A</v>
      </c>
      <c r="AK7390" s="80">
        <f t="shared" si="1146"/>
        <v>0</v>
      </c>
      <c r="AL7390" s="85"/>
      <c r="AM7390" s="85"/>
    </row>
    <row r="7391" spans="1:39" s="86" customFormat="1" ht="13.25" hidden="1" customHeight="1" x14ac:dyDescent="0.3">
      <c r="A7391" s="89" t="s">
        <v>3978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3767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147"/>
        <v>49113.500000000029</v>
      </c>
      <c r="X7391" s="6">
        <f t="shared" si="1142"/>
        <v>105263.26732673266</v>
      </c>
      <c r="Y7391" s="13">
        <f t="shared" si="1144"/>
        <v>0</v>
      </c>
      <c r="Z7391" s="66">
        <v>0</v>
      </c>
      <c r="AA7391" s="6">
        <v>0</v>
      </c>
      <c r="AB7391" s="4">
        <f t="shared" si="1145"/>
        <v>105263.26732673266</v>
      </c>
      <c r="AC7391" s="6">
        <f t="shared" si="1143"/>
        <v>1052.6326732673333</v>
      </c>
      <c r="AD7391" s="6">
        <f t="shared" si="1148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141"/>
        <v>7442.1130000000003</v>
      </c>
      <c r="AG7391" s="14">
        <v>0</v>
      </c>
      <c r="AH7391" s="64">
        <f t="shared" si="1149"/>
        <v>106315.9</v>
      </c>
      <c r="AJ7391" s="126" t="e">
        <v>#N/A</v>
      </c>
      <c r="AK7391" s="80">
        <f t="shared" si="1146"/>
        <v>0</v>
      </c>
      <c r="AL7391" s="85"/>
      <c r="AM7391" s="85"/>
    </row>
    <row r="7392" spans="1:39" s="86" customFormat="1" ht="13.25" hidden="1" customHeight="1" x14ac:dyDescent="0.3">
      <c r="A7392" s="89" t="s">
        <v>3978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3767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147"/>
        <v>259680.90000000014</v>
      </c>
      <c r="X7392" s="6">
        <f t="shared" si="1142"/>
        <v>1253324.3999999999</v>
      </c>
      <c r="Y7392" s="13">
        <f t="shared" si="1144"/>
        <v>0</v>
      </c>
      <c r="Z7392" s="66">
        <v>0</v>
      </c>
      <c r="AA7392" s="6">
        <v>0</v>
      </c>
      <c r="AB7392" s="4">
        <f t="shared" si="1145"/>
        <v>1253324.3999999999</v>
      </c>
      <c r="AC7392" s="6">
        <f t="shared" si="1143"/>
        <v>0</v>
      </c>
      <c r="AD7392" s="6">
        <f t="shared" si="1148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141"/>
        <v>87732.707999999999</v>
      </c>
      <c r="AG7392" s="14">
        <v>0</v>
      </c>
      <c r="AH7392" s="64">
        <f t="shared" si="1149"/>
        <v>1253324.3999999999</v>
      </c>
      <c r="AJ7392" s="126" t="e">
        <v>#N/A</v>
      </c>
      <c r="AK7392" s="80">
        <f t="shared" si="1146"/>
        <v>0</v>
      </c>
      <c r="AL7392" s="85"/>
      <c r="AM7392" s="85"/>
    </row>
    <row r="7393" spans="1:39" s="86" customFormat="1" ht="13.25" hidden="1" customHeight="1" x14ac:dyDescent="0.3">
      <c r="A7393" s="89" t="s">
        <v>3978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3767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147"/>
        <v>63445.929999999978</v>
      </c>
      <c r="X7393" s="6">
        <f t="shared" si="1142"/>
        <v>126300.3</v>
      </c>
      <c r="Y7393" s="13">
        <f t="shared" si="1144"/>
        <v>0</v>
      </c>
      <c r="Z7393" s="66">
        <v>0</v>
      </c>
      <c r="AA7393" s="6">
        <v>0</v>
      </c>
      <c r="AB7393" s="4">
        <f t="shared" si="1145"/>
        <v>126300.3</v>
      </c>
      <c r="AC7393" s="6">
        <f t="shared" si="1143"/>
        <v>0</v>
      </c>
      <c r="AD7393" s="6">
        <f t="shared" si="1148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141"/>
        <v>8841.0210000000006</v>
      </c>
      <c r="AG7393" s="14">
        <v>0</v>
      </c>
      <c r="AH7393" s="64">
        <f t="shared" si="1149"/>
        <v>126300.3</v>
      </c>
      <c r="AJ7393" s="126" t="e">
        <v>#N/A</v>
      </c>
      <c r="AK7393" s="80">
        <f t="shared" si="1146"/>
        <v>0</v>
      </c>
      <c r="AL7393" s="85"/>
      <c r="AM7393" s="85"/>
    </row>
    <row r="7394" spans="1:39" s="86" customFormat="1" ht="13.25" hidden="1" customHeight="1" x14ac:dyDescent="0.3">
      <c r="A7394" s="89" t="s">
        <v>3792</v>
      </c>
      <c r="B7394" s="86" t="s">
        <v>35</v>
      </c>
      <c r="C7394" s="86" t="s">
        <v>164</v>
      </c>
      <c r="D7394" s="86" t="s">
        <v>174</v>
      </c>
      <c r="E7394" s="86" t="s">
        <v>4090</v>
      </c>
      <c r="F7394" s="86" t="s">
        <v>4090</v>
      </c>
      <c r="G7394" s="86" t="s">
        <v>4090</v>
      </c>
      <c r="H7394" s="144">
        <v>360</v>
      </c>
      <c r="I7394" s="86" t="s">
        <v>1060</v>
      </c>
      <c r="J7394" s="47" t="s">
        <v>3325</v>
      </c>
      <c r="K7394" s="47" t="s">
        <v>3767</v>
      </c>
      <c r="L7394" s="47" t="s">
        <v>35</v>
      </c>
      <c r="M7394" s="86" t="s">
        <v>4090</v>
      </c>
      <c r="O7394" s="47" t="s">
        <v>410</v>
      </c>
      <c r="P7394" s="47" t="s">
        <v>41</v>
      </c>
      <c r="Q7394" s="14">
        <v>0</v>
      </c>
      <c r="R7394" s="143" t="s">
        <v>4091</v>
      </c>
      <c r="S7394" s="47"/>
      <c r="T7394" s="6">
        <v>0</v>
      </c>
      <c r="U7394" s="6">
        <v>90000</v>
      </c>
      <c r="V7394" s="6">
        <v>61875.08</v>
      </c>
      <c r="W7394" s="6">
        <f t="shared" si="1147"/>
        <v>28124.92</v>
      </c>
      <c r="X7394" s="6">
        <f t="shared" si="1142"/>
        <v>61875.08</v>
      </c>
      <c r="Y7394" s="13">
        <f t="shared" si="1144"/>
        <v>0</v>
      </c>
      <c r="Z7394" s="66">
        <v>0</v>
      </c>
      <c r="AA7394" s="6">
        <v>0</v>
      </c>
      <c r="AB7394" s="4">
        <f t="shared" si="1145"/>
        <v>61875.08</v>
      </c>
      <c r="AC7394" s="6">
        <f t="shared" si="1143"/>
        <v>0</v>
      </c>
      <c r="AD7394" s="6">
        <f t="shared" si="1148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141"/>
        <v>4331.2556000000004</v>
      </c>
      <c r="AG7394" s="14">
        <v>0</v>
      </c>
      <c r="AH7394" s="64">
        <f t="shared" si="1149"/>
        <v>61875.08</v>
      </c>
      <c r="AJ7394" s="126" t="e">
        <v>#N/A</v>
      </c>
      <c r="AK7394" s="80">
        <f t="shared" si="1146"/>
        <v>0</v>
      </c>
      <c r="AL7394" s="85"/>
      <c r="AM7394" s="85"/>
    </row>
    <row r="7395" spans="1:39" s="86" customFormat="1" ht="13.25" hidden="1" customHeight="1" x14ac:dyDescent="0.3">
      <c r="A7395" s="89" t="s">
        <v>3978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3767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147"/>
        <v>700000</v>
      </c>
      <c r="X7395" s="6">
        <f t="shared" si="1142"/>
        <v>0</v>
      </c>
      <c r="Y7395" s="13">
        <f t="shared" si="1144"/>
        <v>0</v>
      </c>
      <c r="Z7395" s="66">
        <v>0</v>
      </c>
      <c r="AA7395" s="6">
        <v>0</v>
      </c>
      <c r="AB7395" s="4">
        <f t="shared" si="1145"/>
        <v>0</v>
      </c>
      <c r="AC7395" s="6">
        <f t="shared" si="1143"/>
        <v>0</v>
      </c>
      <c r="AD7395" s="6">
        <f t="shared" si="1148"/>
        <v>0</v>
      </c>
      <c r="AE7395" s="14">
        <f>VLOOKUP(I7395,[2]媒体政策预估表!A:N,MATCH(O7395,[2]媒体政策预估表!$A$2:$M$2,0),0)</f>
        <v>7.0000000000000007E-2</v>
      </c>
      <c r="AF7395" s="6">
        <f t="shared" si="1141"/>
        <v>0</v>
      </c>
      <c r="AG7395" s="14">
        <v>0</v>
      </c>
      <c r="AH7395" s="64">
        <f t="shared" si="1149"/>
        <v>0</v>
      </c>
      <c r="AJ7395" s="126" t="e">
        <v>#N/A</v>
      </c>
      <c r="AK7395" s="80">
        <f t="shared" si="1146"/>
        <v>0</v>
      </c>
      <c r="AL7395" s="85"/>
      <c r="AM7395" s="85"/>
    </row>
    <row r="7396" spans="1:39" s="86" customFormat="1" ht="13.25" hidden="1" customHeight="1" x14ac:dyDescent="0.3">
      <c r="A7396" s="89" t="s">
        <v>3978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3767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147"/>
        <v>630000</v>
      </c>
      <c r="X7396" s="6">
        <f t="shared" si="1142"/>
        <v>0</v>
      </c>
      <c r="Y7396" s="13">
        <f t="shared" si="1144"/>
        <v>0</v>
      </c>
      <c r="Z7396" s="66">
        <v>0</v>
      </c>
      <c r="AA7396" s="6">
        <v>0</v>
      </c>
      <c r="AB7396" s="4">
        <f t="shared" si="1145"/>
        <v>0</v>
      </c>
      <c r="AC7396" s="6">
        <f t="shared" si="1143"/>
        <v>0</v>
      </c>
      <c r="AD7396" s="6">
        <f t="shared" si="1148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150">AD7396*AE7396</f>
        <v>0</v>
      </c>
      <c r="AG7396" s="14">
        <v>0</v>
      </c>
      <c r="AH7396" s="64">
        <f t="shared" si="1149"/>
        <v>0</v>
      </c>
      <c r="AJ7396" s="126" t="e">
        <v>#N/A</v>
      </c>
      <c r="AK7396" s="80">
        <f t="shared" si="1146"/>
        <v>0</v>
      </c>
      <c r="AL7396" s="85"/>
      <c r="AM7396" s="85"/>
    </row>
    <row r="7397" spans="1:39" s="86" customFormat="1" ht="13.25" hidden="1" customHeight="1" x14ac:dyDescent="0.3">
      <c r="A7397" s="89" t="s">
        <v>3978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3767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147"/>
        <v>2080000</v>
      </c>
      <c r="X7397" s="6">
        <f t="shared" si="1142"/>
        <v>0</v>
      </c>
      <c r="Y7397" s="13">
        <f t="shared" si="1144"/>
        <v>0</v>
      </c>
      <c r="Z7397" s="66">
        <v>0</v>
      </c>
      <c r="AA7397" s="6">
        <v>0</v>
      </c>
      <c r="AB7397" s="4">
        <f t="shared" si="1145"/>
        <v>0</v>
      </c>
      <c r="AC7397" s="6">
        <f t="shared" si="1143"/>
        <v>0</v>
      </c>
      <c r="AD7397" s="6">
        <f t="shared" si="1148"/>
        <v>0</v>
      </c>
      <c r="AE7397" s="14">
        <f>VLOOKUP(I7397,[2]媒体政策预估表!A:N,MATCH(O7397,[2]媒体政策预估表!$A$2:$M$2,0),0)</f>
        <v>7.0000000000000007E-2</v>
      </c>
      <c r="AF7397" s="6">
        <f t="shared" si="1150"/>
        <v>0</v>
      </c>
      <c r="AG7397" s="14">
        <v>0</v>
      </c>
      <c r="AH7397" s="64">
        <f t="shared" si="1149"/>
        <v>0</v>
      </c>
      <c r="AJ7397" s="126" t="e">
        <v>#N/A</v>
      </c>
      <c r="AK7397" s="80">
        <f t="shared" si="1146"/>
        <v>0</v>
      </c>
      <c r="AL7397" s="85"/>
      <c r="AM7397" s="85"/>
    </row>
    <row r="7398" spans="1:39" s="86" customFormat="1" ht="13.25" hidden="1" customHeight="1" x14ac:dyDescent="0.3">
      <c r="A7398" s="89" t="s">
        <v>3978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3767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147"/>
        <v>2772353.8000000003</v>
      </c>
      <c r="X7398" s="6">
        <f t="shared" si="1142"/>
        <v>365.9</v>
      </c>
      <c r="Y7398" s="13">
        <f t="shared" si="1144"/>
        <v>0</v>
      </c>
      <c r="Z7398" s="66">
        <v>0</v>
      </c>
      <c r="AA7398" s="6">
        <v>0</v>
      </c>
      <c r="AB7398" s="4">
        <f t="shared" si="1145"/>
        <v>365.9</v>
      </c>
      <c r="AC7398" s="6">
        <f t="shared" si="1143"/>
        <v>0</v>
      </c>
      <c r="AD7398" s="6">
        <f t="shared" si="1148"/>
        <v>365.9</v>
      </c>
      <c r="AE7398" s="14">
        <f>VLOOKUP(I7398,[2]媒体政策预估表!A:N,MATCH(O7398,[2]媒体政策预估表!$A$2:$M$2,0),0)</f>
        <v>7.0000000000000007E-2</v>
      </c>
      <c r="AF7398" s="6">
        <f t="shared" si="1150"/>
        <v>25.613</v>
      </c>
      <c r="AG7398" s="14">
        <v>0</v>
      </c>
      <c r="AH7398" s="64">
        <f t="shared" si="1149"/>
        <v>365.9</v>
      </c>
      <c r="AJ7398" s="126" t="e">
        <v>#N/A</v>
      </c>
      <c r="AK7398" s="80">
        <f t="shared" si="1146"/>
        <v>0</v>
      </c>
      <c r="AL7398" s="85"/>
      <c r="AM7398" s="85"/>
    </row>
    <row r="7399" spans="1:39" s="86" customFormat="1" ht="13.25" hidden="1" customHeight="1" x14ac:dyDescent="0.3">
      <c r="A7399" s="89" t="s">
        <v>3978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3767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147"/>
        <v>3080000</v>
      </c>
      <c r="X7399" s="6">
        <f t="shared" si="1142"/>
        <v>0</v>
      </c>
      <c r="Y7399" s="13">
        <f t="shared" si="1144"/>
        <v>0</v>
      </c>
      <c r="Z7399" s="66">
        <v>0</v>
      </c>
      <c r="AA7399" s="6">
        <v>0</v>
      </c>
      <c r="AB7399" s="4">
        <f t="shared" si="1145"/>
        <v>0</v>
      </c>
      <c r="AC7399" s="6">
        <f t="shared" si="1143"/>
        <v>0</v>
      </c>
      <c r="AD7399" s="6">
        <f t="shared" si="1148"/>
        <v>0</v>
      </c>
      <c r="AE7399" s="14">
        <f>VLOOKUP(I7399,[2]媒体政策预估表!A:N,MATCH(O7399,[2]媒体政策预估表!$A$2:$M$2,0),0)</f>
        <v>7.0000000000000007E-2</v>
      </c>
      <c r="AF7399" s="6">
        <f t="shared" si="1150"/>
        <v>0</v>
      </c>
      <c r="AG7399" s="14">
        <v>0</v>
      </c>
      <c r="AH7399" s="64">
        <f t="shared" si="1149"/>
        <v>0</v>
      </c>
      <c r="AJ7399" s="126" t="e">
        <v>#N/A</v>
      </c>
      <c r="AK7399" s="80">
        <f t="shared" si="1146"/>
        <v>0</v>
      </c>
      <c r="AL7399" s="85"/>
      <c r="AM7399" s="85"/>
    </row>
    <row r="7400" spans="1:39" s="86" customFormat="1" ht="13.25" hidden="1" customHeight="1" x14ac:dyDescent="0.3">
      <c r="A7400" s="89" t="s">
        <v>3792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3767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147"/>
        <v>950000</v>
      </c>
      <c r="X7400" s="6">
        <f t="shared" si="1142"/>
        <v>0</v>
      </c>
      <c r="Y7400" s="13">
        <f t="shared" si="1144"/>
        <v>0</v>
      </c>
      <c r="Z7400" s="66">
        <v>0</v>
      </c>
      <c r="AA7400" s="6">
        <v>0</v>
      </c>
      <c r="AB7400" s="4">
        <f t="shared" si="1145"/>
        <v>0</v>
      </c>
      <c r="AC7400" s="6">
        <f t="shared" si="1143"/>
        <v>0</v>
      </c>
      <c r="AD7400" s="6">
        <f t="shared" si="1148"/>
        <v>0</v>
      </c>
      <c r="AE7400" s="14">
        <f>VLOOKUP(I7400,[2]媒体政策预估表!A:N,MATCH(O7400,[2]媒体政策预估表!$A$2:$M$2,0),0)</f>
        <v>7.0000000000000007E-2</v>
      </c>
      <c r="AF7400" s="6">
        <f t="shared" si="1150"/>
        <v>0</v>
      </c>
      <c r="AG7400" s="14">
        <v>0</v>
      </c>
      <c r="AH7400" s="64">
        <f t="shared" si="1149"/>
        <v>0</v>
      </c>
      <c r="AJ7400" s="126" t="e">
        <v>#N/A</v>
      </c>
      <c r="AK7400" s="80">
        <f t="shared" si="1146"/>
        <v>0</v>
      </c>
      <c r="AL7400" s="85"/>
      <c r="AM7400" s="85"/>
    </row>
    <row r="7401" spans="1:39" s="86" customFormat="1" ht="13.25" hidden="1" customHeight="1" x14ac:dyDescent="0.3">
      <c r="A7401" s="89" t="s">
        <v>3978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3767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147"/>
        <v>11561.9</v>
      </c>
      <c r="X7401" s="6">
        <f t="shared" si="1142"/>
        <v>9635.6</v>
      </c>
      <c r="Y7401" s="13">
        <f t="shared" si="1144"/>
        <v>0</v>
      </c>
      <c r="Z7401" s="66">
        <v>0</v>
      </c>
      <c r="AA7401" s="6">
        <v>0</v>
      </c>
      <c r="AB7401" s="4">
        <f t="shared" si="1145"/>
        <v>9635.6</v>
      </c>
      <c r="AC7401" s="6">
        <f t="shared" si="1143"/>
        <v>0</v>
      </c>
      <c r="AD7401" s="6">
        <f t="shared" si="1148"/>
        <v>9635.6</v>
      </c>
      <c r="AE7401" s="14">
        <f>VLOOKUP(I7401,[2]媒体政策预估表!A:N,MATCH(O7401,[2]媒体政策预估表!$A$2:$M$2,0),0)</f>
        <v>7.0000000000000007E-2</v>
      </c>
      <c r="AF7401" s="6">
        <f t="shared" si="1150"/>
        <v>674.49200000000008</v>
      </c>
      <c r="AG7401" s="14">
        <v>0</v>
      </c>
      <c r="AH7401" s="64">
        <f t="shared" si="1149"/>
        <v>9635.6</v>
      </c>
      <c r="AJ7401" s="126" t="e">
        <v>#N/A</v>
      </c>
      <c r="AK7401" s="80">
        <f t="shared" si="1146"/>
        <v>0</v>
      </c>
      <c r="AL7401" s="85"/>
      <c r="AM7401" s="85"/>
    </row>
    <row r="7402" spans="1:39" s="86" customFormat="1" ht="13.25" hidden="1" customHeight="1" x14ac:dyDescent="0.3">
      <c r="A7402" s="89" t="s">
        <v>3978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3767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147"/>
        <v>61938.8</v>
      </c>
      <c r="X7402" s="6">
        <f t="shared" si="1142"/>
        <v>86073.823529411762</v>
      </c>
      <c r="Y7402" s="13">
        <f t="shared" si="1144"/>
        <v>0</v>
      </c>
      <c r="Z7402" s="66">
        <v>0</v>
      </c>
      <c r="AA7402" s="6">
        <v>0</v>
      </c>
      <c r="AB7402" s="4">
        <f t="shared" si="1145"/>
        <v>86073.823529411762</v>
      </c>
      <c r="AC7402" s="6">
        <f t="shared" si="1143"/>
        <v>1721.4764705882408</v>
      </c>
      <c r="AD7402" s="6">
        <f t="shared" si="1148"/>
        <v>87795.3</v>
      </c>
      <c r="AE7402" s="14">
        <f>VLOOKUP(I7402,[2]媒体政策预估表!A:N,MATCH(O7402,[2]媒体政策预估表!$A$2:$M$2,0),0)</f>
        <v>7.0000000000000007E-2</v>
      </c>
      <c r="AF7402" s="6">
        <f t="shared" si="1150"/>
        <v>6145.6710000000012</v>
      </c>
      <c r="AG7402" s="14">
        <v>0</v>
      </c>
      <c r="AH7402" s="64">
        <f t="shared" si="1149"/>
        <v>87795.3</v>
      </c>
      <c r="AJ7402" s="126" t="e">
        <v>#N/A</v>
      </c>
      <c r="AK7402" s="80">
        <f t="shared" si="1146"/>
        <v>0</v>
      </c>
      <c r="AL7402" s="85"/>
      <c r="AM7402" s="85"/>
    </row>
    <row r="7403" spans="1:39" s="86" customFormat="1" ht="13.25" hidden="1" customHeight="1" x14ac:dyDescent="0.3">
      <c r="A7403" s="89" t="s">
        <v>3978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3767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147"/>
        <v>12386.900000000038</v>
      </c>
      <c r="X7403" s="6">
        <f t="shared" si="1142"/>
        <v>94246.2</v>
      </c>
      <c r="Y7403" s="13">
        <f t="shared" si="1144"/>
        <v>0</v>
      </c>
      <c r="Z7403" s="66">
        <v>0</v>
      </c>
      <c r="AA7403" s="6">
        <v>0</v>
      </c>
      <c r="AB7403" s="4">
        <f t="shared" si="1145"/>
        <v>94246.2</v>
      </c>
      <c r="AC7403" s="6">
        <f t="shared" si="1143"/>
        <v>0</v>
      </c>
      <c r="AD7403" s="6">
        <f t="shared" si="1148"/>
        <v>94246.2</v>
      </c>
      <c r="AE7403" s="14">
        <f>VLOOKUP(I7403,[2]媒体政策预估表!A:N,MATCH(O7403,[2]媒体政策预估表!$A$2:$M$2,0),0)</f>
        <v>7.0000000000000007E-2</v>
      </c>
      <c r="AF7403" s="6">
        <f t="shared" si="1150"/>
        <v>6597.2340000000004</v>
      </c>
      <c r="AG7403" s="14">
        <v>0</v>
      </c>
      <c r="AH7403" s="64">
        <f t="shared" si="1149"/>
        <v>94246.2</v>
      </c>
      <c r="AJ7403" s="126" t="e">
        <v>#N/A</v>
      </c>
      <c r="AK7403" s="80">
        <f t="shared" si="1146"/>
        <v>0</v>
      </c>
      <c r="AL7403" s="85"/>
      <c r="AM7403" s="85"/>
    </row>
    <row r="7404" spans="1:39" s="86" customFormat="1" ht="13.25" hidden="1" customHeight="1" x14ac:dyDescent="0.3">
      <c r="A7404" s="89" t="s">
        <v>3792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3767</v>
      </c>
      <c r="L7404" s="47" t="s">
        <v>35</v>
      </c>
      <c r="M7404" s="86" t="s">
        <v>4092</v>
      </c>
      <c r="O7404" s="47" t="s">
        <v>410</v>
      </c>
      <c r="P7404" s="47" t="s">
        <v>41</v>
      </c>
      <c r="Q7404" s="14">
        <v>0</v>
      </c>
      <c r="R7404" s="143" t="s">
        <v>4093</v>
      </c>
      <c r="S7404" s="47"/>
      <c r="T7404" s="6">
        <v>0</v>
      </c>
      <c r="U7404" s="6">
        <v>20000</v>
      </c>
      <c r="V7404" s="6">
        <v>5141.7</v>
      </c>
      <c r="W7404" s="6">
        <f t="shared" si="1147"/>
        <v>14858.3</v>
      </c>
      <c r="X7404" s="6">
        <f t="shared" si="1142"/>
        <v>5141.7</v>
      </c>
      <c r="Y7404" s="13">
        <f t="shared" si="1144"/>
        <v>0</v>
      </c>
      <c r="Z7404" s="66">
        <v>0</v>
      </c>
      <c r="AA7404" s="6">
        <v>0</v>
      </c>
      <c r="AB7404" s="4">
        <f t="shared" si="1145"/>
        <v>5141.7</v>
      </c>
      <c r="AC7404" s="6">
        <f t="shared" si="1143"/>
        <v>0</v>
      </c>
      <c r="AD7404" s="6">
        <f t="shared" si="1148"/>
        <v>5141.7</v>
      </c>
      <c r="AE7404" s="14">
        <f>VLOOKUP(I7404,[2]媒体政策预估表!A:N,MATCH(O7404,[2]媒体政策预估表!$A$2:$M$2,0),0)</f>
        <v>7.0000000000000007E-2</v>
      </c>
      <c r="AF7404" s="6">
        <f t="shared" si="1150"/>
        <v>359.91900000000004</v>
      </c>
      <c r="AG7404" s="14">
        <v>0</v>
      </c>
      <c r="AH7404" s="64">
        <f t="shared" si="1149"/>
        <v>5141.7</v>
      </c>
      <c r="AJ7404" s="126" t="e">
        <v>#N/A</v>
      </c>
      <c r="AK7404" s="80">
        <f t="shared" si="1146"/>
        <v>0</v>
      </c>
      <c r="AL7404" s="85"/>
      <c r="AM7404" s="85"/>
    </row>
    <row r="7405" spans="1:39" s="86" customFormat="1" ht="13.25" hidden="1" customHeight="1" x14ac:dyDescent="0.3">
      <c r="A7405" s="89" t="s">
        <v>3978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3767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147"/>
        <v>21717.960000000006</v>
      </c>
      <c r="X7405" s="6">
        <f t="shared" si="1142"/>
        <v>95676.1</v>
      </c>
      <c r="Y7405" s="13">
        <f t="shared" si="1144"/>
        <v>0</v>
      </c>
      <c r="Z7405" s="66">
        <v>0</v>
      </c>
      <c r="AA7405" s="6">
        <v>0</v>
      </c>
      <c r="AB7405" s="4">
        <f t="shared" si="1145"/>
        <v>95676.1</v>
      </c>
      <c r="AC7405" s="6">
        <f t="shared" si="1143"/>
        <v>0</v>
      </c>
      <c r="AD7405" s="6">
        <f t="shared" si="1148"/>
        <v>95676.1</v>
      </c>
      <c r="AE7405" s="14">
        <f>VLOOKUP(I7405,[2]媒体政策预估表!A:N,MATCH(O7405,[2]媒体政策预估表!$A$2:$M$2,0),0)</f>
        <v>7.0000000000000007E-2</v>
      </c>
      <c r="AF7405" s="6">
        <f t="shared" si="1150"/>
        <v>6697.3270000000011</v>
      </c>
      <c r="AG7405" s="14">
        <v>0</v>
      </c>
      <c r="AH7405" s="64">
        <f t="shared" si="1149"/>
        <v>95676.1</v>
      </c>
      <c r="AJ7405" s="126" t="e">
        <v>#N/A</v>
      </c>
      <c r="AK7405" s="80">
        <f t="shared" si="1146"/>
        <v>0</v>
      </c>
      <c r="AL7405" s="85"/>
      <c r="AM7405" s="85"/>
    </row>
    <row r="7406" spans="1:39" s="86" customFormat="1" ht="13.25" hidden="1" customHeight="1" x14ac:dyDescent="0.3">
      <c r="A7406" s="89" t="s">
        <v>3792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3767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147"/>
        <v>406.70000000000437</v>
      </c>
      <c r="X7406" s="6">
        <f t="shared" si="1142"/>
        <v>17220.099999999999</v>
      </c>
      <c r="Y7406" s="13">
        <f t="shared" si="1144"/>
        <v>0</v>
      </c>
      <c r="Z7406" s="66">
        <v>0</v>
      </c>
      <c r="AA7406" s="6">
        <v>0</v>
      </c>
      <c r="AB7406" s="4">
        <f t="shared" si="1145"/>
        <v>17220.099999999999</v>
      </c>
      <c r="AC7406" s="6">
        <f t="shared" si="1143"/>
        <v>0</v>
      </c>
      <c r="AD7406" s="6">
        <f t="shared" si="1148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150"/>
        <v>1205.4069999999999</v>
      </c>
      <c r="AG7406" s="14">
        <v>0</v>
      </c>
      <c r="AH7406" s="64">
        <f t="shared" si="1149"/>
        <v>17220.099999999999</v>
      </c>
      <c r="AJ7406" s="126" t="e">
        <v>#N/A</v>
      </c>
      <c r="AK7406" s="80">
        <f t="shared" si="1146"/>
        <v>0</v>
      </c>
      <c r="AL7406" s="85"/>
      <c r="AM7406" s="85"/>
    </row>
    <row r="7407" spans="1:39" s="86" customFormat="1" ht="13.25" hidden="1" customHeight="1" x14ac:dyDescent="0.3">
      <c r="A7407" s="89" t="s">
        <v>3978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4094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3767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4095</v>
      </c>
      <c r="S7407" s="47"/>
      <c r="T7407" s="6">
        <v>0</v>
      </c>
      <c r="U7407" s="6">
        <v>30000</v>
      </c>
      <c r="V7407" s="6">
        <v>15130.2</v>
      </c>
      <c r="W7407" s="6">
        <f t="shared" si="1147"/>
        <v>14869.8</v>
      </c>
      <c r="X7407" s="6">
        <f t="shared" si="1142"/>
        <v>15130.2</v>
      </c>
      <c r="Y7407" s="13">
        <f t="shared" si="1144"/>
        <v>0</v>
      </c>
      <c r="Z7407" s="66">
        <v>0</v>
      </c>
      <c r="AA7407" s="6">
        <v>0</v>
      </c>
      <c r="AB7407" s="4">
        <f t="shared" si="1145"/>
        <v>15130.2</v>
      </c>
      <c r="AC7407" s="6">
        <f t="shared" si="1143"/>
        <v>0</v>
      </c>
      <c r="AD7407" s="6">
        <f t="shared" si="1148"/>
        <v>15130.2</v>
      </c>
      <c r="AE7407" s="14">
        <f>VLOOKUP(I7407,[2]媒体政策预估表!A:N,MATCH(O7407,[2]媒体政策预估表!$A$2:$M$2,0),0)</f>
        <v>7.0000000000000007E-2</v>
      </c>
      <c r="AF7407" s="6">
        <f t="shared" si="1150"/>
        <v>1059.1140000000003</v>
      </c>
      <c r="AG7407" s="14">
        <v>0</v>
      </c>
      <c r="AH7407" s="64">
        <f t="shared" si="1149"/>
        <v>15130.2</v>
      </c>
      <c r="AJ7407" s="126" t="e">
        <v>#N/A</v>
      </c>
      <c r="AK7407" s="80">
        <f t="shared" si="1146"/>
        <v>0</v>
      </c>
      <c r="AL7407" s="85"/>
      <c r="AM7407" s="85"/>
    </row>
    <row r="7408" spans="1:39" s="86" customFormat="1" ht="13.25" hidden="1" customHeight="1" x14ac:dyDescent="0.3">
      <c r="A7408" s="89" t="s">
        <v>3978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3767</v>
      </c>
      <c r="L7408" s="47" t="s">
        <v>35</v>
      </c>
      <c r="M7408" s="86" t="s">
        <v>4096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147"/>
        <v>2091.6999999999998</v>
      </c>
      <c r="X7408" s="6">
        <f t="shared" ref="X7408:X7471" si="1151">IF(P7408="折扣",V7408*Q7408,IF(P7408="返现",V7408,V7408/(1+Q7408)))</f>
        <v>7912.3</v>
      </c>
      <c r="Y7408" s="13">
        <f t="shared" si="1144"/>
        <v>0</v>
      </c>
      <c r="Z7408" s="66">
        <v>0</v>
      </c>
      <c r="AA7408" s="6">
        <v>0</v>
      </c>
      <c r="AB7408" s="4">
        <f t="shared" si="1145"/>
        <v>7912.3</v>
      </c>
      <c r="AC7408" s="6">
        <f t="shared" si="1143"/>
        <v>0</v>
      </c>
      <c r="AD7408" s="6">
        <f t="shared" si="1148"/>
        <v>7912.3</v>
      </c>
      <c r="AE7408" s="14">
        <f>VLOOKUP(I7408,[2]媒体政策预估表!A:N,MATCH(O7408,[2]媒体政策预估表!$A$2:$M$2,0),0)</f>
        <v>7.0000000000000007E-2</v>
      </c>
      <c r="AF7408" s="6">
        <f t="shared" si="1150"/>
        <v>553.8610000000001</v>
      </c>
      <c r="AG7408" s="14">
        <v>0</v>
      </c>
      <c r="AH7408" s="64">
        <f t="shared" si="1149"/>
        <v>7912.3</v>
      </c>
      <c r="AJ7408" s="126" t="e">
        <v>#N/A</v>
      </c>
      <c r="AK7408" s="80">
        <f t="shared" si="1146"/>
        <v>0</v>
      </c>
      <c r="AL7408" s="85"/>
      <c r="AM7408" s="85"/>
    </row>
    <row r="7409" spans="1:39" s="86" customFormat="1" ht="13.25" hidden="1" customHeight="1" x14ac:dyDescent="0.3">
      <c r="A7409" s="89" t="s">
        <v>3978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3767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147"/>
        <v>5034.7000000000007</v>
      </c>
      <c r="X7409" s="6">
        <f t="shared" si="1151"/>
        <v>19782.5</v>
      </c>
      <c r="Y7409" s="13">
        <f t="shared" si="1144"/>
        <v>0</v>
      </c>
      <c r="Z7409" s="66">
        <v>0</v>
      </c>
      <c r="AA7409" s="6">
        <v>0</v>
      </c>
      <c r="AB7409" s="4">
        <f t="shared" si="1145"/>
        <v>19782.5</v>
      </c>
      <c r="AC7409" s="6">
        <f t="shared" si="1143"/>
        <v>0</v>
      </c>
      <c r="AD7409" s="6">
        <f t="shared" si="1148"/>
        <v>19782.5</v>
      </c>
      <c r="AE7409" s="14">
        <f>VLOOKUP(I7409,[2]媒体政策预估表!A:N,MATCH(O7409,[2]媒体政策预估表!$A$2:$M$2,0),0)</f>
        <v>7.0000000000000007E-2</v>
      </c>
      <c r="AF7409" s="6">
        <f t="shared" si="1150"/>
        <v>1384.7750000000001</v>
      </c>
      <c r="AG7409" s="14">
        <v>0</v>
      </c>
      <c r="AH7409" s="64">
        <f t="shared" si="1149"/>
        <v>19782.5</v>
      </c>
      <c r="AJ7409" s="126" t="e">
        <v>#N/A</v>
      </c>
      <c r="AK7409" s="80">
        <f t="shared" si="1146"/>
        <v>0</v>
      </c>
      <c r="AL7409" s="85"/>
      <c r="AM7409" s="85"/>
    </row>
    <row r="7410" spans="1:39" s="86" customFormat="1" ht="13.25" hidden="1" customHeight="1" x14ac:dyDescent="0.3">
      <c r="A7410" s="89" t="s">
        <v>3792</v>
      </c>
      <c r="B7410" s="86" t="s">
        <v>35</v>
      </c>
      <c r="C7410" s="86" t="s">
        <v>184</v>
      </c>
      <c r="D7410" s="86" t="s">
        <v>224</v>
      </c>
      <c r="E7410" s="86" t="s">
        <v>4097</v>
      </c>
      <c r="F7410" s="86" t="s">
        <v>4097</v>
      </c>
      <c r="G7410" s="86" t="s">
        <v>4097</v>
      </c>
      <c r="H7410" s="144">
        <v>360</v>
      </c>
      <c r="I7410" s="86" t="s">
        <v>1060</v>
      </c>
      <c r="J7410" s="47" t="s">
        <v>3325</v>
      </c>
      <c r="K7410" s="47" t="s">
        <v>3767</v>
      </c>
      <c r="L7410" s="47" t="s">
        <v>35</v>
      </c>
      <c r="M7410" s="86" t="s">
        <v>4098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147"/>
        <v>0</v>
      </c>
      <c r="X7410" s="6">
        <f t="shared" si="1151"/>
        <v>35250</v>
      </c>
      <c r="Y7410" s="13">
        <f t="shared" si="1144"/>
        <v>0</v>
      </c>
      <c r="Z7410" s="66">
        <v>0</v>
      </c>
      <c r="AA7410" s="6">
        <v>0</v>
      </c>
      <c r="AB7410" s="4">
        <f t="shared" si="1145"/>
        <v>35250</v>
      </c>
      <c r="AC7410" s="6">
        <f t="shared" si="1143"/>
        <v>0</v>
      </c>
      <c r="AD7410" s="6">
        <f t="shared" si="1148"/>
        <v>35250</v>
      </c>
      <c r="AE7410" s="14">
        <f>VLOOKUP(I7410,[2]媒体政策预估表!A:N,MATCH(O7410,[2]媒体政策预估表!$A$2:$M$2,0),0)</f>
        <v>7.0000000000000007E-2</v>
      </c>
      <c r="AF7410" s="6">
        <f t="shared" si="1150"/>
        <v>2467.5000000000005</v>
      </c>
      <c r="AG7410" s="14">
        <v>0</v>
      </c>
      <c r="AH7410" s="64">
        <f t="shared" si="1149"/>
        <v>35250</v>
      </c>
      <c r="AJ7410" s="126" t="e">
        <v>#N/A</v>
      </c>
      <c r="AK7410" s="80">
        <f t="shared" si="1146"/>
        <v>0</v>
      </c>
      <c r="AL7410" s="85"/>
      <c r="AM7410" s="85"/>
    </row>
    <row r="7411" spans="1:39" s="86" customFormat="1" ht="13.25" hidden="1" customHeight="1" x14ac:dyDescent="0.3">
      <c r="A7411" s="89" t="s">
        <v>3978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3767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147"/>
        <v>0</v>
      </c>
      <c r="X7411" s="6">
        <f t="shared" si="1151"/>
        <v>0</v>
      </c>
      <c r="Y7411" s="13">
        <f t="shared" si="1144"/>
        <v>0</v>
      </c>
      <c r="Z7411" s="66">
        <v>0</v>
      </c>
      <c r="AA7411" s="6">
        <v>0</v>
      </c>
      <c r="AB7411" s="4">
        <f t="shared" si="1145"/>
        <v>0</v>
      </c>
      <c r="AC7411" s="6">
        <f t="shared" si="1143"/>
        <v>0</v>
      </c>
      <c r="AD7411" s="6">
        <f t="shared" si="1148"/>
        <v>0</v>
      </c>
      <c r="AE7411" s="14">
        <f>VLOOKUP(I7411,[2]媒体政策预估表!A:N,MATCH(O7411,[2]媒体政策预估表!$A$2:$M$2,0),0)</f>
        <v>7.0000000000000007E-2</v>
      </c>
      <c r="AF7411" s="6">
        <f t="shared" si="1150"/>
        <v>0</v>
      </c>
      <c r="AG7411" s="14">
        <v>0</v>
      </c>
      <c r="AH7411" s="64">
        <f t="shared" si="1149"/>
        <v>0</v>
      </c>
      <c r="AJ7411" s="126" t="e">
        <v>#N/A</v>
      </c>
      <c r="AK7411" s="80">
        <f t="shared" si="1146"/>
        <v>0</v>
      </c>
      <c r="AL7411" s="85"/>
      <c r="AM7411" s="85"/>
    </row>
    <row r="7412" spans="1:39" s="86" customFormat="1" ht="13.25" hidden="1" customHeight="1" x14ac:dyDescent="0.3">
      <c r="A7412" s="89" t="s">
        <v>3978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3767</v>
      </c>
      <c r="L7412" s="47" t="s">
        <v>35</v>
      </c>
      <c r="M7412" s="86" t="s">
        <v>4099</v>
      </c>
      <c r="O7412" s="47" t="s">
        <v>410</v>
      </c>
      <c r="P7412" s="47" t="s">
        <v>46</v>
      </c>
      <c r="Q7412" s="14">
        <v>0.02</v>
      </c>
      <c r="R7412" s="143" t="s">
        <v>4100</v>
      </c>
      <c r="S7412" s="47"/>
      <c r="T7412" s="6">
        <v>0</v>
      </c>
      <c r="U7412" s="6">
        <v>15177.3</v>
      </c>
      <c r="V7412" s="6">
        <v>5529.5</v>
      </c>
      <c r="W7412" s="6">
        <f t="shared" si="1147"/>
        <v>9647.7999999999993</v>
      </c>
      <c r="X7412" s="6">
        <f t="shared" si="1151"/>
        <v>5421.0784313725489</v>
      </c>
      <c r="Y7412" s="13">
        <f t="shared" si="1144"/>
        <v>0</v>
      </c>
      <c r="Z7412" s="66">
        <v>0</v>
      </c>
      <c r="AA7412" s="6">
        <v>0</v>
      </c>
      <c r="AB7412" s="4">
        <f t="shared" si="1145"/>
        <v>5421.0784313725489</v>
      </c>
      <c r="AC7412" s="6">
        <f t="shared" si="1143"/>
        <v>108.42156862745105</v>
      </c>
      <c r="AD7412" s="6">
        <f t="shared" si="1148"/>
        <v>5529.5</v>
      </c>
      <c r="AE7412" s="14">
        <f>VLOOKUP(I7412,[2]媒体政策预估表!A:N,MATCH(O7412,[2]媒体政策预估表!$A$2:$M$2,0),0)</f>
        <v>7.0000000000000007E-2</v>
      </c>
      <c r="AF7412" s="6">
        <f t="shared" si="1150"/>
        <v>387.06500000000005</v>
      </c>
      <c r="AG7412" s="14">
        <v>0</v>
      </c>
      <c r="AH7412" s="64">
        <f t="shared" si="1149"/>
        <v>5529.5</v>
      </c>
      <c r="AJ7412" s="126" t="e">
        <v>#N/A</v>
      </c>
      <c r="AK7412" s="80">
        <f t="shared" si="1146"/>
        <v>0</v>
      </c>
      <c r="AL7412" s="85"/>
      <c r="AM7412" s="85"/>
    </row>
    <row r="7413" spans="1:39" s="86" customFormat="1" ht="13.25" hidden="1" customHeight="1" x14ac:dyDescent="0.3">
      <c r="A7413" s="89" t="s">
        <v>3978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3767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147"/>
        <v>490.69999999999709</v>
      </c>
      <c r="X7413" s="6">
        <f t="shared" si="1151"/>
        <v>9790.6862745098042</v>
      </c>
      <c r="Y7413" s="13">
        <f t="shared" si="1144"/>
        <v>0</v>
      </c>
      <c r="Z7413" s="66">
        <v>0</v>
      </c>
      <c r="AA7413" s="6">
        <v>0</v>
      </c>
      <c r="AB7413" s="4">
        <f t="shared" si="1145"/>
        <v>9790.6862745098042</v>
      </c>
      <c r="AC7413" s="6">
        <f t="shared" si="1143"/>
        <v>195.81372549019579</v>
      </c>
      <c r="AD7413" s="6">
        <f t="shared" si="1148"/>
        <v>9986.5</v>
      </c>
      <c r="AE7413" s="14">
        <f>VLOOKUP(I7413,[2]媒体政策预估表!A:N,MATCH(O7413,[2]媒体政策预估表!$A$2:$M$2,0),0)</f>
        <v>7.0000000000000007E-2</v>
      </c>
      <c r="AF7413" s="6">
        <f t="shared" si="1150"/>
        <v>699.05500000000006</v>
      </c>
      <c r="AG7413" s="14">
        <v>0</v>
      </c>
      <c r="AH7413" s="64">
        <f t="shared" si="1149"/>
        <v>9986.5</v>
      </c>
      <c r="AJ7413" s="126" t="e">
        <v>#N/A</v>
      </c>
      <c r="AK7413" s="80">
        <f t="shared" si="1146"/>
        <v>0</v>
      </c>
      <c r="AL7413" s="85"/>
      <c r="AM7413" s="85"/>
    </row>
    <row r="7414" spans="1:39" s="86" customFormat="1" ht="13.25" hidden="1" customHeight="1" x14ac:dyDescent="0.3">
      <c r="A7414" s="89" t="s">
        <v>3978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3767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147"/>
        <v>9132.2000000000044</v>
      </c>
      <c r="X7414" s="6">
        <f t="shared" si="1151"/>
        <v>63772.1</v>
      </c>
      <c r="Y7414" s="13">
        <f t="shared" si="1144"/>
        <v>0</v>
      </c>
      <c r="Z7414" s="66">
        <v>0</v>
      </c>
      <c r="AA7414" s="6">
        <v>0</v>
      </c>
      <c r="AB7414" s="4">
        <f t="shared" si="1145"/>
        <v>63772.1</v>
      </c>
      <c r="AC7414" s="6">
        <f t="shared" si="1143"/>
        <v>0</v>
      </c>
      <c r="AD7414" s="6">
        <f t="shared" si="1148"/>
        <v>63772.1</v>
      </c>
      <c r="AE7414" s="14">
        <f>VLOOKUP(I7414,[2]媒体政策预估表!A:N,MATCH(O7414,[2]媒体政策预估表!$A$2:$M$2,0),0)</f>
        <v>7.0000000000000007E-2</v>
      </c>
      <c r="AF7414" s="6">
        <f t="shared" si="1150"/>
        <v>4464.0470000000005</v>
      </c>
      <c r="AG7414" s="14">
        <v>0</v>
      </c>
      <c r="AH7414" s="64">
        <f t="shared" si="1149"/>
        <v>63772.1</v>
      </c>
      <c r="AJ7414" s="126" t="e">
        <v>#N/A</v>
      </c>
      <c r="AK7414" s="80">
        <f t="shared" si="1146"/>
        <v>0</v>
      </c>
      <c r="AL7414" s="85"/>
      <c r="AM7414" s="85"/>
    </row>
    <row r="7415" spans="1:39" s="86" customFormat="1" ht="13.25" hidden="1" customHeight="1" x14ac:dyDescent="0.3">
      <c r="A7415" s="89" t="s">
        <v>3978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3767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147"/>
        <v>17436.800000000017</v>
      </c>
      <c r="X7415" s="6">
        <f t="shared" si="1151"/>
        <v>123083.5</v>
      </c>
      <c r="Y7415" s="13">
        <f t="shared" si="1144"/>
        <v>0</v>
      </c>
      <c r="Z7415" s="66">
        <v>0</v>
      </c>
      <c r="AA7415" s="6">
        <v>0</v>
      </c>
      <c r="AB7415" s="4">
        <f t="shared" si="1145"/>
        <v>123083.5</v>
      </c>
      <c r="AC7415" s="6">
        <f t="shared" si="1143"/>
        <v>0</v>
      </c>
      <c r="AD7415" s="6">
        <f t="shared" si="1148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150"/>
        <v>8615.8450000000012</v>
      </c>
      <c r="AG7415" s="14">
        <v>0</v>
      </c>
      <c r="AH7415" s="64">
        <f t="shared" si="1149"/>
        <v>123083.5</v>
      </c>
      <c r="AJ7415" s="126" t="e">
        <v>#N/A</v>
      </c>
      <c r="AK7415" s="80">
        <f t="shared" si="1146"/>
        <v>0</v>
      </c>
      <c r="AL7415" s="85"/>
      <c r="AM7415" s="85"/>
    </row>
    <row r="7416" spans="1:39" s="86" customFormat="1" ht="13.25" hidden="1" customHeight="1" x14ac:dyDescent="0.3">
      <c r="A7416" s="89" t="s">
        <v>3978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3767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147"/>
        <v>90467.563119999832</v>
      </c>
      <c r="X7416" s="6">
        <f t="shared" si="1151"/>
        <v>2062193.1216039604</v>
      </c>
      <c r="Y7416" s="13">
        <f t="shared" si="1144"/>
        <v>0</v>
      </c>
      <c r="Z7416" s="66">
        <v>0</v>
      </c>
      <c r="AA7416" s="6">
        <v>0</v>
      </c>
      <c r="AB7416" s="4">
        <f t="shared" si="1145"/>
        <v>2062193.1216039604</v>
      </c>
      <c r="AC7416" s="6">
        <f t="shared" si="1143"/>
        <v>20621.931216039695</v>
      </c>
      <c r="AD7416" s="6">
        <f t="shared" si="1148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150"/>
        <v>145797.05369740003</v>
      </c>
      <c r="AG7416" s="14">
        <v>0</v>
      </c>
      <c r="AH7416" s="64">
        <f t="shared" si="1149"/>
        <v>2082815.0528200001</v>
      </c>
      <c r="AJ7416" s="126" t="e">
        <v>#N/A</v>
      </c>
      <c r="AK7416" s="80">
        <f t="shared" si="1146"/>
        <v>0</v>
      </c>
      <c r="AL7416" s="85"/>
      <c r="AM7416" s="85"/>
    </row>
    <row r="7417" spans="1:39" s="86" customFormat="1" ht="13.25" hidden="1" customHeight="1" x14ac:dyDescent="0.3">
      <c r="A7417" s="89" t="s">
        <v>3978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3767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147"/>
        <v>3023.6999999999989</v>
      </c>
      <c r="X7417" s="6">
        <f t="shared" si="1151"/>
        <v>8744.2000000000007</v>
      </c>
      <c r="Y7417" s="13">
        <f t="shared" si="1144"/>
        <v>0</v>
      </c>
      <c r="Z7417" s="66">
        <v>0</v>
      </c>
      <c r="AA7417" s="6">
        <v>0</v>
      </c>
      <c r="AB7417" s="4">
        <f t="shared" si="1145"/>
        <v>8744.2000000000007</v>
      </c>
      <c r="AC7417" s="6">
        <f t="shared" si="1143"/>
        <v>0</v>
      </c>
      <c r="AD7417" s="6">
        <f t="shared" si="1148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150"/>
        <v>612.09400000000016</v>
      </c>
      <c r="AG7417" s="14">
        <v>0</v>
      </c>
      <c r="AH7417" s="64">
        <f t="shared" si="1149"/>
        <v>8744.2000000000007</v>
      </c>
      <c r="AJ7417" s="126" t="e">
        <v>#N/A</v>
      </c>
      <c r="AK7417" s="80">
        <f t="shared" si="1146"/>
        <v>0</v>
      </c>
      <c r="AL7417" s="85"/>
      <c r="AM7417" s="85"/>
    </row>
    <row r="7418" spans="1:39" s="86" customFormat="1" ht="13.25" hidden="1" customHeight="1" x14ac:dyDescent="0.3">
      <c r="A7418" s="89" t="s">
        <v>3792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3767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147"/>
        <v>3128.2100099999952</v>
      </c>
      <c r="X7418" s="6">
        <f t="shared" si="1151"/>
        <v>28498.1</v>
      </c>
      <c r="Y7418" s="13">
        <f t="shared" si="1144"/>
        <v>0</v>
      </c>
      <c r="Z7418" s="66">
        <v>0</v>
      </c>
      <c r="AA7418" s="6">
        <v>0</v>
      </c>
      <c r="AB7418" s="4">
        <f t="shared" si="1145"/>
        <v>28498.1</v>
      </c>
      <c r="AC7418" s="6">
        <f t="shared" si="1143"/>
        <v>0</v>
      </c>
      <c r="AD7418" s="6">
        <f t="shared" si="1148"/>
        <v>28498.1</v>
      </c>
      <c r="AE7418" s="14">
        <f>VLOOKUP(I7418,[2]媒体政策预估表!A:N,MATCH(O7418,[2]媒体政策预估表!$A$2:$M$2,0),0)</f>
        <v>7.0000000000000007E-2</v>
      </c>
      <c r="AF7418" s="6">
        <f t="shared" si="1150"/>
        <v>1994.8670000000002</v>
      </c>
      <c r="AG7418" s="14">
        <v>0</v>
      </c>
      <c r="AH7418" s="64">
        <f t="shared" si="1149"/>
        <v>28498.1</v>
      </c>
      <c r="AJ7418" s="126" t="e">
        <v>#N/A</v>
      </c>
      <c r="AK7418" s="80">
        <f t="shared" si="1146"/>
        <v>0</v>
      </c>
      <c r="AL7418" s="85"/>
      <c r="AM7418" s="85"/>
    </row>
    <row r="7419" spans="1:39" s="86" customFormat="1" ht="13.25" hidden="1" customHeight="1" x14ac:dyDescent="0.3">
      <c r="A7419" s="89" t="s">
        <v>3978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3767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147"/>
        <v>5236.7600000000093</v>
      </c>
      <c r="X7419" s="6">
        <f t="shared" si="1151"/>
        <v>145801.9</v>
      </c>
      <c r="Y7419" s="13">
        <f t="shared" si="1144"/>
        <v>0</v>
      </c>
      <c r="Z7419" s="66">
        <v>0</v>
      </c>
      <c r="AA7419" s="6">
        <v>0</v>
      </c>
      <c r="AB7419" s="4">
        <f t="shared" si="1145"/>
        <v>145801.9</v>
      </c>
      <c r="AC7419" s="6">
        <f t="shared" si="1143"/>
        <v>0</v>
      </c>
      <c r="AD7419" s="6">
        <f t="shared" si="1148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150"/>
        <v>10206.133</v>
      </c>
      <c r="AG7419" s="14">
        <v>0</v>
      </c>
      <c r="AH7419" s="64">
        <f t="shared" si="1149"/>
        <v>145801.9</v>
      </c>
      <c r="AJ7419" s="126" t="e">
        <v>#N/A</v>
      </c>
      <c r="AK7419" s="80">
        <f t="shared" si="1146"/>
        <v>0</v>
      </c>
      <c r="AL7419" s="85"/>
      <c r="AM7419" s="85"/>
    </row>
    <row r="7420" spans="1:39" s="86" customFormat="1" ht="13.25" hidden="1" customHeight="1" x14ac:dyDescent="0.3">
      <c r="A7420" s="89" t="s">
        <v>3978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3767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147"/>
        <v>2.5920599000528455E-11</v>
      </c>
      <c r="X7420" s="6">
        <f t="shared" si="1151"/>
        <v>3045.6</v>
      </c>
      <c r="Y7420" s="13">
        <f t="shared" si="1144"/>
        <v>0</v>
      </c>
      <c r="Z7420" s="66">
        <v>0</v>
      </c>
      <c r="AA7420" s="6">
        <v>0</v>
      </c>
      <c r="AB7420" s="4">
        <f t="shared" si="1145"/>
        <v>3045.6</v>
      </c>
      <c r="AC7420" s="6">
        <f t="shared" si="1143"/>
        <v>0</v>
      </c>
      <c r="AD7420" s="6">
        <f t="shared" si="1148"/>
        <v>3045.6</v>
      </c>
      <c r="AE7420" s="14">
        <f>VLOOKUP(I7420,[2]媒体政策预估表!A:N,MATCH(O7420,[2]媒体政策预估表!$A$2:$M$2,0),0)</f>
        <v>7.0000000000000007E-2</v>
      </c>
      <c r="AF7420" s="6">
        <f t="shared" si="1150"/>
        <v>213.19200000000001</v>
      </c>
      <c r="AG7420" s="14">
        <v>0</v>
      </c>
      <c r="AH7420" s="64">
        <f t="shared" si="1149"/>
        <v>3045.6</v>
      </c>
      <c r="AJ7420" s="126" t="e">
        <v>#N/A</v>
      </c>
      <c r="AK7420" s="80">
        <f t="shared" si="1146"/>
        <v>0</v>
      </c>
      <c r="AL7420" s="85"/>
      <c r="AM7420" s="85"/>
    </row>
    <row r="7421" spans="1:39" s="86" customFormat="1" ht="13.25" hidden="1" customHeight="1" x14ac:dyDescent="0.3">
      <c r="A7421" s="89" t="s">
        <v>3978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3767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147"/>
        <v>66503.550000000047</v>
      </c>
      <c r="X7421" s="6">
        <f t="shared" si="1151"/>
        <v>301841.1470588235</v>
      </c>
      <c r="Y7421" s="13">
        <f t="shared" si="1144"/>
        <v>0</v>
      </c>
      <c r="Z7421" s="66">
        <v>0</v>
      </c>
      <c r="AA7421" s="6">
        <v>0</v>
      </c>
      <c r="AB7421" s="4">
        <f t="shared" si="1145"/>
        <v>301841.1470588235</v>
      </c>
      <c r="AC7421" s="6">
        <f t="shared" si="1143"/>
        <v>6036.8229411764769</v>
      </c>
      <c r="AD7421" s="6">
        <f t="shared" si="1148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150"/>
        <v>21551.457900000001</v>
      </c>
      <c r="AG7421" s="14">
        <v>0</v>
      </c>
      <c r="AH7421" s="64">
        <f t="shared" si="1149"/>
        <v>307877.96999999997</v>
      </c>
      <c r="AJ7421" s="126" t="e">
        <v>#N/A</v>
      </c>
      <c r="AK7421" s="80">
        <f t="shared" si="1146"/>
        <v>0</v>
      </c>
      <c r="AL7421" s="85"/>
      <c r="AM7421" s="85"/>
    </row>
    <row r="7422" spans="1:39" s="86" customFormat="1" ht="13.25" hidden="1" customHeight="1" x14ac:dyDescent="0.3">
      <c r="A7422" s="89" t="s">
        <v>3792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3767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147"/>
        <v>153690.00388999999</v>
      </c>
      <c r="X7422" s="6">
        <f t="shared" si="1151"/>
        <v>456006.85893137252</v>
      </c>
      <c r="Y7422" s="13">
        <f t="shared" si="1144"/>
        <v>0</v>
      </c>
      <c r="Z7422" s="66">
        <v>0</v>
      </c>
      <c r="AA7422" s="6">
        <v>0</v>
      </c>
      <c r="AB7422" s="4">
        <f t="shared" si="1145"/>
        <v>456006.85893137252</v>
      </c>
      <c r="AC7422" s="6">
        <f t="shared" ref="AC7422:AC7485" si="1152">IF(P7422="返现",X7422*Q7422,V7422-X7422)</f>
        <v>9120.1371786274831</v>
      </c>
      <c r="AD7422" s="6">
        <f t="shared" si="1148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150"/>
        <v>32558.889727700003</v>
      </c>
      <c r="AG7422" s="14">
        <v>0</v>
      </c>
      <c r="AH7422" s="64">
        <f t="shared" si="1149"/>
        <v>465126.99611000001</v>
      </c>
      <c r="AJ7422" s="126" t="e">
        <v>#N/A</v>
      </c>
      <c r="AK7422" s="80">
        <f t="shared" si="1146"/>
        <v>0</v>
      </c>
      <c r="AL7422" s="85"/>
      <c r="AM7422" s="85"/>
    </row>
    <row r="7423" spans="1:39" s="86" customFormat="1" ht="13.25" hidden="1" customHeight="1" x14ac:dyDescent="0.3">
      <c r="A7423" s="89" t="s">
        <v>3978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3767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147"/>
        <v>300157.51104999986</v>
      </c>
      <c r="X7423" s="6">
        <f t="shared" si="1151"/>
        <v>1899683.6151372551</v>
      </c>
      <c r="Y7423" s="13">
        <f t="shared" si="1144"/>
        <v>0</v>
      </c>
      <c r="Z7423" s="66">
        <v>0</v>
      </c>
      <c r="AA7423" s="6">
        <v>0</v>
      </c>
      <c r="AB7423" s="4">
        <f t="shared" si="1145"/>
        <v>1899683.6151372551</v>
      </c>
      <c r="AC7423" s="6">
        <f t="shared" si="1152"/>
        <v>37993.67230274505</v>
      </c>
      <c r="AD7423" s="6">
        <f t="shared" si="1148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150"/>
        <v>135637.41012080002</v>
      </c>
      <c r="AG7423" s="14">
        <v>0</v>
      </c>
      <c r="AH7423" s="64">
        <f t="shared" si="1149"/>
        <v>1937677.2874400001</v>
      </c>
      <c r="AJ7423" s="126" t="e">
        <v>#N/A</v>
      </c>
      <c r="AK7423" s="80">
        <f t="shared" si="1146"/>
        <v>0</v>
      </c>
      <c r="AL7423" s="85"/>
      <c r="AM7423" s="85"/>
    </row>
    <row r="7424" spans="1:39" s="86" customFormat="1" ht="13.25" hidden="1" customHeight="1" x14ac:dyDescent="0.3">
      <c r="A7424" s="89" t="s">
        <v>3978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3767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147"/>
        <v>227488.16241000011</v>
      </c>
      <c r="X7424" s="6">
        <f t="shared" si="1151"/>
        <v>1746034.3781470589</v>
      </c>
      <c r="Y7424" s="13">
        <f t="shared" si="1144"/>
        <v>0</v>
      </c>
      <c r="Z7424" s="66">
        <v>0</v>
      </c>
      <c r="AA7424" s="6">
        <v>0</v>
      </c>
      <c r="AB7424" s="4">
        <f t="shared" si="1145"/>
        <v>1746034.3781470589</v>
      </c>
      <c r="AC7424" s="6">
        <f t="shared" si="1152"/>
        <v>34920.687562941108</v>
      </c>
      <c r="AD7424" s="6">
        <f t="shared" si="1148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150"/>
        <v>124666.85459970002</v>
      </c>
      <c r="AG7424" s="14">
        <v>0</v>
      </c>
      <c r="AH7424" s="64">
        <f t="shared" si="1149"/>
        <v>1780955.06571</v>
      </c>
      <c r="AJ7424" s="126" t="e">
        <v>#N/A</v>
      </c>
      <c r="AK7424" s="80">
        <f t="shared" si="1146"/>
        <v>0</v>
      </c>
      <c r="AL7424" s="85"/>
      <c r="AM7424" s="85"/>
    </row>
    <row r="7425" spans="1:39" s="86" customFormat="1" ht="13.25" hidden="1" customHeight="1" x14ac:dyDescent="0.3">
      <c r="A7425" s="89" t="s">
        <v>3978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3767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147"/>
        <v>185861.60286000022</v>
      </c>
      <c r="X7425" s="6">
        <f t="shared" si="1151"/>
        <v>1531897.0155294116</v>
      </c>
      <c r="Y7425" s="13">
        <f t="shared" si="1144"/>
        <v>0</v>
      </c>
      <c r="Z7425" s="66">
        <v>0</v>
      </c>
      <c r="AA7425" s="6">
        <v>0</v>
      </c>
      <c r="AB7425" s="4">
        <f t="shared" si="1145"/>
        <v>1531897.0155294116</v>
      </c>
      <c r="AC7425" s="6">
        <f t="shared" si="1152"/>
        <v>30637.940310588339</v>
      </c>
      <c r="AD7425" s="6">
        <f t="shared" si="1148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150"/>
        <v>109377.4469088</v>
      </c>
      <c r="AG7425" s="14">
        <v>0</v>
      </c>
      <c r="AH7425" s="64">
        <f t="shared" si="1149"/>
        <v>1562534.95584</v>
      </c>
      <c r="AJ7425" s="126" t="e">
        <v>#N/A</v>
      </c>
      <c r="AK7425" s="80">
        <f t="shared" si="1146"/>
        <v>0</v>
      </c>
      <c r="AL7425" s="85"/>
      <c r="AM7425" s="85"/>
    </row>
    <row r="7426" spans="1:39" s="86" customFormat="1" ht="13.25" hidden="1" customHeight="1" x14ac:dyDescent="0.3">
      <c r="A7426" s="89" t="s">
        <v>3978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3767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147"/>
        <v>4727.419999999991</v>
      </c>
      <c r="X7426" s="6">
        <f t="shared" si="1151"/>
        <v>41032.9</v>
      </c>
      <c r="Y7426" s="13">
        <f t="shared" si="1144"/>
        <v>0</v>
      </c>
      <c r="Z7426" s="66">
        <v>0</v>
      </c>
      <c r="AA7426" s="6">
        <v>0</v>
      </c>
      <c r="AB7426" s="4">
        <f t="shared" si="1145"/>
        <v>41032.9</v>
      </c>
      <c r="AC7426" s="6">
        <f t="shared" si="1152"/>
        <v>0</v>
      </c>
      <c r="AD7426" s="6">
        <f t="shared" si="1148"/>
        <v>41032.9</v>
      </c>
      <c r="AE7426" s="14">
        <f>VLOOKUP(I7426,[2]媒体政策预估表!A:N,MATCH(O7426,[2]媒体政策预估表!$A$2:$M$2,0),0)</f>
        <v>7.0000000000000007E-2</v>
      </c>
      <c r="AF7426" s="6">
        <f t="shared" si="1150"/>
        <v>2872.3030000000003</v>
      </c>
      <c r="AG7426" s="14">
        <v>0</v>
      </c>
      <c r="AH7426" s="64">
        <f t="shared" si="1149"/>
        <v>41032.9</v>
      </c>
      <c r="AJ7426" s="126" t="e">
        <v>#N/A</v>
      </c>
      <c r="AK7426" s="80">
        <f t="shared" si="1146"/>
        <v>0</v>
      </c>
      <c r="AL7426" s="85"/>
      <c r="AM7426" s="85"/>
    </row>
    <row r="7427" spans="1:39" s="86" customFormat="1" ht="13.25" hidden="1" customHeight="1" x14ac:dyDescent="0.3">
      <c r="A7427" s="89" t="s">
        <v>3978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3767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147"/>
        <v>13582.600000000002</v>
      </c>
      <c r="X7427" s="6">
        <f t="shared" si="1151"/>
        <v>18391.8</v>
      </c>
      <c r="Y7427" s="13">
        <f t="shared" ref="Y7427:Y7490" si="1153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154">X7427+AA7427</f>
        <v>18391.8</v>
      </c>
      <c r="AC7427" s="6">
        <f t="shared" si="1152"/>
        <v>0</v>
      </c>
      <c r="AD7427" s="6">
        <f t="shared" si="1148"/>
        <v>18391.8</v>
      </c>
      <c r="AE7427" s="14">
        <f>VLOOKUP(I7427,[2]媒体政策预估表!A:N,MATCH(O7427,[2]媒体政策预估表!$A$2:$M$2,0),0)</f>
        <v>7.0000000000000007E-2</v>
      </c>
      <c r="AF7427" s="6">
        <f t="shared" si="1150"/>
        <v>1287.4260000000002</v>
      </c>
      <c r="AG7427" s="14">
        <v>0</v>
      </c>
      <c r="AH7427" s="64">
        <f t="shared" si="1149"/>
        <v>18391.8</v>
      </c>
      <c r="AJ7427" s="126" t="e">
        <v>#N/A</v>
      </c>
      <c r="AK7427" s="80">
        <f t="shared" ref="AK7427:AK7490" si="1155">X7427+AA7427-AB7427</f>
        <v>0</v>
      </c>
      <c r="AL7427" s="85"/>
      <c r="AM7427" s="85"/>
    </row>
    <row r="7428" spans="1:39" s="86" customFormat="1" ht="13.25" hidden="1" customHeight="1" x14ac:dyDescent="0.3">
      <c r="A7428" s="89" t="s">
        <v>3978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3767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147"/>
        <v>3179.8000000000029</v>
      </c>
      <c r="X7428" s="6">
        <f t="shared" si="1151"/>
        <v>29654.5</v>
      </c>
      <c r="Y7428" s="13">
        <f t="shared" si="1153"/>
        <v>0</v>
      </c>
      <c r="Z7428" s="66">
        <v>0</v>
      </c>
      <c r="AA7428" s="6">
        <v>0</v>
      </c>
      <c r="AB7428" s="4">
        <f t="shared" si="1154"/>
        <v>29654.5</v>
      </c>
      <c r="AC7428" s="6">
        <f t="shared" si="1152"/>
        <v>0</v>
      </c>
      <c r="AD7428" s="6">
        <f t="shared" si="1148"/>
        <v>29654.5</v>
      </c>
      <c r="AE7428" s="14">
        <f>VLOOKUP(I7428,[2]媒体政策预估表!A:N,MATCH(O7428,[2]媒体政策预估表!$A$2:$M$2,0),0)</f>
        <v>7.0000000000000007E-2</v>
      </c>
      <c r="AF7428" s="6">
        <f t="shared" si="1150"/>
        <v>2075.8150000000001</v>
      </c>
      <c r="AG7428" s="14">
        <v>0</v>
      </c>
      <c r="AH7428" s="64">
        <f t="shared" si="1149"/>
        <v>29654.5</v>
      </c>
      <c r="AJ7428" s="126" t="e">
        <v>#N/A</v>
      </c>
      <c r="AK7428" s="80">
        <f t="shared" si="1155"/>
        <v>0</v>
      </c>
      <c r="AL7428" s="85"/>
      <c r="AM7428" s="85"/>
    </row>
    <row r="7429" spans="1:39" s="86" customFormat="1" ht="13.25" hidden="1" customHeight="1" x14ac:dyDescent="0.3">
      <c r="A7429" s="89" t="s">
        <v>3978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3767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147"/>
        <v>22932.100000000006</v>
      </c>
      <c r="X7429" s="6">
        <f t="shared" si="1151"/>
        <v>73961.2</v>
      </c>
      <c r="Y7429" s="13">
        <f t="shared" si="1153"/>
        <v>0</v>
      </c>
      <c r="Z7429" s="66">
        <v>0</v>
      </c>
      <c r="AA7429" s="6">
        <v>0</v>
      </c>
      <c r="AB7429" s="4">
        <f t="shared" si="1154"/>
        <v>73961.2</v>
      </c>
      <c r="AC7429" s="6">
        <f t="shared" si="1152"/>
        <v>0</v>
      </c>
      <c r="AD7429" s="6">
        <f t="shared" si="1148"/>
        <v>73961.2</v>
      </c>
      <c r="AE7429" s="14">
        <f>VLOOKUP(I7429,[2]媒体政策预估表!A:N,MATCH(O7429,[2]媒体政策预估表!$A$2:$M$2,0),0)</f>
        <v>7.0000000000000007E-2</v>
      </c>
      <c r="AF7429" s="6">
        <f t="shared" si="1150"/>
        <v>5177.2840000000006</v>
      </c>
      <c r="AG7429" s="14">
        <v>0</v>
      </c>
      <c r="AH7429" s="64">
        <f t="shared" si="1149"/>
        <v>73961.2</v>
      </c>
      <c r="AJ7429" s="126" t="e">
        <v>#N/A</v>
      </c>
      <c r="AK7429" s="80">
        <f t="shared" si="1155"/>
        <v>0</v>
      </c>
      <c r="AL7429" s="85"/>
      <c r="AM7429" s="85"/>
    </row>
    <row r="7430" spans="1:39" s="86" customFormat="1" ht="13.25" hidden="1" customHeight="1" x14ac:dyDescent="0.3">
      <c r="A7430" s="89" t="s">
        <v>3978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3767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147"/>
        <v>477.38999999999942</v>
      </c>
      <c r="X7430" s="6">
        <f t="shared" si="1151"/>
        <v>10843.5</v>
      </c>
      <c r="Y7430" s="13">
        <f t="shared" si="1153"/>
        <v>0</v>
      </c>
      <c r="Z7430" s="66">
        <v>0</v>
      </c>
      <c r="AA7430" s="6">
        <v>0</v>
      </c>
      <c r="AB7430" s="4">
        <f t="shared" si="1154"/>
        <v>10843.5</v>
      </c>
      <c r="AC7430" s="6">
        <f t="shared" si="1152"/>
        <v>0</v>
      </c>
      <c r="AD7430" s="6">
        <f t="shared" si="1148"/>
        <v>10843.5</v>
      </c>
      <c r="AE7430" s="14">
        <f>VLOOKUP(I7430,[2]媒体政策预估表!A:N,MATCH(O7430,[2]媒体政策预估表!$A$2:$M$2,0),0)</f>
        <v>7.0000000000000007E-2</v>
      </c>
      <c r="AF7430" s="6">
        <f t="shared" si="1150"/>
        <v>759.04500000000007</v>
      </c>
      <c r="AG7430" s="14">
        <v>0</v>
      </c>
      <c r="AH7430" s="64">
        <f t="shared" si="1149"/>
        <v>10843.5</v>
      </c>
      <c r="AJ7430" s="126" t="s">
        <v>4221</v>
      </c>
      <c r="AK7430" s="80">
        <f t="shared" si="1155"/>
        <v>0</v>
      </c>
      <c r="AL7430" s="150"/>
      <c r="AM7430" s="85"/>
    </row>
    <row r="7431" spans="1:39" s="86" customFormat="1" ht="13.25" hidden="1" customHeight="1" x14ac:dyDescent="0.3">
      <c r="A7431" s="89" t="s">
        <v>3978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3767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147"/>
        <v>0</v>
      </c>
      <c r="X7431" s="6">
        <f t="shared" si="1151"/>
        <v>4264.5</v>
      </c>
      <c r="Y7431" s="13">
        <f t="shared" si="1153"/>
        <v>0</v>
      </c>
      <c r="Z7431" s="66">
        <v>0</v>
      </c>
      <c r="AA7431" s="6">
        <v>0</v>
      </c>
      <c r="AB7431" s="4">
        <f t="shared" si="1154"/>
        <v>4264.5</v>
      </c>
      <c r="AC7431" s="6">
        <f t="shared" si="1152"/>
        <v>0</v>
      </c>
      <c r="AD7431" s="6">
        <f t="shared" si="1148"/>
        <v>4264.5</v>
      </c>
      <c r="AE7431" s="14">
        <f>VLOOKUP(I7431,[2]媒体政策预估表!A:N,MATCH(O7431,[2]媒体政策预估表!$A$2:$M$2,0),0)</f>
        <v>7.0000000000000007E-2</v>
      </c>
      <c r="AF7431" s="6">
        <f t="shared" si="1150"/>
        <v>298.51500000000004</v>
      </c>
      <c r="AG7431" s="14">
        <v>0</v>
      </c>
      <c r="AH7431" s="64">
        <f t="shared" si="1149"/>
        <v>4264.5</v>
      </c>
      <c r="AJ7431" s="126" t="s">
        <v>4221</v>
      </c>
      <c r="AK7431" s="80">
        <f t="shared" si="1155"/>
        <v>0</v>
      </c>
      <c r="AL7431" s="150"/>
      <c r="AM7431" s="85"/>
    </row>
    <row r="7432" spans="1:39" s="86" customFormat="1" ht="13.25" hidden="1" customHeight="1" x14ac:dyDescent="0.3">
      <c r="A7432" s="89" t="s">
        <v>3978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3767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147"/>
        <v>489.5</v>
      </c>
      <c r="X7432" s="6">
        <f t="shared" si="1151"/>
        <v>16338.8</v>
      </c>
      <c r="Y7432" s="13">
        <f t="shared" si="1153"/>
        <v>0</v>
      </c>
      <c r="Z7432" s="66">
        <v>0</v>
      </c>
      <c r="AA7432" s="6">
        <v>0</v>
      </c>
      <c r="AB7432" s="4">
        <f t="shared" si="1154"/>
        <v>16338.8</v>
      </c>
      <c r="AC7432" s="6">
        <f t="shared" si="1152"/>
        <v>0</v>
      </c>
      <c r="AD7432" s="6">
        <f t="shared" si="1148"/>
        <v>16338.8</v>
      </c>
      <c r="AE7432" s="14">
        <f>VLOOKUP(I7432,[2]媒体政策预估表!A:N,MATCH(O7432,[2]媒体政策预估表!$A$2:$M$2,0),0)</f>
        <v>7.0000000000000007E-2</v>
      </c>
      <c r="AF7432" s="6">
        <f t="shared" si="1150"/>
        <v>1143.7160000000001</v>
      </c>
      <c r="AG7432" s="14">
        <v>0</v>
      </c>
      <c r="AH7432" s="64">
        <f t="shared" si="1149"/>
        <v>16338.8</v>
      </c>
      <c r="AJ7432" s="126" t="s">
        <v>4221</v>
      </c>
      <c r="AK7432" s="80">
        <f t="shared" si="1155"/>
        <v>0</v>
      </c>
      <c r="AL7432" s="150"/>
      <c r="AM7432" s="85"/>
    </row>
    <row r="7433" spans="1:39" s="86" customFormat="1" ht="13.25" hidden="1" customHeight="1" x14ac:dyDescent="0.3">
      <c r="A7433" s="89" t="s">
        <v>3792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3767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147"/>
        <v>1117.8700000000026</v>
      </c>
      <c r="X7433" s="6">
        <f t="shared" si="1151"/>
        <v>19815</v>
      </c>
      <c r="Y7433" s="13">
        <f t="shared" si="1153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152"/>
        <v>0</v>
      </c>
      <c r="AD7433" s="6">
        <f t="shared" si="1148"/>
        <v>19815</v>
      </c>
      <c r="AE7433" s="14">
        <f>VLOOKUP(I7433,[2]媒体政策预估表!A:N,MATCH(O7433,[2]媒体政策预估表!$A$2:$M$2,0),0)</f>
        <v>7.0000000000000007E-2</v>
      </c>
      <c r="AF7433" s="6">
        <f t="shared" si="1150"/>
        <v>1387.0500000000002</v>
      </c>
      <c r="AG7433" s="14">
        <v>0</v>
      </c>
      <c r="AH7433" s="64">
        <f t="shared" si="1149"/>
        <v>19815</v>
      </c>
      <c r="AJ7433" s="126" t="s">
        <v>4221</v>
      </c>
      <c r="AK7433" s="80">
        <f t="shared" si="1155"/>
        <v>10000</v>
      </c>
      <c r="AL7433" s="150"/>
      <c r="AM7433" s="85"/>
    </row>
    <row r="7434" spans="1:39" s="86" customFormat="1" ht="13.25" hidden="1" customHeight="1" x14ac:dyDescent="0.3">
      <c r="A7434" s="89" t="s">
        <v>3978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3767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147"/>
        <v>9034.09</v>
      </c>
      <c r="X7434" s="6">
        <f t="shared" si="1151"/>
        <v>5975.41</v>
      </c>
      <c r="Y7434" s="13">
        <f t="shared" si="1153"/>
        <v>0</v>
      </c>
      <c r="Z7434" s="66">
        <v>0</v>
      </c>
      <c r="AA7434" s="6">
        <v>0</v>
      </c>
      <c r="AB7434" s="4">
        <f t="shared" si="1154"/>
        <v>5975.41</v>
      </c>
      <c r="AC7434" s="6">
        <f t="shared" si="1152"/>
        <v>0</v>
      </c>
      <c r="AD7434" s="6">
        <f t="shared" si="1148"/>
        <v>5975.41</v>
      </c>
      <c r="AE7434" s="14">
        <f>VLOOKUP(I7434,[2]媒体政策预估表!A:N,MATCH(O7434,[2]媒体政策预估表!$A$2:$M$2,0),0)</f>
        <v>7.0000000000000007E-2</v>
      </c>
      <c r="AF7434" s="6">
        <f t="shared" si="1150"/>
        <v>418.27870000000001</v>
      </c>
      <c r="AG7434" s="14">
        <v>0</v>
      </c>
      <c r="AH7434" s="64">
        <f t="shared" si="1149"/>
        <v>5975.41</v>
      </c>
      <c r="AJ7434" s="126" t="e">
        <v>#N/A</v>
      </c>
      <c r="AK7434" s="80">
        <f t="shared" si="1155"/>
        <v>0</v>
      </c>
      <c r="AL7434" s="85"/>
      <c r="AM7434" s="85"/>
    </row>
    <row r="7435" spans="1:39" s="86" customFormat="1" ht="13.25" hidden="1" customHeight="1" x14ac:dyDescent="0.3">
      <c r="A7435" s="89" t="s">
        <v>3792</v>
      </c>
      <c r="B7435" s="86" t="s">
        <v>35</v>
      </c>
      <c r="C7435" s="86" t="s">
        <v>184</v>
      </c>
      <c r="D7435" s="86" t="s">
        <v>224</v>
      </c>
      <c r="E7435" s="86" t="s">
        <v>4101</v>
      </c>
      <c r="F7435" s="86" t="s">
        <v>4101</v>
      </c>
      <c r="G7435" s="86" t="s">
        <v>4101</v>
      </c>
      <c r="H7435" s="144">
        <v>360</v>
      </c>
      <c r="I7435" s="86" t="s">
        <v>1060</v>
      </c>
      <c r="J7435" s="47" t="s">
        <v>3325</v>
      </c>
      <c r="K7435" s="47" t="s">
        <v>3767</v>
      </c>
      <c r="L7435" s="47" t="s">
        <v>35</v>
      </c>
      <c r="M7435" s="86" t="s">
        <v>4101</v>
      </c>
      <c r="O7435" s="47" t="s">
        <v>410</v>
      </c>
      <c r="P7435" s="47" t="s">
        <v>41</v>
      </c>
      <c r="Q7435" s="14">
        <v>0</v>
      </c>
      <c r="R7435" s="143" t="s">
        <v>4102</v>
      </c>
      <c r="S7435" s="47"/>
      <c r="T7435" s="6">
        <v>0</v>
      </c>
      <c r="U7435" s="6">
        <v>10000</v>
      </c>
      <c r="V7435" s="6">
        <v>4573.78</v>
      </c>
      <c r="W7435" s="6">
        <f t="shared" si="1147"/>
        <v>5426.22</v>
      </c>
      <c r="X7435" s="6">
        <f t="shared" si="1151"/>
        <v>4573.78</v>
      </c>
      <c r="Y7435" s="13">
        <f t="shared" si="1153"/>
        <v>0</v>
      </c>
      <c r="Z7435" s="66">
        <v>0</v>
      </c>
      <c r="AA7435" s="6">
        <v>0</v>
      </c>
      <c r="AB7435" s="4">
        <f t="shared" si="1154"/>
        <v>4573.78</v>
      </c>
      <c r="AC7435" s="6">
        <f t="shared" si="1152"/>
        <v>0</v>
      </c>
      <c r="AD7435" s="6">
        <f t="shared" si="1148"/>
        <v>4573.78</v>
      </c>
      <c r="AE7435" s="14">
        <f>VLOOKUP(I7435,[2]媒体政策预估表!A:N,MATCH(O7435,[2]媒体政策预估表!$A$2:$M$2,0),0)</f>
        <v>7.0000000000000007E-2</v>
      </c>
      <c r="AF7435" s="6">
        <f t="shared" si="1150"/>
        <v>320.16460000000001</v>
      </c>
      <c r="AG7435" s="14">
        <v>0</v>
      </c>
      <c r="AH7435" s="64">
        <f t="shared" si="1149"/>
        <v>4573.78</v>
      </c>
      <c r="AJ7435" s="126" t="e">
        <v>#N/A</v>
      </c>
      <c r="AK7435" s="80">
        <f t="shared" si="1155"/>
        <v>0</v>
      </c>
      <c r="AL7435" s="85"/>
      <c r="AM7435" s="85"/>
    </row>
    <row r="7436" spans="1:39" s="86" customFormat="1" ht="13.25" hidden="1" customHeight="1" x14ac:dyDescent="0.3">
      <c r="A7436" s="89" t="s">
        <v>3792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3767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147"/>
        <v>22291.020000000004</v>
      </c>
      <c r="X7436" s="6">
        <f t="shared" si="1151"/>
        <v>40993.18</v>
      </c>
      <c r="Y7436" s="13">
        <f t="shared" si="1153"/>
        <v>0</v>
      </c>
      <c r="Z7436" s="66">
        <v>0</v>
      </c>
      <c r="AA7436" s="6">
        <v>0</v>
      </c>
      <c r="AB7436" s="4">
        <f t="shared" si="1154"/>
        <v>40993.18</v>
      </c>
      <c r="AC7436" s="6">
        <f t="shared" si="1152"/>
        <v>0</v>
      </c>
      <c r="AD7436" s="6">
        <f t="shared" si="1148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150"/>
        <v>2869.5226000000002</v>
      </c>
      <c r="AG7436" s="14">
        <v>0</v>
      </c>
      <c r="AH7436" s="64">
        <f t="shared" si="1149"/>
        <v>40993.18</v>
      </c>
      <c r="AJ7436" s="126" t="e">
        <v>#N/A</v>
      </c>
      <c r="AK7436" s="80">
        <f t="shared" si="1155"/>
        <v>0</v>
      </c>
      <c r="AL7436" s="85"/>
      <c r="AM7436" s="85"/>
    </row>
    <row r="7437" spans="1:39" s="86" customFormat="1" ht="13.25" hidden="1" customHeight="1" x14ac:dyDescent="0.3">
      <c r="A7437" s="89" t="s">
        <v>3978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3767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147"/>
        <v>5135.4999999999964</v>
      </c>
      <c r="X7437" s="6">
        <f t="shared" si="1151"/>
        <v>24385.200000000001</v>
      </c>
      <c r="Y7437" s="13">
        <f t="shared" si="1153"/>
        <v>0</v>
      </c>
      <c r="Z7437" s="66">
        <v>0</v>
      </c>
      <c r="AA7437" s="6">
        <v>0</v>
      </c>
      <c r="AB7437" s="4">
        <f t="shared" si="1154"/>
        <v>24385.200000000001</v>
      </c>
      <c r="AC7437" s="6">
        <f t="shared" si="1152"/>
        <v>0</v>
      </c>
      <c r="AD7437" s="6">
        <f t="shared" si="1148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150"/>
        <v>1706.9640000000002</v>
      </c>
      <c r="AG7437" s="14">
        <v>0</v>
      </c>
      <c r="AH7437" s="64">
        <f t="shared" si="1149"/>
        <v>24385.200000000001</v>
      </c>
      <c r="AJ7437" s="126" t="e">
        <v>#N/A</v>
      </c>
      <c r="AK7437" s="80">
        <f t="shared" si="1155"/>
        <v>0</v>
      </c>
      <c r="AL7437" s="85"/>
      <c r="AM7437" s="85"/>
    </row>
    <row r="7438" spans="1:39" s="86" customFormat="1" ht="13.25" hidden="1" customHeight="1" x14ac:dyDescent="0.3">
      <c r="A7438" s="89" t="s">
        <v>3792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3767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147"/>
        <v>24024.179999999978</v>
      </c>
      <c r="X7438" s="6">
        <f t="shared" si="1151"/>
        <v>78057.3</v>
      </c>
      <c r="Y7438" s="13">
        <f t="shared" si="1153"/>
        <v>0</v>
      </c>
      <c r="Z7438" s="66">
        <v>0</v>
      </c>
      <c r="AA7438" s="6">
        <v>0</v>
      </c>
      <c r="AB7438" s="4">
        <f t="shared" si="1154"/>
        <v>78057.3</v>
      </c>
      <c r="AC7438" s="6">
        <f t="shared" si="1152"/>
        <v>0</v>
      </c>
      <c r="AD7438" s="6">
        <f t="shared" si="1148"/>
        <v>78057.3</v>
      </c>
      <c r="AE7438" s="14">
        <f>VLOOKUP(I7438,[2]媒体政策预估表!A:N,MATCH(O7438,[2]媒体政策预估表!$A$2:$M$2,0),0)</f>
        <v>7.0000000000000007E-2</v>
      </c>
      <c r="AF7438" s="6">
        <f t="shared" si="1150"/>
        <v>5464.0110000000004</v>
      </c>
      <c r="AG7438" s="14">
        <v>0</v>
      </c>
      <c r="AH7438" s="64">
        <f t="shared" si="1149"/>
        <v>78057.3</v>
      </c>
      <c r="AJ7438" s="126" t="e">
        <v>#N/A</v>
      </c>
      <c r="AK7438" s="80">
        <f t="shared" si="1155"/>
        <v>0</v>
      </c>
      <c r="AL7438" s="85"/>
      <c r="AM7438" s="85"/>
    </row>
    <row r="7439" spans="1:39" s="86" customFormat="1" ht="13.25" hidden="1" customHeight="1" x14ac:dyDescent="0.3">
      <c r="A7439" s="89" t="s">
        <v>3978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4103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3767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4104</v>
      </c>
      <c r="S7439" s="47"/>
      <c r="T7439" s="6">
        <v>0</v>
      </c>
      <c r="U7439" s="6">
        <v>10000</v>
      </c>
      <c r="V7439" s="6">
        <v>2711.7</v>
      </c>
      <c r="W7439" s="6">
        <f t="shared" si="1147"/>
        <v>7288.3</v>
      </c>
      <c r="X7439" s="6">
        <f t="shared" si="1151"/>
        <v>2658.5294117647059</v>
      </c>
      <c r="Y7439" s="13">
        <f t="shared" si="1153"/>
        <v>0</v>
      </c>
      <c r="Z7439" s="66">
        <v>0</v>
      </c>
      <c r="AA7439" s="6">
        <v>0</v>
      </c>
      <c r="AB7439" s="4">
        <f t="shared" si="1154"/>
        <v>2658.5294117647059</v>
      </c>
      <c r="AC7439" s="6">
        <f t="shared" si="1152"/>
        <v>53.170588235293962</v>
      </c>
      <c r="AD7439" s="6">
        <f t="shared" si="1148"/>
        <v>2711.7</v>
      </c>
      <c r="AE7439" s="14">
        <f>VLOOKUP(I7439,[2]媒体政策预估表!A:N,MATCH(O7439,[2]媒体政策预估表!$A$2:$M$2,0),0)</f>
        <v>7.0000000000000007E-2</v>
      </c>
      <c r="AF7439" s="6">
        <f t="shared" si="1150"/>
        <v>189.81900000000002</v>
      </c>
      <c r="AG7439" s="14">
        <v>0</v>
      </c>
      <c r="AH7439" s="64">
        <f t="shared" si="1149"/>
        <v>2711.7</v>
      </c>
      <c r="AJ7439" s="126" t="e">
        <v>#N/A</v>
      </c>
      <c r="AK7439" s="80">
        <f t="shared" si="1155"/>
        <v>0</v>
      </c>
      <c r="AL7439" s="85"/>
      <c r="AM7439" s="85"/>
    </row>
    <row r="7440" spans="1:39" s="86" customFormat="1" ht="13.25" hidden="1" customHeight="1" x14ac:dyDescent="0.3">
      <c r="A7440" s="89" t="s">
        <v>3792</v>
      </c>
      <c r="B7440" s="86" t="s">
        <v>35</v>
      </c>
      <c r="C7440" s="86" t="s">
        <v>184</v>
      </c>
      <c r="D7440" s="86" t="s">
        <v>54</v>
      </c>
      <c r="E7440" s="86" t="s">
        <v>4105</v>
      </c>
      <c r="F7440" s="86" t="s">
        <v>4105</v>
      </c>
      <c r="G7440" s="86" t="s">
        <v>4105</v>
      </c>
      <c r="H7440" s="143">
        <v>360</v>
      </c>
      <c r="I7440" s="86" t="s">
        <v>1060</v>
      </c>
      <c r="J7440" s="47" t="s">
        <v>3325</v>
      </c>
      <c r="K7440" s="47" t="s">
        <v>3767</v>
      </c>
      <c r="L7440" s="47" t="s">
        <v>35</v>
      </c>
      <c r="M7440" s="86" t="s">
        <v>4105</v>
      </c>
      <c r="O7440" s="47" t="s">
        <v>410</v>
      </c>
      <c r="P7440" s="47" t="s">
        <v>41</v>
      </c>
      <c r="Q7440" s="14">
        <v>0</v>
      </c>
      <c r="R7440" s="143" t="s">
        <v>4106</v>
      </c>
      <c r="S7440" s="47"/>
      <c r="T7440" s="6">
        <v>0</v>
      </c>
      <c r="U7440" s="6">
        <v>10000</v>
      </c>
      <c r="V7440" s="6">
        <v>0</v>
      </c>
      <c r="W7440" s="6">
        <f t="shared" si="1147"/>
        <v>10000</v>
      </c>
      <c r="X7440" s="6">
        <f t="shared" si="1151"/>
        <v>0</v>
      </c>
      <c r="Y7440" s="13">
        <f t="shared" si="1153"/>
        <v>0</v>
      </c>
      <c r="Z7440" s="66">
        <v>0</v>
      </c>
      <c r="AA7440" s="6">
        <v>0</v>
      </c>
      <c r="AB7440" s="4">
        <f t="shared" si="1154"/>
        <v>0</v>
      </c>
      <c r="AC7440" s="6">
        <f t="shared" si="1152"/>
        <v>0</v>
      </c>
      <c r="AD7440" s="6">
        <f t="shared" si="1148"/>
        <v>0</v>
      </c>
      <c r="AE7440" s="14">
        <f>VLOOKUP(I7440,[2]媒体政策预估表!A:N,MATCH(O7440,[2]媒体政策预估表!$A$2:$M$2,0),0)</f>
        <v>7.0000000000000007E-2</v>
      </c>
      <c r="AF7440" s="6">
        <f t="shared" si="1150"/>
        <v>0</v>
      </c>
      <c r="AG7440" s="14">
        <v>0</v>
      </c>
      <c r="AH7440" s="64">
        <f t="shared" si="1149"/>
        <v>0</v>
      </c>
      <c r="AJ7440" s="126" t="e">
        <v>#N/A</v>
      </c>
      <c r="AK7440" s="80">
        <f t="shared" si="1155"/>
        <v>0</v>
      </c>
      <c r="AL7440" s="85"/>
      <c r="AM7440" s="85"/>
    </row>
    <row r="7441" spans="1:39" s="86" customFormat="1" ht="13.25" hidden="1" customHeight="1" x14ac:dyDescent="0.3">
      <c r="A7441" s="89" t="s">
        <v>3978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3767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147"/>
        <v>39914.749999999993</v>
      </c>
      <c r="X7441" s="6">
        <f t="shared" si="1151"/>
        <v>54947.205882352944</v>
      </c>
      <c r="Y7441" s="13">
        <f t="shared" si="1153"/>
        <v>0</v>
      </c>
      <c r="Z7441" s="66">
        <v>0</v>
      </c>
      <c r="AA7441" s="6">
        <v>0</v>
      </c>
      <c r="AB7441" s="4">
        <f t="shared" si="1154"/>
        <v>54947.205882352944</v>
      </c>
      <c r="AC7441" s="6">
        <f t="shared" si="1152"/>
        <v>1098.9441176470573</v>
      </c>
      <c r="AD7441" s="6">
        <f t="shared" si="1148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150"/>
        <v>3923.2305000000006</v>
      </c>
      <c r="AG7441" s="14">
        <v>0</v>
      </c>
      <c r="AH7441" s="64">
        <f t="shared" si="1149"/>
        <v>56046.15</v>
      </c>
      <c r="AJ7441" s="126" t="e">
        <v>#N/A</v>
      </c>
      <c r="AK7441" s="80">
        <f t="shared" si="1155"/>
        <v>0</v>
      </c>
      <c r="AL7441" s="85"/>
      <c r="AM7441" s="85"/>
    </row>
    <row r="7442" spans="1:39" s="86" customFormat="1" ht="13.25" hidden="1" customHeight="1" x14ac:dyDescent="0.3">
      <c r="A7442" s="89" t="s">
        <v>3978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3767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147"/>
        <v>60653.399999999994</v>
      </c>
      <c r="X7442" s="6">
        <f t="shared" si="1151"/>
        <v>42869.607843137252</v>
      </c>
      <c r="Y7442" s="13">
        <f t="shared" si="1153"/>
        <v>0</v>
      </c>
      <c r="Z7442" s="66">
        <v>0</v>
      </c>
      <c r="AA7442" s="6">
        <v>0</v>
      </c>
      <c r="AB7442" s="4">
        <f t="shared" si="1154"/>
        <v>42869.607843137252</v>
      </c>
      <c r="AC7442" s="6">
        <f t="shared" si="1152"/>
        <v>857.39215686274838</v>
      </c>
      <c r="AD7442" s="6">
        <f t="shared" si="1148"/>
        <v>43727</v>
      </c>
      <c r="AE7442" s="14">
        <f>VLOOKUP(I7442,[2]媒体政策预估表!A:N,MATCH(O7442,[2]媒体政策预估表!$A$2:$M$2,0),0)</f>
        <v>7.0000000000000007E-2</v>
      </c>
      <c r="AF7442" s="6">
        <f t="shared" si="1150"/>
        <v>3060.8900000000003</v>
      </c>
      <c r="AG7442" s="14">
        <v>0</v>
      </c>
      <c r="AH7442" s="64">
        <f t="shared" si="1149"/>
        <v>43727</v>
      </c>
      <c r="AJ7442" s="126" t="e">
        <v>#N/A</v>
      </c>
      <c r="AK7442" s="80">
        <f t="shared" si="1155"/>
        <v>0</v>
      </c>
      <c r="AL7442" s="85"/>
      <c r="AM7442" s="85"/>
    </row>
    <row r="7443" spans="1:39" s="86" customFormat="1" ht="13.25" hidden="1" customHeight="1" x14ac:dyDescent="0.3">
      <c r="A7443" s="89" t="s">
        <v>3978</v>
      </c>
      <c r="B7443" s="86" t="s">
        <v>35</v>
      </c>
      <c r="C7443" s="86" t="s">
        <v>184</v>
      </c>
      <c r="D7443" s="86" t="s">
        <v>54</v>
      </c>
      <c r="E7443" s="86" t="s">
        <v>4107</v>
      </c>
      <c r="F7443" s="86" t="s">
        <v>4107</v>
      </c>
      <c r="G7443" s="86" t="s">
        <v>4107</v>
      </c>
      <c r="H7443" s="144">
        <v>360</v>
      </c>
      <c r="I7443" s="86" t="s">
        <v>1060</v>
      </c>
      <c r="J7443" s="47" t="s">
        <v>3325</v>
      </c>
      <c r="K7443" s="47" t="s">
        <v>3767</v>
      </c>
      <c r="L7443" s="47" t="s">
        <v>35</v>
      </c>
      <c r="M7443" s="86" t="s">
        <v>4107</v>
      </c>
      <c r="O7443" s="47" t="s">
        <v>410</v>
      </c>
      <c r="P7443" s="47" t="s">
        <v>41</v>
      </c>
      <c r="Q7443" s="14">
        <v>0</v>
      </c>
      <c r="R7443" s="143" t="s">
        <v>4108</v>
      </c>
      <c r="S7443" s="47"/>
      <c r="T7443" s="6">
        <v>0</v>
      </c>
      <c r="U7443" s="6">
        <v>10000</v>
      </c>
      <c r="V7443" s="6">
        <v>766.3</v>
      </c>
      <c r="W7443" s="6">
        <f t="shared" si="1147"/>
        <v>9233.7000000000007</v>
      </c>
      <c r="X7443" s="6">
        <f t="shared" si="1151"/>
        <v>766.3</v>
      </c>
      <c r="Y7443" s="13">
        <f t="shared" si="1153"/>
        <v>0</v>
      </c>
      <c r="Z7443" s="66">
        <v>0</v>
      </c>
      <c r="AA7443" s="6">
        <v>0</v>
      </c>
      <c r="AB7443" s="4">
        <f t="shared" si="1154"/>
        <v>766.3</v>
      </c>
      <c r="AC7443" s="6">
        <f t="shared" si="1152"/>
        <v>0</v>
      </c>
      <c r="AD7443" s="6">
        <f t="shared" si="1148"/>
        <v>766.3</v>
      </c>
      <c r="AE7443" s="14">
        <f>VLOOKUP(I7443,[2]媒体政策预估表!A:N,MATCH(O7443,[2]媒体政策预估表!$A$2:$M$2,0),0)</f>
        <v>7.0000000000000007E-2</v>
      </c>
      <c r="AF7443" s="6">
        <f t="shared" si="1150"/>
        <v>53.641000000000005</v>
      </c>
      <c r="AG7443" s="14">
        <v>0</v>
      </c>
      <c r="AH7443" s="64">
        <f t="shared" si="1149"/>
        <v>766.3</v>
      </c>
      <c r="AJ7443" s="126" t="e">
        <v>#N/A</v>
      </c>
      <c r="AK7443" s="80">
        <f t="shared" si="1155"/>
        <v>0</v>
      </c>
      <c r="AL7443" s="85"/>
      <c r="AM7443" s="85"/>
    </row>
    <row r="7444" spans="1:39" s="86" customFormat="1" ht="13.25" hidden="1" customHeight="1" x14ac:dyDescent="0.3">
      <c r="A7444" s="89" t="s">
        <v>3792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3767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147"/>
        <v>6279.2099999999991</v>
      </c>
      <c r="X7444" s="6">
        <f t="shared" si="1151"/>
        <v>28460.39</v>
      </c>
      <c r="Y7444" s="13">
        <f t="shared" si="1153"/>
        <v>0</v>
      </c>
      <c r="Z7444" s="66">
        <v>0</v>
      </c>
      <c r="AA7444" s="6">
        <v>0</v>
      </c>
      <c r="AB7444" s="4">
        <f t="shared" si="1154"/>
        <v>28460.39</v>
      </c>
      <c r="AC7444" s="6">
        <f t="shared" si="1152"/>
        <v>0</v>
      </c>
      <c r="AD7444" s="6">
        <f t="shared" si="1148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150"/>
        <v>1992.2273000000002</v>
      </c>
      <c r="AG7444" s="14">
        <v>0</v>
      </c>
      <c r="AH7444" s="64">
        <f t="shared" si="1149"/>
        <v>28460.39</v>
      </c>
      <c r="AJ7444" s="126" t="e">
        <v>#N/A</v>
      </c>
      <c r="AK7444" s="80">
        <f t="shared" si="1155"/>
        <v>0</v>
      </c>
      <c r="AL7444" s="85"/>
      <c r="AM7444" s="85"/>
    </row>
    <row r="7445" spans="1:39" s="86" customFormat="1" ht="13.25" hidden="1" customHeight="1" x14ac:dyDescent="0.3">
      <c r="A7445" s="89" t="s">
        <v>3792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3767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147"/>
        <v>20308.579999999987</v>
      </c>
      <c r="X7445" s="6">
        <f t="shared" si="1151"/>
        <v>130581.72</v>
      </c>
      <c r="Y7445" s="13">
        <f t="shared" si="1153"/>
        <v>0</v>
      </c>
      <c r="Z7445" s="66">
        <v>0</v>
      </c>
      <c r="AA7445" s="6">
        <v>0</v>
      </c>
      <c r="AB7445" s="4">
        <f t="shared" si="1154"/>
        <v>130581.72</v>
      </c>
      <c r="AC7445" s="6">
        <f t="shared" si="1152"/>
        <v>0</v>
      </c>
      <c r="AD7445" s="6">
        <f t="shared" si="1148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150"/>
        <v>9140.7204000000002</v>
      </c>
      <c r="AG7445" s="14">
        <v>0</v>
      </c>
      <c r="AH7445" s="64">
        <f t="shared" si="1149"/>
        <v>130581.72</v>
      </c>
      <c r="AJ7445" s="126" t="e">
        <v>#N/A</v>
      </c>
      <c r="AK7445" s="80">
        <f t="shared" si="1155"/>
        <v>0</v>
      </c>
      <c r="AL7445" s="85"/>
      <c r="AM7445" s="85"/>
    </row>
    <row r="7446" spans="1:39" s="86" customFormat="1" ht="13.25" hidden="1" customHeight="1" x14ac:dyDescent="0.3">
      <c r="A7446" s="89" t="s">
        <v>3792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3767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147"/>
        <v>193484.5</v>
      </c>
      <c r="X7446" s="6">
        <f t="shared" si="1151"/>
        <v>141722.70000000001</v>
      </c>
      <c r="Y7446" s="13">
        <f t="shared" si="1153"/>
        <v>0</v>
      </c>
      <c r="Z7446" s="66">
        <v>0</v>
      </c>
      <c r="AA7446" s="6">
        <v>0</v>
      </c>
      <c r="AB7446" s="4">
        <f t="shared" si="1154"/>
        <v>141722.70000000001</v>
      </c>
      <c r="AC7446" s="6">
        <f t="shared" si="1152"/>
        <v>0</v>
      </c>
      <c r="AD7446" s="6">
        <f t="shared" si="1148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150"/>
        <v>9920.5890000000018</v>
      </c>
      <c r="AG7446" s="14">
        <v>0</v>
      </c>
      <c r="AH7446" s="64">
        <f t="shared" si="1149"/>
        <v>141722.70000000001</v>
      </c>
      <c r="AJ7446" s="126" t="e">
        <v>#N/A</v>
      </c>
      <c r="AK7446" s="80">
        <f t="shared" si="1155"/>
        <v>0</v>
      </c>
      <c r="AL7446" s="85"/>
      <c r="AM7446" s="85"/>
    </row>
    <row r="7447" spans="1:39" s="86" customFormat="1" ht="13.25" hidden="1" customHeight="1" x14ac:dyDescent="0.3">
      <c r="A7447" s="89" t="s">
        <v>3792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3767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147"/>
        <v>24779.799999999988</v>
      </c>
      <c r="X7447" s="6">
        <f t="shared" si="1151"/>
        <v>368537.4</v>
      </c>
      <c r="Y7447" s="13">
        <f t="shared" si="1153"/>
        <v>0</v>
      </c>
      <c r="Z7447" s="66">
        <v>0</v>
      </c>
      <c r="AA7447" s="6">
        <v>0</v>
      </c>
      <c r="AB7447" s="4">
        <f t="shared" si="1154"/>
        <v>368537.4</v>
      </c>
      <c r="AC7447" s="6">
        <f t="shared" si="1152"/>
        <v>0</v>
      </c>
      <c r="AD7447" s="6">
        <f t="shared" si="1148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150"/>
        <v>25797.618000000006</v>
      </c>
      <c r="AG7447" s="14">
        <v>0</v>
      </c>
      <c r="AH7447" s="64">
        <f t="shared" si="1149"/>
        <v>368537.4</v>
      </c>
      <c r="AJ7447" s="126" t="e">
        <v>#N/A</v>
      </c>
      <c r="AK7447" s="80">
        <f t="shared" si="1155"/>
        <v>0</v>
      </c>
      <c r="AL7447" s="85"/>
      <c r="AM7447" s="85"/>
    </row>
    <row r="7448" spans="1:39" s="86" customFormat="1" ht="13.25" hidden="1" customHeight="1" x14ac:dyDescent="0.3">
      <c r="A7448" s="89" t="s">
        <v>3792</v>
      </c>
      <c r="B7448" s="86" t="s">
        <v>35</v>
      </c>
      <c r="C7448" s="86" t="s">
        <v>184</v>
      </c>
      <c r="D7448" s="86" t="s">
        <v>3849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3767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147"/>
        <v>191910.80000000005</v>
      </c>
      <c r="X7448" s="6">
        <f t="shared" si="1151"/>
        <v>124574.50980392157</v>
      </c>
      <c r="Y7448" s="13">
        <f t="shared" si="1153"/>
        <v>0</v>
      </c>
      <c r="Z7448" s="66">
        <v>0</v>
      </c>
      <c r="AA7448" s="6">
        <v>0</v>
      </c>
      <c r="AB7448" s="4">
        <f t="shared" si="1154"/>
        <v>124574.50980392157</v>
      </c>
      <c r="AC7448" s="6">
        <f t="shared" si="1152"/>
        <v>2491.4901960784337</v>
      </c>
      <c r="AD7448" s="6">
        <f t="shared" si="1148"/>
        <v>127066</v>
      </c>
      <c r="AE7448" s="14">
        <f>VLOOKUP(I7448,[2]媒体政策预估表!A:N,MATCH(O7448,[2]媒体政策预估表!$A$2:$M$2,0),0)</f>
        <v>7.0000000000000007E-2</v>
      </c>
      <c r="AF7448" s="6">
        <f t="shared" si="1150"/>
        <v>8894.6200000000008</v>
      </c>
      <c r="AG7448" s="14">
        <v>0</v>
      </c>
      <c r="AH7448" s="64">
        <f t="shared" si="1149"/>
        <v>127066</v>
      </c>
      <c r="AJ7448" s="126" t="e">
        <v>#N/A</v>
      </c>
      <c r="AK7448" s="80">
        <f t="shared" si="1155"/>
        <v>0</v>
      </c>
      <c r="AL7448" s="85"/>
      <c r="AM7448" s="85"/>
    </row>
    <row r="7449" spans="1:39" s="86" customFormat="1" ht="13.25" hidden="1" customHeight="1" x14ac:dyDescent="0.3">
      <c r="A7449" s="89" t="s">
        <v>3978</v>
      </c>
      <c r="B7449" s="86" t="s">
        <v>35</v>
      </c>
      <c r="C7449" s="86" t="s">
        <v>184</v>
      </c>
      <c r="D7449" s="86" t="s">
        <v>3849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3767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156">T7449+U7449-V7449</f>
        <v>343346.60000000009</v>
      </c>
      <c r="X7449" s="6">
        <f t="shared" si="1151"/>
        <v>300620.5</v>
      </c>
      <c r="Y7449" s="13">
        <f t="shared" si="1153"/>
        <v>0</v>
      </c>
      <c r="Z7449" s="66">
        <v>0</v>
      </c>
      <c r="AA7449" s="6">
        <v>0</v>
      </c>
      <c r="AB7449" s="4">
        <f t="shared" si="1154"/>
        <v>300620.5</v>
      </c>
      <c r="AC7449" s="6">
        <f t="shared" si="1152"/>
        <v>0</v>
      </c>
      <c r="AD7449" s="6">
        <f t="shared" ref="AD7449:AD7512" si="1157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150"/>
        <v>21043.435000000001</v>
      </c>
      <c r="AG7449" s="14">
        <v>0</v>
      </c>
      <c r="AH7449" s="64">
        <f t="shared" ref="AH7449:AH7512" si="1158">V7449</f>
        <v>300620.5</v>
      </c>
      <c r="AJ7449" s="126" t="e">
        <v>#N/A</v>
      </c>
      <c r="AK7449" s="80">
        <f t="shared" si="1155"/>
        <v>0</v>
      </c>
      <c r="AL7449" s="85"/>
      <c r="AM7449" s="85"/>
    </row>
    <row r="7450" spans="1:39" s="86" customFormat="1" ht="13.25" hidden="1" customHeight="1" x14ac:dyDescent="0.3">
      <c r="A7450" s="89" t="s">
        <v>3792</v>
      </c>
      <c r="B7450" s="86" t="s">
        <v>35</v>
      </c>
      <c r="C7450" s="86" t="s">
        <v>184</v>
      </c>
      <c r="D7450" s="86" t="s">
        <v>3849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3767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156"/>
        <v>167816.90000000002</v>
      </c>
      <c r="X7450" s="6">
        <f t="shared" si="1151"/>
        <v>630411.19999999995</v>
      </c>
      <c r="Y7450" s="13">
        <f t="shared" si="1153"/>
        <v>0</v>
      </c>
      <c r="Z7450" s="66">
        <v>0</v>
      </c>
      <c r="AA7450" s="6">
        <v>0</v>
      </c>
      <c r="AB7450" s="4">
        <f t="shared" si="1154"/>
        <v>630411.19999999995</v>
      </c>
      <c r="AC7450" s="6">
        <f t="shared" si="1152"/>
        <v>0</v>
      </c>
      <c r="AD7450" s="6">
        <f t="shared" si="1157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150"/>
        <v>44128.784</v>
      </c>
      <c r="AG7450" s="14">
        <v>0</v>
      </c>
      <c r="AH7450" s="64">
        <f t="shared" si="1158"/>
        <v>630411.19999999995</v>
      </c>
      <c r="AJ7450" s="126" t="e">
        <v>#N/A</v>
      </c>
      <c r="AK7450" s="80">
        <f t="shared" si="1155"/>
        <v>0</v>
      </c>
      <c r="AL7450" s="85"/>
      <c r="AM7450" s="85"/>
    </row>
    <row r="7451" spans="1:39" s="86" customFormat="1" ht="13.25" hidden="1" customHeight="1" x14ac:dyDescent="0.3">
      <c r="A7451" s="89" t="s">
        <v>3978</v>
      </c>
      <c r="B7451" s="86" t="s">
        <v>35</v>
      </c>
      <c r="C7451" s="86" t="s">
        <v>184</v>
      </c>
      <c r="D7451" s="86" t="s">
        <v>3849</v>
      </c>
      <c r="E7451" s="86" t="s">
        <v>4109</v>
      </c>
      <c r="F7451" s="86" t="s">
        <v>4110</v>
      </c>
      <c r="G7451" s="86" t="s">
        <v>4109</v>
      </c>
      <c r="H7451" s="144">
        <v>360</v>
      </c>
      <c r="I7451" s="86" t="s">
        <v>1060</v>
      </c>
      <c r="J7451" s="47" t="s">
        <v>3325</v>
      </c>
      <c r="K7451" s="47" t="s">
        <v>3767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4111</v>
      </c>
      <c r="S7451" s="47"/>
      <c r="T7451" s="6">
        <v>0</v>
      </c>
      <c r="U7451" s="6">
        <v>50000</v>
      </c>
      <c r="V7451" s="6">
        <v>10492.59</v>
      </c>
      <c r="W7451" s="6">
        <f t="shared" si="1156"/>
        <v>39507.410000000003</v>
      </c>
      <c r="X7451" s="6">
        <f t="shared" si="1151"/>
        <v>10492.59</v>
      </c>
      <c r="Y7451" s="13">
        <f t="shared" si="1153"/>
        <v>0</v>
      </c>
      <c r="Z7451" s="66">
        <v>0</v>
      </c>
      <c r="AA7451" s="6">
        <v>0</v>
      </c>
      <c r="AB7451" s="4">
        <f t="shared" si="1154"/>
        <v>10492.59</v>
      </c>
      <c r="AC7451" s="6">
        <f t="shared" si="1152"/>
        <v>0</v>
      </c>
      <c r="AD7451" s="6">
        <f t="shared" si="1157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150"/>
        <v>734.48130000000003</v>
      </c>
      <c r="AG7451" s="14">
        <v>0</v>
      </c>
      <c r="AH7451" s="64">
        <f t="shared" si="1158"/>
        <v>10492.59</v>
      </c>
      <c r="AJ7451" s="126" t="e">
        <v>#N/A</v>
      </c>
      <c r="AK7451" s="80">
        <f t="shared" si="1155"/>
        <v>0</v>
      </c>
      <c r="AL7451" s="85"/>
      <c r="AM7451" s="85"/>
    </row>
    <row r="7452" spans="1:39" s="86" customFormat="1" ht="13.25" hidden="1" customHeight="1" x14ac:dyDescent="0.3">
      <c r="A7452" s="89" t="s">
        <v>3978</v>
      </c>
      <c r="B7452" s="86" t="s">
        <v>35</v>
      </c>
      <c r="C7452" s="86" t="s">
        <v>184</v>
      </c>
      <c r="D7452" s="86" t="s">
        <v>3849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3767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151"/>
        <v>0</v>
      </c>
      <c r="Y7452" s="13">
        <f t="shared" si="1153"/>
        <v>0</v>
      </c>
      <c r="Z7452" s="66">
        <v>0</v>
      </c>
      <c r="AA7452" s="6">
        <v>0</v>
      </c>
      <c r="AB7452" s="4">
        <f t="shared" si="1154"/>
        <v>0</v>
      </c>
      <c r="AC7452" s="6">
        <f t="shared" si="1152"/>
        <v>0</v>
      </c>
      <c r="AD7452" s="6">
        <f t="shared" si="1157"/>
        <v>0</v>
      </c>
      <c r="AE7452" s="14">
        <f>VLOOKUP(I7452,[2]媒体政策预估表!A:N,MATCH(O7452,[2]媒体政策预估表!$A$2:$M$2,0),0)</f>
        <v>7.0000000000000007E-2</v>
      </c>
      <c r="AF7452" s="6">
        <f t="shared" si="1150"/>
        <v>0</v>
      </c>
      <c r="AG7452" s="14">
        <v>0</v>
      </c>
      <c r="AH7452" s="64">
        <f t="shared" si="1158"/>
        <v>0</v>
      </c>
      <c r="AJ7452" s="126" t="e">
        <v>#N/A</v>
      </c>
      <c r="AK7452" s="80">
        <f t="shared" si="1155"/>
        <v>0</v>
      </c>
      <c r="AL7452" s="85"/>
      <c r="AM7452" s="85"/>
    </row>
    <row r="7453" spans="1:39" s="86" customFormat="1" ht="13.25" hidden="1" customHeight="1" x14ac:dyDescent="0.3">
      <c r="A7453" s="89" t="s">
        <v>3978</v>
      </c>
      <c r="B7453" s="86" t="s">
        <v>35</v>
      </c>
      <c r="C7453" s="86" t="s">
        <v>184</v>
      </c>
      <c r="D7453" s="86" t="s">
        <v>3849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3767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156"/>
        <v>64182.400000000023</v>
      </c>
      <c r="X7453" s="6">
        <f t="shared" si="1151"/>
        <v>144674</v>
      </c>
      <c r="Y7453" s="13">
        <f t="shared" si="1153"/>
        <v>0</v>
      </c>
      <c r="Z7453" s="66">
        <v>0</v>
      </c>
      <c r="AA7453" s="6">
        <v>0</v>
      </c>
      <c r="AB7453" s="4">
        <f t="shared" si="1154"/>
        <v>144674</v>
      </c>
      <c r="AC7453" s="6">
        <f t="shared" si="1152"/>
        <v>0</v>
      </c>
      <c r="AD7453" s="6">
        <f t="shared" si="1157"/>
        <v>144674</v>
      </c>
      <c r="AE7453" s="14">
        <f>VLOOKUP(I7453,[2]媒体政策预估表!A:N,MATCH(O7453,[2]媒体政策预估表!$A$2:$M$2,0),0)</f>
        <v>7.0000000000000007E-2</v>
      </c>
      <c r="AF7453" s="6">
        <f t="shared" si="1150"/>
        <v>10127.18</v>
      </c>
      <c r="AG7453" s="14">
        <v>0</v>
      </c>
      <c r="AH7453" s="64">
        <f t="shared" si="1158"/>
        <v>144674</v>
      </c>
      <c r="AJ7453" s="126" t="e">
        <v>#N/A</v>
      </c>
      <c r="AK7453" s="80">
        <f t="shared" si="1155"/>
        <v>0</v>
      </c>
      <c r="AL7453" s="85"/>
      <c r="AM7453" s="85"/>
    </row>
    <row r="7454" spans="1:39" s="86" customFormat="1" ht="13.25" hidden="1" customHeight="1" x14ac:dyDescent="0.3">
      <c r="A7454" s="89" t="s">
        <v>3978</v>
      </c>
      <c r="B7454" s="86" t="s">
        <v>35</v>
      </c>
      <c r="C7454" s="86" t="s">
        <v>184</v>
      </c>
      <c r="D7454" s="86" t="s">
        <v>3849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3767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156"/>
        <v>17288.190029999998</v>
      </c>
      <c r="X7454" s="6">
        <f t="shared" si="1151"/>
        <v>130289.41176470589</v>
      </c>
      <c r="Y7454" s="13">
        <f t="shared" si="1153"/>
        <v>0</v>
      </c>
      <c r="Z7454" s="66">
        <v>0</v>
      </c>
      <c r="AA7454" s="6">
        <v>0</v>
      </c>
      <c r="AB7454" s="4">
        <f t="shared" si="1154"/>
        <v>130289.41176470589</v>
      </c>
      <c r="AC7454" s="6">
        <f t="shared" si="1152"/>
        <v>2605.7882352941233</v>
      </c>
      <c r="AD7454" s="6">
        <f t="shared" si="1157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150"/>
        <v>9302.6640000000025</v>
      </c>
      <c r="AG7454" s="14">
        <v>0</v>
      </c>
      <c r="AH7454" s="64">
        <f t="shared" si="1158"/>
        <v>132895.20000000001</v>
      </c>
      <c r="AJ7454" s="126" t="e">
        <v>#N/A</v>
      </c>
      <c r="AK7454" s="80">
        <f t="shared" si="1155"/>
        <v>0</v>
      </c>
      <c r="AL7454" s="85"/>
      <c r="AM7454" s="85"/>
    </row>
    <row r="7455" spans="1:39" s="86" customFormat="1" ht="13.25" hidden="1" customHeight="1" x14ac:dyDescent="0.3">
      <c r="A7455" s="89" t="s">
        <v>3792</v>
      </c>
      <c r="B7455" s="86" t="s">
        <v>35</v>
      </c>
      <c r="C7455" s="86" t="s">
        <v>184</v>
      </c>
      <c r="D7455" s="86" t="s">
        <v>3849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3767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156"/>
        <v>19754.409999999974</v>
      </c>
      <c r="X7455" s="6">
        <f t="shared" si="1151"/>
        <v>122095.6862745098</v>
      </c>
      <c r="Y7455" s="13">
        <f t="shared" si="1153"/>
        <v>0</v>
      </c>
      <c r="Z7455" s="66">
        <v>0</v>
      </c>
      <c r="AA7455" s="6">
        <v>0</v>
      </c>
      <c r="AB7455" s="4">
        <f t="shared" si="1154"/>
        <v>122095.6862745098</v>
      </c>
      <c r="AC7455" s="6">
        <f t="shared" si="1152"/>
        <v>2441.9137254902016</v>
      </c>
      <c r="AD7455" s="6">
        <f t="shared" si="1157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150"/>
        <v>8717.6320000000014</v>
      </c>
      <c r="AG7455" s="14">
        <v>0</v>
      </c>
      <c r="AH7455" s="64">
        <f t="shared" si="1158"/>
        <v>124537.60000000001</v>
      </c>
      <c r="AJ7455" s="126" t="e">
        <v>#N/A</v>
      </c>
      <c r="AK7455" s="80">
        <f t="shared" si="1155"/>
        <v>0</v>
      </c>
      <c r="AL7455" s="85"/>
      <c r="AM7455" s="85"/>
    </row>
    <row r="7456" spans="1:39" s="86" customFormat="1" ht="13.25" hidden="1" customHeight="1" x14ac:dyDescent="0.3">
      <c r="A7456" s="89" t="s">
        <v>3792</v>
      </c>
      <c r="B7456" s="86" t="s">
        <v>35</v>
      </c>
      <c r="C7456" s="86" t="s">
        <v>184</v>
      </c>
      <c r="D7456" s="86" t="s">
        <v>3849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3767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156"/>
        <v>2171.570000000007</v>
      </c>
      <c r="X7456" s="6">
        <f t="shared" si="1151"/>
        <v>68517.8</v>
      </c>
      <c r="Y7456" s="13">
        <f t="shared" si="1153"/>
        <v>0</v>
      </c>
      <c r="Z7456" s="66">
        <v>0</v>
      </c>
      <c r="AA7456" s="6">
        <v>0</v>
      </c>
      <c r="AB7456" s="4">
        <f t="shared" si="1154"/>
        <v>68517.8</v>
      </c>
      <c r="AC7456" s="6">
        <f t="shared" si="1152"/>
        <v>0</v>
      </c>
      <c r="AD7456" s="6">
        <f t="shared" si="1157"/>
        <v>68517.8</v>
      </c>
      <c r="AE7456" s="14">
        <f>VLOOKUP(I7456,[2]媒体政策预估表!A:N,MATCH(O7456,[2]媒体政策预估表!$A$2:$M$2,0),0)</f>
        <v>7.0000000000000007E-2</v>
      </c>
      <c r="AF7456" s="6">
        <f t="shared" si="1150"/>
        <v>4796.246000000001</v>
      </c>
      <c r="AG7456" s="14">
        <v>0</v>
      </c>
      <c r="AH7456" s="64">
        <f t="shared" si="1158"/>
        <v>68517.8</v>
      </c>
      <c r="AJ7456" s="126" t="e">
        <v>#N/A</v>
      </c>
      <c r="AK7456" s="80">
        <f t="shared" si="1155"/>
        <v>0</v>
      </c>
      <c r="AL7456" s="85"/>
      <c r="AM7456" s="85"/>
    </row>
    <row r="7457" spans="1:39" s="86" customFormat="1" ht="13.25" hidden="1" customHeight="1" x14ac:dyDescent="0.3">
      <c r="A7457" s="89" t="s">
        <v>3978</v>
      </c>
      <c r="B7457" s="86" t="s">
        <v>35</v>
      </c>
      <c r="C7457" s="86" t="s">
        <v>184</v>
      </c>
      <c r="D7457" s="86" t="s">
        <v>3849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3767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156"/>
        <v>48642.5</v>
      </c>
      <c r="X7457" s="6">
        <f t="shared" si="1151"/>
        <v>116667.9</v>
      </c>
      <c r="Y7457" s="13">
        <f t="shared" si="1153"/>
        <v>0</v>
      </c>
      <c r="Z7457" s="66">
        <v>0</v>
      </c>
      <c r="AA7457" s="6">
        <v>0</v>
      </c>
      <c r="AB7457" s="4">
        <f t="shared" si="1154"/>
        <v>116667.9</v>
      </c>
      <c r="AC7457" s="6">
        <f t="shared" si="1152"/>
        <v>0</v>
      </c>
      <c r="AD7457" s="6">
        <f t="shared" si="1157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150"/>
        <v>8166.7530000000006</v>
      </c>
      <c r="AG7457" s="14">
        <v>0</v>
      </c>
      <c r="AH7457" s="64">
        <f t="shared" si="1158"/>
        <v>116667.9</v>
      </c>
      <c r="AJ7457" s="126" t="e">
        <v>#N/A</v>
      </c>
      <c r="AK7457" s="80">
        <f t="shared" si="1155"/>
        <v>0</v>
      </c>
      <c r="AL7457" s="85"/>
      <c r="AM7457" s="85"/>
    </row>
    <row r="7458" spans="1:39" s="86" customFormat="1" ht="13.25" hidden="1" customHeight="1" x14ac:dyDescent="0.3">
      <c r="A7458" s="89" t="s">
        <v>3978</v>
      </c>
      <c r="B7458" s="86" t="s">
        <v>35</v>
      </c>
      <c r="C7458" s="86" t="s">
        <v>184</v>
      </c>
      <c r="D7458" s="86" t="s">
        <v>3849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3767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156"/>
        <v>10337.739999999998</v>
      </c>
      <c r="X7458" s="6">
        <f t="shared" si="1151"/>
        <v>13413</v>
      </c>
      <c r="Y7458" s="13">
        <f t="shared" si="1153"/>
        <v>0</v>
      </c>
      <c r="Z7458" s="66">
        <v>0</v>
      </c>
      <c r="AA7458" s="6">
        <v>0</v>
      </c>
      <c r="AB7458" s="4">
        <f t="shared" si="1154"/>
        <v>13413</v>
      </c>
      <c r="AC7458" s="6">
        <f t="shared" si="1152"/>
        <v>0</v>
      </c>
      <c r="AD7458" s="6">
        <f t="shared" si="1157"/>
        <v>13413</v>
      </c>
      <c r="AE7458" s="14">
        <f>VLOOKUP(I7458,[2]媒体政策预估表!A:N,MATCH(O7458,[2]媒体政策预估表!$A$2:$M$2,0),0)</f>
        <v>7.0000000000000007E-2</v>
      </c>
      <c r="AF7458" s="6">
        <f t="shared" si="1150"/>
        <v>938.91000000000008</v>
      </c>
      <c r="AG7458" s="14">
        <v>0</v>
      </c>
      <c r="AH7458" s="64">
        <f t="shared" si="1158"/>
        <v>13413</v>
      </c>
      <c r="AJ7458" s="126" t="e">
        <v>#N/A</v>
      </c>
      <c r="AK7458" s="80">
        <f t="shared" si="1155"/>
        <v>0</v>
      </c>
      <c r="AL7458" s="85"/>
      <c r="AM7458" s="85"/>
    </row>
    <row r="7459" spans="1:39" s="86" customFormat="1" ht="13.25" hidden="1" customHeight="1" x14ac:dyDescent="0.3">
      <c r="A7459" s="89" t="s">
        <v>3978</v>
      </c>
      <c r="B7459" s="86" t="s">
        <v>35</v>
      </c>
      <c r="C7459" s="86" t="s">
        <v>184</v>
      </c>
      <c r="D7459" s="86" t="s">
        <v>3849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3767</v>
      </c>
      <c r="L7459" s="47" t="s">
        <v>35</v>
      </c>
      <c r="M7459" s="86" t="s">
        <v>4112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156"/>
        <v>6627.52</v>
      </c>
      <c r="X7459" s="6">
        <f t="shared" si="1151"/>
        <v>3372.4799999999996</v>
      </c>
      <c r="Y7459" s="13">
        <f t="shared" si="1153"/>
        <v>0</v>
      </c>
      <c r="Z7459" s="66">
        <v>0</v>
      </c>
      <c r="AA7459" s="6">
        <v>0</v>
      </c>
      <c r="AB7459" s="4">
        <f t="shared" si="1154"/>
        <v>3372.4799999999996</v>
      </c>
      <c r="AC7459" s="6">
        <f t="shared" si="1152"/>
        <v>0</v>
      </c>
      <c r="AD7459" s="6">
        <f t="shared" si="1157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150"/>
        <v>236.0736</v>
      </c>
      <c r="AG7459" s="14">
        <v>0</v>
      </c>
      <c r="AH7459" s="64">
        <f t="shared" si="1158"/>
        <v>3372.4799999999996</v>
      </c>
      <c r="AJ7459" s="126" t="e">
        <v>#N/A</v>
      </c>
      <c r="AK7459" s="80">
        <f t="shared" si="1155"/>
        <v>0</v>
      </c>
      <c r="AL7459" s="85"/>
      <c r="AM7459" s="85"/>
    </row>
    <row r="7460" spans="1:39" s="86" customFormat="1" ht="13.25" hidden="1" customHeight="1" x14ac:dyDescent="0.3">
      <c r="A7460" s="89" t="s">
        <v>3792</v>
      </c>
      <c r="B7460" s="86" t="s">
        <v>35</v>
      </c>
      <c r="C7460" s="86" t="s">
        <v>184</v>
      </c>
      <c r="D7460" s="86" t="s">
        <v>3849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3767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156"/>
        <v>0</v>
      </c>
      <c r="X7460" s="6">
        <f t="shared" si="1151"/>
        <v>10002.02</v>
      </c>
      <c r="Y7460" s="13">
        <f t="shared" si="1153"/>
        <v>0</v>
      </c>
      <c r="Z7460" s="66">
        <v>0</v>
      </c>
      <c r="AA7460" s="6">
        <v>0</v>
      </c>
      <c r="AB7460" s="4">
        <f t="shared" si="1154"/>
        <v>10002.02</v>
      </c>
      <c r="AC7460" s="6">
        <f t="shared" si="1152"/>
        <v>0</v>
      </c>
      <c r="AD7460" s="6">
        <f t="shared" si="1157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159">AD7460*AE7460</f>
        <v>700.14140000000009</v>
      </c>
      <c r="AG7460" s="14">
        <v>0</v>
      </c>
      <c r="AH7460" s="64">
        <f t="shared" si="1158"/>
        <v>10002.02</v>
      </c>
      <c r="AJ7460" s="126" t="e">
        <v>#N/A</v>
      </c>
      <c r="AK7460" s="80">
        <f t="shared" si="1155"/>
        <v>0</v>
      </c>
      <c r="AL7460" s="85"/>
      <c r="AM7460" s="85"/>
    </row>
    <row r="7461" spans="1:39" s="86" customFormat="1" ht="13.25" hidden="1" customHeight="1" x14ac:dyDescent="0.3">
      <c r="A7461" s="89" t="s">
        <v>3792</v>
      </c>
      <c r="B7461" s="86" t="s">
        <v>35</v>
      </c>
      <c r="C7461" s="86" t="s">
        <v>184</v>
      </c>
      <c r="D7461" s="86" t="s">
        <v>3849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3767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156"/>
        <v>24543.050070000005</v>
      </c>
      <c r="X7461" s="6">
        <f t="shared" si="1151"/>
        <v>5456.9499299999952</v>
      </c>
      <c r="Y7461" s="13">
        <f t="shared" si="1153"/>
        <v>0</v>
      </c>
      <c r="Z7461" s="66">
        <v>0</v>
      </c>
      <c r="AA7461" s="6">
        <v>0</v>
      </c>
      <c r="AB7461" s="4">
        <f t="shared" si="1154"/>
        <v>5456.9499299999952</v>
      </c>
      <c r="AC7461" s="6">
        <f t="shared" si="1152"/>
        <v>0</v>
      </c>
      <c r="AD7461" s="6">
        <f t="shared" si="1157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159"/>
        <v>381.98649509999973</v>
      </c>
      <c r="AG7461" s="14">
        <v>0</v>
      </c>
      <c r="AH7461" s="64">
        <f t="shared" si="1158"/>
        <v>5456.9499299999952</v>
      </c>
      <c r="AJ7461" s="126" t="e">
        <v>#N/A</v>
      </c>
      <c r="AK7461" s="80">
        <f t="shared" si="1155"/>
        <v>0</v>
      </c>
      <c r="AL7461" s="85"/>
      <c r="AM7461" s="85"/>
    </row>
    <row r="7462" spans="1:39" s="86" customFormat="1" ht="13.25" hidden="1" customHeight="1" x14ac:dyDescent="0.3">
      <c r="A7462" s="89" t="s">
        <v>3978</v>
      </c>
      <c r="B7462" s="86" t="s">
        <v>35</v>
      </c>
      <c r="C7462" s="86" t="s">
        <v>184</v>
      </c>
      <c r="D7462" s="86" t="s">
        <v>3849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3767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156"/>
        <v>0</v>
      </c>
      <c r="X7462" s="6">
        <f t="shared" si="1151"/>
        <v>35765.050070000005</v>
      </c>
      <c r="Y7462" s="13">
        <f t="shared" si="1153"/>
        <v>0</v>
      </c>
      <c r="Z7462" s="66">
        <v>0</v>
      </c>
      <c r="AA7462" s="6">
        <v>0</v>
      </c>
      <c r="AB7462" s="4">
        <f t="shared" si="1154"/>
        <v>35765.050070000005</v>
      </c>
      <c r="AC7462" s="6">
        <f t="shared" si="1152"/>
        <v>0</v>
      </c>
      <c r="AD7462" s="6">
        <f t="shared" si="1157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159"/>
        <v>2503.5535049000005</v>
      </c>
      <c r="AG7462" s="14">
        <v>0</v>
      </c>
      <c r="AH7462" s="64">
        <f t="shared" si="1158"/>
        <v>35765.050070000005</v>
      </c>
      <c r="AJ7462" s="126" t="e">
        <v>#N/A</v>
      </c>
      <c r="AK7462" s="80">
        <f t="shared" si="1155"/>
        <v>0</v>
      </c>
      <c r="AL7462" s="85"/>
      <c r="AM7462" s="85"/>
    </row>
    <row r="7463" spans="1:39" s="86" customFormat="1" ht="13.25" hidden="1" customHeight="1" x14ac:dyDescent="0.3">
      <c r="A7463" s="89" t="s">
        <v>3978</v>
      </c>
      <c r="B7463" s="86" t="s">
        <v>35</v>
      </c>
      <c r="C7463" s="86" t="s">
        <v>184</v>
      </c>
      <c r="D7463" s="86" t="s">
        <v>3849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3767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156"/>
        <v>30170.53</v>
      </c>
      <c r="X7463" s="6">
        <f t="shared" si="1151"/>
        <v>187506.5</v>
      </c>
      <c r="Y7463" s="13">
        <f t="shared" si="1153"/>
        <v>0</v>
      </c>
      <c r="Z7463" s="66">
        <v>0</v>
      </c>
      <c r="AA7463" s="6">
        <v>0</v>
      </c>
      <c r="AB7463" s="4">
        <f t="shared" si="1154"/>
        <v>187506.5</v>
      </c>
      <c r="AC7463" s="6">
        <f t="shared" si="1152"/>
        <v>0</v>
      </c>
      <c r="AD7463" s="6">
        <f t="shared" si="1157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159"/>
        <v>13125.455000000002</v>
      </c>
      <c r="AG7463" s="14">
        <v>0</v>
      </c>
      <c r="AH7463" s="64">
        <f t="shared" si="1158"/>
        <v>187506.5</v>
      </c>
      <c r="AJ7463" s="126" t="e">
        <v>#N/A</v>
      </c>
      <c r="AK7463" s="80">
        <f t="shared" si="1155"/>
        <v>0</v>
      </c>
      <c r="AL7463" s="85"/>
      <c r="AM7463" s="85"/>
    </row>
    <row r="7464" spans="1:39" s="86" customFormat="1" ht="13.25" hidden="1" customHeight="1" x14ac:dyDescent="0.3">
      <c r="A7464" s="89" t="s">
        <v>3792</v>
      </c>
      <c r="B7464" s="86" t="s">
        <v>35</v>
      </c>
      <c r="C7464" s="86" t="s">
        <v>184</v>
      </c>
      <c r="D7464" s="86" t="s">
        <v>3849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3767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156"/>
        <v>587244.36157999991</v>
      </c>
      <c r="X7464" s="6">
        <f t="shared" si="1151"/>
        <v>193438.22213000001</v>
      </c>
      <c r="Y7464" s="13">
        <f t="shared" si="1153"/>
        <v>0</v>
      </c>
      <c r="Z7464" s="66">
        <v>0</v>
      </c>
      <c r="AA7464" s="6">
        <v>0</v>
      </c>
      <c r="AB7464" s="4">
        <f t="shared" si="1154"/>
        <v>193438.22213000001</v>
      </c>
      <c r="AC7464" s="6">
        <f t="shared" si="1152"/>
        <v>0</v>
      </c>
      <c r="AD7464" s="6">
        <f t="shared" si="1157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159"/>
        <v>13540.675549100002</v>
      </c>
      <c r="AG7464" s="14">
        <v>0</v>
      </c>
      <c r="AH7464" s="64">
        <f t="shared" si="1158"/>
        <v>193438.22213000001</v>
      </c>
      <c r="AJ7464" s="126" t="e">
        <v>#N/A</v>
      </c>
      <c r="AK7464" s="80">
        <f t="shared" si="1155"/>
        <v>0</v>
      </c>
      <c r="AL7464" s="85"/>
      <c r="AM7464" s="85"/>
    </row>
    <row r="7465" spans="1:39" s="86" customFormat="1" ht="13.25" hidden="1" customHeight="1" x14ac:dyDescent="0.3">
      <c r="A7465" s="89" t="s">
        <v>3978</v>
      </c>
      <c r="B7465" s="86" t="s">
        <v>35</v>
      </c>
      <c r="C7465" s="86" t="s">
        <v>184</v>
      </c>
      <c r="D7465" s="86" t="s">
        <v>3849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3767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156"/>
        <v>-2.9399999999995998</v>
      </c>
      <c r="X7465" s="6">
        <f t="shared" si="1151"/>
        <v>0</v>
      </c>
      <c r="Y7465" s="13">
        <f t="shared" si="1153"/>
        <v>0</v>
      </c>
      <c r="Z7465" s="66">
        <v>0</v>
      </c>
      <c r="AA7465" s="6">
        <v>0</v>
      </c>
      <c r="AB7465" s="4">
        <f t="shared" si="1154"/>
        <v>0</v>
      </c>
      <c r="AC7465" s="6">
        <f t="shared" si="1152"/>
        <v>0</v>
      </c>
      <c r="AD7465" s="6">
        <f t="shared" si="1157"/>
        <v>0</v>
      </c>
      <c r="AE7465" s="14">
        <f>VLOOKUP(I7465,[2]媒体政策预估表!A:N,MATCH(O7465,[2]媒体政策预估表!$A$2:$M$2,0),0)</f>
        <v>7.0000000000000007E-2</v>
      </c>
      <c r="AF7465" s="6">
        <f t="shared" si="1159"/>
        <v>0</v>
      </c>
      <c r="AG7465" s="14">
        <v>0</v>
      </c>
      <c r="AH7465" s="64">
        <f t="shared" si="1158"/>
        <v>0</v>
      </c>
      <c r="AJ7465" s="126" t="e">
        <v>#N/A</v>
      </c>
      <c r="AK7465" s="80">
        <f t="shared" si="1155"/>
        <v>0</v>
      </c>
      <c r="AL7465" s="85"/>
      <c r="AM7465" s="85"/>
    </row>
    <row r="7466" spans="1:39" s="86" customFormat="1" ht="13.25" hidden="1" customHeight="1" x14ac:dyDescent="0.3">
      <c r="A7466" s="89" t="s">
        <v>3978</v>
      </c>
      <c r="B7466" s="86" t="s">
        <v>35</v>
      </c>
      <c r="C7466" s="86" t="s">
        <v>184</v>
      </c>
      <c r="D7466" s="86" t="s">
        <v>3849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3767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156"/>
        <v>600000</v>
      </c>
      <c r="X7466" s="6">
        <f t="shared" si="1151"/>
        <v>0</v>
      </c>
      <c r="Y7466" s="13">
        <f t="shared" si="1153"/>
        <v>0</v>
      </c>
      <c r="Z7466" s="66">
        <v>0</v>
      </c>
      <c r="AA7466" s="6">
        <v>0</v>
      </c>
      <c r="AB7466" s="4">
        <f t="shared" si="1154"/>
        <v>0</v>
      </c>
      <c r="AC7466" s="6">
        <f t="shared" si="1152"/>
        <v>0</v>
      </c>
      <c r="AD7466" s="6">
        <f t="shared" si="1157"/>
        <v>0</v>
      </c>
      <c r="AE7466" s="14">
        <f>VLOOKUP(I7466,[2]媒体政策预估表!A:N,MATCH(O7466,[2]媒体政策预估表!$A$2:$M$2,0),0)</f>
        <v>0.1</v>
      </c>
      <c r="AF7466" s="6">
        <f t="shared" si="1159"/>
        <v>0</v>
      </c>
      <c r="AG7466" s="14">
        <v>0</v>
      </c>
      <c r="AH7466" s="64">
        <f t="shared" si="1158"/>
        <v>0</v>
      </c>
      <c r="AJ7466" s="126" t="e">
        <v>#N/A</v>
      </c>
      <c r="AK7466" s="80">
        <f t="shared" si="1155"/>
        <v>0</v>
      </c>
      <c r="AL7466" s="85"/>
      <c r="AM7466" s="85"/>
    </row>
    <row r="7467" spans="1:39" s="86" customFormat="1" ht="13.25" hidden="1" customHeight="1" x14ac:dyDescent="0.3">
      <c r="A7467" s="89" t="s">
        <v>3978</v>
      </c>
      <c r="B7467" s="86" t="s">
        <v>35</v>
      </c>
      <c r="C7467" s="86" t="s">
        <v>184</v>
      </c>
      <c r="D7467" s="86" t="s">
        <v>3849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3767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156"/>
        <v>2727463.55</v>
      </c>
      <c r="X7467" s="6">
        <f t="shared" si="1151"/>
        <v>42565.8</v>
      </c>
      <c r="Y7467" s="13">
        <f t="shared" si="1153"/>
        <v>0</v>
      </c>
      <c r="Z7467" s="66">
        <v>0</v>
      </c>
      <c r="AA7467" s="6">
        <v>0</v>
      </c>
      <c r="AB7467" s="4">
        <f t="shared" si="1154"/>
        <v>42565.8</v>
      </c>
      <c r="AC7467" s="6">
        <f t="shared" si="1152"/>
        <v>0</v>
      </c>
      <c r="AD7467" s="6">
        <f t="shared" si="1157"/>
        <v>42565.8</v>
      </c>
      <c r="AE7467" s="14">
        <f>VLOOKUP(I7467,[2]媒体政策预估表!A:N,MATCH(O7467,[2]媒体政策预估表!$A$2:$M$2,0),0)</f>
        <v>0.1</v>
      </c>
      <c r="AF7467" s="6">
        <f t="shared" si="1159"/>
        <v>4256.5800000000008</v>
      </c>
      <c r="AG7467" s="14">
        <v>0</v>
      </c>
      <c r="AH7467" s="64">
        <f t="shared" si="1158"/>
        <v>42565.8</v>
      </c>
      <c r="AJ7467" s="126" t="e">
        <v>#N/A</v>
      </c>
      <c r="AK7467" s="80">
        <f t="shared" si="1155"/>
        <v>0</v>
      </c>
      <c r="AL7467" s="85"/>
      <c r="AM7467" s="85"/>
    </row>
    <row r="7468" spans="1:39" s="86" customFormat="1" ht="13.25" hidden="1" customHeight="1" x14ac:dyDescent="0.3">
      <c r="A7468" s="89" t="s">
        <v>3792</v>
      </c>
      <c r="B7468" s="86" t="s">
        <v>35</v>
      </c>
      <c r="C7468" s="86" t="s">
        <v>184</v>
      </c>
      <c r="D7468" s="86" t="s">
        <v>3849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3767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156"/>
        <v>52993</v>
      </c>
      <c r="X7468" s="6">
        <f t="shared" si="1151"/>
        <v>153926.1</v>
      </c>
      <c r="Y7468" s="13">
        <f t="shared" si="1153"/>
        <v>0</v>
      </c>
      <c r="Z7468" s="66">
        <v>0</v>
      </c>
      <c r="AA7468" s="6">
        <v>0</v>
      </c>
      <c r="AB7468" s="4">
        <f t="shared" si="1154"/>
        <v>153926.1</v>
      </c>
      <c r="AC7468" s="6">
        <f t="shared" si="1152"/>
        <v>0</v>
      </c>
      <c r="AD7468" s="6">
        <f t="shared" si="1157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159"/>
        <v>10774.827000000001</v>
      </c>
      <c r="AG7468" s="14">
        <v>0</v>
      </c>
      <c r="AH7468" s="64">
        <f t="shared" si="1158"/>
        <v>153926.1</v>
      </c>
      <c r="AJ7468" s="126" t="e">
        <v>#N/A</v>
      </c>
      <c r="AK7468" s="80">
        <f t="shared" si="1155"/>
        <v>0</v>
      </c>
      <c r="AL7468" s="85"/>
      <c r="AM7468" s="85"/>
    </row>
    <row r="7469" spans="1:39" s="86" customFormat="1" ht="13.25" hidden="1" customHeight="1" x14ac:dyDescent="0.3">
      <c r="A7469" s="89" t="s">
        <v>3978</v>
      </c>
      <c r="B7469" s="86" t="s">
        <v>35</v>
      </c>
      <c r="C7469" s="86" t="s">
        <v>184</v>
      </c>
      <c r="D7469" s="86" t="s">
        <v>3849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3767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156"/>
        <v>600000</v>
      </c>
      <c r="X7469" s="6">
        <f t="shared" si="1151"/>
        <v>0</v>
      </c>
      <c r="Y7469" s="13">
        <f t="shared" si="1153"/>
        <v>0</v>
      </c>
      <c r="Z7469" s="66">
        <v>0</v>
      </c>
      <c r="AA7469" s="6">
        <v>0</v>
      </c>
      <c r="AB7469" s="4">
        <f t="shared" si="1154"/>
        <v>0</v>
      </c>
      <c r="AC7469" s="6">
        <f t="shared" si="1152"/>
        <v>0</v>
      </c>
      <c r="AD7469" s="6">
        <f t="shared" si="1157"/>
        <v>0</v>
      </c>
      <c r="AE7469" s="14">
        <f>VLOOKUP(I7469,[2]媒体政策预估表!A:N,MATCH(O7469,[2]媒体政策预估表!$A$2:$M$2,0),0)</f>
        <v>7.0000000000000007E-2</v>
      </c>
      <c r="AF7469" s="6">
        <f t="shared" si="1159"/>
        <v>0</v>
      </c>
      <c r="AG7469" s="14">
        <v>0</v>
      </c>
      <c r="AH7469" s="64">
        <f t="shared" si="1158"/>
        <v>0</v>
      </c>
      <c r="AJ7469" s="126" t="e">
        <v>#N/A</v>
      </c>
      <c r="AK7469" s="80">
        <f t="shared" si="1155"/>
        <v>0</v>
      </c>
      <c r="AL7469" s="85"/>
      <c r="AM7469" s="85"/>
    </row>
    <row r="7470" spans="1:39" s="86" customFormat="1" ht="13.25" hidden="1" customHeight="1" x14ac:dyDescent="0.3">
      <c r="A7470" s="89" t="s">
        <v>3792</v>
      </c>
      <c r="B7470" s="86" t="s">
        <v>35</v>
      </c>
      <c r="C7470" s="86" t="s">
        <v>184</v>
      </c>
      <c r="D7470" s="86" t="s">
        <v>3849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3767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4113</v>
      </c>
      <c r="S7470" s="47"/>
      <c r="T7470" s="6">
        <v>0</v>
      </c>
      <c r="U7470" s="6">
        <v>100000</v>
      </c>
      <c r="V7470" s="6">
        <v>0</v>
      </c>
      <c r="W7470" s="6">
        <f t="shared" si="1156"/>
        <v>100000</v>
      </c>
      <c r="X7470" s="6">
        <f t="shared" si="1151"/>
        <v>0</v>
      </c>
      <c r="Y7470" s="13">
        <f t="shared" si="1153"/>
        <v>0</v>
      </c>
      <c r="Z7470" s="66">
        <v>0</v>
      </c>
      <c r="AA7470" s="6">
        <v>0</v>
      </c>
      <c r="AB7470" s="4">
        <f t="shared" si="1154"/>
        <v>0</v>
      </c>
      <c r="AC7470" s="6">
        <f t="shared" si="1152"/>
        <v>0</v>
      </c>
      <c r="AD7470" s="6">
        <f t="shared" si="1157"/>
        <v>0</v>
      </c>
      <c r="AE7470" s="14">
        <f>VLOOKUP(I7470,[2]媒体政策预估表!A:N,MATCH(O7470,[2]媒体政策预估表!$A$2:$M$2,0),0)</f>
        <v>7.0000000000000007E-2</v>
      </c>
      <c r="AF7470" s="6">
        <f t="shared" si="1159"/>
        <v>0</v>
      </c>
      <c r="AG7470" s="14">
        <v>0</v>
      </c>
      <c r="AH7470" s="64">
        <f t="shared" si="1158"/>
        <v>0</v>
      </c>
      <c r="AJ7470" s="126" t="e">
        <v>#N/A</v>
      </c>
      <c r="AK7470" s="80">
        <f t="shared" si="1155"/>
        <v>0</v>
      </c>
      <c r="AL7470" s="85"/>
      <c r="AM7470" s="85"/>
    </row>
    <row r="7471" spans="1:39" s="86" customFormat="1" ht="13.25" hidden="1" customHeight="1" x14ac:dyDescent="0.3">
      <c r="A7471" s="89" t="s">
        <v>3792</v>
      </c>
      <c r="B7471" s="86" t="s">
        <v>35</v>
      </c>
      <c r="C7471" s="86" t="s">
        <v>184</v>
      </c>
      <c r="D7471" s="86" t="s">
        <v>3849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3767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156"/>
        <v>1550000</v>
      </c>
      <c r="X7471" s="6">
        <f t="shared" si="1151"/>
        <v>0</v>
      </c>
      <c r="Y7471" s="13">
        <f t="shared" si="1153"/>
        <v>0</v>
      </c>
      <c r="Z7471" s="66">
        <v>0</v>
      </c>
      <c r="AA7471" s="6">
        <v>0</v>
      </c>
      <c r="AB7471" s="4">
        <f t="shared" si="1154"/>
        <v>0</v>
      </c>
      <c r="AC7471" s="6">
        <f t="shared" si="1152"/>
        <v>0</v>
      </c>
      <c r="AD7471" s="6">
        <f t="shared" si="1157"/>
        <v>0</v>
      </c>
      <c r="AE7471" s="14">
        <f>VLOOKUP(I7471,[2]媒体政策预估表!A:N,MATCH(O7471,[2]媒体政策预估表!$A$2:$M$2,0),0)</f>
        <v>7.0000000000000007E-2</v>
      </c>
      <c r="AF7471" s="6">
        <f t="shared" si="1159"/>
        <v>0</v>
      </c>
      <c r="AG7471" s="14">
        <v>0</v>
      </c>
      <c r="AH7471" s="64">
        <f t="shared" si="1158"/>
        <v>0</v>
      </c>
      <c r="AJ7471" s="126" t="e">
        <v>#N/A</v>
      </c>
      <c r="AK7471" s="80">
        <f t="shared" si="1155"/>
        <v>0</v>
      </c>
      <c r="AL7471" s="85"/>
      <c r="AM7471" s="85"/>
    </row>
    <row r="7472" spans="1:39" s="86" customFormat="1" ht="13.25" hidden="1" customHeight="1" x14ac:dyDescent="0.3">
      <c r="A7472" s="89" t="s">
        <v>3978</v>
      </c>
      <c r="B7472" s="86" t="s">
        <v>35</v>
      </c>
      <c r="C7472" s="86" t="s">
        <v>184</v>
      </c>
      <c r="D7472" s="86" t="s">
        <v>3849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3767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156"/>
        <v>93633.79999999993</v>
      </c>
      <c r="X7472" s="6">
        <f t="shared" ref="X7472:X7535" si="1160">IF(P7472="折扣",V7472*Q7472,IF(P7472="返现",V7472,V7472/(1+Q7472)))</f>
        <v>323606.40000000002</v>
      </c>
      <c r="Y7472" s="13">
        <f t="shared" si="1153"/>
        <v>0</v>
      </c>
      <c r="Z7472" s="66">
        <v>0</v>
      </c>
      <c r="AA7472" s="6">
        <v>0</v>
      </c>
      <c r="AB7472" s="4">
        <f t="shared" si="1154"/>
        <v>323606.40000000002</v>
      </c>
      <c r="AC7472" s="6">
        <f t="shared" si="1152"/>
        <v>0</v>
      </c>
      <c r="AD7472" s="6">
        <f t="shared" si="1157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159"/>
        <v>22652.448000000004</v>
      </c>
      <c r="AG7472" s="14">
        <v>0</v>
      </c>
      <c r="AH7472" s="64">
        <f t="shared" si="1158"/>
        <v>323606.40000000002</v>
      </c>
      <c r="AJ7472" s="126" t="e">
        <v>#N/A</v>
      </c>
      <c r="AK7472" s="80">
        <f t="shared" si="1155"/>
        <v>0</v>
      </c>
      <c r="AL7472" s="85"/>
      <c r="AM7472" s="85"/>
    </row>
    <row r="7473" spans="1:39" s="86" customFormat="1" ht="13.25" hidden="1" customHeight="1" x14ac:dyDescent="0.3">
      <c r="A7473" s="89" t="s">
        <v>3792</v>
      </c>
      <c r="B7473" s="86" t="s">
        <v>35</v>
      </c>
      <c r="C7473" s="86" t="s">
        <v>184</v>
      </c>
      <c r="D7473" s="86" t="s">
        <v>3849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3767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156"/>
        <v>13827.679999999993</v>
      </c>
      <c r="X7473" s="6">
        <f t="shared" si="1160"/>
        <v>0</v>
      </c>
      <c r="Y7473" s="13">
        <f t="shared" si="1153"/>
        <v>0</v>
      </c>
      <c r="Z7473" s="66">
        <v>0</v>
      </c>
      <c r="AA7473" s="6">
        <v>0</v>
      </c>
      <c r="AB7473" s="4">
        <f t="shared" si="1154"/>
        <v>0</v>
      </c>
      <c r="AC7473" s="6">
        <f t="shared" si="1152"/>
        <v>0</v>
      </c>
      <c r="AD7473" s="6">
        <f t="shared" si="1157"/>
        <v>0</v>
      </c>
      <c r="AE7473" s="14">
        <f>VLOOKUP(I7473,[2]媒体政策预估表!A:N,MATCH(O7473,[2]媒体政策预估表!$A$2:$M$2,0),0)</f>
        <v>0.1</v>
      </c>
      <c r="AF7473" s="6">
        <f t="shared" si="1159"/>
        <v>0</v>
      </c>
      <c r="AG7473" s="14">
        <v>0</v>
      </c>
      <c r="AH7473" s="64">
        <f t="shared" si="1158"/>
        <v>0</v>
      </c>
      <c r="AJ7473" s="126" t="e">
        <v>#N/A</v>
      </c>
      <c r="AK7473" s="80">
        <f t="shared" si="1155"/>
        <v>0</v>
      </c>
      <c r="AL7473" s="85"/>
      <c r="AM7473" s="85"/>
    </row>
    <row r="7474" spans="1:39" s="86" customFormat="1" ht="13.25" hidden="1" customHeight="1" x14ac:dyDescent="0.3">
      <c r="A7474" s="89" t="s">
        <v>3792</v>
      </c>
      <c r="B7474" s="86" t="s">
        <v>35</v>
      </c>
      <c r="C7474" s="86" t="s">
        <v>184</v>
      </c>
      <c r="D7474" s="86" t="s">
        <v>3849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3767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4114</v>
      </c>
      <c r="S7474" s="47"/>
      <c r="T7474" s="6">
        <v>0</v>
      </c>
      <c r="U7474" s="6">
        <v>332913.09000000003</v>
      </c>
      <c r="V7474" s="6">
        <v>0</v>
      </c>
      <c r="W7474" s="6">
        <f t="shared" si="1156"/>
        <v>332913.09000000003</v>
      </c>
      <c r="X7474" s="6">
        <f t="shared" si="1160"/>
        <v>0</v>
      </c>
      <c r="Y7474" s="13">
        <f t="shared" si="1153"/>
        <v>0</v>
      </c>
      <c r="Z7474" s="66">
        <v>0</v>
      </c>
      <c r="AA7474" s="6">
        <v>0</v>
      </c>
      <c r="AB7474" s="4">
        <f t="shared" si="1154"/>
        <v>0</v>
      </c>
      <c r="AC7474" s="6">
        <f t="shared" si="1152"/>
        <v>0</v>
      </c>
      <c r="AD7474" s="6">
        <f t="shared" si="1157"/>
        <v>0</v>
      </c>
      <c r="AE7474" s="14">
        <f>VLOOKUP(I7474,[2]媒体政策预估表!A:N,MATCH(O7474,[2]媒体政策预估表!$A$2:$M$2,0),0)</f>
        <v>0.1</v>
      </c>
      <c r="AF7474" s="6">
        <f t="shared" si="1159"/>
        <v>0</v>
      </c>
      <c r="AG7474" s="14">
        <v>0</v>
      </c>
      <c r="AH7474" s="64">
        <f t="shared" si="1158"/>
        <v>0</v>
      </c>
      <c r="AJ7474" s="126" t="e">
        <v>#N/A</v>
      </c>
      <c r="AK7474" s="80">
        <f t="shared" si="1155"/>
        <v>0</v>
      </c>
      <c r="AL7474" s="85"/>
      <c r="AM7474" s="85"/>
    </row>
    <row r="7475" spans="1:39" s="86" customFormat="1" ht="13.25" hidden="1" customHeight="1" x14ac:dyDescent="0.3">
      <c r="A7475" s="89" t="s">
        <v>3978</v>
      </c>
      <c r="B7475" s="86" t="s">
        <v>35</v>
      </c>
      <c r="C7475" s="86" t="s">
        <v>184</v>
      </c>
      <c r="D7475" s="86" t="s">
        <v>3849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3767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156"/>
        <v>318.05999999999767</v>
      </c>
      <c r="X7475" s="6">
        <f t="shared" si="1160"/>
        <v>0</v>
      </c>
      <c r="Y7475" s="13">
        <f t="shared" si="1153"/>
        <v>0</v>
      </c>
      <c r="Z7475" s="66">
        <v>0</v>
      </c>
      <c r="AA7475" s="6">
        <v>0</v>
      </c>
      <c r="AB7475" s="4">
        <f t="shared" si="1154"/>
        <v>0</v>
      </c>
      <c r="AC7475" s="6">
        <f t="shared" si="1152"/>
        <v>0</v>
      </c>
      <c r="AD7475" s="6">
        <f t="shared" si="1157"/>
        <v>0</v>
      </c>
      <c r="AE7475" s="14">
        <f>VLOOKUP(I7475,[2]媒体政策预估表!A:N,MATCH(O7475,[2]媒体政策预估表!$A$2:$M$2,0),0)</f>
        <v>0.1</v>
      </c>
      <c r="AF7475" s="6">
        <f t="shared" si="1159"/>
        <v>0</v>
      </c>
      <c r="AG7475" s="14">
        <v>0</v>
      </c>
      <c r="AH7475" s="64">
        <f t="shared" si="1158"/>
        <v>0</v>
      </c>
      <c r="AJ7475" s="126" t="e">
        <v>#N/A</v>
      </c>
      <c r="AK7475" s="80">
        <f t="shared" si="1155"/>
        <v>0</v>
      </c>
      <c r="AL7475" s="85"/>
      <c r="AM7475" s="85"/>
    </row>
    <row r="7476" spans="1:39" s="86" customFormat="1" ht="13.25" hidden="1" customHeight="1" x14ac:dyDescent="0.3">
      <c r="A7476" s="89" t="s">
        <v>3978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3767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156"/>
        <v>392.06000000000495</v>
      </c>
      <c r="X7476" s="6">
        <f t="shared" si="1160"/>
        <v>2405.8823529411766</v>
      </c>
      <c r="Y7476" s="13">
        <f t="shared" si="1153"/>
        <v>0</v>
      </c>
      <c r="Z7476" s="14">
        <v>0</v>
      </c>
      <c r="AA7476" s="6">
        <v>0</v>
      </c>
      <c r="AB7476" s="4">
        <f t="shared" si="1154"/>
        <v>2405.8823529411766</v>
      </c>
      <c r="AC7476" s="6">
        <f t="shared" si="1152"/>
        <v>48.117647058823422</v>
      </c>
      <c r="AD7476" s="6">
        <f t="shared" si="1157"/>
        <v>2454</v>
      </c>
      <c r="AE7476" s="14">
        <f>VLOOKUP(I7476,[2]媒体政策预估表!A:N,MATCH(O7476,[2]媒体政策预估表!$A$2:$M$2,0),0)</f>
        <v>7.0000000000000007E-2</v>
      </c>
      <c r="AF7476" s="6">
        <f t="shared" si="1159"/>
        <v>171.78000000000003</v>
      </c>
      <c r="AG7476" s="14">
        <v>0</v>
      </c>
      <c r="AH7476" s="64">
        <f t="shared" si="1158"/>
        <v>2454</v>
      </c>
      <c r="AJ7476" s="126" t="e">
        <v>#N/A</v>
      </c>
      <c r="AK7476" s="80">
        <f t="shared" si="1155"/>
        <v>0</v>
      </c>
      <c r="AL7476" s="85"/>
      <c r="AM7476" s="85"/>
    </row>
    <row r="7477" spans="1:39" s="86" customFormat="1" ht="13.25" hidden="1" customHeight="1" x14ac:dyDescent="0.3">
      <c r="A7477" s="89" t="s">
        <v>3978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3767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156"/>
        <v>45006.779999999992</v>
      </c>
      <c r="X7477" s="6">
        <f t="shared" si="1160"/>
        <v>8143.5294117647054</v>
      </c>
      <c r="Y7477" s="13">
        <f t="shared" si="1153"/>
        <v>0</v>
      </c>
      <c r="Z7477" s="14">
        <v>0</v>
      </c>
      <c r="AA7477" s="6">
        <v>0</v>
      </c>
      <c r="AB7477" s="4">
        <f t="shared" si="1154"/>
        <v>8143.5294117647054</v>
      </c>
      <c r="AC7477" s="6">
        <f t="shared" si="1152"/>
        <v>162.87058823529424</v>
      </c>
      <c r="AD7477" s="6">
        <f t="shared" si="1157"/>
        <v>8306.4</v>
      </c>
      <c r="AE7477" s="14">
        <f>VLOOKUP(I7477,[2]媒体政策预估表!A:N,MATCH(O7477,[2]媒体政策预估表!$A$2:$M$2,0),0)</f>
        <v>7.0000000000000007E-2</v>
      </c>
      <c r="AF7477" s="6">
        <f t="shared" si="1159"/>
        <v>581.44799999999998</v>
      </c>
      <c r="AG7477" s="14">
        <v>0</v>
      </c>
      <c r="AH7477" s="64">
        <f t="shared" si="1158"/>
        <v>8306.4</v>
      </c>
      <c r="AJ7477" s="126" t="e">
        <v>#N/A</v>
      </c>
      <c r="AK7477" s="80">
        <f t="shared" si="1155"/>
        <v>0</v>
      </c>
      <c r="AL7477" s="85"/>
      <c r="AM7477" s="85"/>
    </row>
    <row r="7478" spans="1:39" s="86" customFormat="1" ht="13.25" hidden="1" customHeight="1" x14ac:dyDescent="0.3">
      <c r="A7478" s="89" t="s">
        <v>3978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3767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156"/>
        <v>40000</v>
      </c>
      <c r="X7478" s="6">
        <f t="shared" si="1160"/>
        <v>0</v>
      </c>
      <c r="Y7478" s="13">
        <f t="shared" si="1153"/>
        <v>0</v>
      </c>
      <c r="Z7478" s="14">
        <v>0</v>
      </c>
      <c r="AA7478" s="6">
        <v>0</v>
      </c>
      <c r="AB7478" s="4">
        <f t="shared" si="1154"/>
        <v>0</v>
      </c>
      <c r="AC7478" s="6">
        <f t="shared" si="1152"/>
        <v>0</v>
      </c>
      <c r="AD7478" s="6">
        <f t="shared" si="1157"/>
        <v>0</v>
      </c>
      <c r="AE7478" s="14">
        <f>VLOOKUP(I7478,[2]媒体政策预估表!A:N,MATCH(O7478,[2]媒体政策预估表!$A$2:$M$2,0),0)</f>
        <v>7.0000000000000007E-2</v>
      </c>
      <c r="AF7478" s="6">
        <f t="shared" si="1159"/>
        <v>0</v>
      </c>
      <c r="AG7478" s="14">
        <v>0</v>
      </c>
      <c r="AH7478" s="64">
        <f t="shared" si="1158"/>
        <v>0</v>
      </c>
      <c r="AJ7478" s="126" t="e">
        <v>#N/A</v>
      </c>
      <c r="AK7478" s="80">
        <f t="shared" si="1155"/>
        <v>0</v>
      </c>
      <c r="AL7478" s="85"/>
      <c r="AM7478" s="85"/>
    </row>
    <row r="7479" spans="1:39" s="86" customFormat="1" ht="13.25" hidden="1" customHeight="1" x14ac:dyDescent="0.3">
      <c r="A7479" s="89" t="s">
        <v>3792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3767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156"/>
        <v>6399.8</v>
      </c>
      <c r="X7479" s="6">
        <f t="shared" si="1160"/>
        <v>6127.2</v>
      </c>
      <c r="Y7479" s="13">
        <f t="shared" si="1153"/>
        <v>0</v>
      </c>
      <c r="Z7479" s="14">
        <v>0</v>
      </c>
      <c r="AA7479" s="6">
        <v>0</v>
      </c>
      <c r="AB7479" s="4">
        <f t="shared" si="1154"/>
        <v>6127.2</v>
      </c>
      <c r="AC7479" s="6">
        <f t="shared" si="1152"/>
        <v>0</v>
      </c>
      <c r="AD7479" s="6">
        <f t="shared" si="1157"/>
        <v>6127.2</v>
      </c>
      <c r="AE7479" s="14">
        <f>VLOOKUP(I7479,[2]媒体政策预估表!A:N,MATCH(O7479,[2]媒体政策预估表!$A$2:$M$2,0),0)</f>
        <v>7.0000000000000007E-2</v>
      </c>
      <c r="AF7479" s="6">
        <f t="shared" si="1159"/>
        <v>428.90400000000005</v>
      </c>
      <c r="AG7479" s="14">
        <v>0</v>
      </c>
      <c r="AH7479" s="64">
        <f t="shared" si="1158"/>
        <v>6127.2</v>
      </c>
      <c r="AJ7479" s="126" t="e">
        <v>#N/A</v>
      </c>
      <c r="AK7479" s="80">
        <f t="shared" si="1155"/>
        <v>0</v>
      </c>
      <c r="AL7479" s="85"/>
      <c r="AM7479" s="85"/>
    </row>
    <row r="7480" spans="1:39" s="86" customFormat="1" ht="13.25" hidden="1" customHeight="1" x14ac:dyDescent="0.3">
      <c r="A7480" s="89" t="s">
        <v>3978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3767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156"/>
        <v>38635.299999999996</v>
      </c>
      <c r="X7480" s="6">
        <f t="shared" si="1160"/>
        <v>60464.9</v>
      </c>
      <c r="Y7480" s="13">
        <f t="shared" si="1153"/>
        <v>0</v>
      </c>
      <c r="Z7480" s="14">
        <v>0</v>
      </c>
      <c r="AA7480" s="6">
        <v>0</v>
      </c>
      <c r="AB7480" s="4">
        <f t="shared" si="1154"/>
        <v>60464.9</v>
      </c>
      <c r="AC7480" s="6">
        <f t="shared" si="1152"/>
        <v>0</v>
      </c>
      <c r="AD7480" s="6">
        <f t="shared" si="1157"/>
        <v>60464.9</v>
      </c>
      <c r="AE7480" s="14">
        <f>VLOOKUP(I7480,[2]媒体政策预估表!A:N,MATCH(O7480,[2]媒体政策预估表!$A$2:$M$2,0),0)</f>
        <v>7.0000000000000007E-2</v>
      </c>
      <c r="AF7480" s="6">
        <f t="shared" si="1159"/>
        <v>4232.5430000000006</v>
      </c>
      <c r="AG7480" s="14">
        <v>0</v>
      </c>
      <c r="AH7480" s="64">
        <f t="shared" si="1158"/>
        <v>60464.9</v>
      </c>
      <c r="AJ7480" s="126" t="e">
        <v>#N/A</v>
      </c>
      <c r="AK7480" s="80">
        <f t="shared" si="1155"/>
        <v>0</v>
      </c>
      <c r="AL7480" s="85"/>
      <c r="AM7480" s="85"/>
    </row>
    <row r="7481" spans="1:39" s="86" customFormat="1" ht="13.25" hidden="1" customHeight="1" x14ac:dyDescent="0.3">
      <c r="A7481" s="89" t="s">
        <v>3978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3767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156"/>
        <v>3399.6799999999985</v>
      </c>
      <c r="X7481" s="6">
        <f t="shared" si="1160"/>
        <v>5653.5</v>
      </c>
      <c r="Y7481" s="13">
        <f t="shared" si="1153"/>
        <v>0</v>
      </c>
      <c r="Z7481" s="14">
        <v>0</v>
      </c>
      <c r="AA7481" s="6">
        <v>0</v>
      </c>
      <c r="AB7481" s="4">
        <f t="shared" si="1154"/>
        <v>5653.5</v>
      </c>
      <c r="AC7481" s="6">
        <f t="shared" si="1152"/>
        <v>0</v>
      </c>
      <c r="AD7481" s="6">
        <f t="shared" si="1157"/>
        <v>5653.5</v>
      </c>
      <c r="AE7481" s="14">
        <f>VLOOKUP(I7481,[2]媒体政策预估表!A:N,MATCH(O7481,[2]媒体政策预估表!$A$2:$M$2,0),0)</f>
        <v>7.0000000000000007E-2</v>
      </c>
      <c r="AF7481" s="6">
        <f t="shared" si="1159"/>
        <v>395.74500000000006</v>
      </c>
      <c r="AG7481" s="14">
        <v>0</v>
      </c>
      <c r="AH7481" s="64">
        <f t="shared" si="1158"/>
        <v>5653.5</v>
      </c>
      <c r="AJ7481" s="126" t="e">
        <v>#N/A</v>
      </c>
      <c r="AK7481" s="80">
        <f t="shared" si="1155"/>
        <v>0</v>
      </c>
      <c r="AL7481" s="85"/>
      <c r="AM7481" s="85"/>
    </row>
    <row r="7482" spans="1:39" s="86" customFormat="1" ht="13.25" hidden="1" customHeight="1" x14ac:dyDescent="0.3">
      <c r="A7482" s="89" t="s">
        <v>3978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3767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156"/>
        <v>3793.0999999999949</v>
      </c>
      <c r="X7482" s="6">
        <f t="shared" si="1160"/>
        <v>13479</v>
      </c>
      <c r="Y7482" s="13">
        <f t="shared" si="1153"/>
        <v>0</v>
      </c>
      <c r="Z7482" s="14">
        <v>0</v>
      </c>
      <c r="AA7482" s="6">
        <v>0</v>
      </c>
      <c r="AB7482" s="4">
        <f t="shared" si="1154"/>
        <v>13479</v>
      </c>
      <c r="AC7482" s="6">
        <f t="shared" si="1152"/>
        <v>0</v>
      </c>
      <c r="AD7482" s="6">
        <f t="shared" si="1157"/>
        <v>13479</v>
      </c>
      <c r="AE7482" s="14">
        <f>VLOOKUP(I7482,[2]媒体政策预估表!A:N,MATCH(O7482,[2]媒体政策预估表!$A$2:$M$2,0),0)</f>
        <v>7.0000000000000007E-2</v>
      </c>
      <c r="AF7482" s="6">
        <f t="shared" si="1159"/>
        <v>943.53000000000009</v>
      </c>
      <c r="AG7482" s="14">
        <v>0</v>
      </c>
      <c r="AH7482" s="64">
        <f t="shared" si="1158"/>
        <v>13479</v>
      </c>
      <c r="AJ7482" s="126" t="e">
        <v>#N/A</v>
      </c>
      <c r="AK7482" s="80">
        <f t="shared" si="1155"/>
        <v>0</v>
      </c>
      <c r="AL7482" s="85"/>
      <c r="AM7482" s="85"/>
    </row>
    <row r="7483" spans="1:39" s="86" customFormat="1" ht="13.25" hidden="1" customHeight="1" x14ac:dyDescent="0.3">
      <c r="A7483" s="89" t="s">
        <v>3978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3767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156"/>
        <v>4292.2199999999984</v>
      </c>
      <c r="X7483" s="6">
        <f t="shared" si="1160"/>
        <v>5893.2</v>
      </c>
      <c r="Y7483" s="13">
        <f t="shared" si="1153"/>
        <v>0</v>
      </c>
      <c r="Z7483" s="14">
        <v>0</v>
      </c>
      <c r="AA7483" s="6">
        <v>0</v>
      </c>
      <c r="AB7483" s="4">
        <f t="shared" si="1154"/>
        <v>5893.2</v>
      </c>
      <c r="AC7483" s="6">
        <f t="shared" si="1152"/>
        <v>0</v>
      </c>
      <c r="AD7483" s="6">
        <f t="shared" si="1157"/>
        <v>5893.2</v>
      </c>
      <c r="AE7483" s="14">
        <f>VLOOKUP(I7483,[2]媒体政策预估表!A:N,MATCH(O7483,[2]媒体政策预估表!$A$2:$M$2,0),0)</f>
        <v>7.0000000000000007E-2</v>
      </c>
      <c r="AF7483" s="6">
        <f t="shared" si="1159"/>
        <v>412.524</v>
      </c>
      <c r="AG7483" s="14">
        <v>0</v>
      </c>
      <c r="AH7483" s="64">
        <f t="shared" si="1158"/>
        <v>5893.2</v>
      </c>
      <c r="AJ7483" s="126" t="e">
        <v>#N/A</v>
      </c>
      <c r="AK7483" s="80">
        <f t="shared" si="1155"/>
        <v>0</v>
      </c>
      <c r="AL7483" s="85"/>
      <c r="AM7483" s="85"/>
    </row>
    <row r="7484" spans="1:39" s="86" customFormat="1" ht="13.25" hidden="1" customHeight="1" x14ac:dyDescent="0.3">
      <c r="A7484" s="89" t="s">
        <v>3978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3767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156"/>
        <v>89784.979999999967</v>
      </c>
      <c r="X7484" s="6">
        <f t="shared" si="1160"/>
        <v>123333.3</v>
      </c>
      <c r="Y7484" s="13">
        <f t="shared" si="1153"/>
        <v>0</v>
      </c>
      <c r="Z7484" s="14">
        <v>0</v>
      </c>
      <c r="AA7484" s="6">
        <v>0</v>
      </c>
      <c r="AB7484" s="4">
        <f t="shared" si="1154"/>
        <v>123333.3</v>
      </c>
      <c r="AC7484" s="6">
        <f t="shared" si="1152"/>
        <v>0</v>
      </c>
      <c r="AD7484" s="6">
        <f t="shared" si="1157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159"/>
        <v>8633.3310000000001</v>
      </c>
      <c r="AG7484" s="14">
        <v>0</v>
      </c>
      <c r="AH7484" s="64">
        <f t="shared" si="1158"/>
        <v>123333.3</v>
      </c>
      <c r="AJ7484" s="126" t="e">
        <v>#N/A</v>
      </c>
      <c r="AK7484" s="80">
        <f t="shared" si="1155"/>
        <v>0</v>
      </c>
      <c r="AL7484" s="85"/>
      <c r="AM7484" s="85"/>
    </row>
    <row r="7485" spans="1:39" s="86" customFormat="1" ht="13.25" hidden="1" customHeight="1" x14ac:dyDescent="0.3">
      <c r="A7485" s="89" t="s">
        <v>3978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3767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156"/>
        <v>469.70000000000027</v>
      </c>
      <c r="X7485" s="6">
        <f t="shared" si="1160"/>
        <v>2410.9</v>
      </c>
      <c r="Y7485" s="13">
        <f t="shared" si="1153"/>
        <v>0</v>
      </c>
      <c r="Z7485" s="14">
        <v>0</v>
      </c>
      <c r="AA7485" s="6">
        <v>0</v>
      </c>
      <c r="AB7485" s="4">
        <f t="shared" si="1154"/>
        <v>2410.9</v>
      </c>
      <c r="AC7485" s="6">
        <f t="shared" si="1152"/>
        <v>0</v>
      </c>
      <c r="AD7485" s="6">
        <f t="shared" si="1157"/>
        <v>2410.9</v>
      </c>
      <c r="AE7485" s="14">
        <f>VLOOKUP(I7485,[2]媒体政策预估表!A:N,MATCH(O7485,[2]媒体政策预估表!$A$2:$M$2,0),0)</f>
        <v>7.0000000000000007E-2</v>
      </c>
      <c r="AF7485" s="6">
        <f t="shared" si="1159"/>
        <v>168.76300000000003</v>
      </c>
      <c r="AG7485" s="14">
        <v>0</v>
      </c>
      <c r="AH7485" s="64">
        <f t="shared" si="1158"/>
        <v>2410.9</v>
      </c>
      <c r="AJ7485" s="126" t="s">
        <v>4221</v>
      </c>
      <c r="AK7485" s="80">
        <f t="shared" si="1155"/>
        <v>0</v>
      </c>
      <c r="AL7485" s="150"/>
      <c r="AM7485" s="85"/>
    </row>
    <row r="7486" spans="1:39" s="86" customFormat="1" ht="13.25" hidden="1" customHeight="1" x14ac:dyDescent="0.3">
      <c r="A7486" s="89" t="s">
        <v>3978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3767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156"/>
        <v>53645.8</v>
      </c>
      <c r="X7486" s="6">
        <f t="shared" si="1160"/>
        <v>0</v>
      </c>
      <c r="Y7486" s="13">
        <f t="shared" si="1153"/>
        <v>0</v>
      </c>
      <c r="Z7486" s="14">
        <v>0</v>
      </c>
      <c r="AA7486" s="6">
        <v>0</v>
      </c>
      <c r="AB7486" s="4">
        <f t="shared" si="1154"/>
        <v>0</v>
      </c>
      <c r="AC7486" s="6">
        <f t="shared" ref="AC7486:AC7549" si="1161">IF(P7486="返现",X7486*Q7486,V7486-X7486)</f>
        <v>0</v>
      </c>
      <c r="AD7486" s="6">
        <f t="shared" si="1157"/>
        <v>0</v>
      </c>
      <c r="AE7486" s="14">
        <f>VLOOKUP(I7486,[2]媒体政策预估表!A:N,MATCH(O7486,[2]媒体政策预估表!$A$2:$M$2,0),0)</f>
        <v>7.0000000000000007E-2</v>
      </c>
      <c r="AF7486" s="6">
        <f t="shared" si="1159"/>
        <v>0</v>
      </c>
      <c r="AG7486" s="14">
        <v>0</v>
      </c>
      <c r="AH7486" s="64">
        <f t="shared" si="1158"/>
        <v>0</v>
      </c>
      <c r="AJ7486" s="126" t="e">
        <v>#N/A</v>
      </c>
      <c r="AK7486" s="80">
        <f t="shared" si="1155"/>
        <v>0</v>
      </c>
      <c r="AL7486" s="85"/>
      <c r="AM7486" s="85"/>
    </row>
    <row r="7487" spans="1:39" s="86" customFormat="1" ht="13.25" hidden="1" customHeight="1" x14ac:dyDescent="0.3">
      <c r="A7487" s="89" t="s">
        <v>3978</v>
      </c>
      <c r="B7487" s="86" t="s">
        <v>35</v>
      </c>
      <c r="C7487" s="86" t="s">
        <v>184</v>
      </c>
      <c r="D7487" s="86" t="s">
        <v>3849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3767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156"/>
        <v>859807.00950999977</v>
      </c>
      <c r="X7487" s="6">
        <f t="shared" si="1160"/>
        <v>1468997.2035686276</v>
      </c>
      <c r="Y7487" s="13">
        <f t="shared" si="1153"/>
        <v>0</v>
      </c>
      <c r="Z7487" s="14">
        <v>0</v>
      </c>
      <c r="AA7487" s="6">
        <v>0</v>
      </c>
      <c r="AB7487" s="4">
        <f t="shared" si="1154"/>
        <v>1468997.2035686276</v>
      </c>
      <c r="AC7487" s="6">
        <f t="shared" si="1161"/>
        <v>29379.944071372505</v>
      </c>
      <c r="AD7487" s="6">
        <f t="shared" si="1157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159"/>
        <v>104886.40033480001</v>
      </c>
      <c r="AG7487" s="14">
        <v>0</v>
      </c>
      <c r="AH7487" s="64">
        <f t="shared" si="1158"/>
        <v>1498377.1476400001</v>
      </c>
      <c r="AJ7487" s="126" t="e">
        <v>#N/A</v>
      </c>
      <c r="AK7487" s="80">
        <f t="shared" si="1155"/>
        <v>0</v>
      </c>
      <c r="AL7487" s="85"/>
      <c r="AM7487" s="85"/>
    </row>
    <row r="7488" spans="1:39" s="86" customFormat="1" ht="13.25" hidden="1" customHeight="1" x14ac:dyDescent="0.3">
      <c r="A7488" s="89" t="s">
        <v>3805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3767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156"/>
        <v>53949.500000000058</v>
      </c>
      <c r="X7488" s="6">
        <f t="shared" si="1160"/>
        <v>217516.3</v>
      </c>
      <c r="Y7488" s="13">
        <f t="shared" si="1153"/>
        <v>0</v>
      </c>
      <c r="Z7488" s="14">
        <v>0</v>
      </c>
      <c r="AA7488" s="6">
        <v>0</v>
      </c>
      <c r="AB7488" s="4">
        <f t="shared" si="1154"/>
        <v>217516.3</v>
      </c>
      <c r="AC7488" s="6">
        <f t="shared" si="1161"/>
        <v>0</v>
      </c>
      <c r="AD7488" s="6">
        <f t="shared" si="1157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159"/>
        <v>15226.141000000001</v>
      </c>
      <c r="AG7488" s="14">
        <v>0</v>
      </c>
      <c r="AH7488" s="64">
        <f t="shared" si="1158"/>
        <v>217516.3</v>
      </c>
      <c r="AJ7488" s="126" t="e">
        <v>#N/A</v>
      </c>
      <c r="AK7488" s="80">
        <f t="shared" si="1155"/>
        <v>0</v>
      </c>
      <c r="AL7488" s="85"/>
      <c r="AM7488" s="85"/>
    </row>
    <row r="7489" spans="1:39" s="86" customFormat="1" ht="13.25" hidden="1" customHeight="1" x14ac:dyDescent="0.3">
      <c r="A7489" s="89" t="s">
        <v>3978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3767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156"/>
        <v>57810.80000000001</v>
      </c>
      <c r="X7489" s="6">
        <f t="shared" si="1160"/>
        <v>38717.745098039217</v>
      </c>
      <c r="Y7489" s="13">
        <f t="shared" si="1153"/>
        <v>0</v>
      </c>
      <c r="Z7489" s="14">
        <v>0</v>
      </c>
      <c r="AA7489" s="6">
        <v>0</v>
      </c>
      <c r="AB7489" s="4">
        <f t="shared" si="1154"/>
        <v>38717.745098039217</v>
      </c>
      <c r="AC7489" s="6">
        <f t="shared" si="1161"/>
        <v>774.35490196078172</v>
      </c>
      <c r="AD7489" s="6">
        <f t="shared" si="1157"/>
        <v>39492.1</v>
      </c>
      <c r="AE7489" s="14">
        <f>VLOOKUP(I7489,[2]媒体政策预估表!A:N,MATCH(O7489,[2]媒体政策预估表!$A$2:$M$2,0),0)</f>
        <v>7.0000000000000007E-2</v>
      </c>
      <c r="AF7489" s="6">
        <f t="shared" si="1159"/>
        <v>2764.4470000000001</v>
      </c>
      <c r="AG7489" s="14">
        <v>0</v>
      </c>
      <c r="AH7489" s="64">
        <f t="shared" si="1158"/>
        <v>39492.1</v>
      </c>
      <c r="AJ7489" s="126" t="e">
        <v>#N/A</v>
      </c>
      <c r="AK7489" s="80">
        <f t="shared" si="1155"/>
        <v>0</v>
      </c>
      <c r="AL7489" s="85"/>
      <c r="AM7489" s="85"/>
    </row>
    <row r="7490" spans="1:39" s="86" customFormat="1" ht="13.25" hidden="1" customHeight="1" x14ac:dyDescent="0.3">
      <c r="A7490" s="89" t="s">
        <v>3978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3767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156"/>
        <v>0</v>
      </c>
      <c r="X7490" s="6">
        <f t="shared" si="1160"/>
        <v>19764.5</v>
      </c>
      <c r="Y7490" s="13">
        <f t="shared" si="1153"/>
        <v>0</v>
      </c>
      <c r="Z7490" s="14">
        <v>0</v>
      </c>
      <c r="AA7490" s="6">
        <v>0</v>
      </c>
      <c r="AB7490" s="4">
        <f t="shared" si="1154"/>
        <v>19764.5</v>
      </c>
      <c r="AC7490" s="6">
        <f t="shared" si="1161"/>
        <v>0</v>
      </c>
      <c r="AD7490" s="6">
        <f t="shared" si="1157"/>
        <v>19764.5</v>
      </c>
      <c r="AE7490" s="14">
        <f>VLOOKUP(I7490,[2]媒体政策预估表!A:N,MATCH(O7490,[2]媒体政策预估表!$A$2:$M$2,0),0)</f>
        <v>7.0000000000000007E-2</v>
      </c>
      <c r="AF7490" s="6">
        <f t="shared" si="1159"/>
        <v>1383.5150000000001</v>
      </c>
      <c r="AG7490" s="14">
        <v>0</v>
      </c>
      <c r="AH7490" s="64">
        <f t="shared" si="1158"/>
        <v>19764.5</v>
      </c>
      <c r="AJ7490" s="126" t="e">
        <v>#N/A</v>
      </c>
      <c r="AK7490" s="80">
        <f t="shared" si="1155"/>
        <v>0</v>
      </c>
      <c r="AL7490" s="85"/>
      <c r="AM7490" s="85"/>
    </row>
    <row r="7491" spans="1:39" s="86" customFormat="1" ht="13.25" hidden="1" customHeight="1" x14ac:dyDescent="0.3">
      <c r="A7491" s="89" t="s">
        <v>3978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3767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156"/>
        <v>700000</v>
      </c>
      <c r="X7491" s="6">
        <f t="shared" si="1160"/>
        <v>0</v>
      </c>
      <c r="Y7491" s="13">
        <f t="shared" ref="Y7491:Y7554" si="1162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163">X7491+AA7491</f>
        <v>0</v>
      </c>
      <c r="AC7491" s="6">
        <f t="shared" si="1161"/>
        <v>0</v>
      </c>
      <c r="AD7491" s="6">
        <f t="shared" si="1157"/>
        <v>0</v>
      </c>
      <c r="AE7491" s="14">
        <f>VLOOKUP(I7491,[2]媒体政策预估表!A:N,MATCH(O7491,[2]媒体政策预估表!$A$2:$M$2,0),0)</f>
        <v>0.1</v>
      </c>
      <c r="AF7491" s="6">
        <f t="shared" si="1159"/>
        <v>0</v>
      </c>
      <c r="AG7491" s="14">
        <v>0</v>
      </c>
      <c r="AH7491" s="64">
        <f t="shared" si="1158"/>
        <v>0</v>
      </c>
      <c r="AJ7491" s="126" t="e">
        <v>#N/A</v>
      </c>
      <c r="AK7491" s="80">
        <f t="shared" ref="AK7491:AK7554" si="1164">X7491+AA7491-AB7491</f>
        <v>0</v>
      </c>
      <c r="AL7491" s="85"/>
      <c r="AM7491" s="85"/>
    </row>
    <row r="7492" spans="1:39" s="86" customFormat="1" ht="13.25" hidden="1" customHeight="1" x14ac:dyDescent="0.3">
      <c r="A7492" s="89" t="s">
        <v>3978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3767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156"/>
        <v>1000000</v>
      </c>
      <c r="X7492" s="6">
        <f t="shared" si="1160"/>
        <v>0</v>
      </c>
      <c r="Y7492" s="13">
        <f t="shared" si="1162"/>
        <v>0</v>
      </c>
      <c r="Z7492" s="14">
        <v>0</v>
      </c>
      <c r="AA7492" s="6">
        <v>0</v>
      </c>
      <c r="AB7492" s="4">
        <f t="shared" si="1163"/>
        <v>0</v>
      </c>
      <c r="AC7492" s="6">
        <f t="shared" si="1161"/>
        <v>0</v>
      </c>
      <c r="AD7492" s="6">
        <f t="shared" si="1157"/>
        <v>0</v>
      </c>
      <c r="AE7492" s="14">
        <f>VLOOKUP(I7492,[2]媒体政策预估表!A:N,MATCH(O7492,[2]媒体政策预估表!$A$2:$M$2,0),0)</f>
        <v>0.1</v>
      </c>
      <c r="AF7492" s="6">
        <f t="shared" si="1159"/>
        <v>0</v>
      </c>
      <c r="AG7492" s="14">
        <v>0</v>
      </c>
      <c r="AH7492" s="64">
        <f t="shared" si="1158"/>
        <v>0</v>
      </c>
      <c r="AJ7492" s="126" t="e">
        <v>#N/A</v>
      </c>
      <c r="AK7492" s="80">
        <f t="shared" si="1164"/>
        <v>0</v>
      </c>
      <c r="AL7492" s="85"/>
      <c r="AM7492" s="85"/>
    </row>
    <row r="7493" spans="1:39" s="86" customFormat="1" ht="13.25" hidden="1" customHeight="1" x14ac:dyDescent="0.3">
      <c r="A7493" s="89" t="s">
        <v>3978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3767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156"/>
        <v>-5079.5</v>
      </c>
      <c r="X7493" s="6">
        <f t="shared" si="1160"/>
        <v>0</v>
      </c>
      <c r="Y7493" s="13">
        <f t="shared" si="1162"/>
        <v>0</v>
      </c>
      <c r="Z7493" s="14">
        <v>0</v>
      </c>
      <c r="AA7493" s="6">
        <v>0</v>
      </c>
      <c r="AB7493" s="4">
        <f t="shared" si="1163"/>
        <v>0</v>
      </c>
      <c r="AC7493" s="6">
        <f t="shared" si="1161"/>
        <v>0</v>
      </c>
      <c r="AD7493" s="6">
        <f t="shared" si="1157"/>
        <v>0</v>
      </c>
      <c r="AE7493" s="14">
        <f>VLOOKUP(I7493,[2]媒体政策预估表!A:N,MATCH(O7493,[2]媒体政策预估表!$A$2:$M$2,0),0)</f>
        <v>0.1</v>
      </c>
      <c r="AF7493" s="6">
        <f t="shared" si="1159"/>
        <v>0</v>
      </c>
      <c r="AG7493" s="14">
        <v>0</v>
      </c>
      <c r="AH7493" s="64">
        <f t="shared" si="1158"/>
        <v>0</v>
      </c>
      <c r="AJ7493" s="126" t="e">
        <v>#N/A</v>
      </c>
      <c r="AK7493" s="80">
        <f t="shared" si="1164"/>
        <v>0</v>
      </c>
      <c r="AL7493" s="85"/>
      <c r="AM7493" s="85"/>
    </row>
    <row r="7494" spans="1:39" s="86" customFormat="1" ht="13.25" hidden="1" customHeight="1" x14ac:dyDescent="0.3">
      <c r="A7494" s="89" t="s">
        <v>3978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3767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156"/>
        <v>-700000</v>
      </c>
      <c r="X7494" s="6">
        <f t="shared" si="1160"/>
        <v>0</v>
      </c>
      <c r="Y7494" s="13">
        <f t="shared" si="1162"/>
        <v>0</v>
      </c>
      <c r="Z7494" s="14">
        <v>0</v>
      </c>
      <c r="AA7494" s="6">
        <v>0</v>
      </c>
      <c r="AB7494" s="4">
        <f t="shared" si="1163"/>
        <v>0</v>
      </c>
      <c r="AC7494" s="6">
        <f t="shared" si="1161"/>
        <v>0</v>
      </c>
      <c r="AD7494" s="6">
        <f t="shared" si="1157"/>
        <v>0</v>
      </c>
      <c r="AE7494" s="14">
        <f>VLOOKUP(I7494,[2]媒体政策预估表!A:N,MATCH(O7494,[2]媒体政策预估表!$A$2:$M$2,0),0)</f>
        <v>7.0000000000000007E-2</v>
      </c>
      <c r="AF7494" s="6">
        <f t="shared" si="1159"/>
        <v>0</v>
      </c>
      <c r="AG7494" s="14">
        <v>0</v>
      </c>
      <c r="AH7494" s="64">
        <f t="shared" si="1158"/>
        <v>0</v>
      </c>
      <c r="AJ7494" s="126" t="e">
        <v>#N/A</v>
      </c>
      <c r="AK7494" s="80">
        <f t="shared" si="1164"/>
        <v>0</v>
      </c>
      <c r="AL7494" s="85"/>
      <c r="AM7494" s="85"/>
    </row>
    <row r="7495" spans="1:39" s="86" customFormat="1" ht="13.25" hidden="1" customHeight="1" x14ac:dyDescent="0.3">
      <c r="A7495" s="89" t="s">
        <v>3978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3767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156"/>
        <v>-1000000</v>
      </c>
      <c r="X7495" s="6">
        <f t="shared" si="1160"/>
        <v>0</v>
      </c>
      <c r="Y7495" s="13">
        <f t="shared" si="1162"/>
        <v>0</v>
      </c>
      <c r="Z7495" s="14">
        <v>0</v>
      </c>
      <c r="AA7495" s="6">
        <v>0</v>
      </c>
      <c r="AB7495" s="4">
        <f t="shared" si="1163"/>
        <v>0</v>
      </c>
      <c r="AC7495" s="6">
        <f t="shared" si="1161"/>
        <v>0</v>
      </c>
      <c r="AD7495" s="6">
        <f t="shared" si="1157"/>
        <v>0</v>
      </c>
      <c r="AE7495" s="14">
        <f>VLOOKUP(I7495,[2]媒体政策预估表!A:N,MATCH(O7495,[2]媒体政策预估表!$A$2:$M$2,0),0)</f>
        <v>7.0000000000000007E-2</v>
      </c>
      <c r="AF7495" s="6">
        <f t="shared" si="1159"/>
        <v>0</v>
      </c>
      <c r="AG7495" s="14">
        <v>0</v>
      </c>
      <c r="AH7495" s="64">
        <f t="shared" si="1158"/>
        <v>0</v>
      </c>
      <c r="AJ7495" s="126" t="e">
        <v>#N/A</v>
      </c>
      <c r="AK7495" s="80">
        <f t="shared" si="1164"/>
        <v>0</v>
      </c>
      <c r="AL7495" s="85"/>
      <c r="AM7495" s="85"/>
    </row>
    <row r="7496" spans="1:39" s="86" customFormat="1" ht="13.25" hidden="1" customHeight="1" x14ac:dyDescent="0.3">
      <c r="A7496" s="89" t="s">
        <v>3792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3767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156"/>
        <v>127.78238000068814</v>
      </c>
      <c r="X7496" s="6">
        <f t="shared" si="1160"/>
        <v>0</v>
      </c>
      <c r="Y7496" s="13">
        <f t="shared" si="1162"/>
        <v>0</v>
      </c>
      <c r="Z7496" s="14">
        <v>0</v>
      </c>
      <c r="AA7496" s="6">
        <v>0</v>
      </c>
      <c r="AB7496" s="4">
        <f t="shared" si="1163"/>
        <v>0</v>
      </c>
      <c r="AC7496" s="6">
        <f t="shared" si="1161"/>
        <v>0</v>
      </c>
      <c r="AD7496" s="6">
        <f t="shared" si="1157"/>
        <v>0</v>
      </c>
      <c r="AE7496" s="14">
        <f>VLOOKUP(I7496,[2]媒体政策预估表!A:N,MATCH(O7496,[2]媒体政策预估表!$A$2:$M$2,0),0)</f>
        <v>7.0000000000000007E-2</v>
      </c>
      <c r="AF7496" s="6">
        <f t="shared" si="1159"/>
        <v>0</v>
      </c>
      <c r="AG7496" s="14">
        <v>0</v>
      </c>
      <c r="AH7496" s="64">
        <f t="shared" si="1158"/>
        <v>0</v>
      </c>
      <c r="AJ7496" s="126" t="e">
        <v>#N/A</v>
      </c>
      <c r="AK7496" s="80">
        <f t="shared" si="1164"/>
        <v>0</v>
      </c>
      <c r="AL7496" s="85"/>
      <c r="AM7496" s="85"/>
    </row>
    <row r="7497" spans="1:39" s="86" customFormat="1" ht="13.25" hidden="1" customHeight="1" x14ac:dyDescent="0.3">
      <c r="A7497" s="89" t="s">
        <v>3978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3767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156"/>
        <v>23156.864999999991</v>
      </c>
      <c r="X7497" s="6">
        <f t="shared" si="1160"/>
        <v>88187.940594059415</v>
      </c>
      <c r="Y7497" s="13">
        <f t="shared" si="1162"/>
        <v>0</v>
      </c>
      <c r="Z7497" s="14">
        <v>0</v>
      </c>
      <c r="AA7497" s="6">
        <v>0</v>
      </c>
      <c r="AB7497" s="4">
        <f t="shared" si="1163"/>
        <v>88187.940594059415</v>
      </c>
      <c r="AC7497" s="6">
        <f t="shared" si="1161"/>
        <v>881.87940594059182</v>
      </c>
      <c r="AD7497" s="6">
        <f t="shared" si="1157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159"/>
        <v>6234.8874000000014</v>
      </c>
      <c r="AG7497" s="14">
        <v>0</v>
      </c>
      <c r="AH7497" s="64">
        <f t="shared" si="1158"/>
        <v>89069.82</v>
      </c>
      <c r="AJ7497" s="126" t="e">
        <v>#N/A</v>
      </c>
      <c r="AK7497" s="80">
        <f t="shared" si="1164"/>
        <v>0</v>
      </c>
      <c r="AL7497" s="85"/>
      <c r="AM7497" s="85"/>
    </row>
    <row r="7498" spans="1:39" s="86" customFormat="1" ht="13.25" hidden="1" customHeight="1" x14ac:dyDescent="0.3">
      <c r="A7498" s="89" t="s">
        <v>3978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3767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156"/>
        <v>7750.5</v>
      </c>
      <c r="X7498" s="6">
        <f t="shared" si="1160"/>
        <v>80996.274509803916</v>
      </c>
      <c r="Y7498" s="13">
        <f t="shared" si="1162"/>
        <v>0</v>
      </c>
      <c r="Z7498" s="14">
        <v>0</v>
      </c>
      <c r="AA7498" s="6">
        <v>0</v>
      </c>
      <c r="AB7498" s="4">
        <f t="shared" si="1163"/>
        <v>80996.274509803916</v>
      </c>
      <c r="AC7498" s="6">
        <f t="shared" si="1161"/>
        <v>1619.9254901960812</v>
      </c>
      <c r="AD7498" s="6">
        <f t="shared" si="1157"/>
        <v>82616.2</v>
      </c>
      <c r="AE7498" s="14">
        <f>VLOOKUP(I7498,[2]媒体政策预估表!A:N,MATCH(O7498,[2]媒体政策预估表!$A$2:$M$2,0),0)</f>
        <v>7.0000000000000007E-2</v>
      </c>
      <c r="AF7498" s="6">
        <f t="shared" si="1159"/>
        <v>5783.134</v>
      </c>
      <c r="AG7498" s="14">
        <v>0</v>
      </c>
      <c r="AH7498" s="64">
        <f t="shared" si="1158"/>
        <v>82616.2</v>
      </c>
      <c r="AJ7498" s="126" t="e">
        <v>#N/A</v>
      </c>
      <c r="AK7498" s="80">
        <f t="shared" si="1164"/>
        <v>0</v>
      </c>
      <c r="AL7498" s="85"/>
      <c r="AM7498" s="85"/>
    </row>
    <row r="7499" spans="1:39" s="86" customFormat="1" ht="13.25" hidden="1" customHeight="1" x14ac:dyDescent="0.3">
      <c r="A7499" s="89" t="s">
        <v>3792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3767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156"/>
        <v>13478.830000000002</v>
      </c>
      <c r="X7499" s="6">
        <f t="shared" si="1160"/>
        <v>56481</v>
      </c>
      <c r="Y7499" s="13">
        <f t="shared" si="1162"/>
        <v>0</v>
      </c>
      <c r="Z7499" s="14">
        <v>0</v>
      </c>
      <c r="AA7499" s="6">
        <v>0</v>
      </c>
      <c r="AB7499" s="4">
        <f t="shared" si="1163"/>
        <v>56481</v>
      </c>
      <c r="AC7499" s="6">
        <f t="shared" si="1161"/>
        <v>0</v>
      </c>
      <c r="AD7499" s="6">
        <f t="shared" si="1157"/>
        <v>56481</v>
      </c>
      <c r="AE7499" s="14">
        <f>VLOOKUP(I7499,[2]媒体政策预估表!A:N,MATCH(O7499,[2]媒体政策预估表!$A$2:$M$2,0),0)</f>
        <v>7.0000000000000007E-2</v>
      </c>
      <c r="AF7499" s="6">
        <f t="shared" si="1159"/>
        <v>3953.6700000000005</v>
      </c>
      <c r="AG7499" s="14">
        <v>0</v>
      </c>
      <c r="AH7499" s="64">
        <f t="shared" si="1158"/>
        <v>56481</v>
      </c>
      <c r="AJ7499" s="126" t="e">
        <v>#N/A</v>
      </c>
      <c r="AK7499" s="80">
        <f t="shared" si="1164"/>
        <v>0</v>
      </c>
      <c r="AL7499" s="85"/>
      <c r="AM7499" s="85"/>
    </row>
    <row r="7500" spans="1:39" s="86" customFormat="1" ht="13.25" hidden="1" customHeight="1" x14ac:dyDescent="0.3">
      <c r="A7500" s="89" t="s">
        <v>3978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3767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156"/>
        <v>8962.4</v>
      </c>
      <c r="X7500" s="6">
        <f t="shared" si="1160"/>
        <v>164.6</v>
      </c>
      <c r="Y7500" s="13">
        <f t="shared" si="1162"/>
        <v>0</v>
      </c>
      <c r="Z7500" s="14">
        <v>0</v>
      </c>
      <c r="AA7500" s="6">
        <v>0</v>
      </c>
      <c r="AB7500" s="4">
        <f t="shared" si="1163"/>
        <v>164.6</v>
      </c>
      <c r="AC7500" s="6">
        <f t="shared" si="1161"/>
        <v>0</v>
      </c>
      <c r="AD7500" s="6">
        <f t="shared" si="1157"/>
        <v>164.6</v>
      </c>
      <c r="AE7500" s="14">
        <f>VLOOKUP(I7500,[2]媒体政策预估表!A:N,MATCH(O7500,[2]媒体政策预估表!$A$2:$M$2,0),0)</f>
        <v>7.0000000000000007E-2</v>
      </c>
      <c r="AF7500" s="6">
        <f t="shared" si="1159"/>
        <v>11.522</v>
      </c>
      <c r="AG7500" s="14">
        <v>0</v>
      </c>
      <c r="AH7500" s="64">
        <f t="shared" si="1158"/>
        <v>164.6</v>
      </c>
      <c r="AJ7500" s="126" t="e">
        <v>#N/A</v>
      </c>
      <c r="AK7500" s="80">
        <f t="shared" si="1164"/>
        <v>0</v>
      </c>
      <c r="AL7500" s="85"/>
      <c r="AM7500" s="85"/>
    </row>
    <row r="7501" spans="1:39" s="86" customFormat="1" ht="13.25" hidden="1" customHeight="1" x14ac:dyDescent="0.3">
      <c r="A7501" s="89" t="s">
        <v>3978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3767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156"/>
        <v>14369</v>
      </c>
      <c r="X7501" s="6">
        <f t="shared" si="1160"/>
        <v>3799.5</v>
      </c>
      <c r="Y7501" s="13">
        <f t="shared" si="1162"/>
        <v>0</v>
      </c>
      <c r="Z7501" s="14">
        <v>0</v>
      </c>
      <c r="AA7501" s="6">
        <v>0</v>
      </c>
      <c r="AB7501" s="4">
        <f t="shared" si="1163"/>
        <v>3799.5</v>
      </c>
      <c r="AC7501" s="6">
        <f t="shared" si="1161"/>
        <v>0</v>
      </c>
      <c r="AD7501" s="6">
        <f t="shared" si="1157"/>
        <v>3799.5</v>
      </c>
      <c r="AE7501" s="14">
        <f>VLOOKUP(I7501,[2]媒体政策预估表!A:N,MATCH(O7501,[2]媒体政策预估表!$A$2:$M$2,0),0)</f>
        <v>7.0000000000000007E-2</v>
      </c>
      <c r="AF7501" s="6">
        <f t="shared" si="1159"/>
        <v>265.96500000000003</v>
      </c>
      <c r="AG7501" s="14">
        <v>0</v>
      </c>
      <c r="AH7501" s="64">
        <f t="shared" si="1158"/>
        <v>3799.5</v>
      </c>
      <c r="AJ7501" s="126" t="e">
        <v>#N/A</v>
      </c>
      <c r="AK7501" s="80">
        <f t="shared" si="1164"/>
        <v>0</v>
      </c>
      <c r="AL7501" s="85"/>
      <c r="AM7501" s="85"/>
    </row>
    <row r="7502" spans="1:39" s="86" customFormat="1" ht="13.25" hidden="1" customHeight="1" x14ac:dyDescent="0.3">
      <c r="A7502" s="89" t="s">
        <v>3792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3767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156"/>
        <v>119353.55</v>
      </c>
      <c r="X7502" s="6">
        <f t="shared" si="1160"/>
        <v>0</v>
      </c>
      <c r="Y7502" s="13">
        <f t="shared" si="1162"/>
        <v>0</v>
      </c>
      <c r="Z7502" s="14">
        <v>0</v>
      </c>
      <c r="AA7502" s="6">
        <v>0</v>
      </c>
      <c r="AB7502" s="4">
        <f t="shared" si="1163"/>
        <v>0</v>
      </c>
      <c r="AC7502" s="6">
        <f t="shared" si="1161"/>
        <v>0</v>
      </c>
      <c r="AD7502" s="6">
        <f t="shared" si="1157"/>
        <v>0</v>
      </c>
      <c r="AE7502" s="14">
        <f>VLOOKUP(I7502,[2]媒体政策预估表!A:N,MATCH(O7502,[2]媒体政策预估表!$A$2:$M$2,0),0)</f>
        <v>7.0000000000000007E-2</v>
      </c>
      <c r="AF7502" s="6">
        <f t="shared" si="1159"/>
        <v>0</v>
      </c>
      <c r="AG7502" s="14">
        <v>0</v>
      </c>
      <c r="AH7502" s="64">
        <f t="shared" si="1158"/>
        <v>0</v>
      </c>
      <c r="AJ7502" s="126" t="e">
        <v>#N/A</v>
      </c>
      <c r="AK7502" s="80">
        <f t="shared" si="1164"/>
        <v>0</v>
      </c>
      <c r="AL7502" s="85"/>
      <c r="AM7502" s="85"/>
    </row>
    <row r="7503" spans="1:39" s="86" customFormat="1" ht="13.25" hidden="1" customHeight="1" x14ac:dyDescent="0.3">
      <c r="A7503" s="89" t="s">
        <v>3978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3767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156"/>
        <v>5936.3157599999995</v>
      </c>
      <c r="X7503" s="6">
        <f t="shared" si="1160"/>
        <v>7454.4656599999998</v>
      </c>
      <c r="Y7503" s="13">
        <f t="shared" si="1162"/>
        <v>0</v>
      </c>
      <c r="Z7503" s="14">
        <v>0</v>
      </c>
      <c r="AA7503" s="6">
        <v>0</v>
      </c>
      <c r="AB7503" s="4">
        <f t="shared" si="1163"/>
        <v>7454.4656599999998</v>
      </c>
      <c r="AC7503" s="6">
        <f t="shared" si="1161"/>
        <v>0</v>
      </c>
      <c r="AD7503" s="6">
        <f t="shared" si="1157"/>
        <v>7454.4656599999998</v>
      </c>
      <c r="AE7503" s="14">
        <f>VLOOKUP(I7503,[2]媒体政策预估表!A:N,MATCH(O7503,[2]媒体政策预估表!$A$2:$M$2,0),0)</f>
        <v>0.1</v>
      </c>
      <c r="AF7503" s="6">
        <f t="shared" si="1159"/>
        <v>745.44656600000008</v>
      </c>
      <c r="AG7503" s="14">
        <v>0</v>
      </c>
      <c r="AH7503" s="64">
        <f t="shared" si="1158"/>
        <v>7454.4656599999998</v>
      </c>
      <c r="AJ7503" s="126" t="e">
        <v>#N/A</v>
      </c>
      <c r="AK7503" s="80">
        <f t="shared" si="1164"/>
        <v>0</v>
      </c>
      <c r="AL7503" s="85"/>
      <c r="AM7503" s="85"/>
    </row>
    <row r="7504" spans="1:39" s="86" customFormat="1" ht="13.25" hidden="1" customHeight="1" x14ac:dyDescent="0.3">
      <c r="A7504" s="89" t="s">
        <v>3978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3767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156"/>
        <v>100000</v>
      </c>
      <c r="X7504" s="6">
        <f t="shared" si="1160"/>
        <v>0</v>
      </c>
      <c r="Y7504" s="13">
        <f t="shared" si="1162"/>
        <v>0</v>
      </c>
      <c r="Z7504" s="14">
        <v>0</v>
      </c>
      <c r="AA7504" s="6">
        <v>0</v>
      </c>
      <c r="AB7504" s="4">
        <f t="shared" si="1163"/>
        <v>0</v>
      </c>
      <c r="AC7504" s="6">
        <f t="shared" si="1161"/>
        <v>0</v>
      </c>
      <c r="AD7504" s="6">
        <f t="shared" si="1157"/>
        <v>0</v>
      </c>
      <c r="AE7504" s="14">
        <f>VLOOKUP(I7504,[2]媒体政策预估表!A:N,MATCH(O7504,[2]媒体政策预估表!$A$2:$M$2,0),0)</f>
        <v>7.0000000000000007E-2</v>
      </c>
      <c r="AF7504" s="6">
        <f t="shared" si="1159"/>
        <v>0</v>
      </c>
      <c r="AG7504" s="14">
        <v>0</v>
      </c>
      <c r="AH7504" s="64">
        <f t="shared" si="1158"/>
        <v>0</v>
      </c>
      <c r="AJ7504" s="126" t="e">
        <v>#N/A</v>
      </c>
      <c r="AK7504" s="80">
        <f t="shared" si="1164"/>
        <v>0</v>
      </c>
      <c r="AL7504" s="85"/>
      <c r="AM7504" s="85"/>
    </row>
    <row r="7505" spans="1:39" s="86" customFormat="1" ht="13.25" hidden="1" customHeight="1" x14ac:dyDescent="0.3">
      <c r="A7505" s="89" t="s">
        <v>3978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3767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156"/>
        <v>75668.058909999992</v>
      </c>
      <c r="X7505" s="6">
        <f t="shared" si="1160"/>
        <v>8202.32798</v>
      </c>
      <c r="Y7505" s="13">
        <f t="shared" si="1162"/>
        <v>0</v>
      </c>
      <c r="Z7505" s="14">
        <v>0</v>
      </c>
      <c r="AA7505" s="6">
        <v>0</v>
      </c>
      <c r="AB7505" s="4">
        <f t="shared" si="1163"/>
        <v>8202.32798</v>
      </c>
      <c r="AC7505" s="6">
        <f t="shared" si="1161"/>
        <v>0</v>
      </c>
      <c r="AD7505" s="6">
        <f t="shared" si="1157"/>
        <v>8202.32798</v>
      </c>
      <c r="AE7505" s="14">
        <f>VLOOKUP(I7505,[2]媒体政策预估表!A:N,MATCH(O7505,[2]媒体政策预估表!$A$2:$M$2,0),0)</f>
        <v>0.1</v>
      </c>
      <c r="AF7505" s="6">
        <f t="shared" si="1159"/>
        <v>820.232798</v>
      </c>
      <c r="AG7505" s="14">
        <v>0</v>
      </c>
      <c r="AH7505" s="64">
        <f t="shared" si="1158"/>
        <v>8202.32798</v>
      </c>
      <c r="AJ7505" s="126" t="e">
        <v>#N/A</v>
      </c>
      <c r="AK7505" s="80">
        <f t="shared" si="1164"/>
        <v>0</v>
      </c>
      <c r="AL7505" s="85"/>
      <c r="AM7505" s="85"/>
    </row>
    <row r="7506" spans="1:39" s="86" customFormat="1" ht="13.25" hidden="1" customHeight="1" x14ac:dyDescent="0.3">
      <c r="A7506" s="89" t="s">
        <v>3792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3767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156"/>
        <v>1140.4000000000015</v>
      </c>
      <c r="X7506" s="6">
        <f t="shared" si="1160"/>
        <v>18704.950495049507</v>
      </c>
      <c r="Y7506" s="13">
        <f t="shared" si="1162"/>
        <v>0</v>
      </c>
      <c r="Z7506" s="14">
        <v>0</v>
      </c>
      <c r="AA7506" s="6">
        <v>0</v>
      </c>
      <c r="AB7506" s="4">
        <f t="shared" si="1163"/>
        <v>18704.950495049507</v>
      </c>
      <c r="AC7506" s="6">
        <f t="shared" si="1161"/>
        <v>187.04950495049343</v>
      </c>
      <c r="AD7506" s="6">
        <f t="shared" si="1157"/>
        <v>18892</v>
      </c>
      <c r="AE7506" s="14">
        <f>VLOOKUP(I7506,[2]媒体政策预估表!A:N,MATCH(O7506,[2]媒体政策预估表!$A$2:$M$2,0),0)</f>
        <v>7.0000000000000007E-2</v>
      </c>
      <c r="AF7506" s="6">
        <f t="shared" si="1159"/>
        <v>1322.44</v>
      </c>
      <c r="AG7506" s="14">
        <v>0</v>
      </c>
      <c r="AH7506" s="64">
        <f t="shared" si="1158"/>
        <v>18892</v>
      </c>
      <c r="AJ7506" s="126" t="e">
        <v>#N/A</v>
      </c>
      <c r="AK7506" s="80">
        <f t="shared" si="1164"/>
        <v>0</v>
      </c>
      <c r="AL7506" s="85"/>
      <c r="AM7506" s="85"/>
    </row>
    <row r="7507" spans="1:39" s="86" customFormat="1" ht="13.25" hidden="1" customHeight="1" x14ac:dyDescent="0.3">
      <c r="A7507" s="89" t="s">
        <v>3978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3767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156"/>
        <v>8290.2000000000007</v>
      </c>
      <c r="X7507" s="6">
        <f t="shared" si="1160"/>
        <v>6046.2</v>
      </c>
      <c r="Y7507" s="13">
        <f t="shared" si="1162"/>
        <v>0</v>
      </c>
      <c r="Z7507" s="14">
        <v>0</v>
      </c>
      <c r="AA7507" s="6">
        <v>0</v>
      </c>
      <c r="AB7507" s="4">
        <f t="shared" si="1163"/>
        <v>6046.2</v>
      </c>
      <c r="AC7507" s="6">
        <f t="shared" si="1161"/>
        <v>0</v>
      </c>
      <c r="AD7507" s="6">
        <f t="shared" si="1157"/>
        <v>6046.2</v>
      </c>
      <c r="AE7507" s="14">
        <f>VLOOKUP(I7507,[2]媒体政策预估表!A:N,MATCH(O7507,[2]媒体政策预估表!$A$2:$M$2,0),0)</f>
        <v>7.0000000000000007E-2</v>
      </c>
      <c r="AF7507" s="6">
        <f t="shared" si="1159"/>
        <v>423.23400000000004</v>
      </c>
      <c r="AG7507" s="14">
        <v>0</v>
      </c>
      <c r="AH7507" s="64">
        <f t="shared" si="1158"/>
        <v>6046.2</v>
      </c>
      <c r="AJ7507" s="126" t="e">
        <v>#N/A</v>
      </c>
      <c r="AK7507" s="80">
        <f t="shared" si="1164"/>
        <v>0</v>
      </c>
      <c r="AL7507" s="85"/>
      <c r="AM7507" s="85"/>
    </row>
    <row r="7508" spans="1:39" s="86" customFormat="1" ht="13.25" hidden="1" customHeight="1" x14ac:dyDescent="0.3">
      <c r="A7508" s="89" t="s">
        <v>3978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3767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156"/>
        <v>22000</v>
      </c>
      <c r="X7508" s="6">
        <f t="shared" si="1160"/>
        <v>0</v>
      </c>
      <c r="Y7508" s="13">
        <f t="shared" si="1162"/>
        <v>0</v>
      </c>
      <c r="Z7508" s="14">
        <v>0</v>
      </c>
      <c r="AA7508" s="6">
        <v>0</v>
      </c>
      <c r="AB7508" s="4">
        <f t="shared" si="1163"/>
        <v>0</v>
      </c>
      <c r="AC7508" s="6">
        <f t="shared" si="1161"/>
        <v>0</v>
      </c>
      <c r="AD7508" s="6">
        <f t="shared" si="1157"/>
        <v>0</v>
      </c>
      <c r="AE7508" s="14">
        <f>VLOOKUP(I7508,[2]媒体政策预估表!A:N,MATCH(O7508,[2]媒体政策预估表!$A$2:$M$2,0),0)</f>
        <v>7.0000000000000007E-2</v>
      </c>
      <c r="AF7508" s="6">
        <f t="shared" si="1159"/>
        <v>0</v>
      </c>
      <c r="AG7508" s="14">
        <v>0</v>
      </c>
      <c r="AH7508" s="64">
        <f t="shared" si="1158"/>
        <v>0</v>
      </c>
      <c r="AJ7508" s="126" t="e">
        <v>#N/A</v>
      </c>
      <c r="AK7508" s="80">
        <f t="shared" si="1164"/>
        <v>0</v>
      </c>
      <c r="AL7508" s="85"/>
      <c r="AM7508" s="85"/>
    </row>
    <row r="7509" spans="1:39" s="86" customFormat="1" ht="13.25" hidden="1" customHeight="1" x14ac:dyDescent="0.3">
      <c r="A7509" s="89" t="s">
        <v>3978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3767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156"/>
        <v>0</v>
      </c>
      <c r="X7509" s="6">
        <f t="shared" si="1160"/>
        <v>16802.5</v>
      </c>
      <c r="Y7509" s="13">
        <f t="shared" si="1162"/>
        <v>0</v>
      </c>
      <c r="Z7509" s="14">
        <v>0</v>
      </c>
      <c r="AA7509" s="6">
        <v>0</v>
      </c>
      <c r="AB7509" s="4">
        <f t="shared" si="1163"/>
        <v>16802.5</v>
      </c>
      <c r="AC7509" s="6">
        <f t="shared" si="1161"/>
        <v>0</v>
      </c>
      <c r="AD7509" s="6">
        <f t="shared" si="1157"/>
        <v>16802.5</v>
      </c>
      <c r="AE7509" s="14">
        <f>VLOOKUP(I7509,[2]媒体政策预估表!A:N,MATCH(O7509,[2]媒体政策预估表!$A$2:$M$2,0),0)</f>
        <v>7.0000000000000007E-2</v>
      </c>
      <c r="AF7509" s="6">
        <f t="shared" si="1159"/>
        <v>1176.1750000000002</v>
      </c>
      <c r="AG7509" s="14">
        <v>0</v>
      </c>
      <c r="AH7509" s="64">
        <f t="shared" si="1158"/>
        <v>16802.5</v>
      </c>
      <c r="AJ7509" s="126" t="e">
        <v>#N/A</v>
      </c>
      <c r="AK7509" s="80">
        <f t="shared" si="1164"/>
        <v>0</v>
      </c>
      <c r="AL7509" s="85"/>
      <c r="AM7509" s="85"/>
    </row>
    <row r="7510" spans="1:39" s="86" customFormat="1" ht="13.25" hidden="1" customHeight="1" x14ac:dyDescent="0.3">
      <c r="A7510" s="89" t="s">
        <v>3978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3767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156"/>
        <v>1.6000000000030923</v>
      </c>
      <c r="X7510" s="6">
        <f t="shared" si="1160"/>
        <v>2336.1999999999998</v>
      </c>
      <c r="Y7510" s="13">
        <f t="shared" si="1162"/>
        <v>0</v>
      </c>
      <c r="Z7510" s="14">
        <v>0</v>
      </c>
      <c r="AA7510" s="6">
        <v>0</v>
      </c>
      <c r="AB7510" s="4">
        <f t="shared" si="1163"/>
        <v>2336.1999999999998</v>
      </c>
      <c r="AC7510" s="6">
        <f t="shared" si="1161"/>
        <v>0</v>
      </c>
      <c r="AD7510" s="6">
        <f t="shared" si="1157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159"/>
        <v>163.53399999999999</v>
      </c>
      <c r="AG7510" s="14">
        <v>0</v>
      </c>
      <c r="AH7510" s="64">
        <f t="shared" si="1158"/>
        <v>2336.1999999999998</v>
      </c>
      <c r="AJ7510" s="126" t="e">
        <v>#N/A</v>
      </c>
      <c r="AK7510" s="80">
        <f t="shared" si="1164"/>
        <v>0</v>
      </c>
      <c r="AL7510" s="85"/>
      <c r="AM7510" s="85"/>
    </row>
    <row r="7511" spans="1:39" s="86" customFormat="1" ht="13.25" hidden="1" customHeight="1" x14ac:dyDescent="0.3">
      <c r="A7511" s="89" t="s">
        <v>3792</v>
      </c>
      <c r="B7511" s="86" t="s">
        <v>35</v>
      </c>
      <c r="C7511" s="86" t="s">
        <v>184</v>
      </c>
      <c r="D7511" s="86" t="s">
        <v>3849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3767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156"/>
        <v>90068.14</v>
      </c>
      <c r="X7511" s="6">
        <f t="shared" si="1160"/>
        <v>70240.800000000003</v>
      </c>
      <c r="Y7511" s="13">
        <f t="shared" si="1162"/>
        <v>0</v>
      </c>
      <c r="Z7511" s="14">
        <v>0</v>
      </c>
      <c r="AA7511" s="6">
        <v>0</v>
      </c>
      <c r="AB7511" s="4">
        <f t="shared" si="1163"/>
        <v>70240.800000000003</v>
      </c>
      <c r="AC7511" s="6">
        <f t="shared" si="1161"/>
        <v>0</v>
      </c>
      <c r="AD7511" s="6">
        <f t="shared" si="1157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159"/>
        <v>4916.8560000000007</v>
      </c>
      <c r="AG7511" s="14">
        <v>0</v>
      </c>
      <c r="AH7511" s="64">
        <f t="shared" si="1158"/>
        <v>70240.800000000003</v>
      </c>
      <c r="AJ7511" s="126" t="e">
        <v>#N/A</v>
      </c>
      <c r="AK7511" s="80">
        <f t="shared" si="1164"/>
        <v>0</v>
      </c>
      <c r="AL7511" s="85"/>
      <c r="AM7511" s="85"/>
    </row>
    <row r="7512" spans="1:39" s="86" customFormat="1" ht="13.25" hidden="1" customHeight="1" x14ac:dyDescent="0.3">
      <c r="A7512" s="89" t="s">
        <v>3792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3767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156"/>
        <v>483.70000000000005</v>
      </c>
      <c r="X7512" s="6">
        <f t="shared" si="1160"/>
        <v>0</v>
      </c>
      <c r="Y7512" s="13">
        <f t="shared" si="1162"/>
        <v>0</v>
      </c>
      <c r="Z7512" s="14">
        <v>0</v>
      </c>
      <c r="AA7512" s="6">
        <v>0</v>
      </c>
      <c r="AB7512" s="4">
        <f t="shared" si="1163"/>
        <v>0</v>
      </c>
      <c r="AC7512" s="6">
        <f t="shared" si="1161"/>
        <v>0</v>
      </c>
      <c r="AD7512" s="6">
        <f t="shared" si="1157"/>
        <v>0</v>
      </c>
      <c r="AE7512" s="14">
        <f>VLOOKUP(I7512,[2]媒体政策预估表!A:N,MATCH(O7512,[2]媒体政策预估表!$A$2:$M$2,0),0)</f>
        <v>7.0000000000000007E-2</v>
      </c>
      <c r="AF7512" s="6">
        <f t="shared" si="1159"/>
        <v>0</v>
      </c>
      <c r="AG7512" s="14">
        <v>0</v>
      </c>
      <c r="AH7512" s="64">
        <f t="shared" si="1158"/>
        <v>0</v>
      </c>
      <c r="AJ7512" s="126" t="e">
        <v>#N/A</v>
      </c>
      <c r="AK7512" s="80">
        <f t="shared" si="1164"/>
        <v>0</v>
      </c>
      <c r="AL7512" s="85"/>
      <c r="AM7512" s="85"/>
    </row>
    <row r="7513" spans="1:39" s="86" customFormat="1" ht="13.25" hidden="1" customHeight="1" x14ac:dyDescent="0.3">
      <c r="A7513" s="89" t="s">
        <v>3792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3767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165">T7513+U7513-V7513</f>
        <v>31683.200000000012</v>
      </c>
      <c r="X7513" s="6">
        <f t="shared" si="1160"/>
        <v>73981.899999999994</v>
      </c>
      <c r="Y7513" s="13">
        <f t="shared" si="1162"/>
        <v>0</v>
      </c>
      <c r="Z7513" s="14">
        <v>0</v>
      </c>
      <c r="AA7513" s="6">
        <v>0</v>
      </c>
      <c r="AB7513" s="4">
        <f t="shared" si="1163"/>
        <v>73981.899999999994</v>
      </c>
      <c r="AC7513" s="6">
        <f t="shared" si="1161"/>
        <v>0</v>
      </c>
      <c r="AD7513" s="6">
        <f t="shared" ref="AD7513:AD7576" si="1166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159"/>
        <v>5178.7330000000002</v>
      </c>
      <c r="AG7513" s="14">
        <v>0</v>
      </c>
      <c r="AH7513" s="64">
        <f t="shared" ref="AH7513:AH7576" si="1167">V7513</f>
        <v>73981.899999999994</v>
      </c>
      <c r="AJ7513" s="126" t="e">
        <v>#N/A</v>
      </c>
      <c r="AK7513" s="80">
        <f t="shared" si="1164"/>
        <v>0</v>
      </c>
      <c r="AL7513" s="85"/>
      <c r="AM7513" s="85"/>
    </row>
    <row r="7514" spans="1:39" s="86" customFormat="1" ht="13.25" hidden="1" customHeight="1" x14ac:dyDescent="0.3">
      <c r="A7514" s="89" t="s">
        <v>3978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3767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165"/>
        <v>9914.01</v>
      </c>
      <c r="X7514" s="6">
        <f t="shared" si="1160"/>
        <v>0</v>
      </c>
      <c r="Y7514" s="13">
        <f t="shared" si="1162"/>
        <v>0</v>
      </c>
      <c r="Z7514" s="14">
        <v>0</v>
      </c>
      <c r="AA7514" s="6">
        <v>0</v>
      </c>
      <c r="AB7514" s="4">
        <f t="shared" si="1163"/>
        <v>0</v>
      </c>
      <c r="AC7514" s="6">
        <f t="shared" si="1161"/>
        <v>0</v>
      </c>
      <c r="AD7514" s="6">
        <f t="shared" si="1166"/>
        <v>0</v>
      </c>
      <c r="AE7514" s="14">
        <f>VLOOKUP(I7514,[2]媒体政策预估表!A:N,MATCH(O7514,[2]媒体政策预估表!$A$2:$M$2,0),0)</f>
        <v>0.1</v>
      </c>
      <c r="AF7514" s="6">
        <f t="shared" si="1159"/>
        <v>0</v>
      </c>
      <c r="AG7514" s="14">
        <v>0</v>
      </c>
      <c r="AH7514" s="64">
        <f t="shared" si="1167"/>
        <v>0</v>
      </c>
      <c r="AJ7514" s="126" t="e">
        <v>#N/A</v>
      </c>
      <c r="AK7514" s="80">
        <f t="shared" si="1164"/>
        <v>0</v>
      </c>
      <c r="AL7514" s="85"/>
      <c r="AM7514" s="85"/>
    </row>
    <row r="7515" spans="1:39" s="86" customFormat="1" ht="13.25" hidden="1" customHeight="1" x14ac:dyDescent="0.3">
      <c r="A7515" s="89" t="s">
        <v>3978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3767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165"/>
        <v>8105.0800000000008</v>
      </c>
      <c r="X7515" s="6">
        <f t="shared" si="1160"/>
        <v>5160.6930693069307</v>
      </c>
      <c r="Y7515" s="13">
        <f t="shared" si="1162"/>
        <v>0</v>
      </c>
      <c r="Z7515" s="14">
        <v>0</v>
      </c>
      <c r="AA7515" s="6">
        <v>0</v>
      </c>
      <c r="AB7515" s="4">
        <f t="shared" si="1163"/>
        <v>5160.6930693069307</v>
      </c>
      <c r="AC7515" s="6">
        <f t="shared" si="1161"/>
        <v>51.606930693069444</v>
      </c>
      <c r="AD7515" s="6">
        <f t="shared" si="1166"/>
        <v>5212.3</v>
      </c>
      <c r="AE7515" s="14">
        <f>VLOOKUP(I7515,[2]媒体政策预估表!A:N,MATCH(O7515,[2]媒体政策预估表!$A$2:$M$2,0),0)</f>
        <v>7.0000000000000007E-2</v>
      </c>
      <c r="AF7515" s="6">
        <f t="shared" si="1159"/>
        <v>364.86100000000005</v>
      </c>
      <c r="AG7515" s="14">
        <v>0</v>
      </c>
      <c r="AH7515" s="64">
        <f t="shared" si="1167"/>
        <v>5212.3</v>
      </c>
      <c r="AJ7515" s="126" t="e">
        <v>#N/A</v>
      </c>
      <c r="AK7515" s="80">
        <f t="shared" si="1164"/>
        <v>0</v>
      </c>
      <c r="AL7515" s="85"/>
      <c r="AM7515" s="85"/>
    </row>
    <row r="7516" spans="1:39" s="86" customFormat="1" ht="13.25" hidden="1" customHeight="1" x14ac:dyDescent="0.3">
      <c r="A7516" s="89" t="s">
        <v>3792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3767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165"/>
        <v>120000</v>
      </c>
      <c r="X7516" s="6">
        <f t="shared" si="1160"/>
        <v>0</v>
      </c>
      <c r="Y7516" s="13">
        <f t="shared" si="1162"/>
        <v>0</v>
      </c>
      <c r="Z7516" s="14">
        <v>0</v>
      </c>
      <c r="AA7516" s="6">
        <v>0</v>
      </c>
      <c r="AB7516" s="4">
        <f t="shared" si="1163"/>
        <v>0</v>
      </c>
      <c r="AC7516" s="6">
        <f t="shared" si="1161"/>
        <v>0</v>
      </c>
      <c r="AD7516" s="6">
        <f t="shared" si="1166"/>
        <v>0</v>
      </c>
      <c r="AE7516" s="14">
        <f>VLOOKUP(I7516,[2]媒体政策预估表!A:N,MATCH(O7516,[2]媒体政策预估表!$A$2:$M$2,0),0)</f>
        <v>7.0000000000000007E-2</v>
      </c>
      <c r="AF7516" s="6">
        <f t="shared" si="1159"/>
        <v>0</v>
      </c>
      <c r="AG7516" s="14">
        <v>0</v>
      </c>
      <c r="AH7516" s="64">
        <f t="shared" si="1167"/>
        <v>0</v>
      </c>
      <c r="AJ7516" s="126" t="e">
        <v>#N/A</v>
      </c>
      <c r="AK7516" s="80">
        <f t="shared" si="1164"/>
        <v>0</v>
      </c>
      <c r="AL7516" s="85"/>
      <c r="AM7516" s="85"/>
    </row>
    <row r="7517" spans="1:39" s="86" customFormat="1" ht="13.25" hidden="1" customHeight="1" x14ac:dyDescent="0.3">
      <c r="A7517" s="89" t="s">
        <v>3978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3767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165"/>
        <v>-298.3</v>
      </c>
      <c r="X7517" s="6">
        <f t="shared" si="1160"/>
        <v>298.3</v>
      </c>
      <c r="Y7517" s="13">
        <f t="shared" si="1162"/>
        <v>0</v>
      </c>
      <c r="Z7517" s="14">
        <v>0</v>
      </c>
      <c r="AA7517" s="6">
        <v>0</v>
      </c>
      <c r="AB7517" s="4">
        <f t="shared" si="1163"/>
        <v>298.3</v>
      </c>
      <c r="AC7517" s="6">
        <f t="shared" si="1161"/>
        <v>0</v>
      </c>
      <c r="AD7517" s="6">
        <f t="shared" si="1166"/>
        <v>298.3</v>
      </c>
      <c r="AE7517" s="14">
        <f>VLOOKUP(I7517,[2]媒体政策预估表!A:N,MATCH(O7517,[2]媒体政策预估表!$A$2:$M$2,0),0)</f>
        <v>0.15</v>
      </c>
      <c r="AF7517" s="6">
        <f t="shared" si="1159"/>
        <v>44.744999999999997</v>
      </c>
      <c r="AG7517" s="14">
        <v>0</v>
      </c>
      <c r="AH7517" s="64">
        <f t="shared" si="1167"/>
        <v>298.3</v>
      </c>
      <c r="AJ7517" s="126" t="e">
        <v>#N/A</v>
      </c>
      <c r="AK7517" s="80">
        <f t="shared" si="1164"/>
        <v>0</v>
      </c>
      <c r="AL7517" s="85"/>
      <c r="AM7517" s="85"/>
    </row>
    <row r="7518" spans="1:39" s="86" customFormat="1" ht="13.25" hidden="1" customHeight="1" x14ac:dyDescent="0.3">
      <c r="A7518" s="89" t="s">
        <v>3978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3767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165"/>
        <v>30032.000000000007</v>
      </c>
      <c r="X7518" s="6">
        <f t="shared" si="1160"/>
        <v>0</v>
      </c>
      <c r="Y7518" s="13">
        <f t="shared" si="1162"/>
        <v>0</v>
      </c>
      <c r="Z7518" s="14">
        <v>0</v>
      </c>
      <c r="AA7518" s="6">
        <v>0</v>
      </c>
      <c r="AB7518" s="4">
        <f t="shared" si="1163"/>
        <v>0</v>
      </c>
      <c r="AC7518" s="6">
        <f t="shared" si="1161"/>
        <v>0</v>
      </c>
      <c r="AD7518" s="6">
        <f t="shared" si="1166"/>
        <v>0</v>
      </c>
      <c r="AE7518" s="14">
        <f>VLOOKUP(I7518,[2]媒体政策预估表!A:N,MATCH(O7518,[2]媒体政策预估表!$A$2:$M$2,0),0)</f>
        <v>7.0000000000000007E-2</v>
      </c>
      <c r="AF7518" s="6">
        <f t="shared" si="1159"/>
        <v>0</v>
      </c>
      <c r="AG7518" s="14">
        <v>0</v>
      </c>
      <c r="AH7518" s="64">
        <f t="shared" si="1167"/>
        <v>0</v>
      </c>
      <c r="AJ7518" s="126" t="e">
        <v>#N/A</v>
      </c>
      <c r="AK7518" s="80">
        <f t="shared" si="1164"/>
        <v>0</v>
      </c>
      <c r="AL7518" s="85"/>
      <c r="AM7518" s="85"/>
    </row>
    <row r="7519" spans="1:39" s="86" customFormat="1" ht="13.25" hidden="1" customHeight="1" x14ac:dyDescent="0.3">
      <c r="A7519" s="89" t="s">
        <v>3978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3767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165"/>
        <v>18990</v>
      </c>
      <c r="X7519" s="6">
        <f t="shared" si="1160"/>
        <v>0</v>
      </c>
      <c r="Y7519" s="13">
        <f t="shared" si="1162"/>
        <v>0</v>
      </c>
      <c r="Z7519" s="14">
        <v>0</v>
      </c>
      <c r="AA7519" s="6">
        <v>0</v>
      </c>
      <c r="AB7519" s="4">
        <f t="shared" si="1163"/>
        <v>0</v>
      </c>
      <c r="AC7519" s="6">
        <f t="shared" si="1161"/>
        <v>0</v>
      </c>
      <c r="AD7519" s="6">
        <f t="shared" si="1166"/>
        <v>0</v>
      </c>
      <c r="AE7519" s="14">
        <f>VLOOKUP(I7519,[2]媒体政策预估表!A:N,MATCH(O7519,[2]媒体政策预估表!$A$2:$M$2,0),0)</f>
        <v>7.0000000000000007E-2</v>
      </c>
      <c r="AF7519" s="6">
        <f t="shared" si="1159"/>
        <v>0</v>
      </c>
      <c r="AG7519" s="14">
        <v>0</v>
      </c>
      <c r="AH7519" s="64">
        <f t="shared" si="1167"/>
        <v>0</v>
      </c>
      <c r="AJ7519" s="126" t="e">
        <v>#N/A</v>
      </c>
      <c r="AK7519" s="80">
        <f t="shared" si="1164"/>
        <v>0</v>
      </c>
      <c r="AL7519" s="85"/>
      <c r="AM7519" s="85"/>
    </row>
    <row r="7520" spans="1:39" s="86" customFormat="1" ht="13.25" hidden="1" customHeight="1" x14ac:dyDescent="0.3">
      <c r="A7520" s="89" t="s">
        <v>3978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3767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165"/>
        <v>0</v>
      </c>
      <c r="X7520" s="6">
        <f t="shared" si="1160"/>
        <v>2692.9803921568591</v>
      </c>
      <c r="Y7520" s="13">
        <f t="shared" si="1162"/>
        <v>0</v>
      </c>
      <c r="Z7520" s="14">
        <v>0</v>
      </c>
      <c r="AA7520" s="6">
        <v>0</v>
      </c>
      <c r="AB7520" s="4">
        <f t="shared" si="1163"/>
        <v>2692.9803921568591</v>
      </c>
      <c r="AC7520" s="6">
        <f t="shared" si="1161"/>
        <v>53.859607843137383</v>
      </c>
      <c r="AD7520" s="6">
        <f t="shared" si="1166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159"/>
        <v>192.27879999999976</v>
      </c>
      <c r="AG7520" s="14">
        <v>0</v>
      </c>
      <c r="AH7520" s="64">
        <f t="shared" si="1167"/>
        <v>2746.8399999999965</v>
      </c>
      <c r="AJ7520" s="126" t="e">
        <v>#N/A</v>
      </c>
      <c r="AK7520" s="80">
        <f t="shared" si="1164"/>
        <v>0</v>
      </c>
      <c r="AL7520" s="85"/>
      <c r="AM7520" s="85"/>
    </row>
    <row r="7521" spans="1:39" s="86" customFormat="1" ht="13.25" hidden="1" customHeight="1" x14ac:dyDescent="0.3">
      <c r="A7521" s="89" t="s">
        <v>3978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3767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165"/>
        <v>22555.340000000011</v>
      </c>
      <c r="X7521" s="6">
        <f t="shared" si="1160"/>
        <v>15783.333333333334</v>
      </c>
      <c r="Y7521" s="13">
        <f t="shared" si="1162"/>
        <v>0</v>
      </c>
      <c r="Z7521" s="14">
        <v>0</v>
      </c>
      <c r="AA7521" s="6">
        <v>0</v>
      </c>
      <c r="AB7521" s="4">
        <f t="shared" si="1163"/>
        <v>15783.333333333334</v>
      </c>
      <c r="AC7521" s="6">
        <f t="shared" si="1161"/>
        <v>315.66666666666606</v>
      </c>
      <c r="AD7521" s="6">
        <f t="shared" si="1166"/>
        <v>16099</v>
      </c>
      <c r="AE7521" s="14">
        <f>VLOOKUP(I7521,[2]媒体政策预估表!A:N,MATCH(O7521,[2]媒体政策预估表!$A$2:$M$2,0),0)</f>
        <v>7.0000000000000007E-2</v>
      </c>
      <c r="AF7521" s="6">
        <f t="shared" si="1159"/>
        <v>1126.93</v>
      </c>
      <c r="AG7521" s="14">
        <v>0</v>
      </c>
      <c r="AH7521" s="64">
        <f t="shared" si="1167"/>
        <v>16099</v>
      </c>
      <c r="AJ7521" s="126" t="e">
        <v>#N/A</v>
      </c>
      <c r="AK7521" s="80">
        <f t="shared" si="1164"/>
        <v>0</v>
      </c>
      <c r="AL7521" s="85"/>
      <c r="AM7521" s="85"/>
    </row>
    <row r="7522" spans="1:39" s="86" customFormat="1" ht="13.25" hidden="1" customHeight="1" x14ac:dyDescent="0.3">
      <c r="A7522" s="89" t="s">
        <v>3978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3767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165"/>
        <v>391.19999999999982</v>
      </c>
      <c r="X7522" s="6">
        <f t="shared" si="1160"/>
        <v>7968.4313725490192</v>
      </c>
      <c r="Y7522" s="13">
        <f t="shared" si="1162"/>
        <v>0</v>
      </c>
      <c r="Z7522" s="14">
        <v>0</v>
      </c>
      <c r="AA7522" s="6">
        <v>0</v>
      </c>
      <c r="AB7522" s="4">
        <f t="shared" si="1163"/>
        <v>7968.4313725490192</v>
      </c>
      <c r="AC7522" s="6">
        <f t="shared" si="1161"/>
        <v>159.36862745098097</v>
      </c>
      <c r="AD7522" s="6">
        <f t="shared" si="1166"/>
        <v>8127.8</v>
      </c>
      <c r="AE7522" s="14">
        <f>VLOOKUP(I7522,[2]媒体政策预估表!A:N,MATCH(O7522,[2]媒体政策预估表!$A$2:$M$2,0),0)</f>
        <v>7.0000000000000007E-2</v>
      </c>
      <c r="AF7522" s="6">
        <f t="shared" si="1159"/>
        <v>568.94600000000003</v>
      </c>
      <c r="AG7522" s="14">
        <v>0</v>
      </c>
      <c r="AH7522" s="64">
        <f t="shared" si="1167"/>
        <v>8127.8</v>
      </c>
      <c r="AJ7522" s="126" t="e">
        <v>#N/A</v>
      </c>
      <c r="AK7522" s="80">
        <f t="shared" si="1164"/>
        <v>0</v>
      </c>
      <c r="AL7522" s="85"/>
      <c r="AM7522" s="85"/>
    </row>
    <row r="7523" spans="1:39" s="86" customFormat="1" ht="13.25" hidden="1" customHeight="1" x14ac:dyDescent="0.3">
      <c r="A7523" s="89" t="s">
        <v>3792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3767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160"/>
        <v>0</v>
      </c>
      <c r="Y7523" s="13">
        <f t="shared" si="1162"/>
        <v>0</v>
      </c>
      <c r="Z7523" s="14">
        <v>0</v>
      </c>
      <c r="AA7523" s="6">
        <v>0</v>
      </c>
      <c r="AB7523" s="4">
        <f t="shared" si="1163"/>
        <v>0</v>
      </c>
      <c r="AC7523" s="6">
        <f t="shared" si="1161"/>
        <v>0</v>
      </c>
      <c r="AD7523" s="6">
        <f t="shared" si="1166"/>
        <v>0</v>
      </c>
      <c r="AE7523" s="14">
        <f>VLOOKUP(I7523,[2]媒体政策预估表!A:N,MATCH(O7523,[2]媒体政策预估表!$A$2:$M$2,0),0)</f>
        <v>7.0000000000000007E-2</v>
      </c>
      <c r="AF7523" s="6">
        <f t="shared" si="1159"/>
        <v>0</v>
      </c>
      <c r="AG7523" s="14">
        <v>0</v>
      </c>
      <c r="AH7523" s="64">
        <f t="shared" si="1167"/>
        <v>0</v>
      </c>
      <c r="AJ7523" s="126" t="e">
        <v>#N/A</v>
      </c>
      <c r="AK7523" s="80">
        <f t="shared" si="1164"/>
        <v>0</v>
      </c>
      <c r="AL7523" s="85"/>
      <c r="AM7523" s="85"/>
    </row>
    <row r="7524" spans="1:39" s="86" customFormat="1" ht="13.25" hidden="1" customHeight="1" x14ac:dyDescent="0.3">
      <c r="A7524" s="89" t="s">
        <v>3978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3767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165"/>
        <v>5509.2999999999993</v>
      </c>
      <c r="X7524" s="6">
        <f t="shared" si="1160"/>
        <v>13325.2</v>
      </c>
      <c r="Y7524" s="13">
        <f t="shared" si="1162"/>
        <v>0</v>
      </c>
      <c r="Z7524" s="14">
        <v>0</v>
      </c>
      <c r="AA7524" s="6">
        <v>0</v>
      </c>
      <c r="AB7524" s="4">
        <f t="shared" si="1163"/>
        <v>13325.2</v>
      </c>
      <c r="AC7524" s="6">
        <f t="shared" si="1161"/>
        <v>0</v>
      </c>
      <c r="AD7524" s="6">
        <f t="shared" si="1166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168">AD7524*AE7524</f>
        <v>932.76400000000012</v>
      </c>
      <c r="AG7524" s="14">
        <v>0</v>
      </c>
      <c r="AH7524" s="64">
        <f t="shared" si="1167"/>
        <v>13325.2</v>
      </c>
      <c r="AJ7524" s="126" t="e">
        <v>#N/A</v>
      </c>
      <c r="AK7524" s="80">
        <f t="shared" si="1164"/>
        <v>0</v>
      </c>
      <c r="AL7524" s="85"/>
      <c r="AM7524" s="85"/>
    </row>
    <row r="7525" spans="1:39" s="86" customFormat="1" ht="13.25" hidden="1" customHeight="1" x14ac:dyDescent="0.3">
      <c r="A7525" s="89" t="s">
        <v>3978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3767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165"/>
        <v>2517.3000000000002</v>
      </c>
      <c r="X7525" s="6">
        <f t="shared" si="1160"/>
        <v>0</v>
      </c>
      <c r="Y7525" s="13">
        <f t="shared" si="1162"/>
        <v>0</v>
      </c>
      <c r="Z7525" s="14">
        <v>0</v>
      </c>
      <c r="AA7525" s="6">
        <v>0</v>
      </c>
      <c r="AB7525" s="4">
        <f t="shared" si="1163"/>
        <v>0</v>
      </c>
      <c r="AC7525" s="6">
        <f t="shared" si="1161"/>
        <v>0</v>
      </c>
      <c r="AD7525" s="6">
        <f t="shared" si="1166"/>
        <v>0</v>
      </c>
      <c r="AE7525" s="14">
        <f>VLOOKUP(I7525,[2]媒体政策预估表!A:N,MATCH(O7525,[2]媒体政策预估表!$A$2:$M$2,0),0)</f>
        <v>7.0000000000000007E-2</v>
      </c>
      <c r="AF7525" s="6">
        <f t="shared" si="1168"/>
        <v>0</v>
      </c>
      <c r="AG7525" s="14">
        <v>0</v>
      </c>
      <c r="AH7525" s="64">
        <f t="shared" si="1167"/>
        <v>0</v>
      </c>
      <c r="AJ7525" s="126" t="e">
        <v>#N/A</v>
      </c>
      <c r="AK7525" s="80">
        <f t="shared" si="1164"/>
        <v>0</v>
      </c>
      <c r="AL7525" s="85"/>
      <c r="AM7525" s="85"/>
    </row>
    <row r="7526" spans="1:39" s="86" customFormat="1" ht="13.25" hidden="1" customHeight="1" x14ac:dyDescent="0.3">
      <c r="A7526" s="89" t="s">
        <v>3792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3767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165"/>
        <v>0</v>
      </c>
      <c r="X7526" s="6">
        <f t="shared" si="1160"/>
        <v>5000</v>
      </c>
      <c r="Y7526" s="13">
        <f t="shared" si="1162"/>
        <v>0</v>
      </c>
      <c r="Z7526" s="14">
        <v>0</v>
      </c>
      <c r="AA7526" s="6">
        <v>0</v>
      </c>
      <c r="AB7526" s="4">
        <f t="shared" si="1163"/>
        <v>5000</v>
      </c>
      <c r="AC7526" s="6">
        <f t="shared" si="1161"/>
        <v>0</v>
      </c>
      <c r="AD7526" s="6">
        <f t="shared" si="1166"/>
        <v>5000</v>
      </c>
      <c r="AE7526" s="14">
        <f>VLOOKUP(I7526,[2]媒体政策预估表!A:N,MATCH(O7526,[2]媒体政策预估表!$A$2:$M$2,0),0)</f>
        <v>7.0000000000000007E-2</v>
      </c>
      <c r="AF7526" s="6">
        <f t="shared" si="1168"/>
        <v>350.00000000000006</v>
      </c>
      <c r="AG7526" s="14">
        <v>0</v>
      </c>
      <c r="AH7526" s="64">
        <f t="shared" si="1167"/>
        <v>5000</v>
      </c>
      <c r="AJ7526" s="126" t="e">
        <v>#N/A</v>
      </c>
      <c r="AK7526" s="80">
        <f t="shared" si="1164"/>
        <v>0</v>
      </c>
      <c r="AL7526" s="85"/>
      <c r="AM7526" s="85"/>
    </row>
    <row r="7527" spans="1:39" s="86" customFormat="1" ht="13.25" hidden="1" customHeight="1" x14ac:dyDescent="0.3">
      <c r="A7527" s="89" t="s">
        <v>3792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3767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165"/>
        <v>20000</v>
      </c>
      <c r="X7527" s="6">
        <f t="shared" si="1160"/>
        <v>0</v>
      </c>
      <c r="Y7527" s="13">
        <f t="shared" si="1162"/>
        <v>0</v>
      </c>
      <c r="Z7527" s="14">
        <v>0</v>
      </c>
      <c r="AA7527" s="6">
        <v>0</v>
      </c>
      <c r="AB7527" s="4">
        <f t="shared" si="1163"/>
        <v>0</v>
      </c>
      <c r="AC7527" s="6">
        <f t="shared" si="1161"/>
        <v>0</v>
      </c>
      <c r="AD7527" s="6">
        <f t="shared" si="1166"/>
        <v>0</v>
      </c>
      <c r="AE7527" s="14">
        <f>VLOOKUP(I7527,[2]媒体政策预估表!A:N,MATCH(O7527,[2]媒体政策预估表!$A$2:$M$2,0),0)</f>
        <v>7.0000000000000007E-2</v>
      </c>
      <c r="AF7527" s="6">
        <f t="shared" si="1168"/>
        <v>0</v>
      </c>
      <c r="AG7527" s="14">
        <v>0</v>
      </c>
      <c r="AH7527" s="64">
        <f t="shared" si="1167"/>
        <v>0</v>
      </c>
      <c r="AJ7527" s="126" t="e">
        <v>#N/A</v>
      </c>
      <c r="AK7527" s="80">
        <f t="shared" si="1164"/>
        <v>0</v>
      </c>
      <c r="AL7527" s="85"/>
      <c r="AM7527" s="85"/>
    </row>
    <row r="7528" spans="1:39" s="86" customFormat="1" ht="13.25" hidden="1" customHeight="1" x14ac:dyDescent="0.3">
      <c r="A7528" s="89" t="s">
        <v>3978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3767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165"/>
        <v>1508.8000000000002</v>
      </c>
      <c r="X7528" s="6">
        <f t="shared" si="1160"/>
        <v>7752.6470588235288</v>
      </c>
      <c r="Y7528" s="13">
        <f t="shared" si="1162"/>
        <v>0</v>
      </c>
      <c r="Z7528" s="14">
        <v>0</v>
      </c>
      <c r="AA7528" s="6">
        <v>0</v>
      </c>
      <c r="AB7528" s="4">
        <f t="shared" si="1163"/>
        <v>7752.6470588235288</v>
      </c>
      <c r="AC7528" s="6">
        <f t="shared" si="1161"/>
        <v>155.05294117647099</v>
      </c>
      <c r="AD7528" s="6">
        <f t="shared" si="1166"/>
        <v>7907.7</v>
      </c>
      <c r="AE7528" s="14">
        <f>VLOOKUP(I7528,[2]媒体政策预估表!A:N,MATCH(O7528,[2]媒体政策预估表!$A$2:$M$2,0),0)</f>
        <v>7.0000000000000007E-2</v>
      </c>
      <c r="AF7528" s="6">
        <f t="shared" si="1168"/>
        <v>553.53899999999999</v>
      </c>
      <c r="AG7528" s="14">
        <v>0</v>
      </c>
      <c r="AH7528" s="64">
        <f t="shared" si="1167"/>
        <v>7907.7</v>
      </c>
      <c r="AJ7528" s="126" t="e">
        <v>#N/A</v>
      </c>
      <c r="AK7528" s="80">
        <f t="shared" si="1164"/>
        <v>0</v>
      </c>
      <c r="AL7528" s="85"/>
      <c r="AM7528" s="85"/>
    </row>
    <row r="7529" spans="1:39" s="86" customFormat="1" ht="13.25" hidden="1" customHeight="1" x14ac:dyDescent="0.3">
      <c r="A7529" s="89" t="s">
        <v>3978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3767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165"/>
        <v>24715.14</v>
      </c>
      <c r="X7529" s="6">
        <f t="shared" si="1160"/>
        <v>36886.199999999997</v>
      </c>
      <c r="Y7529" s="13">
        <f t="shared" si="1162"/>
        <v>0</v>
      </c>
      <c r="Z7529" s="14">
        <v>0</v>
      </c>
      <c r="AA7529" s="6">
        <v>0</v>
      </c>
      <c r="AB7529" s="4">
        <f t="shared" si="1163"/>
        <v>36886.199999999997</v>
      </c>
      <c r="AC7529" s="6">
        <f t="shared" si="1161"/>
        <v>0</v>
      </c>
      <c r="AD7529" s="6">
        <f t="shared" si="1166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168"/>
        <v>2582.0340000000001</v>
      </c>
      <c r="AG7529" s="14">
        <v>0</v>
      </c>
      <c r="AH7529" s="64">
        <f t="shared" si="1167"/>
        <v>36886.199999999997</v>
      </c>
      <c r="AJ7529" s="126" t="e">
        <v>#N/A</v>
      </c>
      <c r="AK7529" s="80">
        <f t="shared" si="1164"/>
        <v>0</v>
      </c>
      <c r="AL7529" s="85"/>
      <c r="AM7529" s="85"/>
    </row>
    <row r="7530" spans="1:39" s="86" customFormat="1" ht="13.25" hidden="1" customHeight="1" x14ac:dyDescent="0.3">
      <c r="A7530" s="89" t="s">
        <v>3978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3767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165"/>
        <v>1234.2000000000007</v>
      </c>
      <c r="X7530" s="6">
        <f t="shared" si="1160"/>
        <v>14668</v>
      </c>
      <c r="Y7530" s="13">
        <f t="shared" si="1162"/>
        <v>0</v>
      </c>
      <c r="Z7530" s="14">
        <v>0</v>
      </c>
      <c r="AA7530" s="6">
        <v>0</v>
      </c>
      <c r="AB7530" s="4">
        <f t="shared" si="1163"/>
        <v>14668</v>
      </c>
      <c r="AC7530" s="6">
        <f t="shared" si="1161"/>
        <v>0</v>
      </c>
      <c r="AD7530" s="6">
        <f t="shared" si="1166"/>
        <v>14668</v>
      </c>
      <c r="AE7530" s="14">
        <f>VLOOKUP(I7530,[2]媒体政策预估表!A:N,MATCH(O7530,[2]媒体政策预估表!$A$2:$M$2,0),0)</f>
        <v>7.0000000000000007E-2</v>
      </c>
      <c r="AF7530" s="6">
        <f t="shared" si="1168"/>
        <v>1026.76</v>
      </c>
      <c r="AG7530" s="14">
        <v>0</v>
      </c>
      <c r="AH7530" s="64">
        <f t="shared" si="1167"/>
        <v>14668</v>
      </c>
      <c r="AJ7530" s="126" t="e">
        <v>#N/A</v>
      </c>
      <c r="AK7530" s="80">
        <f t="shared" si="1164"/>
        <v>0</v>
      </c>
      <c r="AL7530" s="85"/>
      <c r="AM7530" s="85"/>
    </row>
    <row r="7531" spans="1:39" s="86" customFormat="1" ht="13.25" hidden="1" customHeight="1" x14ac:dyDescent="0.3">
      <c r="A7531" s="89" t="s">
        <v>3792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3767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165"/>
        <v>714.33999999999651</v>
      </c>
      <c r="X7531" s="6">
        <f t="shared" si="1160"/>
        <v>0</v>
      </c>
      <c r="Y7531" s="13">
        <f t="shared" si="1162"/>
        <v>0</v>
      </c>
      <c r="Z7531" s="14">
        <v>0</v>
      </c>
      <c r="AA7531" s="6">
        <v>0</v>
      </c>
      <c r="AB7531" s="4">
        <f t="shared" si="1163"/>
        <v>0</v>
      </c>
      <c r="AC7531" s="6">
        <f t="shared" si="1161"/>
        <v>0</v>
      </c>
      <c r="AD7531" s="6">
        <f t="shared" si="1166"/>
        <v>0</v>
      </c>
      <c r="AE7531" s="14">
        <f>VLOOKUP(I7531,[2]媒体政策预估表!A:N,MATCH(O7531,[2]媒体政策预估表!$A$2:$M$2,0),0)</f>
        <v>7.0000000000000007E-2</v>
      </c>
      <c r="AF7531" s="6">
        <f t="shared" si="1168"/>
        <v>0</v>
      </c>
      <c r="AG7531" s="14">
        <v>0</v>
      </c>
      <c r="AH7531" s="64">
        <f t="shared" si="1167"/>
        <v>0</v>
      </c>
      <c r="AJ7531" s="126" t="e">
        <v>#N/A</v>
      </c>
      <c r="AK7531" s="80">
        <f t="shared" si="1164"/>
        <v>0</v>
      </c>
      <c r="AL7531" s="85"/>
      <c r="AM7531" s="85"/>
    </row>
    <row r="7532" spans="1:39" s="86" customFormat="1" ht="13.25" hidden="1" customHeight="1" x14ac:dyDescent="0.3">
      <c r="A7532" s="89" t="s">
        <v>3978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3767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165"/>
        <v>3136.5250000000015</v>
      </c>
      <c r="X7532" s="6">
        <f t="shared" si="1160"/>
        <v>1801.7</v>
      </c>
      <c r="Y7532" s="13">
        <f t="shared" si="1162"/>
        <v>0</v>
      </c>
      <c r="Z7532" s="14">
        <v>0</v>
      </c>
      <c r="AA7532" s="6">
        <v>0</v>
      </c>
      <c r="AB7532" s="4">
        <f t="shared" si="1163"/>
        <v>1801.7</v>
      </c>
      <c r="AC7532" s="6">
        <f t="shared" si="1161"/>
        <v>0</v>
      </c>
      <c r="AD7532" s="6">
        <f t="shared" si="1166"/>
        <v>1801.7</v>
      </c>
      <c r="AE7532" s="14">
        <f>VLOOKUP(I7532,[2]媒体政策预估表!A:N,MATCH(O7532,[2]媒体政策预估表!$A$2:$M$2,0),0)</f>
        <v>7.0000000000000007E-2</v>
      </c>
      <c r="AF7532" s="6">
        <f t="shared" si="1168"/>
        <v>126.11900000000001</v>
      </c>
      <c r="AG7532" s="14">
        <v>0</v>
      </c>
      <c r="AH7532" s="64">
        <f t="shared" si="1167"/>
        <v>1801.7</v>
      </c>
      <c r="AJ7532" s="126" t="e">
        <v>#N/A</v>
      </c>
      <c r="AK7532" s="80">
        <f t="shared" si="1164"/>
        <v>0</v>
      </c>
      <c r="AL7532" s="85"/>
      <c r="AM7532" s="85"/>
    </row>
    <row r="7533" spans="1:39" s="86" customFormat="1" ht="13.25" hidden="1" customHeight="1" x14ac:dyDescent="0.3">
      <c r="A7533" s="89" t="s">
        <v>3792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3767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165"/>
        <v>528.40000000000146</v>
      </c>
      <c r="X7533" s="6">
        <f t="shared" si="1160"/>
        <v>9036.9</v>
      </c>
      <c r="Y7533" s="13">
        <f t="shared" si="1162"/>
        <v>0</v>
      </c>
      <c r="Z7533" s="14">
        <v>0</v>
      </c>
      <c r="AA7533" s="6">
        <v>0</v>
      </c>
      <c r="AB7533" s="4">
        <f t="shared" si="1163"/>
        <v>9036.9</v>
      </c>
      <c r="AC7533" s="6">
        <f t="shared" si="1161"/>
        <v>0</v>
      </c>
      <c r="AD7533" s="6">
        <f t="shared" si="1166"/>
        <v>9036.9</v>
      </c>
      <c r="AE7533" s="14">
        <f>VLOOKUP(I7533,[2]媒体政策预估表!A:N,MATCH(O7533,[2]媒体政策预估表!$A$2:$M$2,0),0)</f>
        <v>7.0000000000000007E-2</v>
      </c>
      <c r="AF7533" s="6">
        <f t="shared" si="1168"/>
        <v>632.58300000000008</v>
      </c>
      <c r="AG7533" s="14">
        <v>0</v>
      </c>
      <c r="AH7533" s="64">
        <f t="shared" si="1167"/>
        <v>9036.9</v>
      </c>
      <c r="AJ7533" s="126" t="e">
        <v>#N/A</v>
      </c>
      <c r="AK7533" s="80">
        <f t="shared" si="1164"/>
        <v>0</v>
      </c>
      <c r="AL7533" s="85"/>
      <c r="AM7533" s="85"/>
    </row>
    <row r="7534" spans="1:39" s="86" customFormat="1" ht="13.25" hidden="1" customHeight="1" x14ac:dyDescent="0.3">
      <c r="A7534" s="89" t="s">
        <v>3792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3767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165"/>
        <v>4722.0999999999995</v>
      </c>
      <c r="X7534" s="6">
        <f t="shared" si="1160"/>
        <v>0</v>
      </c>
      <c r="Y7534" s="13">
        <f t="shared" si="1162"/>
        <v>0</v>
      </c>
      <c r="Z7534" s="14">
        <v>0</v>
      </c>
      <c r="AA7534" s="6">
        <v>0</v>
      </c>
      <c r="AB7534" s="4">
        <f t="shared" si="1163"/>
        <v>0</v>
      </c>
      <c r="AC7534" s="6">
        <f t="shared" si="1161"/>
        <v>0</v>
      </c>
      <c r="AD7534" s="6">
        <f t="shared" si="1166"/>
        <v>0</v>
      </c>
      <c r="AE7534" s="14">
        <f>VLOOKUP(I7534,[2]媒体政策预估表!A:N,MATCH(O7534,[2]媒体政策预估表!$A$2:$M$2,0),0)</f>
        <v>7.0000000000000007E-2</v>
      </c>
      <c r="AF7534" s="6">
        <f t="shared" si="1168"/>
        <v>0</v>
      </c>
      <c r="AG7534" s="14">
        <v>0</v>
      </c>
      <c r="AH7534" s="64">
        <f t="shared" si="1167"/>
        <v>0</v>
      </c>
      <c r="AJ7534" s="126" t="e">
        <v>#N/A</v>
      </c>
      <c r="AK7534" s="80">
        <f t="shared" si="1164"/>
        <v>0</v>
      </c>
      <c r="AL7534" s="85"/>
      <c r="AM7534" s="85"/>
    </row>
    <row r="7535" spans="1:39" s="86" customFormat="1" ht="13.25" hidden="1" customHeight="1" x14ac:dyDescent="0.3">
      <c r="A7535" s="89" t="s">
        <v>3978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3767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165"/>
        <v>3899.2000000000057</v>
      </c>
      <c r="X7535" s="6">
        <f t="shared" si="1160"/>
        <v>3497.9</v>
      </c>
      <c r="Y7535" s="13">
        <f t="shared" si="1162"/>
        <v>0</v>
      </c>
      <c r="Z7535" s="14">
        <v>0</v>
      </c>
      <c r="AA7535" s="6">
        <v>0</v>
      </c>
      <c r="AB7535" s="4">
        <f t="shared" si="1163"/>
        <v>3497.9</v>
      </c>
      <c r="AC7535" s="6">
        <f t="shared" si="1161"/>
        <v>0</v>
      </c>
      <c r="AD7535" s="6">
        <f t="shared" si="1166"/>
        <v>3497.9</v>
      </c>
      <c r="AE7535" s="14">
        <f>VLOOKUP(I7535,[2]媒体政策预估表!A:N,MATCH(O7535,[2]媒体政策预估表!$A$2:$M$2,0),0)</f>
        <v>7.0000000000000007E-2</v>
      </c>
      <c r="AF7535" s="6">
        <f t="shared" si="1168"/>
        <v>244.85300000000004</v>
      </c>
      <c r="AG7535" s="14">
        <v>0</v>
      </c>
      <c r="AH7535" s="64">
        <f t="shared" si="1167"/>
        <v>3497.9</v>
      </c>
      <c r="AJ7535" s="126" t="e">
        <v>#N/A</v>
      </c>
      <c r="AK7535" s="80">
        <f t="shared" si="1164"/>
        <v>0</v>
      </c>
      <c r="AL7535" s="85"/>
      <c r="AM7535" s="85"/>
    </row>
    <row r="7536" spans="1:39" s="86" customFormat="1" ht="13.25" hidden="1" customHeight="1" x14ac:dyDescent="0.3">
      <c r="A7536" s="89" t="s">
        <v>3978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3767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165"/>
        <v>0.19999999999799911</v>
      </c>
      <c r="X7536" s="6">
        <f t="shared" ref="X7536:X7599" si="1169">IF(P7536="折扣",V7536*Q7536,IF(P7536="返现",V7536,V7536/(1+Q7536)))</f>
        <v>3303.6633663366333</v>
      </c>
      <c r="Y7536" s="13">
        <f t="shared" si="1162"/>
        <v>0</v>
      </c>
      <c r="Z7536" s="14">
        <v>0</v>
      </c>
      <c r="AA7536" s="6">
        <v>0</v>
      </c>
      <c r="AB7536" s="4">
        <f t="shared" si="1163"/>
        <v>3303.6633663366333</v>
      </c>
      <c r="AC7536" s="6">
        <f t="shared" si="1161"/>
        <v>33.036633663366501</v>
      </c>
      <c r="AD7536" s="6">
        <f t="shared" si="1166"/>
        <v>3336.7</v>
      </c>
      <c r="AE7536" s="14">
        <f>VLOOKUP(I7536,[2]媒体政策预估表!A:N,MATCH(O7536,[2]媒体政策预估表!$A$2:$M$2,0),0)</f>
        <v>7.0000000000000007E-2</v>
      </c>
      <c r="AF7536" s="6">
        <f t="shared" si="1168"/>
        <v>233.56900000000002</v>
      </c>
      <c r="AG7536" s="14">
        <v>0</v>
      </c>
      <c r="AH7536" s="64">
        <f t="shared" si="1167"/>
        <v>3336.7</v>
      </c>
      <c r="AJ7536" s="126" t="e">
        <v>#N/A</v>
      </c>
      <c r="AK7536" s="80">
        <f t="shared" si="1164"/>
        <v>0</v>
      </c>
      <c r="AL7536" s="85"/>
      <c r="AM7536" s="85"/>
    </row>
    <row r="7537" spans="1:39" s="86" customFormat="1" ht="13.25" hidden="1" customHeight="1" x14ac:dyDescent="0.3">
      <c r="A7537" s="89" t="s">
        <v>3792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3767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165"/>
        <v>490.09000000000015</v>
      </c>
      <c r="X7537" s="6">
        <f t="shared" si="1169"/>
        <v>7523.1</v>
      </c>
      <c r="Y7537" s="13">
        <f t="shared" si="1162"/>
        <v>0</v>
      </c>
      <c r="Z7537" s="14">
        <v>0</v>
      </c>
      <c r="AA7537" s="6">
        <v>0</v>
      </c>
      <c r="AB7537" s="4">
        <f t="shared" si="1163"/>
        <v>7523.1</v>
      </c>
      <c r="AC7537" s="6">
        <f t="shared" si="1161"/>
        <v>0</v>
      </c>
      <c r="AD7537" s="6">
        <f t="shared" si="1166"/>
        <v>7523.1</v>
      </c>
      <c r="AE7537" s="14">
        <f>VLOOKUP(I7537,[2]媒体政策预估表!A:N,MATCH(O7537,[2]媒体政策预估表!$A$2:$M$2,0),0)</f>
        <v>7.0000000000000007E-2</v>
      </c>
      <c r="AF7537" s="6">
        <f t="shared" si="1168"/>
        <v>526.61700000000008</v>
      </c>
      <c r="AG7537" s="14">
        <v>0</v>
      </c>
      <c r="AH7537" s="64">
        <f t="shared" si="1167"/>
        <v>7523.1</v>
      </c>
      <c r="AJ7537" s="126" t="e">
        <v>#N/A</v>
      </c>
      <c r="AK7537" s="80">
        <f t="shared" si="1164"/>
        <v>0</v>
      </c>
      <c r="AL7537" s="85"/>
      <c r="AM7537" s="85"/>
    </row>
    <row r="7538" spans="1:39" s="86" customFormat="1" ht="13.25" hidden="1" customHeight="1" x14ac:dyDescent="0.3">
      <c r="A7538" s="89" t="s">
        <v>3978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3767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165"/>
        <v>0.80000000000291038</v>
      </c>
      <c r="X7538" s="6">
        <f t="shared" si="1169"/>
        <v>0</v>
      </c>
      <c r="Y7538" s="13">
        <f t="shared" si="1162"/>
        <v>0</v>
      </c>
      <c r="Z7538" s="14">
        <v>0</v>
      </c>
      <c r="AA7538" s="6">
        <v>0</v>
      </c>
      <c r="AB7538" s="4">
        <f t="shared" si="1163"/>
        <v>0</v>
      </c>
      <c r="AC7538" s="6">
        <f t="shared" si="1161"/>
        <v>0</v>
      </c>
      <c r="AD7538" s="6">
        <f t="shared" si="1166"/>
        <v>0</v>
      </c>
      <c r="AE7538" s="14">
        <f>VLOOKUP(I7538,[2]媒体政策预估表!A:N,MATCH(O7538,[2]媒体政策预估表!$A$2:$M$2,0),0)</f>
        <v>7.0000000000000007E-2</v>
      </c>
      <c r="AF7538" s="6">
        <f t="shared" si="1168"/>
        <v>0</v>
      </c>
      <c r="AG7538" s="14">
        <v>0</v>
      </c>
      <c r="AH7538" s="64">
        <f t="shared" si="1167"/>
        <v>0</v>
      </c>
      <c r="AJ7538" s="126" t="e">
        <v>#N/A</v>
      </c>
      <c r="AK7538" s="80">
        <f t="shared" si="1164"/>
        <v>0</v>
      </c>
      <c r="AL7538" s="85"/>
      <c r="AM7538" s="85"/>
    </row>
    <row r="7539" spans="1:39" s="86" customFormat="1" ht="13.25" hidden="1" customHeight="1" x14ac:dyDescent="0.3">
      <c r="A7539" s="89" t="s">
        <v>3978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3767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165"/>
        <v>9634.5</v>
      </c>
      <c r="X7539" s="6">
        <f t="shared" si="1169"/>
        <v>4974.5</v>
      </c>
      <c r="Y7539" s="13">
        <f t="shared" si="1162"/>
        <v>0</v>
      </c>
      <c r="Z7539" s="14">
        <v>0</v>
      </c>
      <c r="AA7539" s="6">
        <v>0</v>
      </c>
      <c r="AB7539" s="4">
        <f t="shared" si="1163"/>
        <v>4974.5</v>
      </c>
      <c r="AC7539" s="6">
        <f t="shared" si="1161"/>
        <v>0</v>
      </c>
      <c r="AD7539" s="6">
        <f t="shared" si="1166"/>
        <v>4974.5</v>
      </c>
      <c r="AE7539" s="14">
        <f>VLOOKUP(I7539,[2]媒体政策预估表!A:N,MATCH(O7539,[2]媒体政策预估表!$A$2:$M$2,0),0)</f>
        <v>7.0000000000000007E-2</v>
      </c>
      <c r="AF7539" s="6">
        <f t="shared" si="1168"/>
        <v>348.21500000000003</v>
      </c>
      <c r="AG7539" s="14">
        <v>0</v>
      </c>
      <c r="AH7539" s="64">
        <f t="shared" si="1167"/>
        <v>4974.5</v>
      </c>
      <c r="AJ7539" s="126" t="e">
        <v>#N/A</v>
      </c>
      <c r="AK7539" s="80">
        <f t="shared" si="1164"/>
        <v>0</v>
      </c>
      <c r="AL7539" s="85"/>
      <c r="AM7539" s="85"/>
    </row>
    <row r="7540" spans="1:39" s="86" customFormat="1" ht="13.25" hidden="1" customHeight="1" x14ac:dyDescent="0.3">
      <c r="A7540" s="89" t="s">
        <v>3792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3767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165"/>
        <v>10000</v>
      </c>
      <c r="X7540" s="6">
        <f t="shared" si="1169"/>
        <v>0</v>
      </c>
      <c r="Y7540" s="13">
        <f t="shared" si="1162"/>
        <v>0</v>
      </c>
      <c r="Z7540" s="14">
        <v>0</v>
      </c>
      <c r="AA7540" s="6">
        <v>0</v>
      </c>
      <c r="AB7540" s="4">
        <f t="shared" si="1163"/>
        <v>0</v>
      </c>
      <c r="AC7540" s="6">
        <f t="shared" si="1161"/>
        <v>0</v>
      </c>
      <c r="AD7540" s="6">
        <f t="shared" si="1166"/>
        <v>0</v>
      </c>
      <c r="AE7540" s="14">
        <f>VLOOKUP(I7540,[2]媒体政策预估表!A:N,MATCH(O7540,[2]媒体政策预估表!$A$2:$M$2,0),0)</f>
        <v>0.1</v>
      </c>
      <c r="AF7540" s="6">
        <f t="shared" si="1168"/>
        <v>0</v>
      </c>
      <c r="AG7540" s="14">
        <v>0</v>
      </c>
      <c r="AH7540" s="64">
        <f t="shared" si="1167"/>
        <v>0</v>
      </c>
      <c r="AJ7540" s="126" t="e">
        <v>#N/A</v>
      </c>
      <c r="AK7540" s="80">
        <f t="shared" si="1164"/>
        <v>0</v>
      </c>
      <c r="AL7540" s="85"/>
      <c r="AM7540" s="85"/>
    </row>
    <row r="7541" spans="1:39" s="86" customFormat="1" ht="13.25" hidden="1" customHeight="1" x14ac:dyDescent="0.3">
      <c r="A7541" s="89" t="s">
        <v>3792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3767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165"/>
        <v>44843.599999999991</v>
      </c>
      <c r="X7541" s="6">
        <f t="shared" si="1169"/>
        <v>13311.2</v>
      </c>
      <c r="Y7541" s="13">
        <f t="shared" si="1162"/>
        <v>0</v>
      </c>
      <c r="Z7541" s="14">
        <v>0</v>
      </c>
      <c r="AA7541" s="6">
        <v>0</v>
      </c>
      <c r="AB7541" s="4">
        <f t="shared" si="1163"/>
        <v>13311.2</v>
      </c>
      <c r="AC7541" s="6">
        <f t="shared" si="1161"/>
        <v>0</v>
      </c>
      <c r="AD7541" s="6">
        <f t="shared" si="1166"/>
        <v>13311.2</v>
      </c>
      <c r="AE7541" s="14">
        <f>VLOOKUP(I7541,[2]媒体政策预估表!A:N,MATCH(O7541,[2]媒体政策预估表!$A$2:$M$2,0),0)</f>
        <v>7.0000000000000007E-2</v>
      </c>
      <c r="AF7541" s="6">
        <f t="shared" si="1168"/>
        <v>931.78400000000011</v>
      </c>
      <c r="AG7541" s="14">
        <v>0</v>
      </c>
      <c r="AH7541" s="64">
        <f t="shared" si="1167"/>
        <v>13311.2</v>
      </c>
      <c r="AJ7541" s="126" t="e">
        <v>#N/A</v>
      </c>
      <c r="AK7541" s="80">
        <f t="shared" si="1164"/>
        <v>0</v>
      </c>
      <c r="AL7541" s="85"/>
      <c r="AM7541" s="85"/>
    </row>
    <row r="7542" spans="1:39" s="86" customFormat="1" ht="13.25" hidden="1" customHeight="1" x14ac:dyDescent="0.3">
      <c r="A7542" s="89" t="s">
        <v>3978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3767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165"/>
        <v>199423.49999999997</v>
      </c>
      <c r="X7542" s="6">
        <f t="shared" si="1169"/>
        <v>26599.200000000001</v>
      </c>
      <c r="Y7542" s="13">
        <f t="shared" si="1162"/>
        <v>0</v>
      </c>
      <c r="Z7542" s="14">
        <v>0</v>
      </c>
      <c r="AA7542" s="6">
        <v>0</v>
      </c>
      <c r="AB7542" s="4">
        <f t="shared" si="1163"/>
        <v>26599.200000000001</v>
      </c>
      <c r="AC7542" s="6">
        <f t="shared" si="1161"/>
        <v>0</v>
      </c>
      <c r="AD7542" s="6">
        <f t="shared" si="1166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168"/>
        <v>1861.9440000000002</v>
      </c>
      <c r="AG7542" s="14">
        <v>0</v>
      </c>
      <c r="AH7542" s="64">
        <f t="shared" si="1167"/>
        <v>26599.200000000001</v>
      </c>
      <c r="AJ7542" s="126" t="e">
        <v>#N/A</v>
      </c>
      <c r="AK7542" s="80">
        <f t="shared" si="1164"/>
        <v>0</v>
      </c>
      <c r="AL7542" s="85"/>
      <c r="AM7542" s="85"/>
    </row>
    <row r="7543" spans="1:39" s="86" customFormat="1" ht="13.25" hidden="1" customHeight="1" x14ac:dyDescent="0.3">
      <c r="A7543" s="89" t="s">
        <v>3792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3767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165"/>
        <v>65.099999999998545</v>
      </c>
      <c r="X7543" s="6">
        <f t="shared" si="1169"/>
        <v>0</v>
      </c>
      <c r="Y7543" s="13">
        <f t="shared" si="1162"/>
        <v>0</v>
      </c>
      <c r="Z7543" s="14">
        <v>0</v>
      </c>
      <c r="AA7543" s="6">
        <v>0</v>
      </c>
      <c r="AB7543" s="4">
        <f t="shared" si="1163"/>
        <v>0</v>
      </c>
      <c r="AC7543" s="6">
        <f t="shared" si="1161"/>
        <v>0</v>
      </c>
      <c r="AD7543" s="6">
        <f t="shared" si="1166"/>
        <v>0</v>
      </c>
      <c r="AE7543" s="14">
        <f>VLOOKUP(I7543,[2]媒体政策预估表!A:N,MATCH(O7543,[2]媒体政策预估表!$A$2:$M$2,0),0)</f>
        <v>7.0000000000000007E-2</v>
      </c>
      <c r="AF7543" s="6">
        <f t="shared" si="1168"/>
        <v>0</v>
      </c>
      <c r="AG7543" s="14">
        <v>0</v>
      </c>
      <c r="AH7543" s="64">
        <f t="shared" si="1167"/>
        <v>0</v>
      </c>
      <c r="AJ7543" s="126" t="e">
        <v>#N/A</v>
      </c>
      <c r="AK7543" s="80">
        <f t="shared" si="1164"/>
        <v>0</v>
      </c>
      <c r="AL7543" s="85"/>
      <c r="AM7543" s="85"/>
    </row>
    <row r="7544" spans="1:39" s="86" customFormat="1" ht="13.25" hidden="1" customHeight="1" x14ac:dyDescent="0.3">
      <c r="A7544" s="89" t="s">
        <v>3978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3767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165"/>
        <v>381</v>
      </c>
      <c r="X7544" s="6">
        <f t="shared" si="1169"/>
        <v>0</v>
      </c>
      <c r="Y7544" s="13">
        <f t="shared" si="1162"/>
        <v>0</v>
      </c>
      <c r="Z7544" s="14">
        <v>0</v>
      </c>
      <c r="AA7544" s="6">
        <v>0</v>
      </c>
      <c r="AB7544" s="4">
        <f t="shared" si="1163"/>
        <v>0</v>
      </c>
      <c r="AC7544" s="6">
        <f t="shared" si="1161"/>
        <v>0</v>
      </c>
      <c r="AD7544" s="6">
        <f t="shared" si="1166"/>
        <v>0</v>
      </c>
      <c r="AE7544" s="14">
        <f>VLOOKUP(I7544,[2]媒体政策预估表!A:N,MATCH(O7544,[2]媒体政策预估表!$A$2:$M$2,0),0)</f>
        <v>7.0000000000000007E-2</v>
      </c>
      <c r="AF7544" s="6">
        <f t="shared" si="1168"/>
        <v>0</v>
      </c>
      <c r="AG7544" s="14">
        <v>0</v>
      </c>
      <c r="AH7544" s="64">
        <f t="shared" si="1167"/>
        <v>0</v>
      </c>
      <c r="AJ7544" s="126" t="e">
        <v>#N/A</v>
      </c>
      <c r="AK7544" s="80">
        <f t="shared" si="1164"/>
        <v>0</v>
      </c>
      <c r="AL7544" s="85"/>
      <c r="AM7544" s="85"/>
    </row>
    <row r="7545" spans="1:39" s="86" customFormat="1" ht="13.25" hidden="1" customHeight="1" x14ac:dyDescent="0.3">
      <c r="A7545" s="89" t="s">
        <v>3978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3767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165"/>
        <v>5678.9599999999991</v>
      </c>
      <c r="X7545" s="6">
        <f t="shared" si="1169"/>
        <v>6069.1176470588234</v>
      </c>
      <c r="Y7545" s="13">
        <f t="shared" si="1162"/>
        <v>0</v>
      </c>
      <c r="Z7545" s="14">
        <v>0</v>
      </c>
      <c r="AA7545" s="6">
        <v>0</v>
      </c>
      <c r="AB7545" s="4">
        <f t="shared" si="1163"/>
        <v>6069.1176470588234</v>
      </c>
      <c r="AC7545" s="6">
        <f t="shared" si="1161"/>
        <v>121.38235294117658</v>
      </c>
      <c r="AD7545" s="6">
        <f t="shared" si="1166"/>
        <v>6190.5</v>
      </c>
      <c r="AE7545" s="14">
        <f>VLOOKUP(I7545,[2]媒体政策预估表!A:N,MATCH(O7545,[2]媒体政策预估表!$A$2:$M$2,0),0)</f>
        <v>7.0000000000000007E-2</v>
      </c>
      <c r="AF7545" s="6">
        <f t="shared" si="1168"/>
        <v>433.33500000000004</v>
      </c>
      <c r="AG7545" s="14">
        <v>0</v>
      </c>
      <c r="AH7545" s="64">
        <f t="shared" si="1167"/>
        <v>6190.5</v>
      </c>
      <c r="AJ7545" s="126" t="e">
        <v>#N/A</v>
      </c>
      <c r="AK7545" s="80">
        <f t="shared" si="1164"/>
        <v>0</v>
      </c>
      <c r="AL7545" s="85"/>
      <c r="AM7545" s="85"/>
    </row>
    <row r="7546" spans="1:39" s="86" customFormat="1" ht="13.25" hidden="1" customHeight="1" x14ac:dyDescent="0.3">
      <c r="A7546" s="89" t="s">
        <v>3792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3767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165"/>
        <v>1</v>
      </c>
      <c r="X7546" s="6">
        <f t="shared" si="1169"/>
        <v>0</v>
      </c>
      <c r="Y7546" s="13">
        <f t="shared" si="1162"/>
        <v>0</v>
      </c>
      <c r="Z7546" s="14">
        <v>0</v>
      </c>
      <c r="AA7546" s="6">
        <v>0</v>
      </c>
      <c r="AB7546" s="4">
        <f t="shared" si="1163"/>
        <v>0</v>
      </c>
      <c r="AC7546" s="6">
        <f t="shared" si="1161"/>
        <v>0</v>
      </c>
      <c r="AD7546" s="6">
        <f t="shared" si="1166"/>
        <v>0</v>
      </c>
      <c r="AE7546" s="14">
        <f>VLOOKUP(I7546,[2]媒体政策预估表!A:N,MATCH(O7546,[2]媒体政策预估表!$A$2:$M$2,0),0)</f>
        <v>7.0000000000000007E-2</v>
      </c>
      <c r="AF7546" s="6">
        <f t="shared" si="1168"/>
        <v>0</v>
      </c>
      <c r="AG7546" s="14">
        <v>0</v>
      </c>
      <c r="AH7546" s="64">
        <f t="shared" si="1167"/>
        <v>0</v>
      </c>
      <c r="AJ7546" s="126" t="e">
        <v>#N/A</v>
      </c>
      <c r="AK7546" s="80">
        <f t="shared" si="1164"/>
        <v>0</v>
      </c>
      <c r="AL7546" s="85"/>
      <c r="AM7546" s="85"/>
    </row>
    <row r="7547" spans="1:39" s="86" customFormat="1" ht="13.25" hidden="1" customHeight="1" x14ac:dyDescent="0.3">
      <c r="A7547" s="89" t="s">
        <v>3978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3767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165"/>
        <v>1</v>
      </c>
      <c r="X7547" s="6">
        <f t="shared" si="1169"/>
        <v>0</v>
      </c>
      <c r="Y7547" s="13">
        <f t="shared" si="1162"/>
        <v>0</v>
      </c>
      <c r="Z7547" s="14">
        <v>0</v>
      </c>
      <c r="AA7547" s="6">
        <v>0</v>
      </c>
      <c r="AB7547" s="4">
        <f t="shared" si="1163"/>
        <v>0</v>
      </c>
      <c r="AC7547" s="6">
        <f t="shared" si="1161"/>
        <v>0</v>
      </c>
      <c r="AD7547" s="6">
        <f t="shared" si="1166"/>
        <v>0</v>
      </c>
      <c r="AE7547" s="14">
        <f>VLOOKUP(I7547,[2]媒体政策预估表!A:N,MATCH(O7547,[2]媒体政策预估表!$A$2:$M$2,0),0)</f>
        <v>7.0000000000000007E-2</v>
      </c>
      <c r="AF7547" s="6">
        <f t="shared" si="1168"/>
        <v>0</v>
      </c>
      <c r="AG7547" s="14">
        <v>0</v>
      </c>
      <c r="AH7547" s="64">
        <f t="shared" si="1167"/>
        <v>0</v>
      </c>
      <c r="AJ7547" s="126" t="e">
        <v>#N/A</v>
      </c>
      <c r="AK7547" s="80">
        <f t="shared" si="1164"/>
        <v>0</v>
      </c>
      <c r="AL7547" s="85"/>
      <c r="AM7547" s="85"/>
    </row>
    <row r="7548" spans="1:39" s="86" customFormat="1" ht="13.25" hidden="1" customHeight="1" x14ac:dyDescent="0.3">
      <c r="A7548" s="89" t="s">
        <v>3978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3767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165"/>
        <v>1699.4000000000005</v>
      </c>
      <c r="X7548" s="6">
        <f t="shared" si="1169"/>
        <v>4307.8999999999996</v>
      </c>
      <c r="Y7548" s="13">
        <f t="shared" si="1162"/>
        <v>0</v>
      </c>
      <c r="Z7548" s="14">
        <v>0</v>
      </c>
      <c r="AA7548" s="6">
        <v>0</v>
      </c>
      <c r="AB7548" s="4">
        <f t="shared" si="1163"/>
        <v>4307.8999999999996</v>
      </c>
      <c r="AC7548" s="6">
        <f t="shared" si="1161"/>
        <v>0</v>
      </c>
      <c r="AD7548" s="6">
        <f t="shared" si="1166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168"/>
        <v>301.553</v>
      </c>
      <c r="AG7548" s="14">
        <v>0</v>
      </c>
      <c r="AH7548" s="64">
        <f t="shared" si="1167"/>
        <v>4307.8999999999996</v>
      </c>
      <c r="AJ7548" s="126" t="e">
        <v>#N/A</v>
      </c>
      <c r="AK7548" s="80">
        <f t="shared" si="1164"/>
        <v>0</v>
      </c>
      <c r="AL7548" s="85"/>
      <c r="AM7548" s="85"/>
    </row>
    <row r="7549" spans="1:39" s="86" customFormat="1" ht="13.25" hidden="1" customHeight="1" x14ac:dyDescent="0.3">
      <c r="A7549" s="89" t="s">
        <v>3978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3767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165"/>
        <v>3574.3999999999996</v>
      </c>
      <c r="X7549" s="6">
        <f t="shared" si="1169"/>
        <v>3259.5</v>
      </c>
      <c r="Y7549" s="13">
        <f t="shared" si="1162"/>
        <v>0</v>
      </c>
      <c r="Z7549" s="14">
        <v>0</v>
      </c>
      <c r="AA7549" s="6">
        <v>0</v>
      </c>
      <c r="AB7549" s="4">
        <f t="shared" si="1163"/>
        <v>3259.5</v>
      </c>
      <c r="AC7549" s="6">
        <f t="shared" si="1161"/>
        <v>0</v>
      </c>
      <c r="AD7549" s="6">
        <f t="shared" si="1166"/>
        <v>3259.5</v>
      </c>
      <c r="AE7549" s="14">
        <f>VLOOKUP(I7549,[2]媒体政策预估表!A:N,MATCH(O7549,[2]媒体政策预估表!$A$2:$M$2,0),0)</f>
        <v>7.0000000000000007E-2</v>
      </c>
      <c r="AF7549" s="6">
        <f t="shared" si="1168"/>
        <v>228.16500000000002</v>
      </c>
      <c r="AG7549" s="14">
        <v>0</v>
      </c>
      <c r="AH7549" s="64">
        <f t="shared" si="1167"/>
        <v>3259.5</v>
      </c>
      <c r="AJ7549" s="126" t="e">
        <v>#N/A</v>
      </c>
      <c r="AK7549" s="80">
        <f t="shared" si="1164"/>
        <v>0</v>
      </c>
      <c r="AL7549" s="85"/>
      <c r="AM7549" s="85"/>
    </row>
    <row r="7550" spans="1:39" s="86" customFormat="1" ht="13.25" hidden="1" customHeight="1" x14ac:dyDescent="0.3">
      <c r="A7550" s="89" t="s">
        <v>3805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3767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165"/>
        <v>0.90000000000509317</v>
      </c>
      <c r="X7550" s="6">
        <f t="shared" si="1169"/>
        <v>0</v>
      </c>
      <c r="Y7550" s="13">
        <f t="shared" si="1162"/>
        <v>0</v>
      </c>
      <c r="Z7550" s="14">
        <v>0</v>
      </c>
      <c r="AA7550" s="6">
        <v>0</v>
      </c>
      <c r="AB7550" s="4">
        <f t="shared" si="1163"/>
        <v>0</v>
      </c>
      <c r="AC7550" s="6">
        <f t="shared" ref="AC7550:AC7613" si="1170">IF(P7550="返现",X7550*Q7550,V7550-X7550)</f>
        <v>0</v>
      </c>
      <c r="AD7550" s="6">
        <f t="shared" si="1166"/>
        <v>0</v>
      </c>
      <c r="AE7550" s="14">
        <f>VLOOKUP(I7550,[2]媒体政策预估表!A:N,MATCH(O7550,[2]媒体政策预估表!$A$2:$M$2,0),0)</f>
        <v>7.0000000000000007E-2</v>
      </c>
      <c r="AF7550" s="6">
        <f t="shared" si="1168"/>
        <v>0</v>
      </c>
      <c r="AG7550" s="14">
        <v>0</v>
      </c>
      <c r="AH7550" s="64">
        <f t="shared" si="1167"/>
        <v>0</v>
      </c>
      <c r="AJ7550" s="126" t="e">
        <v>#N/A</v>
      </c>
      <c r="AK7550" s="80">
        <f t="shared" si="1164"/>
        <v>0</v>
      </c>
      <c r="AL7550" s="85"/>
      <c r="AM7550" s="85"/>
    </row>
    <row r="7551" spans="1:39" s="86" customFormat="1" ht="13.25" hidden="1" customHeight="1" x14ac:dyDescent="0.3">
      <c r="A7551" s="89" t="s">
        <v>3978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3767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165"/>
        <v>10000</v>
      </c>
      <c r="X7551" s="6">
        <f t="shared" si="1169"/>
        <v>0</v>
      </c>
      <c r="Y7551" s="13">
        <f t="shared" si="1162"/>
        <v>0</v>
      </c>
      <c r="Z7551" s="14">
        <v>0</v>
      </c>
      <c r="AA7551" s="6">
        <v>0</v>
      </c>
      <c r="AB7551" s="4">
        <f t="shared" si="1163"/>
        <v>0</v>
      </c>
      <c r="AC7551" s="6">
        <f t="shared" si="1170"/>
        <v>0</v>
      </c>
      <c r="AD7551" s="6">
        <f t="shared" si="1166"/>
        <v>0</v>
      </c>
      <c r="AE7551" s="14">
        <f>VLOOKUP(I7551,[2]媒体政策预估表!A:N,MATCH(O7551,[2]媒体政策预估表!$A$2:$M$2,0),0)</f>
        <v>0.1</v>
      </c>
      <c r="AF7551" s="6">
        <f t="shared" si="1168"/>
        <v>0</v>
      </c>
      <c r="AG7551" s="14">
        <v>0</v>
      </c>
      <c r="AH7551" s="64">
        <f t="shared" si="1167"/>
        <v>0</v>
      </c>
      <c r="AJ7551" s="126" t="e">
        <v>#N/A</v>
      </c>
      <c r="AK7551" s="80">
        <f t="shared" si="1164"/>
        <v>0</v>
      </c>
      <c r="AL7551" s="85"/>
      <c r="AM7551" s="85"/>
    </row>
    <row r="7552" spans="1:39" s="86" customFormat="1" ht="13.25" hidden="1" customHeight="1" x14ac:dyDescent="0.3">
      <c r="A7552" s="89" t="s">
        <v>3978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3767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165"/>
        <v>109868.69971</v>
      </c>
      <c r="X7552" s="6">
        <f t="shared" si="1169"/>
        <v>0</v>
      </c>
      <c r="Y7552" s="13">
        <f t="shared" si="1162"/>
        <v>0</v>
      </c>
      <c r="Z7552" s="14">
        <v>0</v>
      </c>
      <c r="AA7552" s="6">
        <v>0</v>
      </c>
      <c r="AB7552" s="4">
        <f t="shared" si="1163"/>
        <v>0</v>
      </c>
      <c r="AC7552" s="6">
        <f t="shared" si="1170"/>
        <v>0</v>
      </c>
      <c r="AD7552" s="6">
        <f t="shared" si="1166"/>
        <v>0</v>
      </c>
      <c r="AE7552" s="14">
        <f>VLOOKUP(I7552,[2]媒体政策预估表!A:N,MATCH(O7552,[2]媒体政策预估表!$A$2:$M$2,0),0)</f>
        <v>0.1</v>
      </c>
      <c r="AF7552" s="6">
        <f t="shared" si="1168"/>
        <v>0</v>
      </c>
      <c r="AG7552" s="14">
        <v>0</v>
      </c>
      <c r="AH7552" s="64">
        <f t="shared" si="1167"/>
        <v>0</v>
      </c>
      <c r="AJ7552" s="126" t="e">
        <v>#N/A</v>
      </c>
      <c r="AK7552" s="80">
        <f t="shared" si="1164"/>
        <v>0</v>
      </c>
      <c r="AL7552" s="85"/>
      <c r="AM7552" s="85"/>
    </row>
    <row r="7553" spans="1:39" s="86" customFormat="1" ht="13.25" hidden="1" customHeight="1" x14ac:dyDescent="0.3">
      <c r="A7553" s="89" t="s">
        <v>3978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3767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165"/>
        <v>-788.25945000000002</v>
      </c>
      <c r="X7553" s="6">
        <f t="shared" si="1169"/>
        <v>0</v>
      </c>
      <c r="Y7553" s="13">
        <f t="shared" si="1162"/>
        <v>0</v>
      </c>
      <c r="Z7553" s="14">
        <v>0</v>
      </c>
      <c r="AA7553" s="6">
        <v>0</v>
      </c>
      <c r="AB7553" s="4">
        <f t="shared" si="1163"/>
        <v>0</v>
      </c>
      <c r="AC7553" s="6">
        <f t="shared" si="1170"/>
        <v>0</v>
      </c>
      <c r="AD7553" s="6">
        <f t="shared" si="1166"/>
        <v>0</v>
      </c>
      <c r="AE7553" s="14">
        <f>VLOOKUP(I7553,[2]媒体政策预估表!A:N,MATCH(O7553,[2]媒体政策预估表!$A$2:$M$2,0),0)</f>
        <v>0.1</v>
      </c>
      <c r="AF7553" s="6">
        <f t="shared" si="1168"/>
        <v>0</v>
      </c>
      <c r="AG7553" s="14">
        <v>0</v>
      </c>
      <c r="AH7553" s="64">
        <f t="shared" si="1167"/>
        <v>0</v>
      </c>
      <c r="AJ7553" s="126" t="e">
        <v>#N/A</v>
      </c>
      <c r="AK7553" s="80">
        <f t="shared" si="1164"/>
        <v>0</v>
      </c>
      <c r="AL7553" s="85"/>
      <c r="AM7553" s="85"/>
    </row>
    <row r="7554" spans="1:39" s="86" customFormat="1" ht="13.25" hidden="1" customHeight="1" x14ac:dyDescent="0.3">
      <c r="A7554" s="89" t="s">
        <v>3978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3767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165"/>
        <v>8412.8999999999978</v>
      </c>
      <c r="X7554" s="6">
        <f t="shared" si="1169"/>
        <v>0</v>
      </c>
      <c r="Y7554" s="13">
        <f t="shared" si="1162"/>
        <v>0</v>
      </c>
      <c r="Z7554" s="14">
        <v>0</v>
      </c>
      <c r="AA7554" s="6">
        <v>0</v>
      </c>
      <c r="AB7554" s="4">
        <f t="shared" si="1163"/>
        <v>0</v>
      </c>
      <c r="AC7554" s="6">
        <f t="shared" si="1170"/>
        <v>0</v>
      </c>
      <c r="AD7554" s="6">
        <f t="shared" si="1166"/>
        <v>0</v>
      </c>
      <c r="AE7554" s="14">
        <f>VLOOKUP(I7554,[2]媒体政策预估表!A:N,MATCH(O7554,[2]媒体政策预估表!$A$2:$M$2,0),0)</f>
        <v>7.0000000000000007E-2</v>
      </c>
      <c r="AF7554" s="6">
        <f t="shared" si="1168"/>
        <v>0</v>
      </c>
      <c r="AG7554" s="14">
        <v>0</v>
      </c>
      <c r="AH7554" s="64">
        <f t="shared" si="1167"/>
        <v>0</v>
      </c>
      <c r="AJ7554" s="126" t="e">
        <v>#N/A</v>
      </c>
      <c r="AK7554" s="80">
        <f t="shared" si="1164"/>
        <v>0</v>
      </c>
      <c r="AL7554" s="85"/>
      <c r="AM7554" s="85"/>
    </row>
    <row r="7555" spans="1:39" s="86" customFormat="1" ht="13.25" hidden="1" customHeight="1" x14ac:dyDescent="0.3">
      <c r="A7555" s="89" t="s">
        <v>3978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3767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165"/>
        <v>-0.01</v>
      </c>
      <c r="X7555" s="6">
        <f t="shared" si="1169"/>
        <v>0</v>
      </c>
      <c r="Y7555" s="13">
        <f t="shared" ref="Y7555:Y7618" si="1171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172">X7555+AA7555</f>
        <v>0</v>
      </c>
      <c r="AC7555" s="6">
        <f t="shared" si="1170"/>
        <v>0</v>
      </c>
      <c r="AD7555" s="6">
        <f t="shared" si="1166"/>
        <v>0</v>
      </c>
      <c r="AE7555" s="14">
        <f>VLOOKUP(I7555,[2]媒体政策预估表!A:N,MATCH(O7555,[2]媒体政策预估表!$A$2:$M$2,0),0)</f>
        <v>0.1</v>
      </c>
      <c r="AF7555" s="6">
        <f t="shared" si="1168"/>
        <v>0</v>
      </c>
      <c r="AG7555" s="14">
        <v>0</v>
      </c>
      <c r="AH7555" s="64">
        <f t="shared" si="1167"/>
        <v>0</v>
      </c>
      <c r="AJ7555" s="126" t="e">
        <v>#N/A</v>
      </c>
      <c r="AK7555" s="80">
        <f t="shared" ref="AK7555:AK7618" si="1173">X7555+AA7555-AB7555</f>
        <v>0</v>
      </c>
      <c r="AL7555" s="85"/>
      <c r="AM7555" s="85"/>
    </row>
    <row r="7556" spans="1:39" s="86" customFormat="1" ht="13.25" hidden="1" customHeight="1" x14ac:dyDescent="0.3">
      <c r="A7556" s="89" t="s">
        <v>3978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3767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165"/>
        <v>5.7999999999992724</v>
      </c>
      <c r="X7556" s="6">
        <f t="shared" si="1169"/>
        <v>0</v>
      </c>
      <c r="Y7556" s="13">
        <f t="shared" si="1171"/>
        <v>0</v>
      </c>
      <c r="Z7556" s="14">
        <v>0</v>
      </c>
      <c r="AA7556" s="6">
        <v>0</v>
      </c>
      <c r="AB7556" s="4">
        <f t="shared" si="1172"/>
        <v>0</v>
      </c>
      <c r="AC7556" s="6">
        <f t="shared" si="1170"/>
        <v>0</v>
      </c>
      <c r="AD7556" s="6">
        <f t="shared" si="1166"/>
        <v>0</v>
      </c>
      <c r="AE7556" s="14">
        <f>VLOOKUP(I7556,[2]媒体政策预估表!A:N,MATCH(O7556,[2]媒体政策预估表!$A$2:$M$2,0),0)</f>
        <v>7.0000000000000007E-2</v>
      </c>
      <c r="AF7556" s="6">
        <f t="shared" si="1168"/>
        <v>0</v>
      </c>
      <c r="AG7556" s="14">
        <v>0</v>
      </c>
      <c r="AH7556" s="64">
        <f t="shared" si="1167"/>
        <v>0</v>
      </c>
      <c r="AJ7556" s="126" t="e">
        <v>#N/A</v>
      </c>
      <c r="AK7556" s="80">
        <f t="shared" si="1173"/>
        <v>0</v>
      </c>
      <c r="AL7556" s="85"/>
      <c r="AM7556" s="85"/>
    </row>
    <row r="7557" spans="1:39" s="86" customFormat="1" ht="13.25" hidden="1" customHeight="1" x14ac:dyDescent="0.3">
      <c r="A7557" s="89" t="s">
        <v>3978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3767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165"/>
        <v>456.5</v>
      </c>
      <c r="X7557" s="6">
        <f t="shared" si="1169"/>
        <v>0</v>
      </c>
      <c r="Y7557" s="13">
        <f t="shared" si="1171"/>
        <v>0</v>
      </c>
      <c r="Z7557" s="14">
        <v>0</v>
      </c>
      <c r="AA7557" s="6">
        <v>0</v>
      </c>
      <c r="AB7557" s="4">
        <f t="shared" si="1172"/>
        <v>0</v>
      </c>
      <c r="AC7557" s="6">
        <f t="shared" si="1170"/>
        <v>0</v>
      </c>
      <c r="AD7557" s="6">
        <f t="shared" si="1166"/>
        <v>0</v>
      </c>
      <c r="AE7557" s="14">
        <f>VLOOKUP(I7557,[2]媒体政策预估表!A:N,MATCH(O7557,[2]媒体政策预估表!$A$2:$M$2,0),0)</f>
        <v>7.0000000000000007E-2</v>
      </c>
      <c r="AF7557" s="6">
        <f t="shared" si="1168"/>
        <v>0</v>
      </c>
      <c r="AG7557" s="14">
        <v>0</v>
      </c>
      <c r="AH7557" s="64">
        <f t="shared" si="1167"/>
        <v>0</v>
      </c>
      <c r="AJ7557" s="126" t="e">
        <v>#N/A</v>
      </c>
      <c r="AK7557" s="80">
        <f t="shared" si="1173"/>
        <v>0</v>
      </c>
      <c r="AL7557" s="85"/>
      <c r="AM7557" s="85"/>
    </row>
    <row r="7558" spans="1:39" s="86" customFormat="1" ht="13.25" hidden="1" customHeight="1" x14ac:dyDescent="0.3">
      <c r="A7558" s="89" t="s">
        <v>3978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3767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165"/>
        <v>7920.5</v>
      </c>
      <c r="X7558" s="6">
        <f t="shared" si="1169"/>
        <v>784.5</v>
      </c>
      <c r="Y7558" s="13">
        <f t="shared" si="1171"/>
        <v>0</v>
      </c>
      <c r="Z7558" s="14">
        <v>0</v>
      </c>
      <c r="AA7558" s="6">
        <v>0</v>
      </c>
      <c r="AB7558" s="4">
        <f t="shared" si="1172"/>
        <v>784.5</v>
      </c>
      <c r="AC7558" s="6">
        <f t="shared" si="1170"/>
        <v>0</v>
      </c>
      <c r="AD7558" s="6">
        <f t="shared" si="1166"/>
        <v>784.5</v>
      </c>
      <c r="AE7558" s="14">
        <f>VLOOKUP(I7558,[2]媒体政策预估表!A:N,MATCH(O7558,[2]媒体政策预估表!$A$2:$M$2,0),0)</f>
        <v>7.0000000000000007E-2</v>
      </c>
      <c r="AF7558" s="6">
        <f t="shared" si="1168"/>
        <v>54.915000000000006</v>
      </c>
      <c r="AG7558" s="14">
        <v>0</v>
      </c>
      <c r="AH7558" s="64">
        <f t="shared" si="1167"/>
        <v>784.5</v>
      </c>
      <c r="AJ7558" s="126" t="e">
        <v>#N/A</v>
      </c>
      <c r="AK7558" s="80">
        <f t="shared" si="1173"/>
        <v>0</v>
      </c>
      <c r="AL7558" s="85"/>
      <c r="AM7558" s="85"/>
    </row>
    <row r="7559" spans="1:39" s="86" customFormat="1" ht="13.25" hidden="1" customHeight="1" x14ac:dyDescent="0.3">
      <c r="A7559" s="89" t="s">
        <v>3978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3767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165"/>
        <v>9367</v>
      </c>
      <c r="X7559" s="6">
        <f t="shared" si="1169"/>
        <v>0</v>
      </c>
      <c r="Y7559" s="13">
        <f t="shared" si="1171"/>
        <v>0</v>
      </c>
      <c r="Z7559" s="14">
        <v>0</v>
      </c>
      <c r="AA7559" s="6">
        <v>0</v>
      </c>
      <c r="AB7559" s="4">
        <f t="shared" si="1172"/>
        <v>0</v>
      </c>
      <c r="AC7559" s="6">
        <f t="shared" si="1170"/>
        <v>0</v>
      </c>
      <c r="AD7559" s="6">
        <f t="shared" si="1166"/>
        <v>0</v>
      </c>
      <c r="AE7559" s="14">
        <f>VLOOKUP(I7559,[2]媒体政策预估表!A:N,MATCH(O7559,[2]媒体政策预估表!$A$2:$M$2,0),0)</f>
        <v>7.0000000000000007E-2</v>
      </c>
      <c r="AF7559" s="6">
        <f t="shared" si="1168"/>
        <v>0</v>
      </c>
      <c r="AG7559" s="14">
        <v>0</v>
      </c>
      <c r="AH7559" s="64">
        <f t="shared" si="1167"/>
        <v>0</v>
      </c>
      <c r="AJ7559" s="126" t="e">
        <v>#N/A</v>
      </c>
      <c r="AK7559" s="80">
        <f t="shared" si="1173"/>
        <v>0</v>
      </c>
      <c r="AL7559" s="85"/>
      <c r="AM7559" s="85"/>
    </row>
    <row r="7560" spans="1:39" s="86" customFormat="1" ht="13.25" hidden="1" customHeight="1" x14ac:dyDescent="0.3">
      <c r="A7560" s="89" t="s">
        <v>3978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3767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165"/>
        <v>7640.5</v>
      </c>
      <c r="X7560" s="6">
        <f t="shared" si="1169"/>
        <v>0</v>
      </c>
      <c r="Y7560" s="13">
        <f t="shared" si="1171"/>
        <v>0</v>
      </c>
      <c r="Z7560" s="14">
        <v>0</v>
      </c>
      <c r="AA7560" s="6">
        <v>0</v>
      </c>
      <c r="AB7560" s="4">
        <f t="shared" si="1172"/>
        <v>0</v>
      </c>
      <c r="AC7560" s="6">
        <f t="shared" si="1170"/>
        <v>0</v>
      </c>
      <c r="AD7560" s="6">
        <f t="shared" si="1166"/>
        <v>0</v>
      </c>
      <c r="AE7560" s="14">
        <f>VLOOKUP(I7560,[2]媒体政策预估表!A:N,MATCH(O7560,[2]媒体政策预估表!$A$2:$M$2,0),0)</f>
        <v>7.0000000000000007E-2</v>
      </c>
      <c r="AF7560" s="6">
        <f t="shared" si="1168"/>
        <v>0</v>
      </c>
      <c r="AG7560" s="14">
        <v>0</v>
      </c>
      <c r="AH7560" s="64">
        <f t="shared" si="1167"/>
        <v>0</v>
      </c>
      <c r="AJ7560" s="126" t="e">
        <v>#N/A</v>
      </c>
      <c r="AK7560" s="80">
        <f t="shared" si="1173"/>
        <v>0</v>
      </c>
      <c r="AL7560" s="85"/>
      <c r="AM7560" s="85"/>
    </row>
    <row r="7561" spans="1:39" s="86" customFormat="1" ht="13.25" hidden="1" customHeight="1" x14ac:dyDescent="0.3">
      <c r="A7561" s="89" t="s">
        <v>3978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3767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165"/>
        <v>22478.863280000001</v>
      </c>
      <c r="X7561" s="6">
        <f t="shared" si="1169"/>
        <v>0</v>
      </c>
      <c r="Y7561" s="13">
        <f t="shared" si="1171"/>
        <v>0</v>
      </c>
      <c r="Z7561" s="14">
        <v>0</v>
      </c>
      <c r="AA7561" s="6">
        <v>0</v>
      </c>
      <c r="AB7561" s="4">
        <f t="shared" si="1172"/>
        <v>0</v>
      </c>
      <c r="AC7561" s="6">
        <f t="shared" si="1170"/>
        <v>0</v>
      </c>
      <c r="AD7561" s="6">
        <f t="shared" si="1166"/>
        <v>0</v>
      </c>
      <c r="AE7561" s="14">
        <f>VLOOKUP(I7561,[2]媒体政策预估表!A:N,MATCH(O7561,[2]媒体政策预估表!$A$2:$M$2,0),0)</f>
        <v>0.1</v>
      </c>
      <c r="AF7561" s="6">
        <f t="shared" si="1168"/>
        <v>0</v>
      </c>
      <c r="AG7561" s="14">
        <v>0</v>
      </c>
      <c r="AH7561" s="64">
        <f t="shared" si="1167"/>
        <v>0</v>
      </c>
      <c r="AJ7561" s="126" t="e">
        <v>#N/A</v>
      </c>
      <c r="AK7561" s="80">
        <f t="shared" si="1173"/>
        <v>0</v>
      </c>
      <c r="AL7561" s="85"/>
      <c r="AM7561" s="85"/>
    </row>
    <row r="7562" spans="1:39" s="86" customFormat="1" ht="13.25" hidden="1" customHeight="1" x14ac:dyDescent="0.3">
      <c r="A7562" s="89" t="s">
        <v>3978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3767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165"/>
        <v>-3.8000000000104706</v>
      </c>
      <c r="X7562" s="6">
        <f t="shared" si="1169"/>
        <v>0</v>
      </c>
      <c r="Y7562" s="13">
        <f t="shared" si="1171"/>
        <v>0</v>
      </c>
      <c r="Z7562" s="14">
        <v>0</v>
      </c>
      <c r="AA7562" s="6">
        <v>0</v>
      </c>
      <c r="AB7562" s="4">
        <f t="shared" si="1172"/>
        <v>0</v>
      </c>
      <c r="AC7562" s="6">
        <f t="shared" si="1170"/>
        <v>0</v>
      </c>
      <c r="AD7562" s="6">
        <f t="shared" si="1166"/>
        <v>0</v>
      </c>
      <c r="AE7562" s="14">
        <f>VLOOKUP(I7562,[2]媒体政策预估表!A:N,MATCH(O7562,[2]媒体政策预估表!$A$2:$M$2,0),0)</f>
        <v>7.0000000000000007E-2</v>
      </c>
      <c r="AF7562" s="6">
        <f t="shared" si="1168"/>
        <v>0</v>
      </c>
      <c r="AG7562" s="14">
        <v>0</v>
      </c>
      <c r="AH7562" s="64">
        <f t="shared" si="1167"/>
        <v>0</v>
      </c>
      <c r="AJ7562" s="126" t="e">
        <v>#N/A</v>
      </c>
      <c r="AK7562" s="80">
        <f t="shared" si="1173"/>
        <v>0</v>
      </c>
      <c r="AL7562" s="85"/>
      <c r="AM7562" s="85"/>
    </row>
    <row r="7563" spans="1:39" s="86" customFormat="1" ht="13.25" hidden="1" customHeight="1" x14ac:dyDescent="0.3">
      <c r="A7563" s="89" t="s">
        <v>3978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3767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165"/>
        <v>0.7000000000007276</v>
      </c>
      <c r="X7563" s="6">
        <f t="shared" si="1169"/>
        <v>0</v>
      </c>
      <c r="Y7563" s="13">
        <f t="shared" si="1171"/>
        <v>0</v>
      </c>
      <c r="Z7563" s="14">
        <v>0</v>
      </c>
      <c r="AA7563" s="6">
        <v>0</v>
      </c>
      <c r="AB7563" s="4">
        <f t="shared" si="1172"/>
        <v>0</v>
      </c>
      <c r="AC7563" s="6">
        <f t="shared" si="1170"/>
        <v>0</v>
      </c>
      <c r="AD7563" s="6">
        <f t="shared" si="1166"/>
        <v>0</v>
      </c>
      <c r="AE7563" s="14">
        <f>VLOOKUP(I7563,[2]媒体政策预估表!A:N,MATCH(O7563,[2]媒体政策预估表!$A$2:$M$2,0),0)</f>
        <v>7.0000000000000007E-2</v>
      </c>
      <c r="AF7563" s="6">
        <f t="shared" si="1168"/>
        <v>0</v>
      </c>
      <c r="AG7563" s="14">
        <v>0</v>
      </c>
      <c r="AH7563" s="64">
        <f t="shared" si="1167"/>
        <v>0</v>
      </c>
      <c r="AJ7563" s="126" t="e">
        <v>#N/A</v>
      </c>
      <c r="AK7563" s="80">
        <f t="shared" si="1173"/>
        <v>0</v>
      </c>
      <c r="AL7563" s="85"/>
      <c r="AM7563" s="85"/>
    </row>
    <row r="7564" spans="1:39" s="86" customFormat="1" ht="13.25" hidden="1" customHeight="1" x14ac:dyDescent="0.3">
      <c r="A7564" s="89" t="s">
        <v>3978</v>
      </c>
      <c r="B7564" s="86" t="s">
        <v>35</v>
      </c>
      <c r="C7564" s="86" t="s">
        <v>184</v>
      </c>
      <c r="D7564" s="86" t="s">
        <v>3849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3767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165"/>
        <v>17337.400000000001</v>
      </c>
      <c r="X7564" s="6">
        <f t="shared" si="1169"/>
        <v>4555.6280000000006</v>
      </c>
      <c r="Y7564" s="13">
        <f t="shared" si="1171"/>
        <v>0</v>
      </c>
      <c r="Z7564" s="14">
        <v>0</v>
      </c>
      <c r="AA7564" s="6">
        <v>0</v>
      </c>
      <c r="AB7564" s="4">
        <f t="shared" si="1172"/>
        <v>4555.6280000000006</v>
      </c>
      <c r="AC7564" s="6">
        <f t="shared" si="1170"/>
        <v>92.971999999999753</v>
      </c>
      <c r="AD7564" s="6">
        <f t="shared" si="1166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168"/>
        <v>325.40200000000004</v>
      </c>
      <c r="AG7564" s="14">
        <v>0</v>
      </c>
      <c r="AH7564" s="64">
        <f t="shared" si="1167"/>
        <v>4648.6000000000004</v>
      </c>
      <c r="AJ7564" s="126" t="e">
        <v>#N/A</v>
      </c>
      <c r="AK7564" s="80">
        <f t="shared" si="1173"/>
        <v>0</v>
      </c>
      <c r="AL7564" s="85"/>
      <c r="AM7564" s="85"/>
    </row>
    <row r="7565" spans="1:39" s="86" customFormat="1" ht="13.25" hidden="1" customHeight="1" x14ac:dyDescent="0.3">
      <c r="A7565" s="89" t="s">
        <v>3978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3767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165"/>
        <v>36961.9</v>
      </c>
      <c r="X7565" s="6">
        <f t="shared" si="1169"/>
        <v>0</v>
      </c>
      <c r="Y7565" s="13">
        <f t="shared" si="1171"/>
        <v>0</v>
      </c>
      <c r="Z7565" s="14">
        <v>0</v>
      </c>
      <c r="AA7565" s="6">
        <v>0</v>
      </c>
      <c r="AB7565" s="4">
        <f t="shared" si="1172"/>
        <v>0</v>
      </c>
      <c r="AC7565" s="6">
        <f t="shared" si="1170"/>
        <v>0</v>
      </c>
      <c r="AD7565" s="6">
        <f t="shared" si="1166"/>
        <v>0</v>
      </c>
      <c r="AE7565" s="14">
        <f>VLOOKUP(I7565,[2]媒体政策预估表!A:N,MATCH(O7565,[2]媒体政策预估表!$A$2:$M$2,0),0)</f>
        <v>7.0000000000000007E-2</v>
      </c>
      <c r="AF7565" s="6">
        <f t="shared" si="1168"/>
        <v>0</v>
      </c>
      <c r="AG7565" s="14">
        <v>0</v>
      </c>
      <c r="AH7565" s="64">
        <f t="shared" si="1167"/>
        <v>0</v>
      </c>
      <c r="AJ7565" s="126" t="e">
        <v>#N/A</v>
      </c>
      <c r="AK7565" s="80">
        <f t="shared" si="1173"/>
        <v>0</v>
      </c>
      <c r="AL7565" s="85"/>
      <c r="AM7565" s="85"/>
    </row>
    <row r="7566" spans="1:39" s="86" customFormat="1" ht="13.25" hidden="1" customHeight="1" x14ac:dyDescent="0.3">
      <c r="A7566" s="89" t="s">
        <v>3792</v>
      </c>
      <c r="B7566" s="86" t="s">
        <v>35</v>
      </c>
      <c r="C7566" s="86" t="s">
        <v>184</v>
      </c>
      <c r="D7566" s="86" t="s">
        <v>3849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3767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165"/>
        <v>37145.1</v>
      </c>
      <c r="X7566" s="6">
        <f t="shared" si="1169"/>
        <v>0</v>
      </c>
      <c r="Y7566" s="13">
        <f t="shared" si="1171"/>
        <v>0</v>
      </c>
      <c r="Z7566" s="14">
        <v>0</v>
      </c>
      <c r="AA7566" s="6">
        <v>0</v>
      </c>
      <c r="AB7566" s="4">
        <f t="shared" si="1172"/>
        <v>0</v>
      </c>
      <c r="AC7566" s="6">
        <f t="shared" si="1170"/>
        <v>0</v>
      </c>
      <c r="AD7566" s="6">
        <f t="shared" si="1166"/>
        <v>0</v>
      </c>
      <c r="AE7566" s="14">
        <f>VLOOKUP(I7566,[2]媒体政策预估表!A:N,MATCH(O7566,[2]媒体政策预估表!$A$2:$M$2,0),0)</f>
        <v>7.0000000000000007E-2</v>
      </c>
      <c r="AF7566" s="6">
        <f t="shared" si="1168"/>
        <v>0</v>
      </c>
      <c r="AG7566" s="14">
        <v>0</v>
      </c>
      <c r="AH7566" s="64">
        <f t="shared" si="1167"/>
        <v>0</v>
      </c>
      <c r="AJ7566" s="126" t="e">
        <v>#N/A</v>
      </c>
      <c r="AK7566" s="80">
        <f t="shared" si="1173"/>
        <v>0</v>
      </c>
      <c r="AL7566" s="85"/>
      <c r="AM7566" s="85"/>
    </row>
    <row r="7567" spans="1:39" s="86" customFormat="1" ht="13.25" hidden="1" customHeight="1" x14ac:dyDescent="0.3">
      <c r="A7567" s="89" t="s">
        <v>3978</v>
      </c>
      <c r="B7567" s="86" t="s">
        <v>35</v>
      </c>
      <c r="C7567" s="86" t="s">
        <v>184</v>
      </c>
      <c r="D7567" s="86" t="s">
        <v>3849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3767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165"/>
        <v>45402.7</v>
      </c>
      <c r="X7567" s="6">
        <f t="shared" si="1169"/>
        <v>0</v>
      </c>
      <c r="Y7567" s="13">
        <f t="shared" si="1171"/>
        <v>0</v>
      </c>
      <c r="Z7567" s="14">
        <v>0</v>
      </c>
      <c r="AA7567" s="6">
        <v>0</v>
      </c>
      <c r="AB7567" s="4">
        <f t="shared" si="1172"/>
        <v>0</v>
      </c>
      <c r="AC7567" s="6">
        <f t="shared" si="1170"/>
        <v>0</v>
      </c>
      <c r="AD7567" s="6">
        <f t="shared" si="1166"/>
        <v>0</v>
      </c>
      <c r="AE7567" s="14">
        <f>VLOOKUP(I7567,[2]媒体政策预估表!A:N,MATCH(O7567,[2]媒体政策预估表!$A$2:$M$2,0),0)</f>
        <v>7.0000000000000007E-2</v>
      </c>
      <c r="AF7567" s="6">
        <f t="shared" si="1168"/>
        <v>0</v>
      </c>
      <c r="AG7567" s="14">
        <v>0</v>
      </c>
      <c r="AH7567" s="64">
        <f t="shared" si="1167"/>
        <v>0</v>
      </c>
      <c r="AJ7567" s="126" t="e">
        <v>#N/A</v>
      </c>
      <c r="AK7567" s="80">
        <f t="shared" si="1173"/>
        <v>0</v>
      </c>
      <c r="AL7567" s="85"/>
      <c r="AM7567" s="85"/>
    </row>
    <row r="7568" spans="1:39" s="86" customFormat="1" ht="13.25" hidden="1" customHeight="1" x14ac:dyDescent="0.3">
      <c r="A7568" s="89" t="s">
        <v>3792</v>
      </c>
      <c r="B7568" s="86" t="s">
        <v>35</v>
      </c>
      <c r="C7568" s="86" t="s">
        <v>184</v>
      </c>
      <c r="D7568" s="86" t="s">
        <v>3849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3767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165"/>
        <v>38794.9</v>
      </c>
      <c r="X7568" s="6">
        <f t="shared" si="1169"/>
        <v>0</v>
      </c>
      <c r="Y7568" s="13">
        <f t="shared" si="1171"/>
        <v>0</v>
      </c>
      <c r="Z7568" s="14">
        <v>0</v>
      </c>
      <c r="AA7568" s="6">
        <v>0</v>
      </c>
      <c r="AB7568" s="4">
        <f t="shared" si="1172"/>
        <v>0</v>
      </c>
      <c r="AC7568" s="6">
        <f t="shared" si="1170"/>
        <v>0</v>
      </c>
      <c r="AD7568" s="6">
        <f t="shared" si="1166"/>
        <v>0</v>
      </c>
      <c r="AE7568" s="14">
        <f>VLOOKUP(I7568,[2]媒体政策预估表!A:N,MATCH(O7568,[2]媒体政策预估表!$A$2:$M$2,0),0)</f>
        <v>7.0000000000000007E-2</v>
      </c>
      <c r="AF7568" s="6">
        <f t="shared" si="1168"/>
        <v>0</v>
      </c>
      <c r="AG7568" s="14">
        <v>0</v>
      </c>
      <c r="AH7568" s="64">
        <f t="shared" si="1167"/>
        <v>0</v>
      </c>
      <c r="AJ7568" s="126" t="e">
        <v>#N/A</v>
      </c>
      <c r="AK7568" s="80">
        <f t="shared" si="1173"/>
        <v>0</v>
      </c>
      <c r="AL7568" s="85"/>
      <c r="AM7568" s="85"/>
    </row>
    <row r="7569" spans="1:39" s="86" customFormat="1" ht="13.25" hidden="1" customHeight="1" x14ac:dyDescent="0.3">
      <c r="A7569" s="89" t="s">
        <v>3792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3767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165"/>
        <v>66388.500000000044</v>
      </c>
      <c r="X7569" s="6">
        <f t="shared" si="1169"/>
        <v>28487.200000000001</v>
      </c>
      <c r="Y7569" s="13">
        <f t="shared" si="1171"/>
        <v>0</v>
      </c>
      <c r="Z7569" s="14">
        <v>0</v>
      </c>
      <c r="AA7569" s="6">
        <v>0</v>
      </c>
      <c r="AB7569" s="4">
        <f t="shared" si="1172"/>
        <v>28487.200000000001</v>
      </c>
      <c r="AC7569" s="6">
        <f t="shared" si="1170"/>
        <v>0</v>
      </c>
      <c r="AD7569" s="6">
        <f t="shared" si="1166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168"/>
        <v>1994.1040000000003</v>
      </c>
      <c r="AG7569" s="14">
        <v>0</v>
      </c>
      <c r="AH7569" s="64">
        <f t="shared" si="1167"/>
        <v>28487.200000000001</v>
      </c>
      <c r="AJ7569" s="126" t="e">
        <v>#N/A</v>
      </c>
      <c r="AK7569" s="80">
        <f t="shared" si="1173"/>
        <v>0</v>
      </c>
      <c r="AL7569" s="85"/>
      <c r="AM7569" s="85"/>
    </row>
    <row r="7570" spans="1:39" s="86" customFormat="1" ht="13.25" hidden="1" customHeight="1" x14ac:dyDescent="0.3">
      <c r="A7570" s="89" t="s">
        <v>3792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3767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165"/>
        <v>4220.3900000000003</v>
      </c>
      <c r="X7570" s="6">
        <f t="shared" si="1169"/>
        <v>5975.2</v>
      </c>
      <c r="Y7570" s="13">
        <f t="shared" si="1171"/>
        <v>0</v>
      </c>
      <c r="Z7570" s="14">
        <v>0</v>
      </c>
      <c r="AA7570" s="6">
        <v>0</v>
      </c>
      <c r="AB7570" s="4">
        <f t="shared" si="1172"/>
        <v>5975.2</v>
      </c>
      <c r="AC7570" s="6">
        <f t="shared" si="1170"/>
        <v>0</v>
      </c>
      <c r="AD7570" s="6">
        <f t="shared" si="1166"/>
        <v>5975.2</v>
      </c>
      <c r="AE7570" s="14">
        <f>VLOOKUP(I7570,[2]媒体政策预估表!A:N,MATCH(O7570,[2]媒体政策预估表!$A$2:$M$2,0),0)</f>
        <v>7.0000000000000007E-2</v>
      </c>
      <c r="AF7570" s="6">
        <f t="shared" si="1168"/>
        <v>418.26400000000001</v>
      </c>
      <c r="AG7570" s="14">
        <v>0</v>
      </c>
      <c r="AH7570" s="64">
        <f t="shared" si="1167"/>
        <v>5975.2</v>
      </c>
      <c r="AJ7570" s="126" t="e">
        <v>#N/A</v>
      </c>
      <c r="AK7570" s="80">
        <f t="shared" si="1173"/>
        <v>0</v>
      </c>
      <c r="AL7570" s="85"/>
      <c r="AM7570" s="85"/>
    </row>
    <row r="7571" spans="1:39" s="86" customFormat="1" ht="13.25" hidden="1" customHeight="1" x14ac:dyDescent="0.3">
      <c r="A7571" s="89" t="s">
        <v>3792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3767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165"/>
        <v>493.39999999999964</v>
      </c>
      <c r="X7571" s="6">
        <f t="shared" si="1169"/>
        <v>10023.1</v>
      </c>
      <c r="Y7571" s="13">
        <f t="shared" si="1171"/>
        <v>0</v>
      </c>
      <c r="Z7571" s="14">
        <v>0</v>
      </c>
      <c r="AA7571" s="6">
        <v>0</v>
      </c>
      <c r="AB7571" s="4">
        <f t="shared" si="1172"/>
        <v>10023.1</v>
      </c>
      <c r="AC7571" s="6">
        <f t="shared" si="1170"/>
        <v>0</v>
      </c>
      <c r="AD7571" s="6">
        <f t="shared" si="1166"/>
        <v>10023.1</v>
      </c>
      <c r="AE7571" s="14">
        <f>VLOOKUP(I7571,[2]媒体政策预估表!A:N,MATCH(O7571,[2]媒体政策预估表!$A$2:$M$2,0),0)</f>
        <v>7.0000000000000007E-2</v>
      </c>
      <c r="AF7571" s="6">
        <f t="shared" si="1168"/>
        <v>701.61700000000008</v>
      </c>
      <c r="AG7571" s="14">
        <v>0</v>
      </c>
      <c r="AH7571" s="64">
        <f t="shared" si="1167"/>
        <v>10023.1</v>
      </c>
      <c r="AJ7571" s="126" t="e">
        <v>#N/A</v>
      </c>
      <c r="AK7571" s="80">
        <f t="shared" si="1173"/>
        <v>0</v>
      </c>
      <c r="AL7571" s="85"/>
      <c r="AM7571" s="85"/>
    </row>
    <row r="7572" spans="1:39" s="86" customFormat="1" ht="13.25" hidden="1" customHeight="1" x14ac:dyDescent="0.3">
      <c r="A7572" s="89" t="s">
        <v>3978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3767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165"/>
        <v>494.89999999999873</v>
      </c>
      <c r="X7572" s="6">
        <f t="shared" si="1169"/>
        <v>6539.2</v>
      </c>
      <c r="Y7572" s="13">
        <f t="shared" si="1171"/>
        <v>0</v>
      </c>
      <c r="Z7572" s="14">
        <v>0</v>
      </c>
      <c r="AA7572" s="6">
        <v>0</v>
      </c>
      <c r="AB7572" s="4">
        <f t="shared" si="1172"/>
        <v>6539.2</v>
      </c>
      <c r="AC7572" s="6">
        <f t="shared" si="1170"/>
        <v>0</v>
      </c>
      <c r="AD7572" s="6">
        <f t="shared" si="1166"/>
        <v>6539.2</v>
      </c>
      <c r="AE7572" s="14">
        <f>VLOOKUP(I7572,[2]媒体政策预估表!A:N,MATCH(O7572,[2]媒体政策预估表!$A$2:$M$2,0),0)</f>
        <v>7.0000000000000007E-2</v>
      </c>
      <c r="AF7572" s="6">
        <f t="shared" si="1168"/>
        <v>457.74400000000003</v>
      </c>
      <c r="AG7572" s="14">
        <v>0</v>
      </c>
      <c r="AH7572" s="64">
        <f t="shared" si="1167"/>
        <v>6539.2</v>
      </c>
      <c r="AJ7572" s="126" t="e">
        <v>#N/A</v>
      </c>
      <c r="AK7572" s="80">
        <f t="shared" si="1173"/>
        <v>0</v>
      </c>
      <c r="AL7572" s="85"/>
      <c r="AM7572" s="85"/>
    </row>
    <row r="7573" spans="1:39" s="86" customFormat="1" ht="13.25" hidden="1" customHeight="1" x14ac:dyDescent="0.3">
      <c r="A7573" s="89" t="s">
        <v>3792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3767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165"/>
        <v>17339.3300000001</v>
      </c>
      <c r="X7573" s="6">
        <f t="shared" si="1169"/>
        <v>2608.4999999999018</v>
      </c>
      <c r="Y7573" s="13">
        <f t="shared" si="1171"/>
        <v>0</v>
      </c>
      <c r="Z7573" s="14">
        <v>0</v>
      </c>
      <c r="AA7573" s="6">
        <v>0</v>
      </c>
      <c r="AB7573" s="4">
        <f t="shared" si="1172"/>
        <v>2608.4999999999018</v>
      </c>
      <c r="AC7573" s="6">
        <f t="shared" si="1170"/>
        <v>52.169999999998254</v>
      </c>
      <c r="AD7573" s="6">
        <f t="shared" si="1166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168"/>
        <v>186.24689999999302</v>
      </c>
      <c r="AG7573" s="14">
        <v>0</v>
      </c>
      <c r="AH7573" s="64">
        <f t="shared" si="1167"/>
        <v>2660.6699999999</v>
      </c>
      <c r="AJ7573" s="126" t="e">
        <v>#N/A</v>
      </c>
      <c r="AK7573" s="80">
        <f t="shared" si="1173"/>
        <v>0</v>
      </c>
      <c r="AL7573" s="85"/>
      <c r="AM7573" s="85"/>
    </row>
    <row r="7574" spans="1:39" s="86" customFormat="1" ht="13.25" hidden="1" customHeight="1" x14ac:dyDescent="0.3">
      <c r="A7574" s="89" t="s">
        <v>3978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3767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165"/>
        <v>450.50000000000034</v>
      </c>
      <c r="X7574" s="6">
        <f t="shared" si="1169"/>
        <v>0</v>
      </c>
      <c r="Y7574" s="13">
        <f t="shared" si="1171"/>
        <v>0</v>
      </c>
      <c r="Z7574" s="14">
        <v>0</v>
      </c>
      <c r="AA7574" s="6">
        <v>0</v>
      </c>
      <c r="AB7574" s="4">
        <f t="shared" si="1172"/>
        <v>0</v>
      </c>
      <c r="AC7574" s="6">
        <f t="shared" si="1170"/>
        <v>0</v>
      </c>
      <c r="AD7574" s="6">
        <f t="shared" si="1166"/>
        <v>0</v>
      </c>
      <c r="AE7574" s="14">
        <f>VLOOKUP(I7574,[2]媒体政策预估表!A:N,MATCH(O7574,[2]媒体政策预估表!$A$2:$M$2,0),0)</f>
        <v>7.0000000000000007E-2</v>
      </c>
      <c r="AF7574" s="6">
        <f t="shared" si="1168"/>
        <v>0</v>
      </c>
      <c r="AG7574" s="14">
        <v>0</v>
      </c>
      <c r="AH7574" s="64">
        <f t="shared" si="1167"/>
        <v>0</v>
      </c>
      <c r="AJ7574" s="126" t="e">
        <v>#N/A</v>
      </c>
      <c r="AK7574" s="80">
        <f t="shared" si="1173"/>
        <v>0</v>
      </c>
      <c r="AL7574" s="85"/>
      <c r="AM7574" s="85"/>
    </row>
    <row r="7575" spans="1:39" s="86" customFormat="1" ht="13.25" hidden="1" customHeight="1" x14ac:dyDescent="0.3">
      <c r="A7575" s="89" t="s">
        <v>3978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3767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165"/>
        <v>50392.36</v>
      </c>
      <c r="X7575" s="6">
        <f t="shared" si="1169"/>
        <v>0</v>
      </c>
      <c r="Y7575" s="13">
        <f t="shared" si="1171"/>
        <v>0</v>
      </c>
      <c r="Z7575" s="14">
        <v>0</v>
      </c>
      <c r="AA7575" s="6">
        <v>0</v>
      </c>
      <c r="AB7575" s="4">
        <f t="shared" si="1172"/>
        <v>0</v>
      </c>
      <c r="AC7575" s="6">
        <f t="shared" si="1170"/>
        <v>0</v>
      </c>
      <c r="AD7575" s="6">
        <f t="shared" si="1166"/>
        <v>0</v>
      </c>
      <c r="AE7575" s="14">
        <f>VLOOKUP(I7575,[2]媒体政策预估表!A:N,MATCH(O7575,[2]媒体政策预估表!$A$2:$M$2,0),0)</f>
        <v>7.0000000000000007E-2</v>
      </c>
      <c r="AF7575" s="6">
        <f t="shared" si="1168"/>
        <v>0</v>
      </c>
      <c r="AG7575" s="14">
        <v>0</v>
      </c>
      <c r="AH7575" s="64">
        <f t="shared" si="1167"/>
        <v>0</v>
      </c>
      <c r="AJ7575" s="126" t="e">
        <v>#N/A</v>
      </c>
      <c r="AK7575" s="80">
        <f t="shared" si="1173"/>
        <v>0</v>
      </c>
      <c r="AL7575" s="85"/>
      <c r="AM7575" s="85"/>
    </row>
    <row r="7576" spans="1:39" s="86" customFormat="1" ht="13.25" hidden="1" customHeight="1" x14ac:dyDescent="0.3">
      <c r="A7576" s="89" t="s">
        <v>3978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3767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165"/>
        <v>23099.7</v>
      </c>
      <c r="X7576" s="6">
        <f t="shared" si="1169"/>
        <v>0</v>
      </c>
      <c r="Y7576" s="13">
        <f t="shared" si="1171"/>
        <v>0</v>
      </c>
      <c r="Z7576" s="14">
        <v>0</v>
      </c>
      <c r="AA7576" s="6">
        <v>0</v>
      </c>
      <c r="AB7576" s="4">
        <f t="shared" si="1172"/>
        <v>0</v>
      </c>
      <c r="AC7576" s="6">
        <f t="shared" si="1170"/>
        <v>0</v>
      </c>
      <c r="AD7576" s="6">
        <f t="shared" si="1166"/>
        <v>0</v>
      </c>
      <c r="AE7576" s="14">
        <f>VLOOKUP(I7576,[2]媒体政策预估表!A:N,MATCH(O7576,[2]媒体政策预估表!$A$2:$M$2,0),0)</f>
        <v>0.1</v>
      </c>
      <c r="AF7576" s="6">
        <f t="shared" si="1168"/>
        <v>0</v>
      </c>
      <c r="AG7576" s="14">
        <v>0</v>
      </c>
      <c r="AH7576" s="64">
        <f t="shared" si="1167"/>
        <v>0</v>
      </c>
      <c r="AJ7576" s="126" t="e">
        <v>#N/A</v>
      </c>
      <c r="AK7576" s="80">
        <f t="shared" si="1173"/>
        <v>0</v>
      </c>
      <c r="AL7576" s="85"/>
      <c r="AM7576" s="85"/>
    </row>
    <row r="7577" spans="1:39" s="86" customFormat="1" ht="13.25" hidden="1" customHeight="1" x14ac:dyDescent="0.3">
      <c r="A7577" s="89" t="s">
        <v>3978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3767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174">T7577+U7577-V7577</f>
        <v>100000</v>
      </c>
      <c r="X7577" s="6">
        <f t="shared" si="1169"/>
        <v>0</v>
      </c>
      <c r="Y7577" s="13">
        <f t="shared" si="1171"/>
        <v>0</v>
      </c>
      <c r="Z7577" s="14">
        <v>0</v>
      </c>
      <c r="AA7577" s="6">
        <v>0</v>
      </c>
      <c r="AB7577" s="4">
        <f t="shared" si="1172"/>
        <v>0</v>
      </c>
      <c r="AC7577" s="6">
        <f t="shared" si="1170"/>
        <v>0</v>
      </c>
      <c r="AD7577" s="6">
        <f t="shared" ref="AD7577:AD7640" si="1175">V7577</f>
        <v>0</v>
      </c>
      <c r="AE7577" s="14">
        <f>VLOOKUP(I7577,[2]媒体政策预估表!A:N,MATCH(O7577,[2]媒体政策预估表!$A$2:$M$2,0),0)</f>
        <v>0.1</v>
      </c>
      <c r="AF7577" s="6">
        <f t="shared" si="1168"/>
        <v>0</v>
      </c>
      <c r="AG7577" s="14">
        <v>0</v>
      </c>
      <c r="AH7577" s="64">
        <f t="shared" ref="AH7577:AH7640" si="1176">V7577</f>
        <v>0</v>
      </c>
      <c r="AJ7577" s="126" t="e">
        <v>#N/A</v>
      </c>
      <c r="AK7577" s="80">
        <f t="shared" si="1173"/>
        <v>0</v>
      </c>
      <c r="AL7577" s="85"/>
      <c r="AM7577" s="85"/>
    </row>
    <row r="7578" spans="1:39" s="86" customFormat="1" ht="13.25" hidden="1" customHeight="1" x14ac:dyDescent="0.3">
      <c r="A7578" s="89" t="s">
        <v>3978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3767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174"/>
        <v>27653.347150000001</v>
      </c>
      <c r="X7578" s="6">
        <f t="shared" si="1169"/>
        <v>9372.8592843137249</v>
      </c>
      <c r="Y7578" s="13">
        <f t="shared" si="1171"/>
        <v>0</v>
      </c>
      <c r="Z7578" s="14">
        <v>0</v>
      </c>
      <c r="AA7578" s="6">
        <v>0</v>
      </c>
      <c r="AB7578" s="4">
        <f t="shared" si="1172"/>
        <v>9372.8592843137249</v>
      </c>
      <c r="AC7578" s="6">
        <f t="shared" si="1170"/>
        <v>187.4571856862749</v>
      </c>
      <c r="AD7578" s="6">
        <f t="shared" si="1175"/>
        <v>9560.3164699999998</v>
      </c>
      <c r="AE7578" s="14">
        <f>VLOOKUP(I7578,[2]媒体政策预估表!A:N,MATCH(O7578,[2]媒体政策预估表!$A$2:$M$2,0),0)</f>
        <v>0.1</v>
      </c>
      <c r="AF7578" s="6">
        <f t="shared" si="1168"/>
        <v>956.03164700000002</v>
      </c>
      <c r="AG7578" s="14">
        <v>0</v>
      </c>
      <c r="AH7578" s="64">
        <f t="shared" si="1176"/>
        <v>9560.3164699999998</v>
      </c>
      <c r="AJ7578" s="126" t="e">
        <v>#N/A</v>
      </c>
      <c r="AK7578" s="80">
        <f t="shared" si="1173"/>
        <v>0</v>
      </c>
      <c r="AL7578" s="85"/>
      <c r="AM7578" s="85"/>
    </row>
    <row r="7579" spans="1:39" s="86" customFormat="1" ht="13.25" hidden="1" customHeight="1" x14ac:dyDescent="0.3">
      <c r="A7579" s="89" t="s">
        <v>3978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3767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174"/>
        <v>1.1000000000003638</v>
      </c>
      <c r="X7579" s="6">
        <f t="shared" si="1169"/>
        <v>0</v>
      </c>
      <c r="Y7579" s="13">
        <f t="shared" si="1171"/>
        <v>0</v>
      </c>
      <c r="Z7579" s="14">
        <v>0</v>
      </c>
      <c r="AA7579" s="6">
        <v>0</v>
      </c>
      <c r="AB7579" s="4">
        <f t="shared" si="1172"/>
        <v>0</v>
      </c>
      <c r="AC7579" s="6">
        <f t="shared" si="1170"/>
        <v>0</v>
      </c>
      <c r="AD7579" s="6">
        <f t="shared" si="1175"/>
        <v>0</v>
      </c>
      <c r="AE7579" s="14">
        <f>VLOOKUP(I7579,[2]媒体政策预估表!A:N,MATCH(O7579,[2]媒体政策预估表!$A$2:$M$2,0),0)</f>
        <v>7.0000000000000007E-2</v>
      </c>
      <c r="AF7579" s="6">
        <f t="shared" si="1168"/>
        <v>0</v>
      </c>
      <c r="AG7579" s="14">
        <v>0</v>
      </c>
      <c r="AH7579" s="64">
        <f t="shared" si="1176"/>
        <v>0</v>
      </c>
      <c r="AJ7579" s="126" t="e">
        <v>#N/A</v>
      </c>
      <c r="AK7579" s="80">
        <f t="shared" si="1173"/>
        <v>0</v>
      </c>
      <c r="AL7579" s="85"/>
      <c r="AM7579" s="85"/>
    </row>
    <row r="7580" spans="1:39" s="86" customFormat="1" ht="13.25" hidden="1" customHeight="1" x14ac:dyDescent="0.3">
      <c r="A7580" s="89" t="s">
        <v>3978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3767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174"/>
        <v>482.10000000000036</v>
      </c>
      <c r="X7580" s="6">
        <f t="shared" si="1169"/>
        <v>0</v>
      </c>
      <c r="Y7580" s="13">
        <f t="shared" si="1171"/>
        <v>0</v>
      </c>
      <c r="Z7580" s="14">
        <v>0</v>
      </c>
      <c r="AA7580" s="6">
        <v>0</v>
      </c>
      <c r="AB7580" s="4">
        <f t="shared" si="1172"/>
        <v>0</v>
      </c>
      <c r="AC7580" s="6">
        <f t="shared" si="1170"/>
        <v>0</v>
      </c>
      <c r="AD7580" s="6">
        <f t="shared" si="1175"/>
        <v>0</v>
      </c>
      <c r="AE7580" s="14">
        <f>VLOOKUP(I7580,[2]媒体政策预估表!A:N,MATCH(O7580,[2]媒体政策预估表!$A$2:$M$2,0),0)</f>
        <v>7.0000000000000007E-2</v>
      </c>
      <c r="AF7580" s="6">
        <f t="shared" si="1168"/>
        <v>0</v>
      </c>
      <c r="AG7580" s="14">
        <v>0</v>
      </c>
      <c r="AH7580" s="64">
        <f t="shared" si="1176"/>
        <v>0</v>
      </c>
      <c r="AJ7580" s="126" t="e">
        <v>#N/A</v>
      </c>
      <c r="AK7580" s="80">
        <f t="shared" si="1173"/>
        <v>0</v>
      </c>
      <c r="AL7580" s="85"/>
      <c r="AM7580" s="85"/>
    </row>
    <row r="7581" spans="1:39" s="86" customFormat="1" ht="13.25" hidden="1" customHeight="1" x14ac:dyDescent="0.3">
      <c r="A7581" s="89" t="s">
        <v>3978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3767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174"/>
        <v>100000</v>
      </c>
      <c r="X7581" s="6">
        <f t="shared" si="1169"/>
        <v>0</v>
      </c>
      <c r="Y7581" s="13">
        <f t="shared" si="1171"/>
        <v>0</v>
      </c>
      <c r="Z7581" s="14">
        <v>0</v>
      </c>
      <c r="AA7581" s="6">
        <v>0</v>
      </c>
      <c r="AB7581" s="4">
        <f t="shared" si="1172"/>
        <v>0</v>
      </c>
      <c r="AC7581" s="6">
        <f t="shared" si="1170"/>
        <v>0</v>
      </c>
      <c r="AD7581" s="6">
        <f t="shared" si="1175"/>
        <v>0</v>
      </c>
      <c r="AE7581" s="14">
        <f>VLOOKUP(I7581,[2]媒体政策预估表!A:N,MATCH(O7581,[2]媒体政策预估表!$A$2:$M$2,0),0)</f>
        <v>7.0000000000000007E-2</v>
      </c>
      <c r="AF7581" s="6">
        <f t="shared" si="1168"/>
        <v>0</v>
      </c>
      <c r="AG7581" s="14">
        <v>0</v>
      </c>
      <c r="AH7581" s="64">
        <f t="shared" si="1176"/>
        <v>0</v>
      </c>
      <c r="AJ7581" s="126" t="e">
        <v>#N/A</v>
      </c>
      <c r="AK7581" s="80">
        <f t="shared" si="1173"/>
        <v>0</v>
      </c>
      <c r="AL7581" s="85"/>
      <c r="AM7581" s="85"/>
    </row>
    <row r="7582" spans="1:39" s="86" customFormat="1" ht="13.25" hidden="1" customHeight="1" x14ac:dyDescent="0.3">
      <c r="A7582" s="89" t="s">
        <v>3978</v>
      </c>
      <c r="B7582" s="86" t="s">
        <v>35</v>
      </c>
      <c r="C7582" s="86" t="s">
        <v>144</v>
      </c>
      <c r="D7582" s="86" t="s">
        <v>161</v>
      </c>
      <c r="E7582" s="86" t="s">
        <v>3759</v>
      </c>
      <c r="F7582" s="86" t="s">
        <v>3759</v>
      </c>
      <c r="G7582" s="86" t="s">
        <v>3759</v>
      </c>
      <c r="H7582" s="143">
        <v>360</v>
      </c>
      <c r="I7582" s="86" t="s">
        <v>1060</v>
      </c>
      <c r="J7582" s="47" t="s">
        <v>3325</v>
      </c>
      <c r="K7582" s="47" t="s">
        <v>3767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174"/>
        <v>6953.7</v>
      </c>
      <c r="X7582" s="6">
        <f t="shared" si="1169"/>
        <v>0</v>
      </c>
      <c r="Y7582" s="13">
        <f t="shared" si="1171"/>
        <v>0</v>
      </c>
      <c r="Z7582" s="14">
        <v>0</v>
      </c>
      <c r="AA7582" s="6">
        <v>0</v>
      </c>
      <c r="AB7582" s="4">
        <f t="shared" si="1172"/>
        <v>0</v>
      </c>
      <c r="AC7582" s="6">
        <f t="shared" si="1170"/>
        <v>0</v>
      </c>
      <c r="AD7582" s="6">
        <f t="shared" si="1175"/>
        <v>0</v>
      </c>
      <c r="AE7582" s="14">
        <f>VLOOKUP(I7582,[2]媒体政策预估表!A:N,MATCH(O7582,[2]媒体政策预估表!$A$2:$M$2,0),0)</f>
        <v>7.0000000000000007E-2</v>
      </c>
      <c r="AF7582" s="6">
        <f t="shared" si="1168"/>
        <v>0</v>
      </c>
      <c r="AG7582" s="14">
        <v>0</v>
      </c>
      <c r="AH7582" s="64">
        <f t="shared" si="1176"/>
        <v>0</v>
      </c>
      <c r="AJ7582" s="126" t="e">
        <v>#N/A</v>
      </c>
      <c r="AK7582" s="80">
        <f t="shared" si="1173"/>
        <v>0</v>
      </c>
      <c r="AL7582" s="85"/>
      <c r="AM7582" s="85"/>
    </row>
    <row r="7583" spans="1:39" s="86" customFormat="1" ht="13.25" hidden="1" customHeight="1" x14ac:dyDescent="0.3">
      <c r="A7583" s="89" t="s">
        <v>3978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3767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174"/>
        <v>2338.2554</v>
      </c>
      <c r="X7583" s="6">
        <f t="shared" si="1169"/>
        <v>0</v>
      </c>
      <c r="Y7583" s="13">
        <f t="shared" si="1171"/>
        <v>0</v>
      </c>
      <c r="Z7583" s="14">
        <v>0</v>
      </c>
      <c r="AA7583" s="6">
        <v>0</v>
      </c>
      <c r="AB7583" s="4">
        <f t="shared" si="1172"/>
        <v>0</v>
      </c>
      <c r="AC7583" s="6">
        <f t="shared" si="1170"/>
        <v>0</v>
      </c>
      <c r="AD7583" s="6">
        <f t="shared" si="1175"/>
        <v>0</v>
      </c>
      <c r="AE7583" s="14">
        <f>VLOOKUP(I7583,[2]媒体政策预估表!A:N,MATCH(O7583,[2]媒体政策预估表!$A$2:$M$2,0),0)</f>
        <v>0.1</v>
      </c>
      <c r="AF7583" s="6">
        <f t="shared" si="1168"/>
        <v>0</v>
      </c>
      <c r="AG7583" s="14">
        <v>0</v>
      </c>
      <c r="AH7583" s="64">
        <f t="shared" si="1176"/>
        <v>0</v>
      </c>
      <c r="AJ7583" s="126" t="e">
        <v>#N/A</v>
      </c>
      <c r="AK7583" s="80">
        <f t="shared" si="1173"/>
        <v>0</v>
      </c>
      <c r="AL7583" s="85"/>
      <c r="AM7583" s="85"/>
    </row>
    <row r="7584" spans="1:39" s="86" customFormat="1" ht="13.25" hidden="1" customHeight="1" x14ac:dyDescent="0.3">
      <c r="A7584" s="89" t="s">
        <v>3792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3767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174"/>
        <v>24827.5</v>
      </c>
      <c r="X7584" s="6">
        <f t="shared" si="1169"/>
        <v>0</v>
      </c>
      <c r="Y7584" s="13">
        <f t="shared" si="1171"/>
        <v>0</v>
      </c>
      <c r="Z7584" s="14">
        <v>0</v>
      </c>
      <c r="AA7584" s="6">
        <v>0</v>
      </c>
      <c r="AB7584" s="4">
        <f t="shared" si="1172"/>
        <v>0</v>
      </c>
      <c r="AC7584" s="6">
        <f t="shared" si="1170"/>
        <v>0</v>
      </c>
      <c r="AD7584" s="6">
        <f t="shared" si="1175"/>
        <v>0</v>
      </c>
      <c r="AE7584" s="14">
        <f>VLOOKUP(I7584,[2]媒体政策预估表!A:N,MATCH(O7584,[2]媒体政策预估表!$A$2:$M$2,0),0)</f>
        <v>7.0000000000000007E-2</v>
      </c>
      <c r="AF7584" s="6">
        <f t="shared" si="1168"/>
        <v>0</v>
      </c>
      <c r="AG7584" s="14">
        <v>0</v>
      </c>
      <c r="AH7584" s="64">
        <f t="shared" si="1176"/>
        <v>0</v>
      </c>
      <c r="AJ7584" s="126" t="e">
        <v>#N/A</v>
      </c>
      <c r="AK7584" s="80">
        <f t="shared" si="1173"/>
        <v>0</v>
      </c>
      <c r="AL7584" s="85"/>
      <c r="AM7584" s="85"/>
    </row>
    <row r="7585" spans="1:39" s="86" customFormat="1" ht="13.25" hidden="1" customHeight="1" x14ac:dyDescent="0.3">
      <c r="A7585" s="89" t="s">
        <v>3978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3767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174"/>
        <v>-14999.999960000094</v>
      </c>
      <c r="X7585" s="6">
        <f t="shared" si="1169"/>
        <v>0</v>
      </c>
      <c r="Y7585" s="13">
        <f t="shared" si="1171"/>
        <v>0</v>
      </c>
      <c r="Z7585" s="14">
        <v>0</v>
      </c>
      <c r="AA7585" s="6">
        <v>0</v>
      </c>
      <c r="AB7585" s="4">
        <f t="shared" si="1172"/>
        <v>0</v>
      </c>
      <c r="AC7585" s="6">
        <f t="shared" si="1170"/>
        <v>0</v>
      </c>
      <c r="AD7585" s="6">
        <f t="shared" si="1175"/>
        <v>0</v>
      </c>
      <c r="AE7585" s="14">
        <f>VLOOKUP(I7585,[2]媒体政策预估表!A:N,MATCH(O7585,[2]媒体政策预估表!$A$2:$M$2,0),0)</f>
        <v>7.0000000000000007E-2</v>
      </c>
      <c r="AF7585" s="6">
        <f t="shared" si="1168"/>
        <v>0</v>
      </c>
      <c r="AG7585" s="14">
        <v>0</v>
      </c>
      <c r="AH7585" s="64">
        <f t="shared" si="1176"/>
        <v>0</v>
      </c>
      <c r="AJ7585" s="126" t="e">
        <v>#N/A</v>
      </c>
      <c r="AK7585" s="80">
        <f t="shared" si="1173"/>
        <v>0</v>
      </c>
      <c r="AL7585" s="85"/>
      <c r="AM7585" s="85"/>
    </row>
    <row r="7586" spans="1:39" s="86" customFormat="1" ht="13.25" hidden="1" customHeight="1" x14ac:dyDescent="0.3">
      <c r="A7586" s="89" t="s">
        <v>3792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3767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174"/>
        <v>7604.6500000000087</v>
      </c>
      <c r="X7586" s="6">
        <f t="shared" si="1169"/>
        <v>0</v>
      </c>
      <c r="Y7586" s="13">
        <f t="shared" si="1171"/>
        <v>0</v>
      </c>
      <c r="Z7586" s="14">
        <v>0</v>
      </c>
      <c r="AA7586" s="6">
        <v>0</v>
      </c>
      <c r="AB7586" s="4">
        <f t="shared" si="1172"/>
        <v>0</v>
      </c>
      <c r="AC7586" s="6">
        <f t="shared" si="1170"/>
        <v>0</v>
      </c>
      <c r="AD7586" s="6">
        <f t="shared" si="1175"/>
        <v>0</v>
      </c>
      <c r="AE7586" s="14">
        <f>VLOOKUP(I7586,[2]媒体政策预估表!A:N,MATCH(O7586,[2]媒体政策预估表!$A$2:$M$2,0),0)</f>
        <v>7.0000000000000007E-2</v>
      </c>
      <c r="AF7586" s="6">
        <f t="shared" si="1168"/>
        <v>0</v>
      </c>
      <c r="AG7586" s="14">
        <v>0</v>
      </c>
      <c r="AH7586" s="64">
        <f t="shared" si="1176"/>
        <v>0</v>
      </c>
      <c r="AJ7586" s="126" t="e">
        <v>#N/A</v>
      </c>
      <c r="AK7586" s="80">
        <f t="shared" si="1173"/>
        <v>0</v>
      </c>
      <c r="AL7586" s="85"/>
      <c r="AM7586" s="85"/>
    </row>
    <row r="7587" spans="1:39" s="86" customFormat="1" ht="13.25" hidden="1" customHeight="1" x14ac:dyDescent="0.3">
      <c r="A7587" s="89" t="s">
        <v>3978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3767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174"/>
        <v>90441.483609999996</v>
      </c>
      <c r="X7587" s="6">
        <f t="shared" si="1169"/>
        <v>19271.71329</v>
      </c>
      <c r="Y7587" s="13">
        <f t="shared" si="1171"/>
        <v>0</v>
      </c>
      <c r="Z7587" s="14">
        <v>0</v>
      </c>
      <c r="AA7587" s="6">
        <v>0</v>
      </c>
      <c r="AB7587" s="4">
        <f t="shared" si="1172"/>
        <v>19271.71329</v>
      </c>
      <c r="AC7587" s="6">
        <f t="shared" si="1170"/>
        <v>0</v>
      </c>
      <c r="AD7587" s="6">
        <f t="shared" si="1175"/>
        <v>19271.71329</v>
      </c>
      <c r="AE7587" s="14">
        <f>VLOOKUP(I7587,[2]媒体政策预估表!A:N,MATCH(O7587,[2]媒体政策预估表!$A$2:$M$2,0),0)</f>
        <v>0.1</v>
      </c>
      <c r="AF7587" s="6">
        <f t="shared" si="1168"/>
        <v>1927.171329</v>
      </c>
      <c r="AG7587" s="14">
        <v>0</v>
      </c>
      <c r="AH7587" s="64">
        <f t="shared" si="1176"/>
        <v>19271.71329</v>
      </c>
      <c r="AJ7587" s="126" t="e">
        <v>#N/A</v>
      </c>
      <c r="AK7587" s="80">
        <f t="shared" si="1173"/>
        <v>0</v>
      </c>
      <c r="AL7587" s="85"/>
      <c r="AM7587" s="85"/>
    </row>
    <row r="7588" spans="1:39" s="86" customFormat="1" ht="13.25" hidden="1" customHeight="1" x14ac:dyDescent="0.3">
      <c r="A7588" s="89" t="s">
        <v>3792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3767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174"/>
        <v>18510.2</v>
      </c>
      <c r="X7588" s="6">
        <f t="shared" si="1169"/>
        <v>0</v>
      </c>
      <c r="Y7588" s="13">
        <f t="shared" si="1171"/>
        <v>0</v>
      </c>
      <c r="Z7588" s="14">
        <v>0</v>
      </c>
      <c r="AA7588" s="6">
        <v>0</v>
      </c>
      <c r="AB7588" s="4">
        <f t="shared" si="1172"/>
        <v>0</v>
      </c>
      <c r="AC7588" s="6">
        <f t="shared" si="1170"/>
        <v>0</v>
      </c>
      <c r="AD7588" s="6">
        <f t="shared" si="1175"/>
        <v>0</v>
      </c>
      <c r="AE7588" s="14">
        <f>VLOOKUP(I7588,[2]媒体政策预估表!A:N,MATCH(O7588,[2]媒体政策预估表!$A$2:$M$2,0),0)</f>
        <v>0.1</v>
      </c>
      <c r="AF7588" s="6">
        <f t="shared" ref="AF7588:AF7651" si="1177">AD7588*AE7588</f>
        <v>0</v>
      </c>
      <c r="AG7588" s="14">
        <v>0</v>
      </c>
      <c r="AH7588" s="64">
        <f t="shared" si="1176"/>
        <v>0</v>
      </c>
      <c r="AJ7588" s="126" t="e">
        <v>#N/A</v>
      </c>
      <c r="AK7588" s="80">
        <f t="shared" si="1173"/>
        <v>0</v>
      </c>
      <c r="AL7588" s="85"/>
      <c r="AM7588" s="85"/>
    </row>
    <row r="7589" spans="1:39" s="86" customFormat="1" ht="13.25" hidden="1" customHeight="1" x14ac:dyDescent="0.3">
      <c r="A7589" s="89" t="s">
        <v>3978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3767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174"/>
        <v>40017.4</v>
      </c>
      <c r="X7589" s="6">
        <f t="shared" si="1169"/>
        <v>0</v>
      </c>
      <c r="Y7589" s="13">
        <f t="shared" si="1171"/>
        <v>0</v>
      </c>
      <c r="Z7589" s="14">
        <v>0</v>
      </c>
      <c r="AA7589" s="6">
        <v>0</v>
      </c>
      <c r="AB7589" s="4">
        <f t="shared" si="1172"/>
        <v>0</v>
      </c>
      <c r="AC7589" s="6">
        <f t="shared" si="1170"/>
        <v>0</v>
      </c>
      <c r="AD7589" s="6">
        <f t="shared" si="1175"/>
        <v>0</v>
      </c>
      <c r="AE7589" s="14">
        <f>VLOOKUP(I7589,[2]媒体政策预估表!A:N,MATCH(O7589,[2]媒体政策预估表!$A$2:$M$2,0),0)</f>
        <v>7.0000000000000007E-2</v>
      </c>
      <c r="AF7589" s="6">
        <f t="shared" si="1177"/>
        <v>0</v>
      </c>
      <c r="AG7589" s="14">
        <v>0</v>
      </c>
      <c r="AH7589" s="64">
        <f t="shared" si="1176"/>
        <v>0</v>
      </c>
      <c r="AJ7589" s="126" t="e">
        <v>#N/A</v>
      </c>
      <c r="AK7589" s="80">
        <f t="shared" si="1173"/>
        <v>0</v>
      </c>
      <c r="AL7589" s="85"/>
      <c r="AM7589" s="85"/>
    </row>
    <row r="7590" spans="1:39" s="86" customFormat="1" ht="13.25" hidden="1" customHeight="1" x14ac:dyDescent="0.3">
      <c r="A7590" s="89" t="s">
        <v>3978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3767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174"/>
        <v>579382.51341000001</v>
      </c>
      <c r="X7590" s="6">
        <f t="shared" si="1169"/>
        <v>0</v>
      </c>
      <c r="Y7590" s="13">
        <f t="shared" si="1171"/>
        <v>0</v>
      </c>
      <c r="Z7590" s="14">
        <v>0</v>
      </c>
      <c r="AA7590" s="6">
        <v>0</v>
      </c>
      <c r="AB7590" s="4">
        <f t="shared" si="1172"/>
        <v>0</v>
      </c>
      <c r="AC7590" s="6">
        <f t="shared" si="1170"/>
        <v>0</v>
      </c>
      <c r="AD7590" s="6">
        <f t="shared" si="1175"/>
        <v>0</v>
      </c>
      <c r="AE7590" s="14">
        <f>VLOOKUP(I7590,[2]媒体政策预估表!A:N,MATCH(O7590,[2]媒体政策预估表!$A$2:$M$2,0),0)</f>
        <v>0.1</v>
      </c>
      <c r="AF7590" s="6">
        <f t="shared" si="1177"/>
        <v>0</v>
      </c>
      <c r="AG7590" s="14">
        <v>0</v>
      </c>
      <c r="AH7590" s="64">
        <f t="shared" si="1176"/>
        <v>0</v>
      </c>
      <c r="AJ7590" s="126" t="e">
        <v>#N/A</v>
      </c>
      <c r="AK7590" s="80">
        <f t="shared" si="1173"/>
        <v>0</v>
      </c>
      <c r="AL7590" s="85"/>
      <c r="AM7590" s="85"/>
    </row>
    <row r="7591" spans="1:39" s="86" customFormat="1" ht="13.25" hidden="1" customHeight="1" x14ac:dyDescent="0.3">
      <c r="A7591" s="89" t="s">
        <v>3978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3767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174"/>
        <v>0.10000000000582077</v>
      </c>
      <c r="X7591" s="6">
        <f t="shared" si="1169"/>
        <v>57616.7</v>
      </c>
      <c r="Y7591" s="13">
        <f t="shared" si="1171"/>
        <v>0</v>
      </c>
      <c r="Z7591" s="14">
        <v>0</v>
      </c>
      <c r="AA7591" s="6">
        <v>0</v>
      </c>
      <c r="AB7591" s="4">
        <f t="shared" si="1172"/>
        <v>57616.7</v>
      </c>
      <c r="AC7591" s="6">
        <f t="shared" si="1170"/>
        <v>0</v>
      </c>
      <c r="AD7591" s="6">
        <f t="shared" si="1175"/>
        <v>57616.7</v>
      </c>
      <c r="AE7591" s="14">
        <f>VLOOKUP(I7591,[2]媒体政策预估表!A:N,MATCH(O7591,[2]媒体政策预估表!$A$2:$M$2,0),0)</f>
        <v>7.0000000000000007E-2</v>
      </c>
      <c r="AF7591" s="6">
        <f t="shared" si="1177"/>
        <v>4033.1690000000003</v>
      </c>
      <c r="AG7591" s="14">
        <v>0</v>
      </c>
      <c r="AH7591" s="64">
        <f t="shared" si="1176"/>
        <v>57616.7</v>
      </c>
      <c r="AJ7591" s="126" t="e">
        <v>#N/A</v>
      </c>
      <c r="AK7591" s="80">
        <f t="shared" si="1173"/>
        <v>0</v>
      </c>
      <c r="AL7591" s="85"/>
      <c r="AM7591" s="85"/>
    </row>
    <row r="7592" spans="1:39" s="86" customFormat="1" ht="13.25" hidden="1" customHeight="1" x14ac:dyDescent="0.3">
      <c r="A7592" s="89" t="s">
        <v>3978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3767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174"/>
        <v>-4.3100000000849832</v>
      </c>
      <c r="X7592" s="6">
        <f t="shared" si="1169"/>
        <v>0</v>
      </c>
      <c r="Y7592" s="13">
        <f t="shared" si="1171"/>
        <v>0</v>
      </c>
      <c r="Z7592" s="14">
        <v>0</v>
      </c>
      <c r="AA7592" s="6">
        <v>0</v>
      </c>
      <c r="AB7592" s="4">
        <f t="shared" si="1172"/>
        <v>0</v>
      </c>
      <c r="AC7592" s="6">
        <f t="shared" si="1170"/>
        <v>0</v>
      </c>
      <c r="AD7592" s="6">
        <f t="shared" si="1175"/>
        <v>0</v>
      </c>
      <c r="AE7592" s="14">
        <f>VLOOKUP(I7592,[2]媒体政策预估表!A:N,MATCH(O7592,[2]媒体政策预估表!$A$2:$M$2,0),0)</f>
        <v>7.0000000000000007E-2</v>
      </c>
      <c r="AF7592" s="6">
        <f t="shared" si="1177"/>
        <v>0</v>
      </c>
      <c r="AG7592" s="14">
        <v>0</v>
      </c>
      <c r="AH7592" s="64">
        <f t="shared" si="1176"/>
        <v>0</v>
      </c>
      <c r="AJ7592" s="126" t="e">
        <v>#N/A</v>
      </c>
      <c r="AK7592" s="80">
        <f t="shared" si="1173"/>
        <v>0</v>
      </c>
      <c r="AL7592" s="85"/>
      <c r="AM7592" s="85"/>
    </row>
    <row r="7593" spans="1:39" s="86" customFormat="1" ht="13.25" hidden="1" customHeight="1" x14ac:dyDescent="0.3">
      <c r="A7593" s="89" t="s">
        <v>3978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3767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174"/>
        <v>1023.3999999999996</v>
      </c>
      <c r="X7593" s="6">
        <f t="shared" si="1169"/>
        <v>0</v>
      </c>
      <c r="Y7593" s="13">
        <f t="shared" si="1171"/>
        <v>0</v>
      </c>
      <c r="Z7593" s="14">
        <v>0</v>
      </c>
      <c r="AA7593" s="6">
        <v>0</v>
      </c>
      <c r="AB7593" s="4">
        <f t="shared" si="1172"/>
        <v>0</v>
      </c>
      <c r="AC7593" s="6">
        <f t="shared" si="1170"/>
        <v>0</v>
      </c>
      <c r="AD7593" s="6">
        <f t="shared" si="1175"/>
        <v>0</v>
      </c>
      <c r="AE7593" s="14">
        <f>VLOOKUP(I7593,[2]媒体政策预估表!A:N,MATCH(O7593,[2]媒体政策预估表!$A$2:$M$2,0),0)</f>
        <v>7.0000000000000007E-2</v>
      </c>
      <c r="AF7593" s="6">
        <f t="shared" si="1177"/>
        <v>0</v>
      </c>
      <c r="AG7593" s="14">
        <v>0</v>
      </c>
      <c r="AH7593" s="64">
        <f t="shared" si="1176"/>
        <v>0</v>
      </c>
      <c r="AJ7593" s="126" t="e">
        <v>#N/A</v>
      </c>
      <c r="AK7593" s="80">
        <f t="shared" si="1173"/>
        <v>0</v>
      </c>
      <c r="AL7593" s="85"/>
      <c r="AM7593" s="85"/>
    </row>
    <row r="7594" spans="1:39" s="86" customFormat="1" ht="13.25" hidden="1" customHeight="1" x14ac:dyDescent="0.3">
      <c r="A7594" s="89" t="s">
        <v>3978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3767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174"/>
        <v>-1.2800000001006993</v>
      </c>
      <c r="X7594" s="6">
        <f t="shared" si="1169"/>
        <v>0</v>
      </c>
      <c r="Y7594" s="13">
        <f t="shared" si="1171"/>
        <v>0</v>
      </c>
      <c r="Z7594" s="14">
        <v>0</v>
      </c>
      <c r="AA7594" s="6">
        <v>0</v>
      </c>
      <c r="AB7594" s="4">
        <f t="shared" si="1172"/>
        <v>0</v>
      </c>
      <c r="AC7594" s="6">
        <f t="shared" si="1170"/>
        <v>0</v>
      </c>
      <c r="AD7594" s="6">
        <f t="shared" si="1175"/>
        <v>0</v>
      </c>
      <c r="AE7594" s="14">
        <f>VLOOKUP(I7594,[2]媒体政策预估表!A:N,MATCH(O7594,[2]媒体政策预估表!$A$2:$M$2,0),0)</f>
        <v>7.0000000000000007E-2</v>
      </c>
      <c r="AF7594" s="6">
        <f t="shared" si="1177"/>
        <v>0</v>
      </c>
      <c r="AG7594" s="14">
        <v>0</v>
      </c>
      <c r="AH7594" s="64">
        <f t="shared" si="1176"/>
        <v>0</v>
      </c>
      <c r="AJ7594" s="126" t="e">
        <v>#N/A</v>
      </c>
      <c r="AK7594" s="80">
        <f t="shared" si="1173"/>
        <v>0</v>
      </c>
      <c r="AL7594" s="85"/>
      <c r="AM7594" s="85"/>
    </row>
    <row r="7595" spans="1:39" s="86" customFormat="1" ht="13.25" hidden="1" customHeight="1" x14ac:dyDescent="0.3">
      <c r="A7595" s="89" t="s">
        <v>3978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3767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174"/>
        <v>7.0950400000074296</v>
      </c>
      <c r="X7595" s="6">
        <f t="shared" si="1169"/>
        <v>0</v>
      </c>
      <c r="Y7595" s="13">
        <f t="shared" si="1171"/>
        <v>0</v>
      </c>
      <c r="Z7595" s="14">
        <v>0</v>
      </c>
      <c r="AA7595" s="6">
        <v>0</v>
      </c>
      <c r="AB7595" s="4">
        <f t="shared" si="1172"/>
        <v>0</v>
      </c>
      <c r="AC7595" s="6">
        <f t="shared" si="1170"/>
        <v>0</v>
      </c>
      <c r="AD7595" s="6">
        <f t="shared" si="1175"/>
        <v>0</v>
      </c>
      <c r="AE7595" s="14">
        <f>VLOOKUP(I7595,[2]媒体政策预估表!A:N,MATCH(O7595,[2]媒体政策预估表!$A$2:$M$2,0),0)</f>
        <v>7.0000000000000007E-2</v>
      </c>
      <c r="AF7595" s="6">
        <f t="shared" si="1177"/>
        <v>0</v>
      </c>
      <c r="AG7595" s="14">
        <v>0</v>
      </c>
      <c r="AH7595" s="64">
        <f t="shared" si="1176"/>
        <v>0</v>
      </c>
      <c r="AJ7595" s="126" t="e">
        <v>#N/A</v>
      </c>
      <c r="AK7595" s="80">
        <f t="shared" si="1173"/>
        <v>0</v>
      </c>
      <c r="AL7595" s="85"/>
      <c r="AM7595" s="85"/>
    </row>
    <row r="7596" spans="1:39" s="86" customFormat="1" ht="13.25" hidden="1" customHeight="1" x14ac:dyDescent="0.3">
      <c r="A7596" s="89" t="s">
        <v>3978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3767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174"/>
        <v>-4.9999999964711606E-2</v>
      </c>
      <c r="X7596" s="6">
        <f t="shared" si="1169"/>
        <v>0</v>
      </c>
      <c r="Y7596" s="13">
        <f t="shared" si="1171"/>
        <v>0</v>
      </c>
      <c r="Z7596" s="14">
        <v>0</v>
      </c>
      <c r="AA7596" s="6">
        <v>0</v>
      </c>
      <c r="AB7596" s="4">
        <f t="shared" si="1172"/>
        <v>0</v>
      </c>
      <c r="AC7596" s="6">
        <f t="shared" si="1170"/>
        <v>0</v>
      </c>
      <c r="AD7596" s="6">
        <f t="shared" si="1175"/>
        <v>0</v>
      </c>
      <c r="AE7596" s="14">
        <f>VLOOKUP(I7596,[2]媒体政策预估表!A:N,MATCH(O7596,[2]媒体政策预估表!$A$2:$M$2,0),0)</f>
        <v>7.0000000000000007E-2</v>
      </c>
      <c r="AF7596" s="6">
        <f t="shared" si="1177"/>
        <v>0</v>
      </c>
      <c r="AG7596" s="14">
        <v>0</v>
      </c>
      <c r="AH7596" s="64">
        <f t="shared" si="1176"/>
        <v>0</v>
      </c>
      <c r="AJ7596" s="126" t="e">
        <v>#N/A</v>
      </c>
      <c r="AK7596" s="80">
        <f t="shared" si="1173"/>
        <v>0</v>
      </c>
      <c r="AL7596" s="85"/>
      <c r="AM7596" s="85"/>
    </row>
    <row r="7597" spans="1:39" s="86" customFormat="1" ht="13.25" hidden="1" customHeight="1" x14ac:dyDescent="0.3">
      <c r="A7597" s="89" t="s">
        <v>3792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3767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174"/>
        <v>-1.9999999995889084E-2</v>
      </c>
      <c r="X7597" s="6">
        <f t="shared" si="1169"/>
        <v>0</v>
      </c>
      <c r="Y7597" s="13">
        <f t="shared" si="1171"/>
        <v>0</v>
      </c>
      <c r="Z7597" s="14">
        <v>0</v>
      </c>
      <c r="AA7597" s="6">
        <v>0</v>
      </c>
      <c r="AB7597" s="4">
        <f t="shared" si="1172"/>
        <v>0</v>
      </c>
      <c r="AC7597" s="6">
        <f t="shared" si="1170"/>
        <v>0</v>
      </c>
      <c r="AD7597" s="6">
        <f t="shared" si="1175"/>
        <v>0</v>
      </c>
      <c r="AE7597" s="14">
        <f>VLOOKUP(I7597,[2]媒体政策预估表!A:N,MATCH(O7597,[2]媒体政策预估表!$A$2:$M$2,0),0)</f>
        <v>7.0000000000000007E-2</v>
      </c>
      <c r="AF7597" s="6">
        <f t="shared" si="1177"/>
        <v>0</v>
      </c>
      <c r="AG7597" s="14">
        <v>0</v>
      </c>
      <c r="AH7597" s="64">
        <f t="shared" si="1176"/>
        <v>0</v>
      </c>
      <c r="AJ7597" s="126" t="e">
        <v>#N/A</v>
      </c>
      <c r="AK7597" s="80">
        <f t="shared" si="1173"/>
        <v>0</v>
      </c>
      <c r="AL7597" s="85"/>
      <c r="AM7597" s="85"/>
    </row>
    <row r="7598" spans="1:39" s="86" customFormat="1" ht="13.25" hidden="1" customHeight="1" x14ac:dyDescent="0.3">
      <c r="A7598" s="89" t="s">
        <v>3978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3767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174"/>
        <v>352.89999999999964</v>
      </c>
      <c r="X7598" s="6">
        <f t="shared" si="1169"/>
        <v>0</v>
      </c>
      <c r="Y7598" s="13">
        <f t="shared" si="1171"/>
        <v>0</v>
      </c>
      <c r="Z7598" s="14">
        <v>0</v>
      </c>
      <c r="AA7598" s="6">
        <v>0</v>
      </c>
      <c r="AB7598" s="4">
        <f t="shared" si="1172"/>
        <v>0</v>
      </c>
      <c r="AC7598" s="6">
        <f t="shared" si="1170"/>
        <v>0</v>
      </c>
      <c r="AD7598" s="6">
        <f t="shared" si="1175"/>
        <v>0</v>
      </c>
      <c r="AE7598" s="14">
        <f>VLOOKUP(I7598,[2]媒体政策预估表!A:N,MATCH(O7598,[2]媒体政策预估表!$A$2:$M$2,0),0)</f>
        <v>7.0000000000000007E-2</v>
      </c>
      <c r="AF7598" s="6">
        <f t="shared" si="1177"/>
        <v>0</v>
      </c>
      <c r="AG7598" s="14">
        <v>0</v>
      </c>
      <c r="AH7598" s="64">
        <f t="shared" si="1176"/>
        <v>0</v>
      </c>
      <c r="AJ7598" s="126" t="e">
        <v>#N/A</v>
      </c>
      <c r="AK7598" s="80">
        <f t="shared" si="1173"/>
        <v>0</v>
      </c>
      <c r="AL7598" s="85"/>
      <c r="AM7598" s="85"/>
    </row>
    <row r="7599" spans="1:39" s="86" customFormat="1" ht="13.25" hidden="1" customHeight="1" x14ac:dyDescent="0.3">
      <c r="A7599" s="89" t="s">
        <v>3792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3767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174"/>
        <v>15374.4</v>
      </c>
      <c r="X7599" s="6">
        <f t="shared" si="1169"/>
        <v>0</v>
      </c>
      <c r="Y7599" s="13">
        <f t="shared" si="1171"/>
        <v>0</v>
      </c>
      <c r="Z7599" s="14">
        <v>0</v>
      </c>
      <c r="AA7599" s="6">
        <v>0</v>
      </c>
      <c r="AB7599" s="4">
        <f t="shared" si="1172"/>
        <v>0</v>
      </c>
      <c r="AC7599" s="6">
        <f t="shared" si="1170"/>
        <v>0</v>
      </c>
      <c r="AD7599" s="6">
        <f t="shared" si="1175"/>
        <v>0</v>
      </c>
      <c r="AE7599" s="14">
        <f>VLOOKUP(I7599,[2]媒体政策预估表!A:N,MATCH(O7599,[2]媒体政策预估表!$A$2:$M$2,0),0)</f>
        <v>7.0000000000000007E-2</v>
      </c>
      <c r="AF7599" s="6">
        <f t="shared" si="1177"/>
        <v>0</v>
      </c>
      <c r="AG7599" s="14">
        <v>0</v>
      </c>
      <c r="AH7599" s="64">
        <f t="shared" si="1176"/>
        <v>0</v>
      </c>
      <c r="AJ7599" s="126" t="e">
        <v>#N/A</v>
      </c>
      <c r="AK7599" s="80">
        <f t="shared" si="1173"/>
        <v>0</v>
      </c>
      <c r="AL7599" s="85"/>
      <c r="AM7599" s="85"/>
    </row>
    <row r="7600" spans="1:39" s="86" customFormat="1" ht="13.25" hidden="1" customHeight="1" x14ac:dyDescent="0.3">
      <c r="A7600" s="89" t="s">
        <v>3792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3767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174"/>
        <v>456</v>
      </c>
      <c r="X7600" s="6">
        <f t="shared" ref="X7600:X7663" si="1178">IF(P7600="折扣",V7600*Q7600,IF(P7600="返现",V7600,V7600/(1+Q7600)))</f>
        <v>0</v>
      </c>
      <c r="Y7600" s="13">
        <f t="shared" si="1171"/>
        <v>0</v>
      </c>
      <c r="Z7600" s="14">
        <v>0</v>
      </c>
      <c r="AA7600" s="6">
        <v>0</v>
      </c>
      <c r="AB7600" s="4">
        <f t="shared" si="1172"/>
        <v>0</v>
      </c>
      <c r="AC7600" s="6">
        <f t="shared" si="1170"/>
        <v>0</v>
      </c>
      <c r="AD7600" s="6">
        <f t="shared" si="1175"/>
        <v>0</v>
      </c>
      <c r="AE7600" s="14">
        <f>VLOOKUP(I7600,[2]媒体政策预估表!A:N,MATCH(O7600,[2]媒体政策预估表!$A$2:$M$2,0),0)</f>
        <v>7.0000000000000007E-2</v>
      </c>
      <c r="AF7600" s="6">
        <f t="shared" si="1177"/>
        <v>0</v>
      </c>
      <c r="AG7600" s="14">
        <v>0</v>
      </c>
      <c r="AH7600" s="64">
        <f t="shared" si="1176"/>
        <v>0</v>
      </c>
      <c r="AJ7600" s="126" t="e">
        <v>#N/A</v>
      </c>
      <c r="AK7600" s="80">
        <f t="shared" si="1173"/>
        <v>0</v>
      </c>
      <c r="AL7600" s="85"/>
      <c r="AM7600" s="85"/>
    </row>
    <row r="7601" spans="1:39" s="86" customFormat="1" ht="13.25" hidden="1" customHeight="1" x14ac:dyDescent="0.3">
      <c r="A7601" s="89" t="s">
        <v>3978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3767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174"/>
        <v>2371.5999999999985</v>
      </c>
      <c r="X7601" s="6">
        <f t="shared" si="1178"/>
        <v>0</v>
      </c>
      <c r="Y7601" s="13">
        <f t="shared" si="1171"/>
        <v>0</v>
      </c>
      <c r="Z7601" s="14">
        <v>0</v>
      </c>
      <c r="AA7601" s="6">
        <v>0</v>
      </c>
      <c r="AB7601" s="4">
        <f t="shared" si="1172"/>
        <v>0</v>
      </c>
      <c r="AC7601" s="6">
        <f t="shared" si="1170"/>
        <v>0</v>
      </c>
      <c r="AD7601" s="6">
        <f t="shared" si="1175"/>
        <v>0</v>
      </c>
      <c r="AE7601" s="14">
        <f>VLOOKUP(I7601,[2]媒体政策预估表!A:N,MATCH(O7601,[2]媒体政策预估表!$A$2:$M$2,0),0)</f>
        <v>7.0000000000000007E-2</v>
      </c>
      <c r="AF7601" s="6">
        <f t="shared" si="1177"/>
        <v>0</v>
      </c>
      <c r="AG7601" s="14">
        <v>0</v>
      </c>
      <c r="AH7601" s="64">
        <f t="shared" si="1176"/>
        <v>0</v>
      </c>
      <c r="AJ7601" s="126" t="e">
        <v>#N/A</v>
      </c>
      <c r="AK7601" s="80">
        <f t="shared" si="1173"/>
        <v>0</v>
      </c>
      <c r="AL7601" s="85"/>
      <c r="AM7601" s="85"/>
    </row>
    <row r="7602" spans="1:39" s="86" customFormat="1" ht="13.25" hidden="1" customHeight="1" x14ac:dyDescent="0.3">
      <c r="A7602" s="89" t="s">
        <v>3978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3767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174"/>
        <v>492.72000000000071</v>
      </c>
      <c r="X7602" s="6">
        <f t="shared" si="1178"/>
        <v>0</v>
      </c>
      <c r="Y7602" s="13">
        <f t="shared" si="1171"/>
        <v>0</v>
      </c>
      <c r="Z7602" s="14">
        <v>0</v>
      </c>
      <c r="AA7602" s="6">
        <v>0</v>
      </c>
      <c r="AB7602" s="4"/>
      <c r="AC7602" s="6">
        <f t="shared" si="1170"/>
        <v>0</v>
      </c>
      <c r="AD7602" s="6">
        <f t="shared" si="1175"/>
        <v>0</v>
      </c>
      <c r="AE7602" s="14">
        <f>VLOOKUP(I7602,[2]媒体政策预估表!A:N,MATCH(O7602,[2]媒体政策预估表!$A$2:$M$2,0),0)</f>
        <v>7.0000000000000007E-2</v>
      </c>
      <c r="AF7602" s="6">
        <f t="shared" si="1177"/>
        <v>0</v>
      </c>
      <c r="AG7602" s="14">
        <v>0</v>
      </c>
      <c r="AH7602" s="64">
        <f t="shared" si="1176"/>
        <v>0</v>
      </c>
      <c r="AJ7602" s="126">
        <v>113</v>
      </c>
      <c r="AK7602" s="80">
        <f t="shared" si="1173"/>
        <v>0</v>
      </c>
      <c r="AL7602" s="85"/>
      <c r="AM7602" s="85"/>
    </row>
    <row r="7603" spans="1:39" s="86" customFormat="1" ht="13.25" hidden="1" customHeight="1" x14ac:dyDescent="0.3">
      <c r="A7603" s="89" t="s">
        <v>3978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3767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174"/>
        <v>1104.9000000000001</v>
      </c>
      <c r="X7603" s="6">
        <f t="shared" si="1178"/>
        <v>299.89999999999998</v>
      </c>
      <c r="Y7603" s="13">
        <f t="shared" si="1171"/>
        <v>0</v>
      </c>
      <c r="Z7603" s="14">
        <v>0</v>
      </c>
      <c r="AA7603" s="6">
        <v>0</v>
      </c>
      <c r="AB7603" s="4">
        <f t="shared" si="1172"/>
        <v>299.89999999999998</v>
      </c>
      <c r="AC7603" s="6">
        <f t="shared" si="1170"/>
        <v>0</v>
      </c>
      <c r="AD7603" s="6">
        <f t="shared" si="1175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177"/>
        <v>20.993000000000002</v>
      </c>
      <c r="AG7603" s="14">
        <v>0</v>
      </c>
      <c r="AH7603" s="64">
        <f t="shared" si="1176"/>
        <v>299.89999999999998</v>
      </c>
      <c r="AJ7603" s="126" t="e">
        <v>#N/A</v>
      </c>
      <c r="AK7603" s="80">
        <f t="shared" si="1173"/>
        <v>0</v>
      </c>
      <c r="AL7603" s="85"/>
      <c r="AM7603" s="85"/>
    </row>
    <row r="7604" spans="1:39" s="86" customFormat="1" ht="13.25" hidden="1" customHeight="1" x14ac:dyDescent="0.3">
      <c r="A7604" s="89" t="s">
        <v>3978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3767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174"/>
        <v>2741</v>
      </c>
      <c r="X7604" s="6">
        <f t="shared" si="1178"/>
        <v>0</v>
      </c>
      <c r="Y7604" s="13">
        <f t="shared" si="1171"/>
        <v>0</v>
      </c>
      <c r="Z7604" s="14">
        <v>0</v>
      </c>
      <c r="AA7604" s="6">
        <v>0</v>
      </c>
      <c r="AB7604" s="4">
        <f t="shared" si="1172"/>
        <v>0</v>
      </c>
      <c r="AC7604" s="6">
        <f t="shared" si="1170"/>
        <v>0</v>
      </c>
      <c r="AD7604" s="6">
        <f t="shared" si="1175"/>
        <v>0</v>
      </c>
      <c r="AE7604" s="14">
        <f>VLOOKUP(I7604,[2]媒体政策预估表!A:N,MATCH(O7604,[2]媒体政策预估表!$A$2:$M$2,0),0)</f>
        <v>7.0000000000000007E-2</v>
      </c>
      <c r="AF7604" s="6">
        <f t="shared" si="1177"/>
        <v>0</v>
      </c>
      <c r="AG7604" s="14">
        <v>0</v>
      </c>
      <c r="AH7604" s="64">
        <f t="shared" si="1176"/>
        <v>0</v>
      </c>
      <c r="AJ7604" s="126" t="e">
        <v>#N/A</v>
      </c>
      <c r="AK7604" s="80">
        <f t="shared" si="1173"/>
        <v>0</v>
      </c>
      <c r="AL7604" s="85"/>
      <c r="AM7604" s="85"/>
    </row>
    <row r="7605" spans="1:39" s="86" customFormat="1" ht="13.25" hidden="1" customHeight="1" x14ac:dyDescent="0.3">
      <c r="A7605" s="89" t="s">
        <v>3978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3767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174"/>
        <v>3854.9999999999995</v>
      </c>
      <c r="X7605" s="6">
        <f t="shared" si="1178"/>
        <v>192.1</v>
      </c>
      <c r="Y7605" s="13">
        <f t="shared" si="1171"/>
        <v>0</v>
      </c>
      <c r="Z7605" s="14">
        <v>0</v>
      </c>
      <c r="AA7605" s="6">
        <v>0</v>
      </c>
      <c r="AB7605" s="4">
        <f t="shared" si="1172"/>
        <v>192.1</v>
      </c>
      <c r="AC7605" s="6">
        <f t="shared" si="1170"/>
        <v>0</v>
      </c>
      <c r="AD7605" s="6">
        <f t="shared" si="1175"/>
        <v>192.1</v>
      </c>
      <c r="AE7605" s="14">
        <f>VLOOKUP(I7605,[2]媒体政策预估表!A:N,MATCH(O7605,[2]媒体政策预估表!$A$2:$M$2,0),0)</f>
        <v>7.0000000000000007E-2</v>
      </c>
      <c r="AF7605" s="6">
        <f t="shared" si="1177"/>
        <v>13.447000000000001</v>
      </c>
      <c r="AG7605" s="14">
        <v>0</v>
      </c>
      <c r="AH7605" s="64">
        <f t="shared" si="1176"/>
        <v>192.1</v>
      </c>
      <c r="AJ7605" s="126" t="e">
        <v>#N/A</v>
      </c>
      <c r="AK7605" s="80">
        <f t="shared" si="1173"/>
        <v>0</v>
      </c>
      <c r="AL7605" s="85"/>
      <c r="AM7605" s="85"/>
    </row>
    <row r="7606" spans="1:39" s="86" customFormat="1" ht="13.25" hidden="1" customHeight="1" x14ac:dyDescent="0.3">
      <c r="A7606" s="89" t="s">
        <v>3978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3767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174"/>
        <v>-3.3000000000029104</v>
      </c>
      <c r="X7606" s="6">
        <f t="shared" si="1178"/>
        <v>0</v>
      </c>
      <c r="Y7606" s="13">
        <f t="shared" si="1171"/>
        <v>0</v>
      </c>
      <c r="Z7606" s="14">
        <v>0</v>
      </c>
      <c r="AA7606" s="6">
        <v>0</v>
      </c>
      <c r="AB7606" s="4">
        <f t="shared" si="1172"/>
        <v>0</v>
      </c>
      <c r="AC7606" s="6">
        <f t="shared" si="1170"/>
        <v>0</v>
      </c>
      <c r="AD7606" s="6">
        <f t="shared" si="1175"/>
        <v>0</v>
      </c>
      <c r="AE7606" s="14">
        <f>VLOOKUP(I7606,[2]媒体政策预估表!A:N,MATCH(O7606,[2]媒体政策预估表!$A$2:$M$2,0),0)</f>
        <v>7.0000000000000007E-2</v>
      </c>
      <c r="AF7606" s="6">
        <f t="shared" si="1177"/>
        <v>0</v>
      </c>
      <c r="AG7606" s="14">
        <v>0</v>
      </c>
      <c r="AH7606" s="64">
        <f t="shared" si="1176"/>
        <v>0</v>
      </c>
      <c r="AJ7606" s="126" t="e">
        <v>#N/A</v>
      </c>
      <c r="AK7606" s="80">
        <f t="shared" si="1173"/>
        <v>0</v>
      </c>
      <c r="AL7606" s="85"/>
      <c r="AM7606" s="85"/>
    </row>
    <row r="7607" spans="1:39" s="86" customFormat="1" ht="13.25" hidden="1" customHeight="1" x14ac:dyDescent="0.3">
      <c r="A7607" s="89" t="s">
        <v>3792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174"/>
        <v>1.1299999999682768</v>
      </c>
      <c r="X7607" s="6">
        <f t="shared" si="1178"/>
        <v>0</v>
      </c>
      <c r="Y7607" s="13">
        <f t="shared" si="1171"/>
        <v>0</v>
      </c>
      <c r="Z7607" s="14">
        <v>0.02</v>
      </c>
      <c r="AA7607" s="6">
        <f t="shared" ref="AA7607:AA7608" si="1179">X7607/(1-Z7607)*Z7607</f>
        <v>0</v>
      </c>
      <c r="AB7607" s="4">
        <f t="shared" si="1172"/>
        <v>0</v>
      </c>
      <c r="AC7607" s="6">
        <f t="shared" si="1170"/>
        <v>0</v>
      </c>
      <c r="AD7607" s="6">
        <f t="shared" si="1175"/>
        <v>0</v>
      </c>
      <c r="AE7607" s="14">
        <f>VLOOKUP(I7607,[2]媒体政策预估表!A:N,MATCH(O7607,[2]媒体政策预估表!$A$2:$M$2,0),0)</f>
        <v>0.02</v>
      </c>
      <c r="AF7607" s="6">
        <f t="shared" si="1177"/>
        <v>0</v>
      </c>
      <c r="AG7607" s="14">
        <v>0</v>
      </c>
      <c r="AH7607" s="64">
        <f t="shared" si="1176"/>
        <v>0</v>
      </c>
      <c r="AJ7607" s="126" t="e">
        <v>#N/A</v>
      </c>
      <c r="AK7607" s="80">
        <f t="shared" si="1173"/>
        <v>0</v>
      </c>
      <c r="AL7607" s="85"/>
      <c r="AM7607" s="85"/>
    </row>
    <row r="7608" spans="1:39" s="86" customFormat="1" ht="13.25" hidden="1" customHeight="1" x14ac:dyDescent="0.3">
      <c r="A7608" s="89" t="s">
        <v>3978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3767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4115</v>
      </c>
      <c r="T7608" s="6">
        <v>23987.050000000338</v>
      </c>
      <c r="U7608" s="6"/>
      <c r="V7608" s="6">
        <v>0</v>
      </c>
      <c r="W7608" s="6">
        <f t="shared" si="1174"/>
        <v>23987.050000000338</v>
      </c>
      <c r="X7608" s="6">
        <v>1.5</v>
      </c>
      <c r="Y7608" s="13">
        <f t="shared" si="1171"/>
        <v>1.5</v>
      </c>
      <c r="Z7608" s="14">
        <v>0.02</v>
      </c>
      <c r="AA7608" s="6">
        <f t="shared" si="1179"/>
        <v>3.0612244897959183E-2</v>
      </c>
      <c r="AB7608" s="4">
        <f t="shared" si="1172"/>
        <v>1.5306122448979591</v>
      </c>
      <c r="AC7608" s="6">
        <f t="shared" si="1170"/>
        <v>-1.5</v>
      </c>
      <c r="AD7608" s="6">
        <f t="shared" si="1175"/>
        <v>0</v>
      </c>
      <c r="AE7608" s="14">
        <f>VLOOKUP(I7608,[2]媒体政策预估表!A:N,MATCH(O7608,[2]媒体政策预估表!$A$2:$M$2,0),0)</f>
        <v>7.0000000000000007E-2</v>
      </c>
      <c r="AF7608" s="6">
        <f t="shared" si="1177"/>
        <v>0</v>
      </c>
      <c r="AG7608" s="14">
        <v>0</v>
      </c>
      <c r="AH7608" s="64">
        <f t="shared" si="1176"/>
        <v>0</v>
      </c>
      <c r="AJ7608" s="126" t="e">
        <v>#N/A</v>
      </c>
      <c r="AK7608" s="80">
        <f t="shared" si="1173"/>
        <v>0</v>
      </c>
      <c r="AL7608" s="85"/>
      <c r="AM7608" s="85"/>
    </row>
    <row r="7609" spans="1:39" s="86" customFormat="1" ht="13.25" hidden="1" customHeight="1" x14ac:dyDescent="0.3">
      <c r="A7609" s="89" t="s">
        <v>3978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3767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174"/>
        <v>12.100000000010368</v>
      </c>
      <c r="X7609" s="6">
        <f t="shared" si="1178"/>
        <v>0</v>
      </c>
      <c r="Y7609" s="13">
        <f t="shared" si="1171"/>
        <v>0</v>
      </c>
      <c r="Z7609" s="14">
        <v>0</v>
      </c>
      <c r="AA7609" s="6">
        <v>0</v>
      </c>
      <c r="AB7609" s="4">
        <f t="shared" si="1172"/>
        <v>0</v>
      </c>
      <c r="AC7609" s="6">
        <f t="shared" si="1170"/>
        <v>0</v>
      </c>
      <c r="AD7609" s="6">
        <f t="shared" si="1175"/>
        <v>0</v>
      </c>
      <c r="AE7609" s="14">
        <f>VLOOKUP(I7609,[2]媒体政策预估表!A:N,MATCH(O7609,[2]媒体政策预估表!$A$2:$M$2,0),0)</f>
        <v>7.0000000000000007E-2</v>
      </c>
      <c r="AF7609" s="6">
        <f t="shared" si="1177"/>
        <v>0</v>
      </c>
      <c r="AG7609" s="14">
        <v>0</v>
      </c>
      <c r="AH7609" s="64">
        <f t="shared" si="1176"/>
        <v>0</v>
      </c>
      <c r="AJ7609" s="126" t="e">
        <v>#N/A</v>
      </c>
      <c r="AK7609" s="80">
        <f t="shared" si="1173"/>
        <v>0</v>
      </c>
      <c r="AL7609" s="85"/>
      <c r="AM7609" s="85"/>
    </row>
    <row r="7610" spans="1:39" s="86" customFormat="1" ht="13.25" hidden="1" customHeight="1" x14ac:dyDescent="0.3">
      <c r="A7610" s="89" t="s">
        <v>3978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3767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174"/>
        <v>160</v>
      </c>
      <c r="X7610" s="6">
        <f t="shared" si="1178"/>
        <v>0</v>
      </c>
      <c r="Y7610" s="13">
        <f t="shared" si="1171"/>
        <v>0</v>
      </c>
      <c r="Z7610" s="14">
        <v>0</v>
      </c>
      <c r="AA7610" s="6">
        <v>0</v>
      </c>
      <c r="AB7610" s="4">
        <f t="shared" si="1172"/>
        <v>0</v>
      </c>
      <c r="AC7610" s="6">
        <f t="shared" si="1170"/>
        <v>0</v>
      </c>
      <c r="AD7610" s="6">
        <f t="shared" si="1175"/>
        <v>0</v>
      </c>
      <c r="AE7610" s="14">
        <f>VLOOKUP(I7610,[2]媒体政策预估表!A:N,MATCH(O7610,[2]媒体政策预估表!$A$2:$M$2,0),0)</f>
        <v>0.1</v>
      </c>
      <c r="AF7610" s="6">
        <f t="shared" si="1177"/>
        <v>0</v>
      </c>
      <c r="AG7610" s="14">
        <v>0</v>
      </c>
      <c r="AH7610" s="64">
        <f t="shared" si="1176"/>
        <v>0</v>
      </c>
      <c r="AJ7610" s="126" t="e">
        <v>#N/A</v>
      </c>
      <c r="AK7610" s="80">
        <f t="shared" si="1173"/>
        <v>0</v>
      </c>
      <c r="AL7610" s="85"/>
      <c r="AM7610" s="85"/>
    </row>
    <row r="7611" spans="1:39" s="86" customFormat="1" ht="13.25" hidden="1" customHeight="1" x14ac:dyDescent="0.3">
      <c r="A7611" s="89" t="s">
        <v>3792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3767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174"/>
        <v>1166028.6700099998</v>
      </c>
      <c r="X7611" s="6">
        <f t="shared" si="1178"/>
        <v>0</v>
      </c>
      <c r="Y7611" s="13">
        <f t="shared" si="1171"/>
        <v>0</v>
      </c>
      <c r="Z7611" s="14">
        <v>0</v>
      </c>
      <c r="AA7611" s="6">
        <v>0</v>
      </c>
      <c r="AB7611" s="4">
        <f t="shared" si="1172"/>
        <v>0</v>
      </c>
      <c r="AC7611" s="6">
        <f t="shared" si="1170"/>
        <v>0</v>
      </c>
      <c r="AD7611" s="6">
        <f t="shared" si="1175"/>
        <v>0</v>
      </c>
      <c r="AE7611" s="14">
        <f>VLOOKUP(I7611,[2]媒体政策预估表!A:N,MATCH(O7611,[2]媒体政策预估表!$A$2:$M$2,0),0)</f>
        <v>7.0000000000000007E-2</v>
      </c>
      <c r="AF7611" s="6">
        <f t="shared" si="1177"/>
        <v>0</v>
      </c>
      <c r="AG7611" s="14">
        <v>0</v>
      </c>
      <c r="AH7611" s="64">
        <f t="shared" si="1176"/>
        <v>0</v>
      </c>
      <c r="AJ7611" s="126" t="e">
        <v>#N/A</v>
      </c>
      <c r="AK7611" s="80">
        <f t="shared" si="1173"/>
        <v>0</v>
      </c>
      <c r="AL7611" s="85"/>
      <c r="AM7611" s="85"/>
    </row>
    <row r="7612" spans="1:39" s="86" customFormat="1" ht="13.25" hidden="1" customHeight="1" x14ac:dyDescent="0.3">
      <c r="A7612" s="89" t="s">
        <v>3978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3767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174"/>
        <v>-24.899999999994179</v>
      </c>
      <c r="X7612" s="6">
        <f t="shared" si="1178"/>
        <v>0</v>
      </c>
      <c r="Y7612" s="13">
        <f t="shared" si="1171"/>
        <v>0</v>
      </c>
      <c r="Z7612" s="14">
        <v>0</v>
      </c>
      <c r="AA7612" s="6">
        <v>0</v>
      </c>
      <c r="AB7612" s="4">
        <f t="shared" si="1172"/>
        <v>0</v>
      </c>
      <c r="AC7612" s="6">
        <f t="shared" si="1170"/>
        <v>0</v>
      </c>
      <c r="AD7612" s="6">
        <f t="shared" si="1175"/>
        <v>0</v>
      </c>
      <c r="AE7612" s="14">
        <f>VLOOKUP(I7612,[2]媒体政策预估表!A:N,MATCH(O7612,[2]媒体政策预估表!$A$2:$M$2,0),0)</f>
        <v>7.0000000000000007E-2</v>
      </c>
      <c r="AF7612" s="6">
        <f t="shared" si="1177"/>
        <v>0</v>
      </c>
      <c r="AG7612" s="14">
        <v>0</v>
      </c>
      <c r="AH7612" s="64">
        <f t="shared" si="1176"/>
        <v>0</v>
      </c>
      <c r="AJ7612" s="126" t="e">
        <v>#N/A</v>
      </c>
      <c r="AK7612" s="80">
        <f t="shared" si="1173"/>
        <v>0</v>
      </c>
      <c r="AL7612" s="85"/>
      <c r="AM7612" s="85"/>
    </row>
    <row r="7613" spans="1:39" s="86" customFormat="1" ht="13.25" hidden="1" customHeight="1" x14ac:dyDescent="0.3">
      <c r="A7613" s="89" t="s">
        <v>3792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3767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174"/>
        <v>7.999999999992724E-2</v>
      </c>
      <c r="X7613" s="6">
        <f t="shared" si="1178"/>
        <v>0</v>
      </c>
      <c r="Y7613" s="13">
        <f t="shared" si="1171"/>
        <v>0</v>
      </c>
      <c r="Z7613" s="14">
        <v>0</v>
      </c>
      <c r="AA7613" s="6">
        <v>0</v>
      </c>
      <c r="AB7613" s="4">
        <f t="shared" si="1172"/>
        <v>0</v>
      </c>
      <c r="AC7613" s="6">
        <f t="shared" si="1170"/>
        <v>0</v>
      </c>
      <c r="AD7613" s="6">
        <f t="shared" si="1175"/>
        <v>0</v>
      </c>
      <c r="AE7613" s="14">
        <f>VLOOKUP(I7613,[2]媒体政策预估表!A:N,MATCH(O7613,[2]媒体政策预估表!$A$2:$M$2,0),0)</f>
        <v>7.0000000000000007E-2</v>
      </c>
      <c r="AF7613" s="6">
        <f t="shared" si="1177"/>
        <v>0</v>
      </c>
      <c r="AG7613" s="14">
        <v>0</v>
      </c>
      <c r="AH7613" s="64">
        <f t="shared" si="1176"/>
        <v>0</v>
      </c>
      <c r="AJ7613" s="126" t="e">
        <v>#N/A</v>
      </c>
      <c r="AK7613" s="80">
        <f t="shared" si="1173"/>
        <v>0</v>
      </c>
      <c r="AL7613" s="85"/>
      <c r="AM7613" s="85"/>
    </row>
    <row r="7614" spans="1:39" s="86" customFormat="1" ht="13.25" hidden="1" customHeight="1" x14ac:dyDescent="0.3">
      <c r="A7614" s="89" t="s">
        <v>3978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3767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174"/>
        <v>5.0000000082945917E-2</v>
      </c>
      <c r="X7614" s="6">
        <f t="shared" si="1178"/>
        <v>0</v>
      </c>
      <c r="Y7614" s="13">
        <f t="shared" si="1171"/>
        <v>0</v>
      </c>
      <c r="Z7614" s="14">
        <v>0</v>
      </c>
      <c r="AA7614" s="6">
        <v>0</v>
      </c>
      <c r="AB7614" s="4">
        <f t="shared" si="1172"/>
        <v>0</v>
      </c>
      <c r="AC7614" s="6">
        <f t="shared" ref="AC7614:AC7677" si="1180">IF(P7614="返现",X7614*Q7614,V7614-X7614)</f>
        <v>0</v>
      </c>
      <c r="AD7614" s="6">
        <f t="shared" si="1175"/>
        <v>0</v>
      </c>
      <c r="AE7614" s="14">
        <f>VLOOKUP(I7614,[2]媒体政策预估表!A:N,MATCH(O7614,[2]媒体政策预估表!$A$2:$M$2,0),0)</f>
        <v>7.0000000000000007E-2</v>
      </c>
      <c r="AF7614" s="6">
        <f t="shared" si="1177"/>
        <v>0</v>
      </c>
      <c r="AG7614" s="14">
        <v>0</v>
      </c>
      <c r="AH7614" s="64">
        <f t="shared" si="1176"/>
        <v>0</v>
      </c>
      <c r="AJ7614" s="126" t="e">
        <v>#N/A</v>
      </c>
      <c r="AK7614" s="80">
        <f t="shared" si="1173"/>
        <v>0</v>
      </c>
      <c r="AL7614" s="85"/>
      <c r="AM7614" s="85"/>
    </row>
    <row r="7615" spans="1:39" s="86" customFormat="1" ht="13.25" hidden="1" customHeight="1" x14ac:dyDescent="0.3">
      <c r="A7615" s="89" t="s">
        <v>3978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3767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174"/>
        <v>8.9999999981955625E-2</v>
      </c>
      <c r="X7615" s="6">
        <f t="shared" si="1178"/>
        <v>0</v>
      </c>
      <c r="Y7615" s="13">
        <f t="shared" si="1171"/>
        <v>0</v>
      </c>
      <c r="Z7615" s="14">
        <v>0</v>
      </c>
      <c r="AA7615" s="6">
        <v>0</v>
      </c>
      <c r="AB7615" s="4">
        <f t="shared" si="1172"/>
        <v>0</v>
      </c>
      <c r="AC7615" s="6">
        <f t="shared" si="1180"/>
        <v>0</v>
      </c>
      <c r="AD7615" s="6">
        <f t="shared" si="1175"/>
        <v>0</v>
      </c>
      <c r="AE7615" s="14">
        <f>VLOOKUP(I7615,[2]媒体政策预估表!A:N,MATCH(O7615,[2]媒体政策预估表!$A$2:$M$2,0),0)</f>
        <v>7.0000000000000007E-2</v>
      </c>
      <c r="AF7615" s="6">
        <f t="shared" si="1177"/>
        <v>0</v>
      </c>
      <c r="AG7615" s="14">
        <v>0</v>
      </c>
      <c r="AH7615" s="64">
        <f t="shared" si="1176"/>
        <v>0</v>
      </c>
      <c r="AJ7615" s="126" t="e">
        <v>#N/A</v>
      </c>
      <c r="AK7615" s="80">
        <f t="shared" si="1173"/>
        <v>0</v>
      </c>
      <c r="AL7615" s="85"/>
      <c r="AM7615" s="85"/>
    </row>
    <row r="7616" spans="1:39" s="86" customFormat="1" ht="13.25" hidden="1" customHeight="1" x14ac:dyDescent="0.3">
      <c r="A7616" s="89" t="s">
        <v>3792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3767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174"/>
        <v>23338.525000000023</v>
      </c>
      <c r="X7616" s="6">
        <f t="shared" si="1178"/>
        <v>0</v>
      </c>
      <c r="Y7616" s="13">
        <f t="shared" si="1171"/>
        <v>0</v>
      </c>
      <c r="Z7616" s="14">
        <v>0</v>
      </c>
      <c r="AA7616" s="6">
        <v>0</v>
      </c>
      <c r="AB7616" s="4">
        <f t="shared" si="1172"/>
        <v>0</v>
      </c>
      <c r="AC7616" s="6">
        <f t="shared" si="1180"/>
        <v>0</v>
      </c>
      <c r="AD7616" s="6">
        <f t="shared" si="1175"/>
        <v>0</v>
      </c>
      <c r="AE7616" s="14">
        <f>VLOOKUP(I7616,[2]媒体政策预估表!A:N,MATCH(O7616,[2]媒体政策预估表!$A$2:$M$2,0),0)</f>
        <v>7.0000000000000007E-2</v>
      </c>
      <c r="AF7616" s="6">
        <f t="shared" si="1177"/>
        <v>0</v>
      </c>
      <c r="AG7616" s="14">
        <v>0</v>
      </c>
      <c r="AH7616" s="64">
        <f t="shared" si="1176"/>
        <v>0</v>
      </c>
      <c r="AJ7616" s="126" t="e">
        <v>#N/A</v>
      </c>
      <c r="AK7616" s="80">
        <f t="shared" si="1173"/>
        <v>0</v>
      </c>
      <c r="AL7616" s="85"/>
      <c r="AM7616" s="85"/>
    </row>
    <row r="7617" spans="1:39" s="86" customFormat="1" ht="13.25" hidden="1" customHeight="1" x14ac:dyDescent="0.3">
      <c r="A7617" s="89" t="s">
        <v>3805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3767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174"/>
        <v>-1.1999999999534339</v>
      </c>
      <c r="X7617" s="6">
        <f t="shared" si="1178"/>
        <v>0</v>
      </c>
      <c r="Y7617" s="13">
        <f t="shared" si="1171"/>
        <v>0</v>
      </c>
      <c r="Z7617" s="14">
        <v>0</v>
      </c>
      <c r="AA7617" s="6">
        <v>0</v>
      </c>
      <c r="AB7617" s="4">
        <f t="shared" si="1172"/>
        <v>0</v>
      </c>
      <c r="AC7617" s="6">
        <f t="shared" si="1180"/>
        <v>0</v>
      </c>
      <c r="AD7617" s="6">
        <f t="shared" si="1175"/>
        <v>0</v>
      </c>
      <c r="AE7617" s="14">
        <f>VLOOKUP(I7617,[2]媒体政策预估表!A:N,MATCH(O7617,[2]媒体政策预估表!$A$2:$M$2,0),0)</f>
        <v>7.0000000000000007E-2</v>
      </c>
      <c r="AF7617" s="6">
        <f t="shared" si="1177"/>
        <v>0</v>
      </c>
      <c r="AG7617" s="14">
        <v>0</v>
      </c>
      <c r="AH7617" s="64">
        <f t="shared" si="1176"/>
        <v>0</v>
      </c>
      <c r="AJ7617" s="126" t="e">
        <v>#N/A</v>
      </c>
      <c r="AK7617" s="80">
        <f t="shared" si="1173"/>
        <v>0</v>
      </c>
      <c r="AL7617" s="85"/>
      <c r="AM7617" s="85"/>
    </row>
    <row r="7618" spans="1:39" s="86" customFormat="1" ht="13.25" hidden="1" customHeight="1" x14ac:dyDescent="0.3">
      <c r="A7618" s="89" t="s">
        <v>3978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3767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174"/>
        <v>-52.80000000002326</v>
      </c>
      <c r="X7618" s="6">
        <f t="shared" si="1178"/>
        <v>0</v>
      </c>
      <c r="Y7618" s="13">
        <f t="shared" si="1171"/>
        <v>0</v>
      </c>
      <c r="Z7618" s="14">
        <v>0</v>
      </c>
      <c r="AA7618" s="6">
        <v>0</v>
      </c>
      <c r="AB7618" s="4">
        <f t="shared" si="1172"/>
        <v>0</v>
      </c>
      <c r="AC7618" s="6">
        <f t="shared" si="1180"/>
        <v>0</v>
      </c>
      <c r="AD7618" s="6">
        <f t="shared" si="1175"/>
        <v>0</v>
      </c>
      <c r="AE7618" s="14">
        <f>VLOOKUP(I7618,[2]媒体政策预估表!A:N,MATCH(O7618,[2]媒体政策预估表!$A$2:$M$2,0),0)</f>
        <v>7.0000000000000007E-2</v>
      </c>
      <c r="AF7618" s="6">
        <f t="shared" si="1177"/>
        <v>0</v>
      </c>
      <c r="AG7618" s="14">
        <v>0</v>
      </c>
      <c r="AH7618" s="64">
        <f t="shared" si="1176"/>
        <v>0</v>
      </c>
      <c r="AJ7618" s="126" t="e">
        <v>#N/A</v>
      </c>
      <c r="AK7618" s="80">
        <f t="shared" si="1173"/>
        <v>0</v>
      </c>
      <c r="AL7618" s="85"/>
      <c r="AM7618" s="85"/>
    </row>
    <row r="7619" spans="1:39" s="86" customFormat="1" ht="13.25" hidden="1" customHeight="1" x14ac:dyDescent="0.3">
      <c r="A7619" s="89" t="s">
        <v>3978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3767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174"/>
        <v>0.18000000003667083</v>
      </c>
      <c r="X7619" s="6">
        <f t="shared" si="1178"/>
        <v>0</v>
      </c>
      <c r="Y7619" s="13">
        <f t="shared" ref="Y7619:Y7682" si="1181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182">X7619+AA7619</f>
        <v>0</v>
      </c>
      <c r="AC7619" s="6">
        <f t="shared" si="1180"/>
        <v>0</v>
      </c>
      <c r="AD7619" s="6">
        <f t="shared" si="1175"/>
        <v>0</v>
      </c>
      <c r="AE7619" s="14">
        <f>VLOOKUP(I7619,[2]媒体政策预估表!A:N,MATCH(O7619,[2]媒体政策预估表!$A$2:$M$2,0),0)</f>
        <v>7.0000000000000007E-2</v>
      </c>
      <c r="AF7619" s="6">
        <f t="shared" si="1177"/>
        <v>0</v>
      </c>
      <c r="AG7619" s="14">
        <v>0</v>
      </c>
      <c r="AH7619" s="64">
        <f t="shared" si="1176"/>
        <v>0</v>
      </c>
      <c r="AJ7619" s="126" t="e">
        <v>#N/A</v>
      </c>
      <c r="AK7619" s="80">
        <f t="shared" ref="AK7619:AK7682" si="1183">X7619+AA7619-AB7619</f>
        <v>0</v>
      </c>
      <c r="AL7619" s="85"/>
      <c r="AM7619" s="85"/>
    </row>
    <row r="7620" spans="1:39" s="86" customFormat="1" ht="13.25" hidden="1" customHeight="1" x14ac:dyDescent="0.3">
      <c r="A7620" s="89" t="s">
        <v>3978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3767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174"/>
        <v>477114.46809999994</v>
      </c>
      <c r="X7620" s="6">
        <f t="shared" si="1178"/>
        <v>0</v>
      </c>
      <c r="Y7620" s="13">
        <f t="shared" si="1181"/>
        <v>0</v>
      </c>
      <c r="Z7620" s="14">
        <v>0</v>
      </c>
      <c r="AA7620" s="6">
        <v>0</v>
      </c>
      <c r="AB7620" s="4">
        <f t="shared" si="1182"/>
        <v>0</v>
      </c>
      <c r="AC7620" s="6">
        <f t="shared" si="1180"/>
        <v>0</v>
      </c>
      <c r="AD7620" s="6">
        <f t="shared" si="1175"/>
        <v>0</v>
      </c>
      <c r="AE7620" s="14">
        <f>VLOOKUP(I7620,[2]媒体政策预估表!A:N,MATCH(O7620,[2]媒体政策预估表!$A$2:$M$2,0),0)</f>
        <v>7.0000000000000007E-2</v>
      </c>
      <c r="AF7620" s="6">
        <f t="shared" si="1177"/>
        <v>0</v>
      </c>
      <c r="AG7620" s="14">
        <v>0</v>
      </c>
      <c r="AH7620" s="64">
        <f t="shared" si="1176"/>
        <v>0</v>
      </c>
      <c r="AJ7620" s="126" t="e">
        <v>#N/A</v>
      </c>
      <c r="AK7620" s="80">
        <f t="shared" si="1183"/>
        <v>0</v>
      </c>
      <c r="AL7620" s="85"/>
      <c r="AM7620" s="85"/>
    </row>
    <row r="7621" spans="1:39" s="86" customFormat="1" ht="13.25" hidden="1" customHeight="1" x14ac:dyDescent="0.3">
      <c r="A7621" s="89" t="s">
        <v>3978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3767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174"/>
        <v>3848357.4428999987</v>
      </c>
      <c r="X7621" s="6">
        <f t="shared" si="1178"/>
        <v>0</v>
      </c>
      <c r="Y7621" s="13">
        <f t="shared" si="1181"/>
        <v>0</v>
      </c>
      <c r="Z7621" s="14">
        <v>0</v>
      </c>
      <c r="AA7621" s="6">
        <v>0</v>
      </c>
      <c r="AB7621" s="4">
        <f t="shared" si="1182"/>
        <v>0</v>
      </c>
      <c r="AC7621" s="6">
        <f t="shared" si="1180"/>
        <v>0</v>
      </c>
      <c r="AD7621" s="6">
        <f t="shared" si="1175"/>
        <v>0</v>
      </c>
      <c r="AE7621" s="14">
        <f>VLOOKUP(I7621,[2]媒体政策预估表!A:N,MATCH(O7621,[2]媒体政策预估表!$A$2:$M$2,0),0)</f>
        <v>7.0000000000000007E-2</v>
      </c>
      <c r="AF7621" s="6">
        <f t="shared" si="1177"/>
        <v>0</v>
      </c>
      <c r="AG7621" s="14">
        <v>0</v>
      </c>
      <c r="AH7621" s="64">
        <f t="shared" si="1176"/>
        <v>0</v>
      </c>
      <c r="AJ7621" s="126" t="e">
        <v>#N/A</v>
      </c>
      <c r="AK7621" s="80">
        <f t="shared" si="1183"/>
        <v>0</v>
      </c>
      <c r="AL7621" s="85"/>
      <c r="AM7621" s="85"/>
    </row>
    <row r="7622" spans="1:39" s="86" customFormat="1" ht="13.25" hidden="1" customHeight="1" x14ac:dyDescent="0.3">
      <c r="A7622" s="89" t="s">
        <v>3978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3767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174"/>
        <v>42528.9</v>
      </c>
      <c r="X7622" s="6">
        <f t="shared" si="1178"/>
        <v>0</v>
      </c>
      <c r="Y7622" s="13">
        <f t="shared" si="1181"/>
        <v>0</v>
      </c>
      <c r="Z7622" s="14">
        <v>0</v>
      </c>
      <c r="AA7622" s="6">
        <v>0</v>
      </c>
      <c r="AB7622" s="4">
        <f t="shared" si="1182"/>
        <v>0</v>
      </c>
      <c r="AC7622" s="6">
        <f t="shared" si="1180"/>
        <v>0</v>
      </c>
      <c r="AD7622" s="6">
        <f t="shared" si="1175"/>
        <v>0</v>
      </c>
      <c r="AE7622" s="14">
        <f>VLOOKUP(I7622,[2]媒体政策预估表!A:N,MATCH(O7622,[2]媒体政策预估表!$A$2:$M$2,0),0)</f>
        <v>7.0000000000000007E-2</v>
      </c>
      <c r="AF7622" s="6">
        <f t="shared" si="1177"/>
        <v>0</v>
      </c>
      <c r="AG7622" s="14">
        <v>0</v>
      </c>
      <c r="AH7622" s="64">
        <f t="shared" si="1176"/>
        <v>0</v>
      </c>
      <c r="AJ7622" s="126" t="e">
        <v>#N/A</v>
      </c>
      <c r="AK7622" s="80">
        <f t="shared" si="1183"/>
        <v>0</v>
      </c>
      <c r="AL7622" s="85"/>
      <c r="AM7622" s="85"/>
    </row>
    <row r="7623" spans="1:39" s="86" customFormat="1" ht="13.25" hidden="1" customHeight="1" x14ac:dyDescent="0.3">
      <c r="A7623" s="89" t="s">
        <v>3792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3767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174"/>
        <v>21736.292979998965</v>
      </c>
      <c r="X7623" s="6">
        <f t="shared" si="1178"/>
        <v>0</v>
      </c>
      <c r="Y7623" s="13">
        <f t="shared" si="1181"/>
        <v>0</v>
      </c>
      <c r="Z7623" s="14">
        <v>0</v>
      </c>
      <c r="AA7623" s="6">
        <v>0</v>
      </c>
      <c r="AB7623" s="4">
        <f t="shared" si="1182"/>
        <v>0</v>
      </c>
      <c r="AC7623" s="6">
        <f t="shared" si="1180"/>
        <v>0</v>
      </c>
      <c r="AD7623" s="6">
        <f t="shared" si="1175"/>
        <v>0</v>
      </c>
      <c r="AE7623" s="14">
        <f>VLOOKUP(I7623,[2]媒体政策预估表!A:N,MATCH(O7623,[2]媒体政策预估表!$A$2:$M$2,0),0)</f>
        <v>7.0000000000000007E-2</v>
      </c>
      <c r="AF7623" s="6">
        <f t="shared" si="1177"/>
        <v>0</v>
      </c>
      <c r="AG7623" s="14">
        <v>0</v>
      </c>
      <c r="AH7623" s="64">
        <f t="shared" si="1176"/>
        <v>0</v>
      </c>
      <c r="AJ7623" s="126" t="e">
        <v>#N/A</v>
      </c>
      <c r="AK7623" s="80">
        <f t="shared" si="1183"/>
        <v>0</v>
      </c>
      <c r="AL7623" s="85"/>
      <c r="AM7623" s="85"/>
    </row>
    <row r="7624" spans="1:39" s="86" customFormat="1" ht="13.25" hidden="1" customHeight="1" x14ac:dyDescent="0.3">
      <c r="A7624" s="89" t="s">
        <v>3978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3767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174"/>
        <v>7908627.8600000003</v>
      </c>
      <c r="X7624" s="6">
        <f t="shared" si="1178"/>
        <v>0</v>
      </c>
      <c r="Y7624" s="13">
        <f t="shared" si="1181"/>
        <v>0</v>
      </c>
      <c r="Z7624" s="14">
        <v>0</v>
      </c>
      <c r="AA7624" s="6">
        <v>0</v>
      </c>
      <c r="AB7624" s="4">
        <f t="shared" si="1182"/>
        <v>0</v>
      </c>
      <c r="AC7624" s="6">
        <f t="shared" si="1180"/>
        <v>0</v>
      </c>
      <c r="AD7624" s="6">
        <f t="shared" si="1175"/>
        <v>0</v>
      </c>
      <c r="AE7624" s="14">
        <f>VLOOKUP(I7624,[2]媒体政策预估表!A:N,MATCH(O7624,[2]媒体政策预估表!$A$2:$M$2,0),0)</f>
        <v>7.0000000000000007E-2</v>
      </c>
      <c r="AF7624" s="6">
        <f t="shared" si="1177"/>
        <v>0</v>
      </c>
      <c r="AG7624" s="14">
        <v>0</v>
      </c>
      <c r="AH7624" s="64">
        <f t="shared" si="1176"/>
        <v>0</v>
      </c>
      <c r="AJ7624" s="126" t="e">
        <v>#N/A</v>
      </c>
      <c r="AK7624" s="80">
        <f t="shared" si="1183"/>
        <v>0</v>
      </c>
      <c r="AL7624" s="85"/>
      <c r="AM7624" s="85"/>
    </row>
    <row r="7625" spans="1:39" s="86" customFormat="1" ht="13.25" hidden="1" customHeight="1" x14ac:dyDescent="0.3">
      <c r="A7625" s="89" t="s">
        <v>3978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3767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174"/>
        <v>-12.799999999988358</v>
      </c>
      <c r="X7625" s="6">
        <f t="shared" si="1178"/>
        <v>0</v>
      </c>
      <c r="Y7625" s="13">
        <f t="shared" si="1181"/>
        <v>0</v>
      </c>
      <c r="Z7625" s="14">
        <v>0</v>
      </c>
      <c r="AA7625" s="6">
        <v>0</v>
      </c>
      <c r="AB7625" s="4">
        <f t="shared" si="1182"/>
        <v>0</v>
      </c>
      <c r="AC7625" s="6">
        <f t="shared" si="1180"/>
        <v>0</v>
      </c>
      <c r="AD7625" s="6">
        <f t="shared" si="1175"/>
        <v>0</v>
      </c>
      <c r="AE7625" s="14">
        <f>VLOOKUP(I7625,[2]媒体政策预估表!A:N,MATCH(O7625,[2]媒体政策预估表!$A$2:$M$2,0),0)</f>
        <v>7.0000000000000007E-2</v>
      </c>
      <c r="AF7625" s="6">
        <f t="shared" si="1177"/>
        <v>0</v>
      </c>
      <c r="AG7625" s="14">
        <v>0</v>
      </c>
      <c r="AH7625" s="64">
        <f t="shared" si="1176"/>
        <v>0</v>
      </c>
      <c r="AJ7625" s="126" t="e">
        <v>#N/A</v>
      </c>
      <c r="AK7625" s="80">
        <f t="shared" si="1183"/>
        <v>0</v>
      </c>
      <c r="AL7625" s="85"/>
      <c r="AM7625" s="85"/>
    </row>
    <row r="7626" spans="1:39" s="86" customFormat="1" ht="13.25" hidden="1" customHeight="1" x14ac:dyDescent="0.3">
      <c r="A7626" s="89" t="s">
        <v>3792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3767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174"/>
        <v>-5.2999999999919964</v>
      </c>
      <c r="X7626" s="6">
        <f t="shared" si="1178"/>
        <v>0</v>
      </c>
      <c r="Y7626" s="13">
        <f t="shared" si="1181"/>
        <v>0</v>
      </c>
      <c r="Z7626" s="14">
        <v>0</v>
      </c>
      <c r="AA7626" s="6">
        <v>0</v>
      </c>
      <c r="AB7626" s="4">
        <f t="shared" si="1182"/>
        <v>0</v>
      </c>
      <c r="AC7626" s="6">
        <f t="shared" si="1180"/>
        <v>0</v>
      </c>
      <c r="AD7626" s="6">
        <f t="shared" si="1175"/>
        <v>0</v>
      </c>
      <c r="AE7626" s="14">
        <f>VLOOKUP(I7626,[2]媒体政策预估表!A:N,MATCH(O7626,[2]媒体政策预估表!$A$2:$M$2,0),0)</f>
        <v>7.0000000000000007E-2</v>
      </c>
      <c r="AF7626" s="6">
        <f t="shared" si="1177"/>
        <v>0</v>
      </c>
      <c r="AG7626" s="14">
        <v>0</v>
      </c>
      <c r="AH7626" s="64">
        <f t="shared" si="1176"/>
        <v>0</v>
      </c>
      <c r="AJ7626" s="126" t="e">
        <v>#N/A</v>
      </c>
      <c r="AK7626" s="80">
        <f t="shared" si="1183"/>
        <v>0</v>
      </c>
      <c r="AL7626" s="85"/>
      <c r="AM7626" s="85"/>
    </row>
    <row r="7627" spans="1:39" s="86" customFormat="1" ht="13.25" hidden="1" customHeight="1" x14ac:dyDescent="0.3">
      <c r="A7627" s="89" t="s">
        <v>3792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3767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174"/>
        <v>10000</v>
      </c>
      <c r="X7627" s="6">
        <f t="shared" si="1178"/>
        <v>0</v>
      </c>
      <c r="Y7627" s="13">
        <f t="shared" si="1181"/>
        <v>0</v>
      </c>
      <c r="Z7627" s="14">
        <v>0</v>
      </c>
      <c r="AA7627" s="6">
        <v>0</v>
      </c>
      <c r="AB7627" s="4">
        <f t="shared" si="1182"/>
        <v>0</v>
      </c>
      <c r="AC7627" s="6">
        <f t="shared" si="1180"/>
        <v>0</v>
      </c>
      <c r="AD7627" s="6">
        <f t="shared" si="1175"/>
        <v>0</v>
      </c>
      <c r="AE7627" s="14">
        <f>VLOOKUP(I7627,[2]媒体政策预估表!A:N,MATCH(O7627,[2]媒体政策预估表!$A$2:$M$2,0),0)</f>
        <v>7.0000000000000007E-2</v>
      </c>
      <c r="AF7627" s="6">
        <f t="shared" si="1177"/>
        <v>0</v>
      </c>
      <c r="AG7627" s="14">
        <v>0</v>
      </c>
      <c r="AH7627" s="64">
        <f t="shared" si="1176"/>
        <v>0</v>
      </c>
      <c r="AJ7627" s="126" t="e">
        <v>#N/A</v>
      </c>
      <c r="AK7627" s="80">
        <f t="shared" si="1183"/>
        <v>0</v>
      </c>
      <c r="AL7627" s="85"/>
      <c r="AM7627" s="85"/>
    </row>
    <row r="7628" spans="1:39" s="86" customFormat="1" ht="13.25" hidden="1" customHeight="1" x14ac:dyDescent="0.3">
      <c r="A7628" s="89" t="s">
        <v>3792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3767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174"/>
        <v>-28.555000000167638</v>
      </c>
      <c r="X7628" s="6">
        <f t="shared" si="1178"/>
        <v>0</v>
      </c>
      <c r="Y7628" s="13">
        <f t="shared" si="1181"/>
        <v>0</v>
      </c>
      <c r="Z7628" s="14">
        <v>0</v>
      </c>
      <c r="AA7628" s="6">
        <v>0</v>
      </c>
      <c r="AB7628" s="4">
        <f t="shared" si="1182"/>
        <v>0</v>
      </c>
      <c r="AC7628" s="6">
        <f t="shared" si="1180"/>
        <v>0</v>
      </c>
      <c r="AD7628" s="6">
        <f t="shared" si="1175"/>
        <v>0</v>
      </c>
      <c r="AE7628" s="14">
        <f>VLOOKUP(I7628,[2]媒体政策预估表!A:N,MATCH(O7628,[2]媒体政策预估表!$A$2:$M$2,0),0)</f>
        <v>7.0000000000000007E-2</v>
      </c>
      <c r="AF7628" s="6">
        <f t="shared" si="1177"/>
        <v>0</v>
      </c>
      <c r="AG7628" s="14">
        <v>0</v>
      </c>
      <c r="AH7628" s="64">
        <f t="shared" si="1176"/>
        <v>0</v>
      </c>
      <c r="AJ7628" s="126" t="e">
        <v>#N/A</v>
      </c>
      <c r="AK7628" s="80">
        <f t="shared" si="1183"/>
        <v>0</v>
      </c>
      <c r="AL7628" s="85"/>
      <c r="AM7628" s="85"/>
    </row>
    <row r="7629" spans="1:39" s="86" customFormat="1" ht="13.25" hidden="1" customHeight="1" x14ac:dyDescent="0.3">
      <c r="A7629" s="89" t="s">
        <v>3805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3767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174"/>
        <v>283.4900000000016</v>
      </c>
      <c r="X7629" s="6">
        <f t="shared" si="1178"/>
        <v>0</v>
      </c>
      <c r="Y7629" s="13">
        <f t="shared" si="1181"/>
        <v>0</v>
      </c>
      <c r="Z7629" s="14">
        <v>0</v>
      </c>
      <c r="AA7629" s="6">
        <v>0</v>
      </c>
      <c r="AB7629" s="4">
        <f t="shared" si="1182"/>
        <v>0</v>
      </c>
      <c r="AC7629" s="6">
        <f t="shared" si="1180"/>
        <v>0</v>
      </c>
      <c r="AD7629" s="6">
        <f t="shared" si="1175"/>
        <v>0</v>
      </c>
      <c r="AE7629" s="14">
        <f>VLOOKUP(I7629,[2]媒体政策预估表!A:N,MATCH(O7629,[2]媒体政策预估表!$A$2:$M$2,0),0)</f>
        <v>0.1</v>
      </c>
      <c r="AF7629" s="6">
        <f t="shared" si="1177"/>
        <v>0</v>
      </c>
      <c r="AG7629" s="14">
        <v>0</v>
      </c>
      <c r="AH7629" s="64">
        <f t="shared" si="1176"/>
        <v>0</v>
      </c>
      <c r="AJ7629" s="126" t="e">
        <v>#N/A</v>
      </c>
      <c r="AK7629" s="80">
        <f t="shared" si="1183"/>
        <v>0</v>
      </c>
      <c r="AL7629" s="85"/>
      <c r="AM7629" s="85"/>
    </row>
    <row r="7630" spans="1:39" s="86" customFormat="1" ht="13.25" hidden="1" customHeight="1" x14ac:dyDescent="0.3">
      <c r="A7630" s="89" t="s">
        <v>3792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3767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174"/>
        <v>108831.65385999993</v>
      </c>
      <c r="X7630" s="6">
        <f t="shared" si="1178"/>
        <v>0</v>
      </c>
      <c r="Y7630" s="13">
        <f t="shared" si="1181"/>
        <v>0</v>
      </c>
      <c r="Z7630" s="14">
        <v>0</v>
      </c>
      <c r="AA7630" s="6">
        <v>0</v>
      </c>
      <c r="AB7630" s="4">
        <f t="shared" si="1182"/>
        <v>0</v>
      </c>
      <c r="AC7630" s="6">
        <f t="shared" si="1180"/>
        <v>0</v>
      </c>
      <c r="AD7630" s="6">
        <f t="shared" si="1175"/>
        <v>0</v>
      </c>
      <c r="AE7630" s="14">
        <f>VLOOKUP(I7630,[2]媒体政策预估表!A:N,MATCH(O7630,[2]媒体政策预估表!$A$2:$M$2,0),0)</f>
        <v>0.1</v>
      </c>
      <c r="AF7630" s="6">
        <f t="shared" si="1177"/>
        <v>0</v>
      </c>
      <c r="AG7630" s="14">
        <v>0</v>
      </c>
      <c r="AH7630" s="64">
        <f t="shared" si="1176"/>
        <v>0</v>
      </c>
      <c r="AJ7630" s="126" t="e">
        <v>#N/A</v>
      </c>
      <c r="AK7630" s="80">
        <f t="shared" si="1183"/>
        <v>0</v>
      </c>
      <c r="AL7630" s="85"/>
      <c r="AM7630" s="85"/>
    </row>
    <row r="7631" spans="1:39" s="86" customFormat="1" ht="13.25" hidden="1" customHeight="1" x14ac:dyDescent="0.3">
      <c r="A7631" s="89" t="s">
        <v>3978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3767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174"/>
        <v>13.353929999982938</v>
      </c>
      <c r="X7631" s="6">
        <f t="shared" si="1178"/>
        <v>0</v>
      </c>
      <c r="Y7631" s="13">
        <f t="shared" si="1181"/>
        <v>0</v>
      </c>
      <c r="Z7631" s="14">
        <v>0</v>
      </c>
      <c r="AA7631" s="6">
        <v>0</v>
      </c>
      <c r="AB7631" s="4">
        <f t="shared" si="1182"/>
        <v>0</v>
      </c>
      <c r="AC7631" s="6">
        <f t="shared" si="1180"/>
        <v>0</v>
      </c>
      <c r="AD7631" s="6">
        <f t="shared" si="1175"/>
        <v>0</v>
      </c>
      <c r="AE7631" s="14">
        <f>VLOOKUP(I7631,[2]媒体政策预估表!A:N,MATCH(O7631,[2]媒体政策预估表!$A$2:$M$2,0),0)</f>
        <v>7.0000000000000007E-2</v>
      </c>
      <c r="AF7631" s="6">
        <f t="shared" si="1177"/>
        <v>0</v>
      </c>
      <c r="AG7631" s="14">
        <v>0</v>
      </c>
      <c r="AH7631" s="64">
        <f t="shared" si="1176"/>
        <v>0</v>
      </c>
      <c r="AJ7631" s="126" t="e">
        <v>#N/A</v>
      </c>
      <c r="AK7631" s="80">
        <f t="shared" si="1183"/>
        <v>0</v>
      </c>
      <c r="AL7631" s="85"/>
      <c r="AM7631" s="85"/>
    </row>
    <row r="7632" spans="1:39" s="86" customFormat="1" ht="13.25" hidden="1" customHeight="1" x14ac:dyDescent="0.3">
      <c r="A7632" s="89" t="s">
        <v>3792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3767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174"/>
        <v>656.99999999994179</v>
      </c>
      <c r="X7632" s="6">
        <f t="shared" si="1178"/>
        <v>0</v>
      </c>
      <c r="Y7632" s="13">
        <f t="shared" si="1181"/>
        <v>0</v>
      </c>
      <c r="Z7632" s="14">
        <v>0</v>
      </c>
      <c r="AA7632" s="6">
        <v>0</v>
      </c>
      <c r="AB7632" s="4">
        <f t="shared" si="1182"/>
        <v>0</v>
      </c>
      <c r="AC7632" s="6">
        <f t="shared" si="1180"/>
        <v>0</v>
      </c>
      <c r="AD7632" s="6">
        <f t="shared" si="1175"/>
        <v>0</v>
      </c>
      <c r="AE7632" s="14">
        <f>VLOOKUP(I7632,[2]媒体政策预估表!A:N,MATCH(O7632,[2]媒体政策预估表!$A$2:$M$2,0),0)</f>
        <v>7.0000000000000007E-2</v>
      </c>
      <c r="AF7632" s="6">
        <f t="shared" si="1177"/>
        <v>0</v>
      </c>
      <c r="AG7632" s="14">
        <v>0</v>
      </c>
      <c r="AH7632" s="64">
        <f t="shared" si="1176"/>
        <v>0</v>
      </c>
      <c r="AJ7632" s="126" t="e">
        <v>#N/A</v>
      </c>
      <c r="AK7632" s="80">
        <f t="shared" si="1183"/>
        <v>0</v>
      </c>
      <c r="AL7632" s="85"/>
      <c r="AM7632" s="85"/>
    </row>
    <row r="7633" spans="1:39" s="86" customFormat="1" ht="13.25" hidden="1" customHeight="1" x14ac:dyDescent="0.3">
      <c r="A7633" s="89" t="s">
        <v>3978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3767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174"/>
        <v>-47.45000000030268</v>
      </c>
      <c r="X7633" s="6">
        <f t="shared" si="1178"/>
        <v>0</v>
      </c>
      <c r="Y7633" s="13">
        <f t="shared" si="1181"/>
        <v>0</v>
      </c>
      <c r="Z7633" s="14">
        <v>0</v>
      </c>
      <c r="AA7633" s="6">
        <v>0</v>
      </c>
      <c r="AB7633" s="4">
        <f t="shared" si="1182"/>
        <v>0</v>
      </c>
      <c r="AC7633" s="6">
        <f t="shared" si="1180"/>
        <v>0</v>
      </c>
      <c r="AD7633" s="6">
        <f t="shared" si="1175"/>
        <v>0</v>
      </c>
      <c r="AE7633" s="14">
        <f>VLOOKUP(I7633,[2]媒体政策预估表!A:N,MATCH(O7633,[2]媒体政策预估表!$A$2:$M$2,0),0)</f>
        <v>7.0000000000000007E-2</v>
      </c>
      <c r="AF7633" s="6">
        <f t="shared" si="1177"/>
        <v>0</v>
      </c>
      <c r="AG7633" s="14">
        <v>0</v>
      </c>
      <c r="AH7633" s="64">
        <f t="shared" si="1176"/>
        <v>0</v>
      </c>
      <c r="AJ7633" s="126" t="e">
        <v>#N/A</v>
      </c>
      <c r="AK7633" s="80">
        <f t="shared" si="1183"/>
        <v>0</v>
      </c>
      <c r="AL7633" s="85"/>
      <c r="AM7633" s="85"/>
    </row>
    <row r="7634" spans="1:39" s="86" customFormat="1" ht="13.25" hidden="1" customHeight="1" x14ac:dyDescent="0.3">
      <c r="A7634" s="89" t="s">
        <v>3978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3767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174"/>
        <v>-2.4999999999892566</v>
      </c>
      <c r="X7634" s="6">
        <f t="shared" si="1178"/>
        <v>0</v>
      </c>
      <c r="Y7634" s="13">
        <f t="shared" si="1181"/>
        <v>0</v>
      </c>
      <c r="Z7634" s="14">
        <v>0</v>
      </c>
      <c r="AA7634" s="6">
        <v>0</v>
      </c>
      <c r="AB7634" s="4">
        <f t="shared" si="1182"/>
        <v>0</v>
      </c>
      <c r="AC7634" s="6">
        <f t="shared" si="1180"/>
        <v>0</v>
      </c>
      <c r="AD7634" s="6">
        <f t="shared" si="1175"/>
        <v>0</v>
      </c>
      <c r="AE7634" s="14">
        <f>VLOOKUP(I7634,[2]媒体政策预估表!A:N,MATCH(O7634,[2]媒体政策预估表!$A$2:$M$2,0),0)</f>
        <v>7.0000000000000007E-2</v>
      </c>
      <c r="AF7634" s="6">
        <f t="shared" si="1177"/>
        <v>0</v>
      </c>
      <c r="AG7634" s="14">
        <v>0</v>
      </c>
      <c r="AH7634" s="64">
        <f t="shared" si="1176"/>
        <v>0</v>
      </c>
      <c r="AJ7634" s="126" t="e">
        <v>#N/A</v>
      </c>
      <c r="AK7634" s="80">
        <f t="shared" si="1183"/>
        <v>0</v>
      </c>
      <c r="AL7634" s="85"/>
      <c r="AM7634" s="85"/>
    </row>
    <row r="7635" spans="1:39" s="86" customFormat="1" ht="13.25" hidden="1" customHeight="1" x14ac:dyDescent="0.3">
      <c r="A7635" s="89" t="s">
        <v>3978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3767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174"/>
        <v>-4.4999999998719433</v>
      </c>
      <c r="X7635" s="6">
        <f t="shared" si="1178"/>
        <v>0</v>
      </c>
      <c r="Y7635" s="13">
        <f t="shared" si="1181"/>
        <v>0</v>
      </c>
      <c r="Z7635" s="14">
        <v>0</v>
      </c>
      <c r="AA7635" s="6">
        <v>0</v>
      </c>
      <c r="AB7635" s="4">
        <f t="shared" si="1182"/>
        <v>0</v>
      </c>
      <c r="AC7635" s="6">
        <f t="shared" si="1180"/>
        <v>0</v>
      </c>
      <c r="AD7635" s="6">
        <f t="shared" si="1175"/>
        <v>0</v>
      </c>
      <c r="AE7635" s="14">
        <f>VLOOKUP(I7635,[2]媒体政策预估表!A:N,MATCH(O7635,[2]媒体政策预估表!$A$2:$M$2,0),0)</f>
        <v>7.0000000000000007E-2</v>
      </c>
      <c r="AF7635" s="6">
        <f t="shared" si="1177"/>
        <v>0</v>
      </c>
      <c r="AG7635" s="14">
        <v>0</v>
      </c>
      <c r="AH7635" s="64">
        <f t="shared" si="1176"/>
        <v>0</v>
      </c>
      <c r="AJ7635" s="126" t="e">
        <v>#N/A</v>
      </c>
      <c r="AK7635" s="80">
        <f t="shared" si="1183"/>
        <v>0</v>
      </c>
      <c r="AL7635" s="85"/>
      <c r="AM7635" s="85"/>
    </row>
    <row r="7636" spans="1:39" s="86" customFormat="1" ht="13.25" hidden="1" customHeight="1" x14ac:dyDescent="0.3">
      <c r="A7636" s="89" t="s">
        <v>3792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3767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174"/>
        <v>-4.1000000000065029</v>
      </c>
      <c r="X7636" s="6">
        <f t="shared" si="1178"/>
        <v>0</v>
      </c>
      <c r="Y7636" s="13">
        <f t="shared" si="1181"/>
        <v>0</v>
      </c>
      <c r="Z7636" s="14">
        <v>0</v>
      </c>
      <c r="AA7636" s="6">
        <v>0</v>
      </c>
      <c r="AB7636" s="4">
        <f t="shared" si="1182"/>
        <v>0</v>
      </c>
      <c r="AC7636" s="6">
        <f t="shared" si="1180"/>
        <v>0</v>
      </c>
      <c r="AD7636" s="6">
        <f t="shared" si="1175"/>
        <v>0</v>
      </c>
      <c r="AE7636" s="14">
        <f>VLOOKUP(I7636,[2]媒体政策预估表!A:N,MATCH(O7636,[2]媒体政策预估表!$A$2:$M$2,0),0)</f>
        <v>7.0000000000000007E-2</v>
      </c>
      <c r="AF7636" s="6">
        <f t="shared" si="1177"/>
        <v>0</v>
      </c>
      <c r="AG7636" s="14">
        <v>0</v>
      </c>
      <c r="AH7636" s="64">
        <f t="shared" si="1176"/>
        <v>0</v>
      </c>
      <c r="AJ7636" s="126" t="e">
        <v>#N/A</v>
      </c>
      <c r="AK7636" s="80">
        <f t="shared" si="1183"/>
        <v>0</v>
      </c>
      <c r="AL7636" s="85"/>
      <c r="AM7636" s="85"/>
    </row>
    <row r="7637" spans="1:39" s="86" customFormat="1" ht="13.25" hidden="1" customHeight="1" x14ac:dyDescent="0.3">
      <c r="A7637" s="89" t="s">
        <v>3978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3767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174"/>
        <v>-88.000000000025466</v>
      </c>
      <c r="X7637" s="6">
        <f t="shared" si="1178"/>
        <v>0</v>
      </c>
      <c r="Y7637" s="13">
        <f t="shared" si="1181"/>
        <v>0</v>
      </c>
      <c r="Z7637" s="14">
        <v>0</v>
      </c>
      <c r="AA7637" s="6">
        <v>0</v>
      </c>
      <c r="AB7637" s="4">
        <f t="shared" si="1182"/>
        <v>0</v>
      </c>
      <c r="AC7637" s="6">
        <f t="shared" si="1180"/>
        <v>0</v>
      </c>
      <c r="AD7637" s="6">
        <f t="shared" si="1175"/>
        <v>0</v>
      </c>
      <c r="AE7637" s="14">
        <f>VLOOKUP(I7637,[2]媒体政策预估表!A:N,MATCH(O7637,[2]媒体政策预估表!$A$2:$M$2,0),0)</f>
        <v>7.0000000000000007E-2</v>
      </c>
      <c r="AF7637" s="6">
        <f t="shared" si="1177"/>
        <v>0</v>
      </c>
      <c r="AG7637" s="14">
        <v>0</v>
      </c>
      <c r="AH7637" s="64">
        <f t="shared" si="1176"/>
        <v>0</v>
      </c>
      <c r="AJ7637" s="126" t="e">
        <v>#N/A</v>
      </c>
      <c r="AK7637" s="80">
        <f t="shared" si="1183"/>
        <v>0</v>
      </c>
      <c r="AL7637" s="85"/>
      <c r="AM7637" s="85"/>
    </row>
    <row r="7638" spans="1:39" s="86" customFormat="1" ht="13.25" hidden="1" customHeight="1" x14ac:dyDescent="0.3">
      <c r="A7638" s="89" t="s">
        <v>3792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3767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174"/>
        <v>-1.45</v>
      </c>
      <c r="X7638" s="6">
        <f t="shared" si="1178"/>
        <v>0</v>
      </c>
      <c r="Y7638" s="13">
        <f t="shared" si="1181"/>
        <v>0</v>
      </c>
      <c r="Z7638" s="14">
        <v>0</v>
      </c>
      <c r="AA7638" s="6">
        <v>0</v>
      </c>
      <c r="AB7638" s="4">
        <f t="shared" si="1182"/>
        <v>0</v>
      </c>
      <c r="AC7638" s="6">
        <f t="shared" si="1180"/>
        <v>0</v>
      </c>
      <c r="AD7638" s="6">
        <f t="shared" si="1175"/>
        <v>0</v>
      </c>
      <c r="AE7638" s="14">
        <f>VLOOKUP(I7638,[2]媒体政策预估表!A:N,MATCH(O7638,[2]媒体政策预估表!$A$2:$M$2,0),0)</f>
        <v>7.0000000000000007E-2</v>
      </c>
      <c r="AF7638" s="6">
        <f t="shared" si="1177"/>
        <v>0</v>
      </c>
      <c r="AG7638" s="14">
        <v>0</v>
      </c>
      <c r="AH7638" s="64">
        <f t="shared" si="1176"/>
        <v>0</v>
      </c>
      <c r="AJ7638" s="126" t="e">
        <v>#N/A</v>
      </c>
      <c r="AK7638" s="80">
        <f t="shared" si="1183"/>
        <v>0</v>
      </c>
      <c r="AL7638" s="85"/>
      <c r="AM7638" s="85"/>
    </row>
    <row r="7639" spans="1:39" s="86" customFormat="1" ht="13.25" hidden="1" customHeight="1" x14ac:dyDescent="0.3">
      <c r="A7639" s="89" t="s">
        <v>3978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3767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174"/>
        <v>0.29000000000145504</v>
      </c>
      <c r="X7639" s="6">
        <f t="shared" si="1178"/>
        <v>0</v>
      </c>
      <c r="Y7639" s="13">
        <f t="shared" si="1181"/>
        <v>0</v>
      </c>
      <c r="Z7639" s="14">
        <v>0</v>
      </c>
      <c r="AA7639" s="6">
        <v>0</v>
      </c>
      <c r="AB7639" s="4">
        <f t="shared" si="1182"/>
        <v>0</v>
      </c>
      <c r="AC7639" s="6">
        <f t="shared" si="1180"/>
        <v>0</v>
      </c>
      <c r="AD7639" s="6">
        <f t="shared" si="1175"/>
        <v>0</v>
      </c>
      <c r="AE7639" s="14">
        <f>VLOOKUP(I7639,[2]媒体政策预估表!A:N,MATCH(O7639,[2]媒体政策预估表!$A$2:$M$2,0),0)</f>
        <v>0.1</v>
      </c>
      <c r="AF7639" s="6">
        <f t="shared" si="1177"/>
        <v>0</v>
      </c>
      <c r="AG7639" s="14">
        <v>0</v>
      </c>
      <c r="AH7639" s="64">
        <f t="shared" si="1176"/>
        <v>0</v>
      </c>
      <c r="AJ7639" s="126" t="e">
        <v>#N/A</v>
      </c>
      <c r="AK7639" s="80">
        <f t="shared" si="1183"/>
        <v>0</v>
      </c>
      <c r="AL7639" s="85"/>
      <c r="AM7639" s="85"/>
    </row>
    <row r="7640" spans="1:39" s="86" customFormat="1" ht="13.25" hidden="1" customHeight="1" x14ac:dyDescent="0.3">
      <c r="A7640" s="89" t="s">
        <v>3805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3767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174"/>
        <v>2768595.0750100003</v>
      </c>
      <c r="X7640" s="6">
        <f t="shared" si="1178"/>
        <v>0</v>
      </c>
      <c r="Y7640" s="13">
        <f t="shared" si="1181"/>
        <v>0</v>
      </c>
      <c r="Z7640" s="14">
        <v>0</v>
      </c>
      <c r="AA7640" s="6">
        <v>0</v>
      </c>
      <c r="AB7640" s="4">
        <f t="shared" si="1182"/>
        <v>0</v>
      </c>
      <c r="AC7640" s="6">
        <f t="shared" si="1180"/>
        <v>0</v>
      </c>
      <c r="AD7640" s="6">
        <f t="shared" si="1175"/>
        <v>0</v>
      </c>
      <c r="AE7640" s="14">
        <f>VLOOKUP(I7640,[2]媒体政策预估表!A:N,MATCH(O7640,[2]媒体政策预估表!$A$2:$M$2,0),0)</f>
        <v>7.0000000000000007E-2</v>
      </c>
      <c r="AF7640" s="6">
        <f t="shared" si="1177"/>
        <v>0</v>
      </c>
      <c r="AG7640" s="14">
        <v>0</v>
      </c>
      <c r="AH7640" s="64">
        <f t="shared" si="1176"/>
        <v>0</v>
      </c>
      <c r="AJ7640" s="126" t="e">
        <v>#N/A</v>
      </c>
      <c r="AK7640" s="80">
        <f t="shared" si="1183"/>
        <v>0</v>
      </c>
      <c r="AL7640" s="85"/>
      <c r="AM7640" s="85"/>
    </row>
    <row r="7641" spans="1:39" s="86" customFormat="1" ht="13.25" hidden="1" customHeight="1" x14ac:dyDescent="0.3">
      <c r="A7641" s="89" t="s">
        <v>3805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3767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184">T7641+U7641-V7641</f>
        <v>-6.5200000000186265</v>
      </c>
      <c r="X7641" s="6">
        <f t="shared" si="1178"/>
        <v>0</v>
      </c>
      <c r="Y7641" s="13">
        <f t="shared" si="1181"/>
        <v>0</v>
      </c>
      <c r="Z7641" s="14">
        <v>0</v>
      </c>
      <c r="AA7641" s="6">
        <v>0</v>
      </c>
      <c r="AB7641" s="4">
        <f t="shared" si="1182"/>
        <v>0</v>
      </c>
      <c r="AC7641" s="6">
        <f t="shared" si="1180"/>
        <v>0</v>
      </c>
      <c r="AD7641" s="6">
        <f t="shared" ref="AD7641:AD7704" si="1185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177"/>
        <v>0</v>
      </c>
      <c r="AG7641" s="14">
        <v>0</v>
      </c>
      <c r="AH7641" s="64">
        <f t="shared" ref="AH7641:AH7704" si="1186">V7641</f>
        <v>0</v>
      </c>
      <c r="AJ7641" s="126" t="e">
        <v>#N/A</v>
      </c>
      <c r="AK7641" s="80">
        <f t="shared" si="1183"/>
        <v>0</v>
      </c>
      <c r="AL7641" s="85"/>
      <c r="AM7641" s="85"/>
    </row>
    <row r="7642" spans="1:39" s="86" customFormat="1" ht="13.25" hidden="1" customHeight="1" x14ac:dyDescent="0.3">
      <c r="A7642" s="89" t="s">
        <v>3978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3767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184"/>
        <v>0.34000000000014552</v>
      </c>
      <c r="X7642" s="6">
        <f t="shared" si="1178"/>
        <v>0</v>
      </c>
      <c r="Y7642" s="13">
        <f t="shared" si="1181"/>
        <v>0</v>
      </c>
      <c r="Z7642" s="14">
        <v>0</v>
      </c>
      <c r="AA7642" s="6">
        <v>0</v>
      </c>
      <c r="AB7642" s="4">
        <f t="shared" si="1182"/>
        <v>0</v>
      </c>
      <c r="AC7642" s="6">
        <f t="shared" si="1180"/>
        <v>0</v>
      </c>
      <c r="AD7642" s="6">
        <f t="shared" si="1185"/>
        <v>0</v>
      </c>
      <c r="AE7642" s="14">
        <f>VLOOKUP(I7642,[2]媒体政策预估表!A:N,MATCH(O7642,[2]媒体政策预估表!$A$2:$M$2,0),0)</f>
        <v>0.1</v>
      </c>
      <c r="AF7642" s="6">
        <f t="shared" si="1177"/>
        <v>0</v>
      </c>
      <c r="AG7642" s="14">
        <v>0</v>
      </c>
      <c r="AH7642" s="64">
        <f t="shared" si="1186"/>
        <v>0</v>
      </c>
      <c r="AJ7642" s="126" t="e">
        <v>#N/A</v>
      </c>
      <c r="AK7642" s="80">
        <f t="shared" si="1183"/>
        <v>0</v>
      </c>
      <c r="AL7642" s="85"/>
      <c r="AM7642" s="85"/>
    </row>
    <row r="7643" spans="1:39" s="86" customFormat="1" ht="13.25" hidden="1" customHeight="1" x14ac:dyDescent="0.3">
      <c r="A7643" s="89" t="s">
        <v>3978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3767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184"/>
        <v>-4.0000000007012204E-2</v>
      </c>
      <c r="X7643" s="6">
        <f t="shared" si="1178"/>
        <v>0</v>
      </c>
      <c r="Y7643" s="13">
        <f t="shared" si="1181"/>
        <v>0</v>
      </c>
      <c r="Z7643" s="14">
        <v>0</v>
      </c>
      <c r="AA7643" s="6">
        <v>0</v>
      </c>
      <c r="AB7643" s="4">
        <f t="shared" si="1182"/>
        <v>0</v>
      </c>
      <c r="AC7643" s="6">
        <f t="shared" si="1180"/>
        <v>0</v>
      </c>
      <c r="AD7643" s="6">
        <f t="shared" si="1185"/>
        <v>0</v>
      </c>
      <c r="AE7643" s="14">
        <f>VLOOKUP(I7643,[2]媒体政策预估表!A:N,MATCH(O7643,[2]媒体政策预估表!$A$2:$M$2,0),0)</f>
        <v>7.0000000000000007E-2</v>
      </c>
      <c r="AF7643" s="6">
        <f t="shared" si="1177"/>
        <v>0</v>
      </c>
      <c r="AG7643" s="14">
        <v>0</v>
      </c>
      <c r="AH7643" s="64">
        <f t="shared" si="1186"/>
        <v>0</v>
      </c>
      <c r="AJ7643" s="126" t="e">
        <v>#N/A</v>
      </c>
      <c r="AK7643" s="80">
        <f t="shared" si="1183"/>
        <v>0</v>
      </c>
      <c r="AL7643" s="85"/>
      <c r="AM7643" s="85"/>
    </row>
    <row r="7644" spans="1:39" s="86" customFormat="1" ht="13.25" hidden="1" customHeight="1" x14ac:dyDescent="0.3">
      <c r="A7644" s="89" t="s">
        <v>3978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3767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184"/>
        <v>-245.00000000000364</v>
      </c>
      <c r="X7644" s="6">
        <f t="shared" si="1178"/>
        <v>0</v>
      </c>
      <c r="Y7644" s="13">
        <f t="shared" si="1181"/>
        <v>0</v>
      </c>
      <c r="Z7644" s="14">
        <v>0</v>
      </c>
      <c r="AA7644" s="6">
        <v>0</v>
      </c>
      <c r="AB7644" s="4">
        <f t="shared" si="1182"/>
        <v>0</v>
      </c>
      <c r="AC7644" s="6">
        <f t="shared" si="1180"/>
        <v>0</v>
      </c>
      <c r="AD7644" s="6">
        <f t="shared" si="1185"/>
        <v>0</v>
      </c>
      <c r="AE7644" s="14">
        <f>VLOOKUP(I7644,[2]媒体政策预估表!A:N,MATCH(O7644,[2]媒体政策预估表!$A$2:$M$2,0),0)</f>
        <v>7.0000000000000007E-2</v>
      </c>
      <c r="AF7644" s="6">
        <f t="shared" si="1177"/>
        <v>0</v>
      </c>
      <c r="AG7644" s="14">
        <v>0</v>
      </c>
      <c r="AH7644" s="64">
        <f t="shared" si="1186"/>
        <v>0</v>
      </c>
      <c r="AJ7644" s="126" t="e">
        <v>#N/A</v>
      </c>
      <c r="AK7644" s="80">
        <f t="shared" si="1183"/>
        <v>0</v>
      </c>
      <c r="AL7644" s="85"/>
      <c r="AM7644" s="85"/>
    </row>
    <row r="7645" spans="1:39" s="86" customFormat="1" ht="13.25" hidden="1" customHeight="1" x14ac:dyDescent="0.3">
      <c r="A7645" s="89" t="s">
        <v>3978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3767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184"/>
        <v>5.8789900001138449</v>
      </c>
      <c r="X7645" s="6">
        <f t="shared" si="1178"/>
        <v>0</v>
      </c>
      <c r="Y7645" s="13">
        <f t="shared" si="1181"/>
        <v>0</v>
      </c>
      <c r="Z7645" s="14">
        <v>0</v>
      </c>
      <c r="AA7645" s="6">
        <v>0</v>
      </c>
      <c r="AB7645" s="4">
        <f t="shared" si="1182"/>
        <v>0</v>
      </c>
      <c r="AC7645" s="6">
        <f t="shared" si="1180"/>
        <v>0</v>
      </c>
      <c r="AD7645" s="6">
        <f t="shared" si="1185"/>
        <v>0</v>
      </c>
      <c r="AE7645" s="14">
        <f>VLOOKUP(I7645,[2]媒体政策预估表!A:N,MATCH(O7645,[2]媒体政策预估表!$A$2:$M$2,0),0)</f>
        <v>7.0000000000000007E-2</v>
      </c>
      <c r="AF7645" s="6">
        <f t="shared" si="1177"/>
        <v>0</v>
      </c>
      <c r="AG7645" s="14">
        <v>0</v>
      </c>
      <c r="AH7645" s="64">
        <f t="shared" si="1186"/>
        <v>0</v>
      </c>
      <c r="AJ7645" s="126" t="e">
        <v>#N/A</v>
      </c>
      <c r="AK7645" s="80">
        <f t="shared" si="1183"/>
        <v>0</v>
      </c>
      <c r="AL7645" s="85"/>
      <c r="AM7645" s="85"/>
    </row>
    <row r="7646" spans="1:39" s="86" customFormat="1" ht="13.25" hidden="1" customHeight="1" x14ac:dyDescent="0.3">
      <c r="A7646" s="89" t="s">
        <v>3792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3767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184"/>
        <v>35.500050000031479</v>
      </c>
      <c r="X7646" s="6">
        <f t="shared" si="1178"/>
        <v>0</v>
      </c>
      <c r="Y7646" s="13">
        <f t="shared" si="1181"/>
        <v>0</v>
      </c>
      <c r="Z7646" s="14">
        <v>0</v>
      </c>
      <c r="AA7646" s="6">
        <v>0</v>
      </c>
      <c r="AB7646" s="4">
        <f t="shared" si="1182"/>
        <v>0</v>
      </c>
      <c r="AC7646" s="6">
        <f t="shared" si="1180"/>
        <v>0</v>
      </c>
      <c r="AD7646" s="6">
        <f t="shared" si="1185"/>
        <v>0</v>
      </c>
      <c r="AE7646" s="14">
        <f>VLOOKUP(I7646,[2]媒体政策预估表!A:N,MATCH(O7646,[2]媒体政策预估表!$A$2:$M$2,0),0)</f>
        <v>7.0000000000000007E-2</v>
      </c>
      <c r="AF7646" s="6">
        <f t="shared" si="1177"/>
        <v>0</v>
      </c>
      <c r="AG7646" s="14">
        <v>0</v>
      </c>
      <c r="AH7646" s="64">
        <f t="shared" si="1186"/>
        <v>0</v>
      </c>
      <c r="AJ7646" s="126" t="e">
        <v>#N/A</v>
      </c>
      <c r="AK7646" s="80">
        <f t="shared" si="1183"/>
        <v>0</v>
      </c>
      <c r="AL7646" s="85"/>
      <c r="AM7646" s="85"/>
    </row>
    <row r="7647" spans="1:39" s="86" customFormat="1" ht="13.25" hidden="1" customHeight="1" x14ac:dyDescent="0.3">
      <c r="A7647" s="89" t="s">
        <v>3978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3767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184"/>
        <v>190585.96999999997</v>
      </c>
      <c r="X7647" s="6">
        <f t="shared" si="1178"/>
        <v>0</v>
      </c>
      <c r="Y7647" s="13">
        <f t="shared" si="1181"/>
        <v>0</v>
      </c>
      <c r="Z7647" s="14">
        <v>0</v>
      </c>
      <c r="AA7647" s="6">
        <v>0</v>
      </c>
      <c r="AB7647" s="4">
        <f t="shared" si="1182"/>
        <v>0</v>
      </c>
      <c r="AC7647" s="6">
        <f t="shared" si="1180"/>
        <v>0</v>
      </c>
      <c r="AD7647" s="6">
        <f t="shared" si="1185"/>
        <v>0</v>
      </c>
      <c r="AE7647" s="14">
        <f>VLOOKUP(I7647,[2]媒体政策预估表!A:N,MATCH(O7647,[2]媒体政策预估表!$A$2:$M$2,0),0)</f>
        <v>7.0000000000000007E-2</v>
      </c>
      <c r="AF7647" s="6">
        <f t="shared" si="1177"/>
        <v>0</v>
      </c>
      <c r="AG7647" s="14">
        <v>0</v>
      </c>
      <c r="AH7647" s="64">
        <f t="shared" si="1186"/>
        <v>0</v>
      </c>
      <c r="AJ7647" s="126" t="e">
        <v>#N/A</v>
      </c>
      <c r="AK7647" s="80">
        <f t="shared" si="1183"/>
        <v>0</v>
      </c>
      <c r="AL7647" s="85"/>
      <c r="AM7647" s="85"/>
    </row>
    <row r="7648" spans="1:39" s="86" customFormat="1" ht="13.25" hidden="1" customHeight="1" x14ac:dyDescent="0.3">
      <c r="A7648" s="89" t="s">
        <v>3978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3767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184"/>
        <v>478.91000000000031</v>
      </c>
      <c r="X7648" s="6">
        <f t="shared" si="1178"/>
        <v>0</v>
      </c>
      <c r="Y7648" s="13">
        <f t="shared" si="1181"/>
        <v>0</v>
      </c>
      <c r="Z7648" s="14">
        <v>0</v>
      </c>
      <c r="AA7648" s="6">
        <v>0</v>
      </c>
      <c r="AB7648" s="4">
        <f t="shared" si="1182"/>
        <v>0</v>
      </c>
      <c r="AC7648" s="6">
        <f t="shared" si="1180"/>
        <v>0</v>
      </c>
      <c r="AD7648" s="6">
        <f t="shared" si="1185"/>
        <v>0</v>
      </c>
      <c r="AE7648" s="14">
        <f>VLOOKUP(I7648,[2]媒体政策预估表!A:N,MATCH(O7648,[2]媒体政策预估表!$A$2:$M$2,0),0)</f>
        <v>7.0000000000000007E-2</v>
      </c>
      <c r="AF7648" s="6">
        <f t="shared" si="1177"/>
        <v>0</v>
      </c>
      <c r="AG7648" s="14">
        <v>0</v>
      </c>
      <c r="AH7648" s="64">
        <f t="shared" si="1186"/>
        <v>0</v>
      </c>
      <c r="AJ7648" s="126" t="e">
        <v>#N/A</v>
      </c>
      <c r="AK7648" s="80">
        <f t="shared" si="1183"/>
        <v>0</v>
      </c>
      <c r="AL7648" s="85"/>
      <c r="AM7648" s="85"/>
    </row>
    <row r="7649" spans="1:39" s="86" customFormat="1" ht="13.25" hidden="1" customHeight="1" x14ac:dyDescent="0.3">
      <c r="A7649" s="89" t="s">
        <v>3978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3767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184"/>
        <v>0</v>
      </c>
      <c r="X7649" s="6">
        <f t="shared" si="1178"/>
        <v>13970.317307692403</v>
      </c>
      <c r="Y7649" s="13">
        <f t="shared" si="1181"/>
        <v>0</v>
      </c>
      <c r="Z7649" s="14">
        <v>0</v>
      </c>
      <c r="AA7649" s="6">
        <v>0</v>
      </c>
      <c r="AB7649" s="4">
        <f t="shared" si="1182"/>
        <v>13970.317307692403</v>
      </c>
      <c r="AC7649" s="6">
        <f t="shared" si="1180"/>
        <v>558.81269230769612</v>
      </c>
      <c r="AD7649" s="6">
        <f t="shared" si="1185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177"/>
        <v>1017.039100000007</v>
      </c>
      <c r="AG7649" s="14">
        <v>0</v>
      </c>
      <c r="AH7649" s="64">
        <f t="shared" si="1186"/>
        <v>14529.130000000099</v>
      </c>
      <c r="AJ7649" s="126" t="e">
        <v>#N/A</v>
      </c>
      <c r="AK7649" s="80">
        <f t="shared" si="1183"/>
        <v>0</v>
      </c>
      <c r="AL7649" s="85"/>
      <c r="AM7649" s="85"/>
    </row>
    <row r="7650" spans="1:39" s="86" customFormat="1" ht="13.25" hidden="1" customHeight="1" x14ac:dyDescent="0.3">
      <c r="A7650" s="89" t="s">
        <v>3978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3767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184"/>
        <v>21905.768390000001</v>
      </c>
      <c r="X7650" s="6">
        <f t="shared" si="1178"/>
        <v>0</v>
      </c>
      <c r="Y7650" s="13">
        <f t="shared" si="1181"/>
        <v>0</v>
      </c>
      <c r="Z7650" s="14">
        <v>0</v>
      </c>
      <c r="AA7650" s="6">
        <v>0</v>
      </c>
      <c r="AB7650" s="4">
        <f t="shared" si="1182"/>
        <v>0</v>
      </c>
      <c r="AC7650" s="6">
        <f t="shared" si="1180"/>
        <v>0</v>
      </c>
      <c r="AD7650" s="6">
        <f t="shared" si="1185"/>
        <v>0</v>
      </c>
      <c r="AE7650" s="14">
        <f>VLOOKUP(I7650,[2]媒体政策预估表!A:N,MATCH(O7650,[2]媒体政策预估表!$A$2:$M$2,0),0)</f>
        <v>0.1</v>
      </c>
      <c r="AF7650" s="6">
        <f t="shared" si="1177"/>
        <v>0</v>
      </c>
      <c r="AG7650" s="14">
        <v>0</v>
      </c>
      <c r="AH7650" s="64">
        <f t="shared" si="1186"/>
        <v>0</v>
      </c>
      <c r="AJ7650" s="126" t="e">
        <v>#N/A</v>
      </c>
      <c r="AK7650" s="80">
        <f t="shared" si="1183"/>
        <v>0</v>
      </c>
      <c r="AL7650" s="85"/>
      <c r="AM7650" s="85"/>
    </row>
    <row r="7651" spans="1:39" s="86" customFormat="1" ht="13.25" hidden="1" customHeight="1" x14ac:dyDescent="0.3">
      <c r="A7651" s="89" t="s">
        <v>3978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3767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184"/>
        <v>-5.5000000007566996E-2</v>
      </c>
      <c r="X7651" s="6">
        <f t="shared" si="1178"/>
        <v>0</v>
      </c>
      <c r="Y7651" s="13">
        <f t="shared" si="1181"/>
        <v>0</v>
      </c>
      <c r="Z7651" s="14">
        <v>0</v>
      </c>
      <c r="AA7651" s="6">
        <v>0</v>
      </c>
      <c r="AB7651" s="4">
        <f t="shared" si="1182"/>
        <v>0</v>
      </c>
      <c r="AC7651" s="6">
        <f t="shared" si="1180"/>
        <v>0</v>
      </c>
      <c r="AD7651" s="6">
        <f t="shared" si="1185"/>
        <v>0</v>
      </c>
      <c r="AE7651" s="14">
        <f>VLOOKUP(I7651,[2]媒体政策预估表!A:N,MATCH(O7651,[2]媒体政策预估表!$A$2:$M$2,0),0)</f>
        <v>7.0000000000000007E-2</v>
      </c>
      <c r="AF7651" s="6">
        <f t="shared" si="1177"/>
        <v>0</v>
      </c>
      <c r="AG7651" s="14">
        <v>0</v>
      </c>
      <c r="AH7651" s="64">
        <f t="shared" si="1186"/>
        <v>0</v>
      </c>
      <c r="AJ7651" s="126" t="e">
        <v>#N/A</v>
      </c>
      <c r="AK7651" s="80">
        <f t="shared" si="1183"/>
        <v>0</v>
      </c>
      <c r="AL7651" s="85"/>
      <c r="AM7651" s="85"/>
    </row>
    <row r="7652" spans="1:39" s="86" customFormat="1" ht="13.25" hidden="1" customHeight="1" x14ac:dyDescent="0.3">
      <c r="A7652" s="89" t="s">
        <v>3978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3767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184"/>
        <v>-36.899999999906868</v>
      </c>
      <c r="X7652" s="6">
        <f t="shared" si="1178"/>
        <v>0</v>
      </c>
      <c r="Y7652" s="13">
        <f t="shared" si="1181"/>
        <v>0</v>
      </c>
      <c r="Z7652" s="14">
        <v>0</v>
      </c>
      <c r="AA7652" s="6">
        <v>0</v>
      </c>
      <c r="AB7652" s="4">
        <f t="shared" si="1182"/>
        <v>0</v>
      </c>
      <c r="AC7652" s="6">
        <f t="shared" si="1180"/>
        <v>0</v>
      </c>
      <c r="AD7652" s="6">
        <f t="shared" si="1185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187">AD7652*AE7652</f>
        <v>0</v>
      </c>
      <c r="AG7652" s="14">
        <v>0</v>
      </c>
      <c r="AH7652" s="64">
        <f t="shared" si="1186"/>
        <v>0</v>
      </c>
      <c r="AJ7652" s="126" t="e">
        <v>#N/A</v>
      </c>
      <c r="AK7652" s="80">
        <f t="shared" si="1183"/>
        <v>0</v>
      </c>
      <c r="AL7652" s="85"/>
      <c r="AM7652" s="85"/>
    </row>
    <row r="7653" spans="1:39" s="86" customFormat="1" ht="13.25" hidden="1" customHeight="1" x14ac:dyDescent="0.3">
      <c r="A7653" s="89" t="s">
        <v>3792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3767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184"/>
        <v>-472.23486000046614</v>
      </c>
      <c r="X7653" s="6">
        <f t="shared" si="1178"/>
        <v>0</v>
      </c>
      <c r="Y7653" s="13">
        <f t="shared" si="1181"/>
        <v>0</v>
      </c>
      <c r="Z7653" s="14">
        <v>0</v>
      </c>
      <c r="AA7653" s="6">
        <v>0</v>
      </c>
      <c r="AB7653" s="4">
        <f t="shared" si="1182"/>
        <v>0</v>
      </c>
      <c r="AC7653" s="6">
        <f t="shared" si="1180"/>
        <v>0</v>
      </c>
      <c r="AD7653" s="6">
        <f t="shared" si="1185"/>
        <v>0</v>
      </c>
      <c r="AE7653" s="14">
        <f>VLOOKUP(I7653,[2]媒体政策预估表!A:N,MATCH(O7653,[2]媒体政策预估表!$A$2:$M$2,0),0)</f>
        <v>7.0000000000000007E-2</v>
      </c>
      <c r="AF7653" s="6">
        <f t="shared" si="1187"/>
        <v>0</v>
      </c>
      <c r="AG7653" s="14">
        <v>0</v>
      </c>
      <c r="AH7653" s="64">
        <f t="shared" si="1186"/>
        <v>0</v>
      </c>
      <c r="AJ7653" s="126" t="e">
        <v>#N/A</v>
      </c>
      <c r="AK7653" s="80">
        <f t="shared" si="1183"/>
        <v>0</v>
      </c>
      <c r="AL7653" s="85"/>
      <c r="AM7653" s="85"/>
    </row>
    <row r="7654" spans="1:39" s="86" customFormat="1" ht="13.25" hidden="1" customHeight="1" x14ac:dyDescent="0.3">
      <c r="A7654" s="89" t="s">
        <v>3978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3767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184"/>
        <v>-2.1000000000009891</v>
      </c>
      <c r="X7654" s="6">
        <f t="shared" si="1178"/>
        <v>0</v>
      </c>
      <c r="Y7654" s="13">
        <f t="shared" si="1181"/>
        <v>0</v>
      </c>
      <c r="Z7654" s="14">
        <v>0</v>
      </c>
      <c r="AA7654" s="6">
        <v>0</v>
      </c>
      <c r="AB7654" s="4">
        <f t="shared" si="1182"/>
        <v>0</v>
      </c>
      <c r="AC7654" s="6">
        <f t="shared" si="1180"/>
        <v>0</v>
      </c>
      <c r="AD7654" s="6">
        <f t="shared" si="1185"/>
        <v>0</v>
      </c>
      <c r="AE7654" s="14">
        <f>VLOOKUP(I7654,[2]媒体政策预估表!A:N,MATCH(O7654,[2]媒体政策预估表!$A$2:$M$2,0),0)</f>
        <v>7.0000000000000007E-2</v>
      </c>
      <c r="AF7654" s="6">
        <f t="shared" si="1187"/>
        <v>0</v>
      </c>
      <c r="AG7654" s="14">
        <v>0</v>
      </c>
      <c r="AH7654" s="64">
        <f t="shared" si="1186"/>
        <v>0</v>
      </c>
      <c r="AJ7654" s="126" t="e">
        <v>#N/A</v>
      </c>
      <c r="AK7654" s="80">
        <f t="shared" si="1183"/>
        <v>0</v>
      </c>
      <c r="AL7654" s="85"/>
      <c r="AM7654" s="85"/>
    </row>
    <row r="7655" spans="1:39" s="86" customFormat="1" ht="13.25" hidden="1" customHeight="1" x14ac:dyDescent="0.3">
      <c r="A7655" s="89" t="s">
        <v>3792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3767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184"/>
        <v>-2.5985699997283405</v>
      </c>
      <c r="X7655" s="6">
        <f t="shared" si="1178"/>
        <v>0</v>
      </c>
      <c r="Y7655" s="13">
        <f t="shared" si="1181"/>
        <v>0</v>
      </c>
      <c r="Z7655" s="14">
        <v>0</v>
      </c>
      <c r="AA7655" s="6">
        <v>0</v>
      </c>
      <c r="AB7655" s="4">
        <f t="shared" si="1182"/>
        <v>0</v>
      </c>
      <c r="AC7655" s="6">
        <f t="shared" si="1180"/>
        <v>0</v>
      </c>
      <c r="AD7655" s="6">
        <f t="shared" si="1185"/>
        <v>0</v>
      </c>
      <c r="AE7655" s="14">
        <f>VLOOKUP(I7655,[2]媒体政策预估表!A:N,MATCH(O7655,[2]媒体政策预估表!$A$2:$M$2,0),0)</f>
        <v>7.0000000000000007E-2</v>
      </c>
      <c r="AF7655" s="6">
        <f t="shared" si="1187"/>
        <v>0</v>
      </c>
      <c r="AG7655" s="14">
        <v>0</v>
      </c>
      <c r="AH7655" s="64">
        <f t="shared" si="1186"/>
        <v>0</v>
      </c>
      <c r="AJ7655" s="126" t="e">
        <v>#N/A</v>
      </c>
      <c r="AK7655" s="80">
        <f t="shared" si="1183"/>
        <v>0</v>
      </c>
      <c r="AL7655" s="85"/>
      <c r="AM7655" s="85"/>
    </row>
    <row r="7656" spans="1:39" s="86" customFormat="1" ht="13.25" hidden="1" customHeight="1" x14ac:dyDescent="0.3">
      <c r="A7656" s="89" t="s">
        <v>3978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3767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184"/>
        <v>-1.2099999999991269</v>
      </c>
      <c r="X7656" s="6">
        <f t="shared" si="1178"/>
        <v>0</v>
      </c>
      <c r="Y7656" s="13">
        <f t="shared" si="1181"/>
        <v>0</v>
      </c>
      <c r="Z7656" s="14">
        <v>0</v>
      </c>
      <c r="AA7656" s="6">
        <v>0</v>
      </c>
      <c r="AB7656" s="4">
        <f t="shared" si="1182"/>
        <v>0</v>
      </c>
      <c r="AC7656" s="6">
        <f t="shared" si="1180"/>
        <v>0</v>
      </c>
      <c r="AD7656" s="6">
        <f t="shared" si="1185"/>
        <v>0</v>
      </c>
      <c r="AE7656" s="14">
        <f>VLOOKUP(I7656,[2]媒体政策预估表!A:N,MATCH(O7656,[2]媒体政策预估表!$A$2:$M$2,0),0)</f>
        <v>7.0000000000000007E-2</v>
      </c>
      <c r="AF7656" s="6">
        <f t="shared" si="1187"/>
        <v>0</v>
      </c>
      <c r="AG7656" s="14">
        <v>0</v>
      </c>
      <c r="AH7656" s="64">
        <f t="shared" si="1186"/>
        <v>0</v>
      </c>
      <c r="AJ7656" s="126" t="e">
        <v>#N/A</v>
      </c>
      <c r="AK7656" s="80">
        <f t="shared" si="1183"/>
        <v>0</v>
      </c>
      <c r="AL7656" s="85"/>
      <c r="AM7656" s="85"/>
    </row>
    <row r="7657" spans="1:39" s="86" customFormat="1" ht="13.25" hidden="1" customHeight="1" x14ac:dyDescent="0.3">
      <c r="A7657" s="89" t="s">
        <v>3805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3767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184"/>
        <v>-0.8000000000174623</v>
      </c>
      <c r="X7657" s="6">
        <f t="shared" si="1178"/>
        <v>0</v>
      </c>
      <c r="Y7657" s="13">
        <f t="shared" si="1181"/>
        <v>0</v>
      </c>
      <c r="Z7657" s="14">
        <v>0</v>
      </c>
      <c r="AA7657" s="6">
        <v>0</v>
      </c>
      <c r="AB7657" s="4">
        <f t="shared" si="1182"/>
        <v>0</v>
      </c>
      <c r="AC7657" s="6">
        <f t="shared" si="1180"/>
        <v>0</v>
      </c>
      <c r="AD7657" s="6">
        <f t="shared" si="1185"/>
        <v>0</v>
      </c>
      <c r="AE7657" s="14">
        <f>VLOOKUP(I7657,[2]媒体政策预估表!A:N,MATCH(O7657,[2]媒体政策预估表!$A$2:$M$2,0),0)</f>
        <v>7.0000000000000007E-2</v>
      </c>
      <c r="AF7657" s="6">
        <f t="shared" si="1187"/>
        <v>0</v>
      </c>
      <c r="AG7657" s="14">
        <v>0</v>
      </c>
      <c r="AH7657" s="64">
        <f t="shared" si="1186"/>
        <v>0</v>
      </c>
      <c r="AJ7657" s="126" t="e">
        <v>#N/A</v>
      </c>
      <c r="AK7657" s="80">
        <f t="shared" si="1183"/>
        <v>0</v>
      </c>
      <c r="AL7657" s="85"/>
      <c r="AM7657" s="85"/>
    </row>
    <row r="7658" spans="1:39" s="86" customFormat="1" ht="13.25" hidden="1" customHeight="1" x14ac:dyDescent="0.3">
      <c r="A7658" s="89" t="s">
        <v>3978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3767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184"/>
        <v>7.2300000000104774</v>
      </c>
      <c r="X7658" s="6">
        <f t="shared" si="1178"/>
        <v>0</v>
      </c>
      <c r="Y7658" s="13">
        <f t="shared" si="1181"/>
        <v>0</v>
      </c>
      <c r="Z7658" s="14">
        <v>0</v>
      </c>
      <c r="AA7658" s="6">
        <v>0</v>
      </c>
      <c r="AB7658" s="4">
        <f t="shared" si="1182"/>
        <v>0</v>
      </c>
      <c r="AC7658" s="6">
        <f t="shared" si="1180"/>
        <v>0</v>
      </c>
      <c r="AD7658" s="6">
        <f t="shared" si="1185"/>
        <v>0</v>
      </c>
      <c r="AE7658" s="14">
        <f>VLOOKUP(I7658,[2]媒体政策预估表!A:N,MATCH(O7658,[2]媒体政策预估表!$A$2:$M$2,0),0)</f>
        <v>7.0000000000000007E-2</v>
      </c>
      <c r="AF7658" s="6">
        <f t="shared" si="1187"/>
        <v>0</v>
      </c>
      <c r="AG7658" s="14">
        <v>0</v>
      </c>
      <c r="AH7658" s="64">
        <f t="shared" si="1186"/>
        <v>0</v>
      </c>
      <c r="AJ7658" s="126" t="e">
        <v>#N/A</v>
      </c>
      <c r="AK7658" s="80">
        <f t="shared" si="1183"/>
        <v>0</v>
      </c>
      <c r="AL7658" s="85"/>
      <c r="AM7658" s="85"/>
    </row>
    <row r="7659" spans="1:39" s="86" customFormat="1" ht="13.25" hidden="1" customHeight="1" x14ac:dyDescent="0.3">
      <c r="A7659" s="89" t="s">
        <v>3978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3767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184"/>
        <v>-70.300000000337604</v>
      </c>
      <c r="X7659" s="6">
        <f t="shared" si="1178"/>
        <v>0</v>
      </c>
      <c r="Y7659" s="13">
        <f t="shared" si="1181"/>
        <v>0</v>
      </c>
      <c r="Z7659" s="14">
        <v>0</v>
      </c>
      <c r="AA7659" s="6">
        <v>0</v>
      </c>
      <c r="AB7659" s="4">
        <f t="shared" si="1182"/>
        <v>0</v>
      </c>
      <c r="AC7659" s="6">
        <f t="shared" si="1180"/>
        <v>0</v>
      </c>
      <c r="AD7659" s="6">
        <f t="shared" si="1185"/>
        <v>0</v>
      </c>
      <c r="AE7659" s="14">
        <f>VLOOKUP(I7659,[2]媒体政策预估表!A:N,MATCH(O7659,[2]媒体政策预估表!$A$2:$M$2,0),0)</f>
        <v>7.0000000000000007E-2</v>
      </c>
      <c r="AF7659" s="6">
        <f t="shared" si="1187"/>
        <v>0</v>
      </c>
      <c r="AG7659" s="14">
        <v>0</v>
      </c>
      <c r="AH7659" s="64">
        <f t="shared" si="1186"/>
        <v>0</v>
      </c>
      <c r="AJ7659" s="126" t="e">
        <v>#N/A</v>
      </c>
      <c r="AK7659" s="80">
        <f t="shared" si="1183"/>
        <v>0</v>
      </c>
      <c r="AL7659" s="85"/>
      <c r="AM7659" s="85"/>
    </row>
    <row r="7660" spans="1:39" s="86" customFormat="1" ht="13.25" hidden="1" customHeight="1" x14ac:dyDescent="0.3">
      <c r="A7660" s="89" t="s">
        <v>3978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3767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184"/>
        <v>-0.9</v>
      </c>
      <c r="X7660" s="6">
        <f t="shared" si="1178"/>
        <v>0</v>
      </c>
      <c r="Y7660" s="13">
        <f t="shared" si="1181"/>
        <v>0</v>
      </c>
      <c r="Z7660" s="14">
        <v>0</v>
      </c>
      <c r="AA7660" s="6">
        <v>0</v>
      </c>
      <c r="AB7660" s="4">
        <f t="shared" si="1182"/>
        <v>0</v>
      </c>
      <c r="AC7660" s="6">
        <f t="shared" si="1180"/>
        <v>0</v>
      </c>
      <c r="AD7660" s="6">
        <f t="shared" si="1185"/>
        <v>0</v>
      </c>
      <c r="AE7660" s="14">
        <f>VLOOKUP(I7660,[2]媒体政策预估表!A:N,MATCH(O7660,[2]媒体政策预估表!$A$2:$M$2,0),0)</f>
        <v>7.0000000000000007E-2</v>
      </c>
      <c r="AF7660" s="6">
        <f t="shared" si="1187"/>
        <v>0</v>
      </c>
      <c r="AG7660" s="14">
        <v>0</v>
      </c>
      <c r="AH7660" s="64">
        <f t="shared" si="1186"/>
        <v>0</v>
      </c>
      <c r="AJ7660" s="126" t="e">
        <v>#N/A</v>
      </c>
      <c r="AK7660" s="80">
        <f t="shared" si="1183"/>
        <v>0</v>
      </c>
      <c r="AL7660" s="85"/>
      <c r="AM7660" s="85"/>
    </row>
    <row r="7661" spans="1:39" s="86" customFormat="1" ht="13.25" hidden="1" customHeight="1" x14ac:dyDescent="0.3">
      <c r="A7661" s="89" t="s">
        <v>3978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3767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184"/>
        <v>15000</v>
      </c>
      <c r="X7661" s="6">
        <f t="shared" si="1178"/>
        <v>0</v>
      </c>
      <c r="Y7661" s="13">
        <f t="shared" si="1181"/>
        <v>0</v>
      </c>
      <c r="Z7661" s="14">
        <v>0</v>
      </c>
      <c r="AA7661" s="6">
        <v>0</v>
      </c>
      <c r="AB7661" s="4">
        <f t="shared" si="1182"/>
        <v>0</v>
      </c>
      <c r="AC7661" s="6">
        <f t="shared" si="1180"/>
        <v>0</v>
      </c>
      <c r="AD7661" s="6">
        <f t="shared" si="1185"/>
        <v>0</v>
      </c>
      <c r="AE7661" s="14">
        <f>VLOOKUP(I7661,[2]媒体政策预估表!A:N,MATCH(O7661,[2]媒体政策预估表!$A$2:$M$2,0),0)</f>
        <v>0.1</v>
      </c>
      <c r="AF7661" s="6">
        <f t="shared" si="1187"/>
        <v>0</v>
      </c>
      <c r="AG7661" s="14">
        <v>0</v>
      </c>
      <c r="AH7661" s="64">
        <f t="shared" si="1186"/>
        <v>0</v>
      </c>
      <c r="AJ7661" s="126" t="e">
        <v>#N/A</v>
      </c>
      <c r="AK7661" s="80">
        <f t="shared" si="1183"/>
        <v>0</v>
      </c>
      <c r="AL7661" s="85"/>
      <c r="AM7661" s="85"/>
    </row>
    <row r="7662" spans="1:39" s="86" customFormat="1" ht="13.25" hidden="1" customHeight="1" x14ac:dyDescent="0.3">
      <c r="A7662" s="89" t="s">
        <v>3978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3767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184"/>
        <v>412.40000000000146</v>
      </c>
      <c r="X7662" s="6">
        <f t="shared" si="1178"/>
        <v>0</v>
      </c>
      <c r="Y7662" s="13">
        <f t="shared" si="1181"/>
        <v>0</v>
      </c>
      <c r="Z7662" s="14">
        <v>0</v>
      </c>
      <c r="AA7662" s="6">
        <v>0</v>
      </c>
      <c r="AB7662" s="4">
        <f t="shared" si="1182"/>
        <v>0</v>
      </c>
      <c r="AC7662" s="6">
        <f t="shared" si="1180"/>
        <v>0</v>
      </c>
      <c r="AD7662" s="6">
        <f t="shared" si="1185"/>
        <v>0</v>
      </c>
      <c r="AE7662" s="14">
        <f>VLOOKUP(I7662,[2]媒体政策预估表!A:N,MATCH(O7662,[2]媒体政策预估表!$A$2:$M$2,0),0)</f>
        <v>7.0000000000000007E-2</v>
      </c>
      <c r="AF7662" s="6">
        <f t="shared" si="1187"/>
        <v>0</v>
      </c>
      <c r="AG7662" s="14">
        <v>0</v>
      </c>
      <c r="AH7662" s="64">
        <f t="shared" si="1186"/>
        <v>0</v>
      </c>
      <c r="AJ7662" s="126" t="e">
        <v>#N/A</v>
      </c>
      <c r="AK7662" s="80">
        <f t="shared" si="1183"/>
        <v>0</v>
      </c>
      <c r="AL7662" s="85"/>
      <c r="AM7662" s="85"/>
    </row>
    <row r="7663" spans="1:39" s="86" customFormat="1" ht="13.25" hidden="1" customHeight="1" x14ac:dyDescent="0.3">
      <c r="A7663" s="89" t="s">
        <v>3978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3767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184"/>
        <v>442.49999999999636</v>
      </c>
      <c r="X7663" s="6">
        <f t="shared" si="1178"/>
        <v>0</v>
      </c>
      <c r="Y7663" s="13">
        <f t="shared" si="1181"/>
        <v>0</v>
      </c>
      <c r="Z7663" s="14">
        <v>0</v>
      </c>
      <c r="AA7663" s="6">
        <v>0</v>
      </c>
      <c r="AB7663" s="4">
        <f t="shared" si="1182"/>
        <v>0</v>
      </c>
      <c r="AC7663" s="6">
        <f t="shared" si="1180"/>
        <v>0</v>
      </c>
      <c r="AD7663" s="6">
        <f t="shared" si="1185"/>
        <v>0</v>
      </c>
      <c r="AE7663" s="14">
        <f>VLOOKUP(I7663,[2]媒体政策预估表!A:N,MATCH(O7663,[2]媒体政策预估表!$A$2:$M$2,0),0)</f>
        <v>7.0000000000000007E-2</v>
      </c>
      <c r="AF7663" s="6">
        <f t="shared" si="1187"/>
        <v>0</v>
      </c>
      <c r="AG7663" s="14">
        <v>0</v>
      </c>
      <c r="AH7663" s="64">
        <f t="shared" si="1186"/>
        <v>0</v>
      </c>
      <c r="AJ7663" s="126" t="e">
        <v>#N/A</v>
      </c>
      <c r="AK7663" s="80">
        <f t="shared" si="1183"/>
        <v>0</v>
      </c>
      <c r="AL7663" s="85"/>
      <c r="AM7663" s="85"/>
    </row>
    <row r="7664" spans="1:39" s="86" customFormat="1" ht="13.25" hidden="1" customHeight="1" x14ac:dyDescent="0.3">
      <c r="A7664" s="89" t="s">
        <v>3978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3767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184"/>
        <v>-0.1</v>
      </c>
      <c r="X7664" s="6">
        <f t="shared" ref="X7664:X7727" si="1188">IF(P7664="折扣",V7664*Q7664,IF(P7664="返现",V7664,V7664/(1+Q7664)))</f>
        <v>0</v>
      </c>
      <c r="Y7664" s="13">
        <f t="shared" si="1181"/>
        <v>0</v>
      </c>
      <c r="Z7664" s="14">
        <v>0</v>
      </c>
      <c r="AA7664" s="6">
        <v>0</v>
      </c>
      <c r="AB7664" s="4">
        <f t="shared" si="1182"/>
        <v>0</v>
      </c>
      <c r="AC7664" s="6">
        <f t="shared" si="1180"/>
        <v>0</v>
      </c>
      <c r="AD7664" s="6">
        <f t="shared" si="1185"/>
        <v>0</v>
      </c>
      <c r="AE7664" s="14">
        <f>VLOOKUP(I7664,[2]媒体政策预估表!A:N,MATCH(O7664,[2]媒体政策预估表!$A$2:$M$2,0),0)</f>
        <v>7.0000000000000007E-2</v>
      </c>
      <c r="AF7664" s="6">
        <f t="shared" si="1187"/>
        <v>0</v>
      </c>
      <c r="AG7664" s="14">
        <v>0</v>
      </c>
      <c r="AH7664" s="64">
        <f t="shared" si="1186"/>
        <v>0</v>
      </c>
      <c r="AJ7664" s="126" t="e">
        <v>#N/A</v>
      </c>
      <c r="AK7664" s="80">
        <f t="shared" si="1183"/>
        <v>0</v>
      </c>
      <c r="AL7664" s="85"/>
      <c r="AM7664" s="85"/>
    </row>
    <row r="7665" spans="1:39" s="86" customFormat="1" ht="13.25" hidden="1" customHeight="1" x14ac:dyDescent="0.3">
      <c r="A7665" s="89" t="s">
        <v>3978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3767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184"/>
        <v>569024.13454000012</v>
      </c>
      <c r="X7665" s="6">
        <f t="shared" si="1188"/>
        <v>0</v>
      </c>
      <c r="Y7665" s="13">
        <f t="shared" si="1181"/>
        <v>0</v>
      </c>
      <c r="Z7665" s="14">
        <v>0</v>
      </c>
      <c r="AA7665" s="6">
        <v>0</v>
      </c>
      <c r="AB7665" s="4">
        <f t="shared" si="1182"/>
        <v>0</v>
      </c>
      <c r="AC7665" s="6">
        <f t="shared" si="1180"/>
        <v>0</v>
      </c>
      <c r="AD7665" s="6">
        <f t="shared" si="1185"/>
        <v>0</v>
      </c>
      <c r="AE7665" s="14">
        <f>VLOOKUP(I7665,[2]媒体政策预估表!A:N,MATCH(O7665,[2]媒体政策预估表!$A$2:$M$2,0),0)</f>
        <v>0.1</v>
      </c>
      <c r="AF7665" s="6">
        <f t="shared" si="1187"/>
        <v>0</v>
      </c>
      <c r="AG7665" s="14">
        <v>0</v>
      </c>
      <c r="AH7665" s="64">
        <f t="shared" si="1186"/>
        <v>0</v>
      </c>
      <c r="AJ7665" s="126" t="e">
        <v>#N/A</v>
      </c>
      <c r="AK7665" s="80">
        <f t="shared" si="1183"/>
        <v>0</v>
      </c>
      <c r="AL7665" s="85"/>
      <c r="AM7665" s="85"/>
    </row>
    <row r="7666" spans="1:39" s="86" customFormat="1" ht="13.25" hidden="1" customHeight="1" x14ac:dyDescent="0.3">
      <c r="A7666" s="89" t="s">
        <v>3978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3767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184"/>
        <v>-95730.62</v>
      </c>
      <c r="X7666" s="6">
        <f t="shared" si="1188"/>
        <v>0</v>
      </c>
      <c r="Y7666" s="13">
        <f t="shared" si="1181"/>
        <v>0</v>
      </c>
      <c r="Z7666" s="14">
        <v>0</v>
      </c>
      <c r="AA7666" s="6">
        <v>0</v>
      </c>
      <c r="AB7666" s="4">
        <f t="shared" si="1182"/>
        <v>0</v>
      </c>
      <c r="AC7666" s="6">
        <f t="shared" si="1180"/>
        <v>0</v>
      </c>
      <c r="AD7666" s="6">
        <f t="shared" si="1185"/>
        <v>0</v>
      </c>
      <c r="AE7666" s="14">
        <f>VLOOKUP(I7666,[2]媒体政策预估表!A:N,MATCH(O7666,[2]媒体政策预估表!$A$2:$M$2,0),0)</f>
        <v>7.0000000000000007E-2</v>
      </c>
      <c r="AF7666" s="6">
        <f t="shared" si="1187"/>
        <v>0</v>
      </c>
      <c r="AG7666" s="14">
        <v>0</v>
      </c>
      <c r="AH7666" s="64">
        <f t="shared" si="1186"/>
        <v>0</v>
      </c>
      <c r="AJ7666" s="126" t="e">
        <v>#N/A</v>
      </c>
      <c r="AK7666" s="80">
        <f t="shared" si="1183"/>
        <v>0</v>
      </c>
      <c r="AL7666" s="85"/>
      <c r="AM7666" s="85"/>
    </row>
    <row r="7667" spans="1:39" s="86" customFormat="1" ht="13.25" hidden="1" customHeight="1" x14ac:dyDescent="0.3">
      <c r="A7667" s="89" t="s">
        <v>3978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3767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184"/>
        <v>-69520.026129999998</v>
      </c>
      <c r="X7667" s="6">
        <f t="shared" si="1188"/>
        <v>0</v>
      </c>
      <c r="Y7667" s="13">
        <f t="shared" si="1181"/>
        <v>0</v>
      </c>
      <c r="Z7667" s="14">
        <v>0</v>
      </c>
      <c r="AA7667" s="6">
        <v>0</v>
      </c>
      <c r="AB7667" s="4">
        <f t="shared" si="1182"/>
        <v>0</v>
      </c>
      <c r="AC7667" s="6">
        <f t="shared" si="1180"/>
        <v>0</v>
      </c>
      <c r="AD7667" s="6">
        <f t="shared" si="1185"/>
        <v>0</v>
      </c>
      <c r="AE7667" s="14">
        <f>VLOOKUP(I7667,[2]媒体政策预估表!A:N,MATCH(O7667,[2]媒体政策预估表!$A$2:$M$2,0),0)</f>
        <v>0.1</v>
      </c>
      <c r="AF7667" s="6">
        <f t="shared" si="1187"/>
        <v>0</v>
      </c>
      <c r="AG7667" s="14">
        <v>0</v>
      </c>
      <c r="AH7667" s="64">
        <f t="shared" si="1186"/>
        <v>0</v>
      </c>
      <c r="AJ7667" s="126" t="e">
        <v>#N/A</v>
      </c>
      <c r="AK7667" s="80">
        <f t="shared" si="1183"/>
        <v>0</v>
      </c>
      <c r="AL7667" s="85"/>
      <c r="AM7667" s="85"/>
    </row>
    <row r="7668" spans="1:39" s="86" customFormat="1" ht="13.25" hidden="1" customHeight="1" x14ac:dyDescent="0.3">
      <c r="A7668" s="89" t="s">
        <v>3978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3767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184"/>
        <v>95503.372560000047</v>
      </c>
      <c r="X7668" s="6">
        <f t="shared" si="1188"/>
        <v>0</v>
      </c>
      <c r="Y7668" s="13">
        <f t="shared" si="1181"/>
        <v>0</v>
      </c>
      <c r="Z7668" s="14">
        <v>0</v>
      </c>
      <c r="AA7668" s="6">
        <v>0</v>
      </c>
      <c r="AB7668" s="4">
        <f t="shared" si="1182"/>
        <v>0</v>
      </c>
      <c r="AC7668" s="6">
        <f t="shared" si="1180"/>
        <v>0</v>
      </c>
      <c r="AD7668" s="6">
        <f t="shared" si="1185"/>
        <v>0</v>
      </c>
      <c r="AE7668" s="14">
        <f>VLOOKUP(I7668,[2]媒体政策预估表!A:N,MATCH(O7668,[2]媒体政策预估表!$A$2:$M$2,0),0)</f>
        <v>7.0000000000000007E-2</v>
      </c>
      <c r="AF7668" s="6">
        <f t="shared" si="1187"/>
        <v>0</v>
      </c>
      <c r="AG7668" s="14">
        <v>0</v>
      </c>
      <c r="AH7668" s="64">
        <f t="shared" si="1186"/>
        <v>0</v>
      </c>
      <c r="AJ7668" s="126" t="e">
        <v>#N/A</v>
      </c>
      <c r="AK7668" s="80">
        <f t="shared" si="1183"/>
        <v>0</v>
      </c>
      <c r="AL7668" s="85"/>
      <c r="AM7668" s="85"/>
    </row>
    <row r="7669" spans="1:39" s="86" customFormat="1" ht="13.25" hidden="1" customHeight="1" x14ac:dyDescent="0.3">
      <c r="A7669" s="89" t="s">
        <v>3805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3767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184"/>
        <v>-1.3</v>
      </c>
      <c r="X7669" s="6">
        <f t="shared" si="1188"/>
        <v>0</v>
      </c>
      <c r="Y7669" s="13">
        <f t="shared" si="1181"/>
        <v>0</v>
      </c>
      <c r="Z7669" s="14">
        <v>0</v>
      </c>
      <c r="AA7669" s="6">
        <v>0</v>
      </c>
      <c r="AB7669" s="4">
        <f t="shared" si="1182"/>
        <v>0</v>
      </c>
      <c r="AC7669" s="6">
        <f t="shared" si="1180"/>
        <v>0</v>
      </c>
      <c r="AD7669" s="6">
        <f t="shared" si="1185"/>
        <v>0</v>
      </c>
      <c r="AE7669" s="14">
        <f>VLOOKUP(I7669,[2]媒体政策预估表!A:N,MATCH(O7669,[2]媒体政策预估表!$A$2:$M$2,0),0)</f>
        <v>7.0000000000000007E-2</v>
      </c>
      <c r="AF7669" s="6">
        <f t="shared" si="1187"/>
        <v>0</v>
      </c>
      <c r="AG7669" s="14">
        <v>0</v>
      </c>
      <c r="AH7669" s="64">
        <f t="shared" si="1186"/>
        <v>0</v>
      </c>
      <c r="AJ7669" s="126" t="e">
        <v>#N/A</v>
      </c>
      <c r="AK7669" s="80">
        <f t="shared" si="1183"/>
        <v>0</v>
      </c>
      <c r="AL7669" s="85"/>
      <c r="AM7669" s="85"/>
    </row>
    <row r="7670" spans="1:39" s="86" customFormat="1" ht="13.25" hidden="1" customHeight="1" x14ac:dyDescent="0.3">
      <c r="A7670" s="89" t="s">
        <v>3978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3767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4116</v>
      </c>
      <c r="T7670" s="6">
        <v>-42.80000000003929</v>
      </c>
      <c r="U7670" s="6"/>
      <c r="V7670" s="6">
        <v>0</v>
      </c>
      <c r="W7670" s="6">
        <f t="shared" si="1184"/>
        <v>-42.80000000003929</v>
      </c>
      <c r="X7670" s="6">
        <v>184716.22</v>
      </c>
      <c r="Y7670" s="13">
        <f t="shared" si="1181"/>
        <v>184716.22</v>
      </c>
      <c r="Z7670" s="14">
        <v>0</v>
      </c>
      <c r="AA7670" s="6">
        <v>0</v>
      </c>
      <c r="AB7670" s="4">
        <f t="shared" si="1182"/>
        <v>184716.22</v>
      </c>
      <c r="AC7670" s="6">
        <f t="shared" si="1180"/>
        <v>-184716.22</v>
      </c>
      <c r="AD7670" s="6">
        <f t="shared" si="1185"/>
        <v>0</v>
      </c>
      <c r="AE7670" s="14">
        <f>VLOOKUP(I7670,[2]媒体政策预估表!A:N,MATCH(O7670,[2]媒体政策预估表!$A$2:$M$2,0),0)</f>
        <v>7.0000000000000007E-2</v>
      </c>
      <c r="AF7670" s="6">
        <f t="shared" si="1187"/>
        <v>0</v>
      </c>
      <c r="AG7670" s="14">
        <v>0</v>
      </c>
      <c r="AH7670" s="64">
        <f t="shared" si="1186"/>
        <v>0</v>
      </c>
      <c r="AJ7670" s="126" t="e">
        <v>#N/A</v>
      </c>
      <c r="AK7670" s="80">
        <f t="shared" si="1183"/>
        <v>0</v>
      </c>
      <c r="AL7670" s="85"/>
      <c r="AM7670" s="85"/>
    </row>
    <row r="7671" spans="1:39" s="86" customFormat="1" ht="13.25" hidden="1" customHeight="1" x14ac:dyDescent="0.3">
      <c r="A7671" s="89" t="s">
        <v>3978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3767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184"/>
        <v>-117.30000000010477</v>
      </c>
      <c r="X7671" s="6">
        <f t="shared" si="1188"/>
        <v>0</v>
      </c>
      <c r="Y7671" s="13">
        <f t="shared" si="1181"/>
        <v>0</v>
      </c>
      <c r="Z7671" s="14">
        <v>0</v>
      </c>
      <c r="AA7671" s="6">
        <v>0</v>
      </c>
      <c r="AB7671" s="4">
        <f t="shared" si="1182"/>
        <v>0</v>
      </c>
      <c r="AC7671" s="6">
        <f t="shared" si="1180"/>
        <v>0</v>
      </c>
      <c r="AD7671" s="6">
        <f t="shared" si="1185"/>
        <v>0</v>
      </c>
      <c r="AE7671" s="14">
        <f>VLOOKUP(I7671,[2]媒体政策预估表!A:N,MATCH(O7671,[2]媒体政策预估表!$A$2:$M$2,0),0)</f>
        <v>7.0000000000000007E-2</v>
      </c>
      <c r="AF7671" s="6">
        <f t="shared" si="1187"/>
        <v>0</v>
      </c>
      <c r="AG7671" s="14">
        <v>0</v>
      </c>
      <c r="AH7671" s="64">
        <f t="shared" si="1186"/>
        <v>0</v>
      </c>
      <c r="AJ7671" s="126" t="e">
        <v>#N/A</v>
      </c>
      <c r="AK7671" s="80">
        <f t="shared" si="1183"/>
        <v>0</v>
      </c>
      <c r="AL7671" s="85"/>
      <c r="AM7671" s="85"/>
    </row>
    <row r="7672" spans="1:39" s="86" customFormat="1" ht="13.25" hidden="1" customHeight="1" x14ac:dyDescent="0.3">
      <c r="A7672" s="89" t="s">
        <v>3978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3767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184"/>
        <v>518666.41804000008</v>
      </c>
      <c r="X7672" s="6">
        <f t="shared" si="1188"/>
        <v>0</v>
      </c>
      <c r="Y7672" s="13">
        <f t="shared" si="1181"/>
        <v>0</v>
      </c>
      <c r="Z7672" s="14">
        <v>0</v>
      </c>
      <c r="AA7672" s="6">
        <v>0</v>
      </c>
      <c r="AB7672" s="4">
        <f t="shared" si="1182"/>
        <v>0</v>
      </c>
      <c r="AC7672" s="6">
        <f t="shared" si="1180"/>
        <v>0</v>
      </c>
      <c r="AD7672" s="6">
        <f t="shared" si="1185"/>
        <v>0</v>
      </c>
      <c r="AE7672" s="14">
        <f>VLOOKUP(I7672,[2]媒体政策预估表!A:N,MATCH(O7672,[2]媒体政策预估表!$A$2:$M$2,0),0)</f>
        <v>0.1</v>
      </c>
      <c r="AF7672" s="6">
        <f t="shared" si="1187"/>
        <v>0</v>
      </c>
      <c r="AG7672" s="14">
        <v>0</v>
      </c>
      <c r="AH7672" s="64">
        <f t="shared" si="1186"/>
        <v>0</v>
      </c>
      <c r="AJ7672" s="126" t="e">
        <v>#N/A</v>
      </c>
      <c r="AK7672" s="80">
        <f t="shared" si="1183"/>
        <v>0</v>
      </c>
      <c r="AL7672" s="85"/>
      <c r="AM7672" s="85"/>
    </row>
    <row r="7673" spans="1:39" s="86" customFormat="1" ht="13.25" hidden="1" customHeight="1" x14ac:dyDescent="0.3">
      <c r="A7673" s="89" t="s">
        <v>3978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3767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184"/>
        <v>805462.72551999986</v>
      </c>
      <c r="X7673" s="6">
        <f t="shared" si="1188"/>
        <v>0</v>
      </c>
      <c r="Y7673" s="13">
        <f t="shared" si="1181"/>
        <v>0</v>
      </c>
      <c r="Z7673" s="14">
        <v>0</v>
      </c>
      <c r="AA7673" s="6">
        <v>0</v>
      </c>
      <c r="AB7673" s="4">
        <f t="shared" si="1182"/>
        <v>0</v>
      </c>
      <c r="AC7673" s="6">
        <f t="shared" si="1180"/>
        <v>0</v>
      </c>
      <c r="AD7673" s="6">
        <f t="shared" si="1185"/>
        <v>0</v>
      </c>
      <c r="AE7673" s="14">
        <f>VLOOKUP(I7673,[2]媒体政策预估表!A:N,MATCH(O7673,[2]媒体政策预估表!$A$2:$M$2,0),0)</f>
        <v>0.1</v>
      </c>
      <c r="AF7673" s="6">
        <f t="shared" si="1187"/>
        <v>0</v>
      </c>
      <c r="AG7673" s="14">
        <v>0</v>
      </c>
      <c r="AH7673" s="64">
        <f t="shared" si="1186"/>
        <v>0</v>
      </c>
      <c r="AJ7673" s="126" t="e">
        <v>#N/A</v>
      </c>
      <c r="AK7673" s="80">
        <f t="shared" si="1183"/>
        <v>0</v>
      </c>
      <c r="AL7673" s="85"/>
      <c r="AM7673" s="85"/>
    </row>
    <row r="7674" spans="1:39" s="86" customFormat="1" ht="13.25" hidden="1" customHeight="1" x14ac:dyDescent="0.3">
      <c r="A7674" s="89" t="s">
        <v>3978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3767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184"/>
        <v>579763.91428000014</v>
      </c>
      <c r="X7674" s="6">
        <f t="shared" si="1188"/>
        <v>0</v>
      </c>
      <c r="Y7674" s="13">
        <f t="shared" si="1181"/>
        <v>0</v>
      </c>
      <c r="Z7674" s="14">
        <v>0</v>
      </c>
      <c r="AA7674" s="6">
        <v>0</v>
      </c>
      <c r="AB7674" s="4">
        <f t="shared" si="1182"/>
        <v>0</v>
      </c>
      <c r="AC7674" s="6">
        <f t="shared" si="1180"/>
        <v>0</v>
      </c>
      <c r="AD7674" s="6">
        <f t="shared" si="1185"/>
        <v>0</v>
      </c>
      <c r="AE7674" s="14">
        <f>VLOOKUP(I7674,[2]媒体政策预估表!A:N,MATCH(O7674,[2]媒体政策预估表!$A$2:$M$2,0),0)</f>
        <v>0.1</v>
      </c>
      <c r="AF7674" s="6">
        <f t="shared" si="1187"/>
        <v>0</v>
      </c>
      <c r="AG7674" s="14">
        <v>0</v>
      </c>
      <c r="AH7674" s="64">
        <f t="shared" si="1186"/>
        <v>0</v>
      </c>
      <c r="AJ7674" s="126" t="e">
        <v>#N/A</v>
      </c>
      <c r="AK7674" s="80">
        <f t="shared" si="1183"/>
        <v>0</v>
      </c>
      <c r="AL7674" s="85"/>
      <c r="AM7674" s="85"/>
    </row>
    <row r="7675" spans="1:39" s="86" customFormat="1" ht="13.25" hidden="1" customHeight="1" x14ac:dyDescent="0.3">
      <c r="A7675" s="89" t="s">
        <v>3978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3767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184"/>
        <v>-0.7</v>
      </c>
      <c r="X7675" s="6">
        <f t="shared" si="1188"/>
        <v>0</v>
      </c>
      <c r="Y7675" s="13">
        <f t="shared" si="1181"/>
        <v>0</v>
      </c>
      <c r="Z7675" s="14">
        <v>0</v>
      </c>
      <c r="AA7675" s="6">
        <v>0</v>
      </c>
      <c r="AB7675" s="4">
        <f t="shared" si="1182"/>
        <v>0</v>
      </c>
      <c r="AC7675" s="6">
        <f t="shared" si="1180"/>
        <v>0</v>
      </c>
      <c r="AD7675" s="6">
        <f t="shared" si="1185"/>
        <v>0</v>
      </c>
      <c r="AE7675" s="14">
        <f>VLOOKUP(I7675,[2]媒体政策预估表!A:N,MATCH(O7675,[2]媒体政策预估表!$A$2:$M$2,0),0)</f>
        <v>7.0000000000000007E-2</v>
      </c>
      <c r="AF7675" s="6">
        <f t="shared" si="1187"/>
        <v>0</v>
      </c>
      <c r="AG7675" s="14">
        <v>0</v>
      </c>
      <c r="AH7675" s="64">
        <f t="shared" si="1186"/>
        <v>0</v>
      </c>
      <c r="AJ7675" s="126" t="e">
        <v>#N/A</v>
      </c>
      <c r="AK7675" s="80">
        <f t="shared" si="1183"/>
        <v>0</v>
      </c>
      <c r="AL7675" s="85"/>
      <c r="AM7675" s="85"/>
    </row>
    <row r="7676" spans="1:39" s="86" customFormat="1" ht="13.25" hidden="1" customHeight="1" x14ac:dyDescent="0.3">
      <c r="A7676" s="89" t="s">
        <v>3978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3767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184"/>
        <v>493.73499999999967</v>
      </c>
      <c r="X7676" s="6">
        <f t="shared" si="1188"/>
        <v>0</v>
      </c>
      <c r="Y7676" s="13">
        <f t="shared" si="1181"/>
        <v>0</v>
      </c>
      <c r="Z7676" s="14">
        <v>0</v>
      </c>
      <c r="AA7676" s="6">
        <v>0</v>
      </c>
      <c r="AB7676" s="4">
        <f t="shared" si="1182"/>
        <v>0</v>
      </c>
      <c r="AC7676" s="6">
        <f t="shared" si="1180"/>
        <v>0</v>
      </c>
      <c r="AD7676" s="6">
        <f t="shared" si="1185"/>
        <v>0</v>
      </c>
      <c r="AE7676" s="14">
        <f>VLOOKUP(I7676,[2]媒体政策预估表!A:N,MATCH(O7676,[2]媒体政策预估表!$A$2:$M$2,0),0)</f>
        <v>7.0000000000000007E-2</v>
      </c>
      <c r="AF7676" s="6">
        <f t="shared" si="1187"/>
        <v>0</v>
      </c>
      <c r="AG7676" s="14">
        <v>0</v>
      </c>
      <c r="AH7676" s="64">
        <f t="shared" si="1186"/>
        <v>0</v>
      </c>
      <c r="AJ7676" s="126" t="e">
        <v>#N/A</v>
      </c>
      <c r="AK7676" s="80">
        <f t="shared" si="1183"/>
        <v>0</v>
      </c>
      <c r="AL7676" s="85"/>
      <c r="AM7676" s="85"/>
    </row>
    <row r="7677" spans="1:39" s="86" customFormat="1" ht="13.25" hidden="1" customHeight="1" x14ac:dyDescent="0.3">
      <c r="A7677" s="89" t="s">
        <v>3792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3767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184"/>
        <v>-0.4</v>
      </c>
      <c r="X7677" s="6">
        <f t="shared" si="1188"/>
        <v>0</v>
      </c>
      <c r="Y7677" s="13">
        <f t="shared" si="1181"/>
        <v>0</v>
      </c>
      <c r="Z7677" s="14">
        <v>0</v>
      </c>
      <c r="AA7677" s="6">
        <v>0</v>
      </c>
      <c r="AB7677" s="4">
        <f t="shared" si="1182"/>
        <v>0</v>
      </c>
      <c r="AC7677" s="6">
        <f t="shared" si="1180"/>
        <v>0</v>
      </c>
      <c r="AD7677" s="6">
        <f t="shared" si="1185"/>
        <v>0</v>
      </c>
      <c r="AE7677" s="14">
        <f>VLOOKUP(I7677,[2]媒体政策预估表!A:N,MATCH(O7677,[2]媒体政策预估表!$A$2:$M$2,0),0)</f>
        <v>7.0000000000000007E-2</v>
      </c>
      <c r="AF7677" s="6">
        <f t="shared" si="1187"/>
        <v>0</v>
      </c>
      <c r="AG7677" s="14">
        <v>0</v>
      </c>
      <c r="AH7677" s="64">
        <f t="shared" si="1186"/>
        <v>0</v>
      </c>
      <c r="AJ7677" s="126" t="e">
        <v>#N/A</v>
      </c>
      <c r="AK7677" s="80">
        <f t="shared" si="1183"/>
        <v>0</v>
      </c>
      <c r="AL7677" s="85"/>
      <c r="AM7677" s="85"/>
    </row>
    <row r="7678" spans="1:39" s="86" customFormat="1" ht="13.25" hidden="1" customHeight="1" x14ac:dyDescent="0.3">
      <c r="A7678" s="89" t="s">
        <v>3978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3767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184"/>
        <v>-0.3</v>
      </c>
      <c r="X7678" s="6">
        <f t="shared" si="1188"/>
        <v>0</v>
      </c>
      <c r="Y7678" s="13">
        <f t="shared" si="1181"/>
        <v>0</v>
      </c>
      <c r="Z7678" s="14">
        <v>0</v>
      </c>
      <c r="AA7678" s="6">
        <v>0</v>
      </c>
      <c r="AB7678" s="4">
        <f t="shared" si="1182"/>
        <v>0</v>
      </c>
      <c r="AC7678" s="6">
        <f t="shared" ref="AC7678:AC7741" si="1189">IF(P7678="返现",X7678*Q7678,V7678-X7678)</f>
        <v>0</v>
      </c>
      <c r="AD7678" s="6">
        <f t="shared" si="1185"/>
        <v>0</v>
      </c>
      <c r="AE7678" s="14">
        <f>VLOOKUP(I7678,[2]媒体政策预估表!A:N,MATCH(O7678,[2]媒体政策预估表!$A$2:$M$2,0),0)</f>
        <v>7.0000000000000007E-2</v>
      </c>
      <c r="AF7678" s="6">
        <f t="shared" si="1187"/>
        <v>0</v>
      </c>
      <c r="AG7678" s="14">
        <v>0</v>
      </c>
      <c r="AH7678" s="64">
        <f t="shared" si="1186"/>
        <v>0</v>
      </c>
      <c r="AJ7678" s="126" t="e">
        <v>#N/A</v>
      </c>
      <c r="AK7678" s="80">
        <f t="shared" si="1183"/>
        <v>0</v>
      </c>
      <c r="AL7678" s="85"/>
      <c r="AM7678" s="85"/>
    </row>
    <row r="7679" spans="1:39" s="86" customFormat="1" ht="13.25" hidden="1" customHeight="1" x14ac:dyDescent="0.3">
      <c r="A7679" s="89" t="s">
        <v>3978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3767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184"/>
        <v>517.75000000003342</v>
      </c>
      <c r="X7679" s="6">
        <f t="shared" si="1188"/>
        <v>0</v>
      </c>
      <c r="Y7679" s="13">
        <f t="shared" si="1181"/>
        <v>0</v>
      </c>
      <c r="Z7679" s="14">
        <v>0</v>
      </c>
      <c r="AA7679" s="6">
        <v>0</v>
      </c>
      <c r="AB7679" s="4">
        <f t="shared" si="1182"/>
        <v>0</v>
      </c>
      <c r="AC7679" s="6">
        <f t="shared" si="1189"/>
        <v>0</v>
      </c>
      <c r="AD7679" s="6">
        <f t="shared" si="1185"/>
        <v>0</v>
      </c>
      <c r="AE7679" s="14">
        <f>VLOOKUP(I7679,[2]媒体政策预估表!A:N,MATCH(O7679,[2]媒体政策预估表!$A$2:$M$2,0),0)</f>
        <v>7.0000000000000007E-2</v>
      </c>
      <c r="AF7679" s="6">
        <f t="shared" si="1187"/>
        <v>0</v>
      </c>
      <c r="AG7679" s="14">
        <v>0</v>
      </c>
      <c r="AH7679" s="64">
        <f t="shared" si="1186"/>
        <v>0</v>
      </c>
      <c r="AJ7679" s="126" t="e">
        <v>#N/A</v>
      </c>
      <c r="AK7679" s="80">
        <f t="shared" si="1183"/>
        <v>0</v>
      </c>
      <c r="AL7679" s="85"/>
      <c r="AM7679" s="85"/>
    </row>
    <row r="7680" spans="1:39" s="86" customFormat="1" ht="13.25" hidden="1" customHeight="1" x14ac:dyDescent="0.3">
      <c r="A7680" s="89" t="s">
        <v>3978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3767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184"/>
        <v>0.89999999999781721</v>
      </c>
      <c r="X7680" s="6">
        <f t="shared" si="1188"/>
        <v>0</v>
      </c>
      <c r="Y7680" s="13">
        <f t="shared" si="1181"/>
        <v>0</v>
      </c>
      <c r="Z7680" s="14">
        <v>0</v>
      </c>
      <c r="AA7680" s="6">
        <v>0</v>
      </c>
      <c r="AB7680" s="4">
        <f t="shared" si="1182"/>
        <v>0</v>
      </c>
      <c r="AC7680" s="6">
        <f t="shared" si="1189"/>
        <v>0</v>
      </c>
      <c r="AD7680" s="6">
        <f t="shared" si="1185"/>
        <v>0</v>
      </c>
      <c r="AE7680" s="14">
        <f>VLOOKUP(I7680,[2]媒体政策预估表!A:N,MATCH(O7680,[2]媒体政策预估表!$A$2:$M$2,0),0)</f>
        <v>7.0000000000000007E-2</v>
      </c>
      <c r="AF7680" s="6">
        <f t="shared" si="1187"/>
        <v>0</v>
      </c>
      <c r="AG7680" s="14">
        <v>0</v>
      </c>
      <c r="AH7680" s="64">
        <f t="shared" si="1186"/>
        <v>0</v>
      </c>
      <c r="AJ7680" s="126" t="e">
        <v>#N/A</v>
      </c>
      <c r="AK7680" s="80">
        <f t="shared" si="1183"/>
        <v>0</v>
      </c>
      <c r="AL7680" s="85"/>
      <c r="AM7680" s="85"/>
    </row>
    <row r="7681" spans="1:39" s="86" customFormat="1" ht="13.25" hidden="1" customHeight="1" x14ac:dyDescent="0.3">
      <c r="A7681" s="89" t="s">
        <v>3978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3767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184"/>
        <v>-0.8999999999888928</v>
      </c>
      <c r="X7681" s="6">
        <f t="shared" si="1188"/>
        <v>0</v>
      </c>
      <c r="Y7681" s="13">
        <f t="shared" si="1181"/>
        <v>0</v>
      </c>
      <c r="Z7681" s="14">
        <v>0</v>
      </c>
      <c r="AA7681" s="6">
        <v>0</v>
      </c>
      <c r="AB7681" s="4">
        <f t="shared" si="1182"/>
        <v>0</v>
      </c>
      <c r="AC7681" s="6">
        <f t="shared" si="1189"/>
        <v>0</v>
      </c>
      <c r="AD7681" s="6">
        <f t="shared" si="1185"/>
        <v>0</v>
      </c>
      <c r="AE7681" s="14">
        <f>VLOOKUP(I7681,[2]媒体政策预估表!A:N,MATCH(O7681,[2]媒体政策预估表!$A$2:$M$2,0),0)</f>
        <v>7.0000000000000007E-2</v>
      </c>
      <c r="AF7681" s="6">
        <f t="shared" si="1187"/>
        <v>0</v>
      </c>
      <c r="AG7681" s="14">
        <v>0</v>
      </c>
      <c r="AH7681" s="64">
        <f t="shared" si="1186"/>
        <v>0</v>
      </c>
      <c r="AJ7681" s="126" t="e">
        <v>#N/A</v>
      </c>
      <c r="AK7681" s="80">
        <f t="shared" si="1183"/>
        <v>0</v>
      </c>
      <c r="AL7681" s="85"/>
      <c r="AM7681" s="85"/>
    </row>
    <row r="7682" spans="1:39" s="86" customFormat="1" ht="13.25" hidden="1" customHeight="1" x14ac:dyDescent="0.3">
      <c r="A7682" s="89" t="s">
        <v>3978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3767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184"/>
        <v>-1</v>
      </c>
      <c r="X7682" s="6">
        <f t="shared" si="1188"/>
        <v>0</v>
      </c>
      <c r="Y7682" s="13">
        <f t="shared" si="1181"/>
        <v>0</v>
      </c>
      <c r="Z7682" s="14">
        <v>0</v>
      </c>
      <c r="AA7682" s="6">
        <v>0</v>
      </c>
      <c r="AB7682" s="4"/>
      <c r="AC7682" s="6">
        <f t="shared" si="1189"/>
        <v>0</v>
      </c>
      <c r="AD7682" s="6">
        <f t="shared" si="1185"/>
        <v>0</v>
      </c>
      <c r="AE7682" s="14">
        <f>VLOOKUP(I7682,[2]媒体政策预估表!A:N,MATCH(O7682,[2]媒体政策预估表!$A$2:$M$2,0),0)</f>
        <v>7.0000000000000007E-2</v>
      </c>
      <c r="AF7682" s="6">
        <f t="shared" si="1187"/>
        <v>0</v>
      </c>
      <c r="AG7682" s="14">
        <v>0</v>
      </c>
      <c r="AH7682" s="64">
        <f t="shared" si="1186"/>
        <v>0</v>
      </c>
      <c r="AJ7682" s="126">
        <v>81</v>
      </c>
      <c r="AK7682" s="80">
        <f t="shared" si="1183"/>
        <v>0</v>
      </c>
      <c r="AL7682" s="85"/>
      <c r="AM7682" s="85"/>
    </row>
    <row r="7683" spans="1:39" s="86" customFormat="1" ht="13.25" hidden="1" customHeight="1" x14ac:dyDescent="0.3">
      <c r="A7683" s="89" t="s">
        <v>3805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3767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184"/>
        <v>-1.26</v>
      </c>
      <c r="X7683" s="6">
        <f t="shared" si="1188"/>
        <v>0</v>
      </c>
      <c r="Y7683" s="13">
        <f t="shared" ref="Y7683:Y7746" si="1190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191">X7683+AA7683</f>
        <v>0</v>
      </c>
      <c r="AC7683" s="6">
        <f t="shared" si="1189"/>
        <v>0</v>
      </c>
      <c r="AD7683" s="6">
        <f t="shared" si="1185"/>
        <v>0</v>
      </c>
      <c r="AE7683" s="14">
        <f>VLOOKUP(I7683,[2]媒体政策预估表!A:N,MATCH(O7683,[2]媒体政策预估表!$A$2:$M$2,0),0)</f>
        <v>7.0000000000000007E-2</v>
      </c>
      <c r="AF7683" s="6">
        <f t="shared" si="1187"/>
        <v>0</v>
      </c>
      <c r="AG7683" s="14">
        <v>0</v>
      </c>
      <c r="AH7683" s="64">
        <f t="shared" si="1186"/>
        <v>0</v>
      </c>
      <c r="AJ7683" s="126" t="e">
        <v>#N/A</v>
      </c>
      <c r="AK7683" s="80">
        <f t="shared" ref="AK7683:AK7746" si="1192">X7683+AA7683-AB7683</f>
        <v>0</v>
      </c>
      <c r="AL7683" s="85"/>
      <c r="AM7683" s="85"/>
    </row>
    <row r="7684" spans="1:39" s="86" customFormat="1" ht="13.25" hidden="1" customHeight="1" x14ac:dyDescent="0.3">
      <c r="A7684" s="89" t="s">
        <v>3978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3767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184"/>
        <v>0</v>
      </c>
      <c r="X7684" s="6">
        <f t="shared" si="1188"/>
        <v>15749.215686274507</v>
      </c>
      <c r="Y7684" s="13">
        <f t="shared" si="1190"/>
        <v>0</v>
      </c>
      <c r="Z7684" s="14">
        <v>0</v>
      </c>
      <c r="AA7684" s="6">
        <v>0</v>
      </c>
      <c r="AB7684" s="4">
        <f t="shared" si="1191"/>
        <v>15749.215686274507</v>
      </c>
      <c r="AC7684" s="6">
        <f t="shared" si="1189"/>
        <v>314.98431372549021</v>
      </c>
      <c r="AD7684" s="6">
        <f t="shared" si="1185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187"/>
        <v>1124.4939999999999</v>
      </c>
      <c r="AG7684" s="14">
        <v>0</v>
      </c>
      <c r="AH7684" s="64">
        <f t="shared" si="1186"/>
        <v>16064.199999999997</v>
      </c>
      <c r="AJ7684" s="126" t="e">
        <v>#N/A</v>
      </c>
      <c r="AK7684" s="80">
        <f t="shared" si="1192"/>
        <v>0</v>
      </c>
      <c r="AL7684" s="85"/>
      <c r="AM7684" s="85"/>
    </row>
    <row r="7685" spans="1:39" s="86" customFormat="1" ht="13.25" hidden="1" customHeight="1" x14ac:dyDescent="0.3">
      <c r="A7685" s="89" t="s">
        <v>3978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3767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184"/>
        <v>386</v>
      </c>
      <c r="X7685" s="6">
        <f t="shared" si="1188"/>
        <v>0</v>
      </c>
      <c r="Y7685" s="13">
        <f t="shared" si="1190"/>
        <v>0</v>
      </c>
      <c r="Z7685" s="14">
        <v>0</v>
      </c>
      <c r="AA7685" s="6">
        <v>0</v>
      </c>
      <c r="AB7685" s="4">
        <f t="shared" si="1191"/>
        <v>0</v>
      </c>
      <c r="AC7685" s="6">
        <f t="shared" si="1189"/>
        <v>0</v>
      </c>
      <c r="AD7685" s="6">
        <f t="shared" si="1185"/>
        <v>0</v>
      </c>
      <c r="AE7685" s="14">
        <f>VLOOKUP(I7685,[2]媒体政策预估表!A:N,MATCH(O7685,[2]媒体政策预估表!$A$2:$M$2,0),0)</f>
        <v>7.0000000000000007E-2</v>
      </c>
      <c r="AF7685" s="6">
        <f t="shared" si="1187"/>
        <v>0</v>
      </c>
      <c r="AG7685" s="14">
        <v>0</v>
      </c>
      <c r="AH7685" s="64">
        <f t="shared" si="1186"/>
        <v>0</v>
      </c>
      <c r="AJ7685" s="126" t="e">
        <v>#N/A</v>
      </c>
      <c r="AK7685" s="80">
        <f t="shared" si="1192"/>
        <v>0</v>
      </c>
      <c r="AL7685" s="85"/>
      <c r="AM7685" s="85"/>
    </row>
    <row r="7686" spans="1:39" s="86" customFormat="1" ht="13.25" hidden="1" customHeight="1" x14ac:dyDescent="0.3">
      <c r="A7686" s="89" t="s">
        <v>3978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3767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184"/>
        <v>0.99999999998544808</v>
      </c>
      <c r="X7686" s="6">
        <f t="shared" si="1188"/>
        <v>0</v>
      </c>
      <c r="Y7686" s="13">
        <f t="shared" si="1190"/>
        <v>0</v>
      </c>
      <c r="Z7686" s="14">
        <v>0</v>
      </c>
      <c r="AA7686" s="6">
        <v>0</v>
      </c>
      <c r="AB7686" s="4">
        <f t="shared" si="1191"/>
        <v>0</v>
      </c>
      <c r="AC7686" s="6">
        <f t="shared" si="1189"/>
        <v>0</v>
      </c>
      <c r="AD7686" s="6">
        <f t="shared" si="1185"/>
        <v>0</v>
      </c>
      <c r="AE7686" s="14">
        <f>VLOOKUP(I7686,[2]媒体政策预估表!A:N,MATCH(O7686,[2]媒体政策预估表!$A$2:$M$2,0),0)</f>
        <v>7.0000000000000007E-2</v>
      </c>
      <c r="AF7686" s="6">
        <f t="shared" si="1187"/>
        <v>0</v>
      </c>
      <c r="AG7686" s="14">
        <v>0</v>
      </c>
      <c r="AH7686" s="64">
        <f t="shared" si="1186"/>
        <v>0</v>
      </c>
      <c r="AJ7686" s="126" t="e">
        <v>#N/A</v>
      </c>
      <c r="AK7686" s="80">
        <f t="shared" si="1192"/>
        <v>0</v>
      </c>
      <c r="AL7686" s="85"/>
      <c r="AM7686" s="85"/>
    </row>
    <row r="7687" spans="1:39" s="86" customFormat="1" ht="13.25" hidden="1" customHeight="1" x14ac:dyDescent="0.3">
      <c r="A7687" s="89" t="s">
        <v>3978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3767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184"/>
        <v>-1.3</v>
      </c>
      <c r="X7687" s="6">
        <f t="shared" si="1188"/>
        <v>0</v>
      </c>
      <c r="Y7687" s="13">
        <f t="shared" si="1190"/>
        <v>0</v>
      </c>
      <c r="Z7687" s="14">
        <v>0</v>
      </c>
      <c r="AA7687" s="6">
        <v>0</v>
      </c>
      <c r="AB7687" s="4">
        <f t="shared" si="1191"/>
        <v>0</v>
      </c>
      <c r="AC7687" s="6">
        <f t="shared" si="1189"/>
        <v>0</v>
      </c>
      <c r="AD7687" s="6">
        <f t="shared" si="1185"/>
        <v>0</v>
      </c>
      <c r="AE7687" s="14">
        <f>VLOOKUP(I7687,[2]媒体政策预估表!A:N,MATCH(O7687,[2]媒体政策预估表!$A$2:$M$2,0),0)</f>
        <v>7.0000000000000007E-2</v>
      </c>
      <c r="AF7687" s="6">
        <f t="shared" si="1187"/>
        <v>0</v>
      </c>
      <c r="AG7687" s="14">
        <v>0</v>
      </c>
      <c r="AH7687" s="64">
        <f t="shared" si="1186"/>
        <v>0</v>
      </c>
      <c r="AJ7687" s="126" t="e">
        <v>#N/A</v>
      </c>
      <c r="AK7687" s="80">
        <f t="shared" si="1192"/>
        <v>0</v>
      </c>
      <c r="AL7687" s="85"/>
      <c r="AM7687" s="85"/>
    </row>
    <row r="7688" spans="1:39" s="86" customFormat="1" ht="13.25" hidden="1" customHeight="1" x14ac:dyDescent="0.3">
      <c r="A7688" s="89" t="s">
        <v>3792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3767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184"/>
        <v>234.00000000000182</v>
      </c>
      <c r="X7688" s="6">
        <f t="shared" si="1188"/>
        <v>0</v>
      </c>
      <c r="Y7688" s="13">
        <f t="shared" si="1190"/>
        <v>0</v>
      </c>
      <c r="Z7688" s="14">
        <v>0</v>
      </c>
      <c r="AA7688" s="6">
        <v>0</v>
      </c>
      <c r="AB7688" s="4"/>
      <c r="AC7688" s="6">
        <f t="shared" si="1189"/>
        <v>0</v>
      </c>
      <c r="AD7688" s="6">
        <f t="shared" si="1185"/>
        <v>0</v>
      </c>
      <c r="AE7688" s="14">
        <f>VLOOKUP(I7688,[2]媒体政策预估表!A:N,MATCH(O7688,[2]媒体政策预估表!$A$2:$M$2,0),0)</f>
        <v>7.0000000000000007E-2</v>
      </c>
      <c r="AF7688" s="6">
        <f t="shared" si="1187"/>
        <v>0</v>
      </c>
      <c r="AG7688" s="14">
        <v>0</v>
      </c>
      <c r="AH7688" s="64">
        <f t="shared" si="1186"/>
        <v>0</v>
      </c>
      <c r="AJ7688" s="126">
        <v>110</v>
      </c>
      <c r="AK7688" s="80">
        <f t="shared" si="1192"/>
        <v>0</v>
      </c>
      <c r="AL7688" s="85"/>
      <c r="AM7688" s="85"/>
    </row>
    <row r="7689" spans="1:39" s="86" customFormat="1" ht="13.25" hidden="1" customHeight="1" x14ac:dyDescent="0.3">
      <c r="A7689" s="89" t="s">
        <v>3978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3767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184"/>
        <v>64863.840000000026</v>
      </c>
      <c r="X7689" s="6">
        <f t="shared" si="1188"/>
        <v>0</v>
      </c>
      <c r="Y7689" s="13">
        <f t="shared" si="1190"/>
        <v>0</v>
      </c>
      <c r="Z7689" s="14">
        <v>0</v>
      </c>
      <c r="AA7689" s="6">
        <v>0</v>
      </c>
      <c r="AB7689" s="4">
        <f t="shared" si="1191"/>
        <v>0</v>
      </c>
      <c r="AC7689" s="6">
        <f t="shared" si="1189"/>
        <v>0</v>
      </c>
      <c r="AD7689" s="6">
        <f t="shared" si="1185"/>
        <v>0</v>
      </c>
      <c r="AE7689" s="14">
        <f>VLOOKUP(I7689,[2]媒体政策预估表!A:N,MATCH(O7689,[2]媒体政策预估表!$A$2:$M$2,0),0)</f>
        <v>7.0000000000000007E-2</v>
      </c>
      <c r="AF7689" s="6">
        <f t="shared" si="1187"/>
        <v>0</v>
      </c>
      <c r="AG7689" s="14">
        <v>0</v>
      </c>
      <c r="AH7689" s="64">
        <f t="shared" si="1186"/>
        <v>0</v>
      </c>
      <c r="AJ7689" s="126" t="e">
        <v>#N/A</v>
      </c>
      <c r="AK7689" s="80">
        <f t="shared" si="1192"/>
        <v>0</v>
      </c>
      <c r="AL7689" s="85"/>
      <c r="AM7689" s="85"/>
    </row>
    <row r="7690" spans="1:39" s="86" customFormat="1" ht="13.25" hidden="1" customHeight="1" x14ac:dyDescent="0.3">
      <c r="A7690" s="89" t="s">
        <v>3978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3767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184"/>
        <v>-1.4</v>
      </c>
      <c r="X7690" s="6">
        <f t="shared" si="1188"/>
        <v>0</v>
      </c>
      <c r="Y7690" s="13">
        <f t="shared" si="1190"/>
        <v>0</v>
      </c>
      <c r="Z7690" s="14">
        <v>0</v>
      </c>
      <c r="AA7690" s="6">
        <v>0</v>
      </c>
      <c r="AB7690" s="4"/>
      <c r="AC7690" s="6">
        <f t="shared" si="1189"/>
        <v>0</v>
      </c>
      <c r="AD7690" s="6">
        <f t="shared" si="1185"/>
        <v>0</v>
      </c>
      <c r="AE7690" s="14">
        <f>VLOOKUP(I7690,[2]媒体政策预估表!A:N,MATCH(O7690,[2]媒体政策预估表!$A$2:$M$2,0),0)</f>
        <v>7.0000000000000007E-2</v>
      </c>
      <c r="AF7690" s="6">
        <f t="shared" si="1187"/>
        <v>0</v>
      </c>
      <c r="AG7690" s="14">
        <v>0</v>
      </c>
      <c r="AH7690" s="64">
        <f t="shared" si="1186"/>
        <v>0</v>
      </c>
      <c r="AJ7690" s="126">
        <v>17</v>
      </c>
      <c r="AK7690" s="80">
        <f t="shared" si="1192"/>
        <v>0</v>
      </c>
      <c r="AL7690" s="85"/>
      <c r="AM7690" s="85"/>
    </row>
    <row r="7691" spans="1:39" s="86" customFormat="1" ht="13.25" hidden="1" customHeight="1" x14ac:dyDescent="0.3">
      <c r="A7691" s="89" t="s">
        <v>3978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3767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4115</v>
      </c>
      <c r="T7691" s="6">
        <v>-619057.95222000009</v>
      </c>
      <c r="U7691" s="6"/>
      <c r="V7691" s="6">
        <v>0</v>
      </c>
      <c r="W7691" s="6">
        <f t="shared" si="1184"/>
        <v>-619057.95222000009</v>
      </c>
      <c r="X7691" s="6">
        <v>497.91</v>
      </c>
      <c r="Y7691" s="13">
        <f t="shared" si="1190"/>
        <v>497.91</v>
      </c>
      <c r="Z7691" s="14">
        <v>0</v>
      </c>
      <c r="AA7691" s="6">
        <v>0</v>
      </c>
      <c r="AB7691" s="4">
        <f t="shared" si="1191"/>
        <v>497.91</v>
      </c>
      <c r="AC7691" s="6">
        <f t="shared" si="1189"/>
        <v>-497.91</v>
      </c>
      <c r="AD7691" s="6">
        <f t="shared" si="1185"/>
        <v>0</v>
      </c>
      <c r="AE7691" s="14">
        <f>VLOOKUP(I7691,[2]媒体政策预估表!A:N,MATCH(O7691,[2]媒体政策预估表!$A$2:$M$2,0),0)</f>
        <v>0.1</v>
      </c>
      <c r="AF7691" s="6">
        <f t="shared" si="1187"/>
        <v>0</v>
      </c>
      <c r="AG7691" s="14">
        <v>0</v>
      </c>
      <c r="AH7691" s="64">
        <f t="shared" si="1186"/>
        <v>0</v>
      </c>
      <c r="AJ7691" s="126" t="e">
        <v>#N/A</v>
      </c>
      <c r="AK7691" s="80">
        <f t="shared" si="1192"/>
        <v>0</v>
      </c>
      <c r="AL7691" s="85"/>
      <c r="AM7691" s="85"/>
    </row>
    <row r="7692" spans="1:39" s="86" customFormat="1" ht="13.25" hidden="1" customHeight="1" x14ac:dyDescent="0.3">
      <c r="A7692" s="89" t="s">
        <v>3978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3767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184"/>
        <v>718898.98</v>
      </c>
      <c r="X7692" s="6">
        <f t="shared" si="1188"/>
        <v>0</v>
      </c>
      <c r="Y7692" s="13">
        <f t="shared" si="1190"/>
        <v>0</v>
      </c>
      <c r="Z7692" s="14">
        <v>0.02</v>
      </c>
      <c r="AA7692" s="6">
        <f>X7692/(1-Z7692)*Z7692</f>
        <v>0</v>
      </c>
      <c r="AB7692" s="4">
        <f t="shared" si="1191"/>
        <v>0</v>
      </c>
      <c r="AC7692" s="6">
        <f t="shared" si="1189"/>
        <v>0</v>
      </c>
      <c r="AD7692" s="6">
        <f t="shared" si="1185"/>
        <v>0</v>
      </c>
      <c r="AE7692" s="14">
        <f>VLOOKUP(I7692,[2]媒体政策预估表!A:N,MATCH(O7692,[2]媒体政策预估表!$A$2:$M$2,0),0)</f>
        <v>7.0000000000000007E-2</v>
      </c>
      <c r="AF7692" s="6">
        <f t="shared" si="1187"/>
        <v>0</v>
      </c>
      <c r="AG7692" s="14">
        <v>0</v>
      </c>
      <c r="AH7692" s="64">
        <f t="shared" si="1186"/>
        <v>0</v>
      </c>
      <c r="AJ7692" s="126" t="e">
        <v>#N/A</v>
      </c>
      <c r="AK7692" s="80">
        <f t="shared" si="1192"/>
        <v>0</v>
      </c>
      <c r="AL7692" s="85"/>
      <c r="AM7692" s="85"/>
    </row>
    <row r="7693" spans="1:39" s="86" customFormat="1" ht="13.25" hidden="1" customHeight="1" x14ac:dyDescent="0.3">
      <c r="A7693" s="89" t="s">
        <v>3978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3767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184"/>
        <v>0.99999999999965894</v>
      </c>
      <c r="X7693" s="6">
        <f t="shared" si="1188"/>
        <v>0</v>
      </c>
      <c r="Y7693" s="13">
        <f t="shared" si="1190"/>
        <v>0</v>
      </c>
      <c r="Z7693" s="14">
        <v>0</v>
      </c>
      <c r="AA7693" s="6">
        <v>0</v>
      </c>
      <c r="AB7693" s="4">
        <f t="shared" si="1191"/>
        <v>0</v>
      </c>
      <c r="AC7693" s="6">
        <f t="shared" si="1189"/>
        <v>0</v>
      </c>
      <c r="AD7693" s="6">
        <f t="shared" si="1185"/>
        <v>0</v>
      </c>
      <c r="AE7693" s="14">
        <f>VLOOKUP(I7693,[2]媒体政策预估表!A:N,MATCH(O7693,[2]媒体政策预估表!$A$2:$M$2,0),0)</f>
        <v>7.0000000000000007E-2</v>
      </c>
      <c r="AF7693" s="6">
        <f t="shared" si="1187"/>
        <v>0</v>
      </c>
      <c r="AG7693" s="14">
        <v>0</v>
      </c>
      <c r="AH7693" s="64">
        <f t="shared" si="1186"/>
        <v>0</v>
      </c>
      <c r="AJ7693" s="126" t="e">
        <v>#N/A</v>
      </c>
      <c r="AK7693" s="80">
        <f t="shared" si="1192"/>
        <v>0</v>
      </c>
      <c r="AL7693" s="85"/>
      <c r="AM7693" s="85"/>
    </row>
    <row r="7694" spans="1:39" s="86" customFormat="1" ht="13.25" hidden="1" customHeight="1" x14ac:dyDescent="0.3">
      <c r="A7694" s="89" t="s">
        <v>3978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3767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184"/>
        <v>485.58999999999651</v>
      </c>
      <c r="X7694" s="6">
        <f t="shared" si="1188"/>
        <v>0</v>
      </c>
      <c r="Y7694" s="13">
        <f t="shared" si="1190"/>
        <v>0</v>
      </c>
      <c r="Z7694" s="14">
        <v>0</v>
      </c>
      <c r="AA7694" s="6">
        <v>0</v>
      </c>
      <c r="AB7694" s="4">
        <f t="shared" si="1191"/>
        <v>0</v>
      </c>
      <c r="AC7694" s="6">
        <f t="shared" si="1189"/>
        <v>0</v>
      </c>
      <c r="AD7694" s="6">
        <f t="shared" si="1185"/>
        <v>0</v>
      </c>
      <c r="AE7694" s="14">
        <f>VLOOKUP(I7694,[2]媒体政策预估表!A:N,MATCH(O7694,[2]媒体政策预估表!$A$2:$M$2,0),0)</f>
        <v>7.0000000000000007E-2</v>
      </c>
      <c r="AF7694" s="6">
        <f t="shared" si="1187"/>
        <v>0</v>
      </c>
      <c r="AG7694" s="14">
        <v>0</v>
      </c>
      <c r="AH7694" s="64">
        <f t="shared" si="1186"/>
        <v>0</v>
      </c>
      <c r="AJ7694" s="126" t="e">
        <v>#N/A</v>
      </c>
      <c r="AK7694" s="80">
        <f t="shared" si="1192"/>
        <v>0</v>
      </c>
      <c r="AL7694" s="85"/>
      <c r="AM7694" s="85"/>
    </row>
    <row r="7695" spans="1:39" s="86" customFormat="1" ht="13.25" hidden="1" customHeight="1" x14ac:dyDescent="0.3">
      <c r="A7695" s="89" t="s">
        <v>3978</v>
      </c>
      <c r="B7695" s="86" t="s">
        <v>35</v>
      </c>
      <c r="C7695" s="86" t="s">
        <v>184</v>
      </c>
      <c r="D7695" s="86" t="s">
        <v>3849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3767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184"/>
        <v>-3.6999999999970896</v>
      </c>
      <c r="X7695" s="6">
        <f t="shared" si="1188"/>
        <v>0</v>
      </c>
      <c r="Y7695" s="13">
        <f t="shared" si="1190"/>
        <v>0</v>
      </c>
      <c r="Z7695" s="14">
        <v>0</v>
      </c>
      <c r="AA7695" s="6">
        <v>0</v>
      </c>
      <c r="AB7695" s="4">
        <f t="shared" si="1191"/>
        <v>0</v>
      </c>
      <c r="AC7695" s="6">
        <f t="shared" si="1189"/>
        <v>0</v>
      </c>
      <c r="AD7695" s="6">
        <f t="shared" si="1185"/>
        <v>0</v>
      </c>
      <c r="AE7695" s="14">
        <f>VLOOKUP(I7695,[2]媒体政策预估表!A:N,MATCH(O7695,[2]媒体政策预估表!$A$2:$M$2,0),0)</f>
        <v>7.0000000000000007E-2</v>
      </c>
      <c r="AF7695" s="6">
        <f t="shared" si="1187"/>
        <v>0</v>
      </c>
      <c r="AG7695" s="14">
        <v>0</v>
      </c>
      <c r="AH7695" s="64">
        <f t="shared" si="1186"/>
        <v>0</v>
      </c>
      <c r="AJ7695" s="126" t="e">
        <v>#N/A</v>
      </c>
      <c r="AK7695" s="80">
        <f t="shared" si="1192"/>
        <v>0</v>
      </c>
      <c r="AL7695" s="85"/>
      <c r="AM7695" s="85"/>
    </row>
    <row r="7696" spans="1:39" s="86" customFormat="1" ht="13.25" hidden="1" customHeight="1" x14ac:dyDescent="0.3">
      <c r="A7696" s="89" t="s">
        <v>3978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3767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184"/>
        <v>0</v>
      </c>
      <c r="X7696" s="6">
        <f t="shared" si="1188"/>
        <v>4000.3921568627502</v>
      </c>
      <c r="Y7696" s="13">
        <f t="shared" si="1190"/>
        <v>0</v>
      </c>
      <c r="Z7696" s="14">
        <v>0</v>
      </c>
      <c r="AA7696" s="6">
        <v>0</v>
      </c>
      <c r="AB7696" s="4">
        <f t="shared" si="1191"/>
        <v>4000.3921568627502</v>
      </c>
      <c r="AC7696" s="6">
        <f t="shared" si="1189"/>
        <v>80.007843137254895</v>
      </c>
      <c r="AD7696" s="6">
        <f t="shared" si="1185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187"/>
        <v>285.62800000000038</v>
      </c>
      <c r="AG7696" s="14">
        <v>0</v>
      </c>
      <c r="AH7696" s="64">
        <f t="shared" si="1186"/>
        <v>4080.4000000000051</v>
      </c>
      <c r="AJ7696" s="126" t="e">
        <v>#N/A</v>
      </c>
      <c r="AK7696" s="80">
        <f t="shared" si="1192"/>
        <v>0</v>
      </c>
      <c r="AL7696" s="85"/>
      <c r="AM7696" s="85"/>
    </row>
    <row r="7697" spans="1:39" s="86" customFormat="1" ht="13.25" hidden="1" customHeight="1" x14ac:dyDescent="0.3">
      <c r="A7697" s="89" t="s">
        <v>3978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3767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184"/>
        <v>10222.209999999999</v>
      </c>
      <c r="X7697" s="6">
        <f t="shared" si="1188"/>
        <v>0</v>
      </c>
      <c r="Y7697" s="13">
        <f t="shared" si="1190"/>
        <v>0</v>
      </c>
      <c r="Z7697" s="14">
        <v>0</v>
      </c>
      <c r="AA7697" s="6">
        <v>0</v>
      </c>
      <c r="AB7697" s="4">
        <f t="shared" si="1191"/>
        <v>0</v>
      </c>
      <c r="AC7697" s="6">
        <f t="shared" si="1189"/>
        <v>0</v>
      </c>
      <c r="AD7697" s="6">
        <f t="shared" si="1185"/>
        <v>0</v>
      </c>
      <c r="AE7697" s="14">
        <f>VLOOKUP(I7697,[2]媒体政策预估表!A:N,MATCH(O7697,[2]媒体政策预估表!$A$2:$M$2,0),0)</f>
        <v>7.0000000000000007E-2</v>
      </c>
      <c r="AF7697" s="6">
        <f t="shared" si="1187"/>
        <v>0</v>
      </c>
      <c r="AG7697" s="14">
        <v>0</v>
      </c>
      <c r="AH7697" s="64">
        <f t="shared" si="1186"/>
        <v>0</v>
      </c>
      <c r="AJ7697" s="126" t="e">
        <v>#N/A</v>
      </c>
      <c r="AK7697" s="80">
        <f t="shared" si="1192"/>
        <v>0</v>
      </c>
      <c r="AL7697" s="85"/>
      <c r="AM7697" s="85"/>
    </row>
    <row r="7698" spans="1:39" s="86" customFormat="1" ht="13.25" hidden="1" customHeight="1" x14ac:dyDescent="0.3">
      <c r="A7698" s="89" t="s">
        <v>3978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3767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184"/>
        <v>30</v>
      </c>
      <c r="X7698" s="6">
        <f t="shared" si="1188"/>
        <v>0</v>
      </c>
      <c r="Y7698" s="13">
        <f t="shared" si="1190"/>
        <v>0</v>
      </c>
      <c r="Z7698" s="14">
        <v>0</v>
      </c>
      <c r="AA7698" s="6">
        <v>0</v>
      </c>
      <c r="AB7698" s="4">
        <f t="shared" si="1191"/>
        <v>0</v>
      </c>
      <c r="AC7698" s="6">
        <f t="shared" si="1189"/>
        <v>0</v>
      </c>
      <c r="AD7698" s="6">
        <f t="shared" si="1185"/>
        <v>0</v>
      </c>
      <c r="AE7698" s="14">
        <f>VLOOKUP(I7698,[2]媒体政策预估表!A:N,MATCH(O7698,[2]媒体政策预估表!$A$2:$M$2,0),0)</f>
        <v>7.0000000000000007E-2</v>
      </c>
      <c r="AF7698" s="6">
        <f t="shared" si="1187"/>
        <v>0</v>
      </c>
      <c r="AG7698" s="14">
        <v>0</v>
      </c>
      <c r="AH7698" s="64">
        <f t="shared" si="1186"/>
        <v>0</v>
      </c>
      <c r="AJ7698" s="126" t="e">
        <v>#N/A</v>
      </c>
      <c r="AK7698" s="80">
        <f t="shared" si="1192"/>
        <v>0</v>
      </c>
      <c r="AL7698" s="85"/>
      <c r="AM7698" s="85"/>
    </row>
    <row r="7699" spans="1:39" s="86" customFormat="1" ht="13.25" hidden="1" customHeight="1" x14ac:dyDescent="0.3">
      <c r="A7699" s="89" t="s">
        <v>3978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3767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184"/>
        <v>459.70000000000073</v>
      </c>
      <c r="X7699" s="6">
        <f t="shared" si="1188"/>
        <v>0</v>
      </c>
      <c r="Y7699" s="13">
        <f t="shared" si="1190"/>
        <v>0</v>
      </c>
      <c r="Z7699" s="14">
        <v>0</v>
      </c>
      <c r="AA7699" s="6">
        <v>0</v>
      </c>
      <c r="AB7699" s="4">
        <f t="shared" si="1191"/>
        <v>0</v>
      </c>
      <c r="AC7699" s="6">
        <f t="shared" si="1189"/>
        <v>0</v>
      </c>
      <c r="AD7699" s="6">
        <f t="shared" si="1185"/>
        <v>0</v>
      </c>
      <c r="AE7699" s="14">
        <f>VLOOKUP(I7699,[2]媒体政策预估表!A:N,MATCH(O7699,[2]媒体政策预估表!$A$2:$M$2,0),0)</f>
        <v>7.0000000000000007E-2</v>
      </c>
      <c r="AF7699" s="6">
        <f t="shared" si="1187"/>
        <v>0</v>
      </c>
      <c r="AG7699" s="14">
        <v>0</v>
      </c>
      <c r="AH7699" s="64">
        <f t="shared" si="1186"/>
        <v>0</v>
      </c>
      <c r="AJ7699" s="126" t="e">
        <v>#N/A</v>
      </c>
      <c r="AK7699" s="80">
        <f t="shared" si="1192"/>
        <v>0</v>
      </c>
      <c r="AL7699" s="85"/>
      <c r="AM7699" s="85"/>
    </row>
    <row r="7700" spans="1:39" s="86" customFormat="1" ht="13.25" hidden="1" customHeight="1" x14ac:dyDescent="0.3">
      <c r="A7700" s="89" t="s">
        <v>3978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3767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184"/>
        <v>7180.6399999999994</v>
      </c>
      <c r="X7700" s="6">
        <f t="shared" si="1188"/>
        <v>0</v>
      </c>
      <c r="Y7700" s="13">
        <f t="shared" si="1190"/>
        <v>0</v>
      </c>
      <c r="Z7700" s="14">
        <v>0</v>
      </c>
      <c r="AA7700" s="6">
        <v>0</v>
      </c>
      <c r="AB7700" s="4">
        <f t="shared" si="1191"/>
        <v>0</v>
      </c>
      <c r="AC7700" s="6">
        <f t="shared" si="1189"/>
        <v>0</v>
      </c>
      <c r="AD7700" s="6">
        <f t="shared" si="1185"/>
        <v>0</v>
      </c>
      <c r="AE7700" s="14">
        <f>VLOOKUP(I7700,[2]媒体政策预估表!A:N,MATCH(O7700,[2]媒体政策预估表!$A$2:$M$2,0),0)</f>
        <v>7.0000000000000007E-2</v>
      </c>
      <c r="AF7700" s="6">
        <f t="shared" si="1187"/>
        <v>0</v>
      </c>
      <c r="AG7700" s="14">
        <v>0</v>
      </c>
      <c r="AH7700" s="64">
        <f t="shared" si="1186"/>
        <v>0</v>
      </c>
      <c r="AJ7700" s="126" t="e">
        <v>#N/A</v>
      </c>
      <c r="AK7700" s="80">
        <f t="shared" si="1192"/>
        <v>0</v>
      </c>
      <c r="AL7700" s="85"/>
      <c r="AM7700" s="85"/>
    </row>
    <row r="7701" spans="1:39" s="86" customFormat="1" ht="13.25" hidden="1" customHeight="1" x14ac:dyDescent="0.3">
      <c r="A7701" s="89" t="s">
        <v>3978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3767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184"/>
        <v>473.05999999999767</v>
      </c>
      <c r="X7701" s="6">
        <f t="shared" si="1188"/>
        <v>0</v>
      </c>
      <c r="Y7701" s="13">
        <f t="shared" si="1190"/>
        <v>0</v>
      </c>
      <c r="Z7701" s="14">
        <v>0</v>
      </c>
      <c r="AA7701" s="6">
        <v>0</v>
      </c>
      <c r="AB7701" s="4">
        <f t="shared" si="1191"/>
        <v>0</v>
      </c>
      <c r="AC7701" s="6">
        <f t="shared" si="1189"/>
        <v>0</v>
      </c>
      <c r="AD7701" s="6">
        <f t="shared" si="1185"/>
        <v>0</v>
      </c>
      <c r="AE7701" s="14">
        <f>VLOOKUP(I7701,[2]媒体政策预估表!A:N,MATCH(O7701,[2]媒体政策预估表!$A$2:$M$2,0),0)</f>
        <v>7.0000000000000007E-2</v>
      </c>
      <c r="AF7701" s="6">
        <f t="shared" si="1187"/>
        <v>0</v>
      </c>
      <c r="AG7701" s="14">
        <v>0</v>
      </c>
      <c r="AH7701" s="64">
        <f t="shared" si="1186"/>
        <v>0</v>
      </c>
      <c r="AJ7701" s="126" t="e">
        <v>#N/A</v>
      </c>
      <c r="AK7701" s="80">
        <f t="shared" si="1192"/>
        <v>0</v>
      </c>
      <c r="AL7701" s="85"/>
      <c r="AM7701" s="85"/>
    </row>
    <row r="7702" spans="1:39" s="86" customFormat="1" ht="13.25" hidden="1" customHeight="1" x14ac:dyDescent="0.3">
      <c r="A7702" s="89" t="s">
        <v>3792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3767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184"/>
        <v>1161555.46</v>
      </c>
      <c r="X7702" s="6">
        <f t="shared" si="1188"/>
        <v>0</v>
      </c>
      <c r="Y7702" s="13">
        <f t="shared" si="1190"/>
        <v>0</v>
      </c>
      <c r="Z7702" s="14">
        <v>0</v>
      </c>
      <c r="AA7702" s="6">
        <v>0</v>
      </c>
      <c r="AB7702" s="4">
        <f t="shared" si="1191"/>
        <v>0</v>
      </c>
      <c r="AC7702" s="6">
        <f t="shared" si="1189"/>
        <v>0</v>
      </c>
      <c r="AD7702" s="6">
        <f t="shared" si="1185"/>
        <v>0</v>
      </c>
      <c r="AE7702" s="14">
        <f>VLOOKUP(I7702,[2]媒体政策预估表!A:N,MATCH(O7702,[2]媒体政策预估表!$A$2:$M$2,0),0)</f>
        <v>0.1</v>
      </c>
      <c r="AF7702" s="6">
        <f t="shared" si="1187"/>
        <v>0</v>
      </c>
      <c r="AG7702" s="14">
        <v>0</v>
      </c>
      <c r="AH7702" s="64">
        <f t="shared" si="1186"/>
        <v>0</v>
      </c>
      <c r="AJ7702" s="126" t="e">
        <v>#N/A</v>
      </c>
      <c r="AK7702" s="80">
        <f t="shared" si="1192"/>
        <v>0</v>
      </c>
      <c r="AL7702" s="85"/>
      <c r="AM7702" s="85"/>
    </row>
    <row r="7703" spans="1:39" s="86" customFormat="1" ht="13.25" hidden="1" customHeight="1" x14ac:dyDescent="0.3">
      <c r="A7703" s="89" t="s">
        <v>3978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3767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184"/>
        <v>466.36999999999972</v>
      </c>
      <c r="X7703" s="6">
        <f t="shared" si="1188"/>
        <v>0</v>
      </c>
      <c r="Y7703" s="13">
        <f t="shared" si="1190"/>
        <v>0</v>
      </c>
      <c r="Z7703" s="14">
        <v>0</v>
      </c>
      <c r="AA7703" s="6">
        <v>0</v>
      </c>
      <c r="AB7703" s="4">
        <f t="shared" si="1191"/>
        <v>0</v>
      </c>
      <c r="AC7703" s="6">
        <f t="shared" si="1189"/>
        <v>0</v>
      </c>
      <c r="AD7703" s="6">
        <f t="shared" si="1185"/>
        <v>0</v>
      </c>
      <c r="AE7703" s="14">
        <f>VLOOKUP(I7703,[2]媒体政策预估表!A:N,MATCH(O7703,[2]媒体政策预估表!$A$2:$M$2,0),0)</f>
        <v>7.0000000000000007E-2</v>
      </c>
      <c r="AF7703" s="6">
        <f t="shared" si="1187"/>
        <v>0</v>
      </c>
      <c r="AG7703" s="14">
        <v>0</v>
      </c>
      <c r="AH7703" s="64">
        <f t="shared" si="1186"/>
        <v>0</v>
      </c>
      <c r="AJ7703" s="126" t="e">
        <v>#N/A</v>
      </c>
      <c r="AK7703" s="80">
        <f t="shared" si="1192"/>
        <v>0</v>
      </c>
      <c r="AL7703" s="85"/>
      <c r="AM7703" s="85"/>
    </row>
    <row r="7704" spans="1:39" s="86" customFormat="1" ht="13.25" hidden="1" customHeight="1" x14ac:dyDescent="0.3">
      <c r="A7704" s="89" t="s">
        <v>3805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3767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184"/>
        <v>485.10000000000036</v>
      </c>
      <c r="X7704" s="6">
        <f t="shared" si="1188"/>
        <v>0</v>
      </c>
      <c r="Y7704" s="13">
        <f t="shared" si="1190"/>
        <v>0</v>
      </c>
      <c r="Z7704" s="14">
        <v>0</v>
      </c>
      <c r="AA7704" s="6">
        <v>0</v>
      </c>
      <c r="AB7704" s="4">
        <f t="shared" si="1191"/>
        <v>0</v>
      </c>
      <c r="AC7704" s="6">
        <f t="shared" si="1189"/>
        <v>0</v>
      </c>
      <c r="AD7704" s="6">
        <f t="shared" si="1185"/>
        <v>0</v>
      </c>
      <c r="AE7704" s="14">
        <f>VLOOKUP(I7704,[2]媒体政策预估表!A:N,MATCH(O7704,[2]媒体政策预估表!$A$2:$M$2,0),0)</f>
        <v>7.0000000000000007E-2</v>
      </c>
      <c r="AF7704" s="6">
        <f t="shared" si="1187"/>
        <v>0</v>
      </c>
      <c r="AG7704" s="14">
        <v>0</v>
      </c>
      <c r="AH7704" s="64">
        <f t="shared" si="1186"/>
        <v>0</v>
      </c>
      <c r="AJ7704" s="126" t="e">
        <v>#N/A</v>
      </c>
      <c r="AK7704" s="80">
        <f t="shared" si="1192"/>
        <v>0</v>
      </c>
      <c r="AL7704" s="85"/>
      <c r="AM7704" s="85"/>
    </row>
    <row r="7705" spans="1:39" s="86" customFormat="1" ht="13.25" hidden="1" customHeight="1" x14ac:dyDescent="0.3">
      <c r="A7705" s="89" t="s">
        <v>3978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3767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193">T7705+U7705-V7705</f>
        <v>489.29999999999927</v>
      </c>
      <c r="X7705" s="6">
        <f t="shared" si="1188"/>
        <v>0</v>
      </c>
      <c r="Y7705" s="13">
        <f t="shared" si="1190"/>
        <v>0</v>
      </c>
      <c r="Z7705" s="14">
        <v>0</v>
      </c>
      <c r="AA7705" s="6">
        <v>0</v>
      </c>
      <c r="AB7705" s="4">
        <f t="shared" si="1191"/>
        <v>0</v>
      </c>
      <c r="AC7705" s="6">
        <f t="shared" si="1189"/>
        <v>0</v>
      </c>
      <c r="AD7705" s="6">
        <f t="shared" ref="AD7705:AD7768" si="1194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187"/>
        <v>0</v>
      </c>
      <c r="AG7705" s="14">
        <v>0</v>
      </c>
      <c r="AH7705" s="64">
        <f t="shared" ref="AH7705:AH7768" si="1195">V7705</f>
        <v>0</v>
      </c>
      <c r="AJ7705" s="126" t="e">
        <v>#N/A</v>
      </c>
      <c r="AK7705" s="80">
        <f t="shared" si="1192"/>
        <v>0</v>
      </c>
      <c r="AL7705" s="85"/>
      <c r="AM7705" s="85"/>
    </row>
    <row r="7706" spans="1:39" s="86" customFormat="1" ht="13.25" hidden="1" customHeight="1" x14ac:dyDescent="0.3">
      <c r="A7706" s="89" t="s">
        <v>3978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3767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193"/>
        <v>496.09999999999746</v>
      </c>
      <c r="X7706" s="6">
        <f t="shared" si="1188"/>
        <v>0</v>
      </c>
      <c r="Y7706" s="13">
        <f t="shared" si="1190"/>
        <v>0</v>
      </c>
      <c r="Z7706" s="14">
        <v>0</v>
      </c>
      <c r="AA7706" s="6">
        <v>0</v>
      </c>
      <c r="AB7706" s="4">
        <f t="shared" si="1191"/>
        <v>0</v>
      </c>
      <c r="AC7706" s="6">
        <f t="shared" si="1189"/>
        <v>0</v>
      </c>
      <c r="AD7706" s="6">
        <f t="shared" si="1194"/>
        <v>0</v>
      </c>
      <c r="AE7706" s="14">
        <f>VLOOKUP(I7706,[2]媒体政策预估表!A:N,MATCH(O7706,[2]媒体政策预估表!$A$2:$M$2,0),0)</f>
        <v>7.0000000000000007E-2</v>
      </c>
      <c r="AF7706" s="6">
        <f t="shared" si="1187"/>
        <v>0</v>
      </c>
      <c r="AG7706" s="14">
        <v>0</v>
      </c>
      <c r="AH7706" s="64">
        <f t="shared" si="1195"/>
        <v>0</v>
      </c>
      <c r="AJ7706" s="126" t="e">
        <v>#N/A</v>
      </c>
      <c r="AK7706" s="80">
        <f t="shared" si="1192"/>
        <v>0</v>
      </c>
      <c r="AL7706" s="85"/>
      <c r="AM7706" s="85"/>
    </row>
    <row r="7707" spans="1:39" s="86" customFormat="1" ht="13.25" hidden="1" customHeight="1" x14ac:dyDescent="0.3">
      <c r="A7707" s="89" t="s">
        <v>3978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193"/>
        <v>60018.100000000006</v>
      </c>
      <c r="X7707" s="6">
        <f t="shared" si="1188"/>
        <v>0</v>
      </c>
      <c r="Y7707" s="13">
        <f t="shared" si="1190"/>
        <v>0</v>
      </c>
      <c r="Z7707" s="14">
        <v>0</v>
      </c>
      <c r="AA7707" s="6">
        <v>0</v>
      </c>
      <c r="AB7707" s="4">
        <f t="shared" si="1191"/>
        <v>0</v>
      </c>
      <c r="AC7707" s="6">
        <f t="shared" si="1189"/>
        <v>0</v>
      </c>
      <c r="AD7707" s="6">
        <f t="shared" si="1194"/>
        <v>0</v>
      </c>
      <c r="AE7707" s="14">
        <f>VLOOKUP(I7707,[2]媒体政策预估表!A:N,MATCH(O7707,[2]媒体政策预估表!$A$2:$M$2,0),0)</f>
        <v>0.02</v>
      </c>
      <c r="AF7707" s="6">
        <f t="shared" si="1187"/>
        <v>0</v>
      </c>
      <c r="AG7707" s="14">
        <v>0</v>
      </c>
      <c r="AH7707" s="64">
        <f t="shared" si="1195"/>
        <v>0</v>
      </c>
      <c r="AJ7707" s="126" t="e">
        <v>#N/A</v>
      </c>
      <c r="AK7707" s="80">
        <f t="shared" si="1192"/>
        <v>0</v>
      </c>
      <c r="AL7707" s="85"/>
      <c r="AM7707" s="85"/>
    </row>
    <row r="7708" spans="1:39" s="86" customFormat="1" ht="13.25" hidden="1" customHeight="1" x14ac:dyDescent="0.3">
      <c r="A7708" s="89" t="s">
        <v>3978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3767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193"/>
        <v>286.97000000000116</v>
      </c>
      <c r="X7708" s="6">
        <f t="shared" si="1188"/>
        <v>0</v>
      </c>
      <c r="Y7708" s="13">
        <f t="shared" si="1190"/>
        <v>0</v>
      </c>
      <c r="Z7708" s="14">
        <v>0</v>
      </c>
      <c r="AA7708" s="6">
        <v>0</v>
      </c>
      <c r="AB7708" s="4">
        <f t="shared" si="1191"/>
        <v>0</v>
      </c>
      <c r="AC7708" s="6">
        <f t="shared" si="1189"/>
        <v>0</v>
      </c>
      <c r="AD7708" s="6">
        <f t="shared" si="1194"/>
        <v>0</v>
      </c>
      <c r="AE7708" s="14">
        <f>VLOOKUP(I7708,[2]媒体政策预估表!A:N,MATCH(O7708,[2]媒体政策预估表!$A$2:$M$2,0),0)</f>
        <v>7.0000000000000007E-2</v>
      </c>
      <c r="AF7708" s="6">
        <f t="shared" si="1187"/>
        <v>0</v>
      </c>
      <c r="AG7708" s="14">
        <v>0</v>
      </c>
      <c r="AH7708" s="64">
        <f t="shared" si="1195"/>
        <v>0</v>
      </c>
      <c r="AJ7708" s="126" t="e">
        <v>#N/A</v>
      </c>
      <c r="AK7708" s="80">
        <f t="shared" si="1192"/>
        <v>0</v>
      </c>
      <c r="AL7708" s="85"/>
      <c r="AM7708" s="85"/>
    </row>
    <row r="7709" spans="1:39" s="86" customFormat="1" ht="13.25" hidden="1" customHeight="1" x14ac:dyDescent="0.3">
      <c r="A7709" s="89" t="s">
        <v>3805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3767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193"/>
        <v>-76668.102480000001</v>
      </c>
      <c r="X7709" s="6">
        <f t="shared" si="1188"/>
        <v>0</v>
      </c>
      <c r="Y7709" s="13">
        <f t="shared" si="1190"/>
        <v>0</v>
      </c>
      <c r="Z7709" s="14">
        <v>0</v>
      </c>
      <c r="AA7709" s="6">
        <v>0</v>
      </c>
      <c r="AB7709" s="4">
        <f t="shared" si="1191"/>
        <v>0</v>
      </c>
      <c r="AC7709" s="6">
        <f t="shared" si="1189"/>
        <v>0</v>
      </c>
      <c r="AD7709" s="6">
        <f t="shared" si="1194"/>
        <v>0</v>
      </c>
      <c r="AE7709" s="14">
        <f>VLOOKUP(I7709,[2]媒体政策预估表!A:N,MATCH(O7709,[2]媒体政策预估表!$A$2:$M$2,0),0)</f>
        <v>0.1</v>
      </c>
      <c r="AF7709" s="6">
        <f t="shared" si="1187"/>
        <v>0</v>
      </c>
      <c r="AG7709" s="14">
        <v>0</v>
      </c>
      <c r="AH7709" s="64">
        <f t="shared" si="1195"/>
        <v>0</v>
      </c>
      <c r="AJ7709" s="126" t="e">
        <v>#N/A</v>
      </c>
      <c r="AK7709" s="80">
        <f t="shared" si="1192"/>
        <v>0</v>
      </c>
      <c r="AL7709" s="85"/>
      <c r="AM7709" s="85"/>
    </row>
    <row r="7710" spans="1:39" s="86" customFormat="1" ht="13.25" hidden="1" customHeight="1" x14ac:dyDescent="0.3">
      <c r="A7710" s="89" t="s">
        <v>3978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3767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193"/>
        <v>0</v>
      </c>
      <c r="X7710" s="6">
        <f t="shared" si="1188"/>
        <v>18333.883495145634</v>
      </c>
      <c r="Y7710" s="13">
        <f t="shared" si="1190"/>
        <v>0</v>
      </c>
      <c r="Z7710" s="14">
        <v>0</v>
      </c>
      <c r="AA7710" s="6">
        <v>0</v>
      </c>
      <c r="AB7710" s="4">
        <f t="shared" si="1191"/>
        <v>18333.883495145634</v>
      </c>
      <c r="AC7710" s="6">
        <f t="shared" si="1189"/>
        <v>550.01650485436767</v>
      </c>
      <c r="AD7710" s="6">
        <f t="shared" si="1194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187"/>
        <v>1321.8730000000003</v>
      </c>
      <c r="AG7710" s="14">
        <v>0</v>
      </c>
      <c r="AH7710" s="64">
        <f t="shared" si="1195"/>
        <v>18883.900000000001</v>
      </c>
      <c r="AJ7710" s="126" t="e">
        <v>#N/A</v>
      </c>
      <c r="AK7710" s="80">
        <f t="shared" si="1192"/>
        <v>0</v>
      </c>
      <c r="AL7710" s="85"/>
      <c r="AM7710" s="85"/>
    </row>
    <row r="7711" spans="1:39" s="86" customFormat="1" ht="13.25" hidden="1" customHeight="1" x14ac:dyDescent="0.3">
      <c r="A7711" s="89" t="s">
        <v>3978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3767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193"/>
        <v>1676.5299999999988</v>
      </c>
      <c r="X7711" s="6">
        <f t="shared" si="1188"/>
        <v>0</v>
      </c>
      <c r="Y7711" s="13">
        <f t="shared" si="1190"/>
        <v>0</v>
      </c>
      <c r="Z7711" s="14">
        <v>0</v>
      </c>
      <c r="AA7711" s="6">
        <v>0</v>
      </c>
      <c r="AB7711" s="4"/>
      <c r="AC7711" s="6">
        <f t="shared" si="1189"/>
        <v>0</v>
      </c>
      <c r="AD7711" s="6">
        <f t="shared" si="1194"/>
        <v>0</v>
      </c>
      <c r="AE7711" s="14">
        <f>VLOOKUP(I7711,[2]媒体政策预估表!A:N,MATCH(O7711,[2]媒体政策预估表!$A$2:$M$2,0),0)</f>
        <v>0.1</v>
      </c>
      <c r="AF7711" s="6">
        <f t="shared" si="1187"/>
        <v>0</v>
      </c>
      <c r="AG7711" s="14">
        <v>0</v>
      </c>
      <c r="AH7711" s="64">
        <f t="shared" si="1195"/>
        <v>0</v>
      </c>
      <c r="AJ7711" s="126">
        <v>20</v>
      </c>
      <c r="AK7711" s="80">
        <f t="shared" si="1192"/>
        <v>0</v>
      </c>
      <c r="AL7711" s="85"/>
      <c r="AM7711" s="85"/>
    </row>
    <row r="7712" spans="1:39" s="86" customFormat="1" ht="13.25" hidden="1" customHeight="1" x14ac:dyDescent="0.3">
      <c r="A7712" s="89" t="s">
        <v>3792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3767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193"/>
        <v>1716.83</v>
      </c>
      <c r="X7712" s="6">
        <f t="shared" si="1188"/>
        <v>0</v>
      </c>
      <c r="Y7712" s="13">
        <f t="shared" si="1190"/>
        <v>0</v>
      </c>
      <c r="Z7712" s="14">
        <v>0</v>
      </c>
      <c r="AA7712" s="6">
        <v>0</v>
      </c>
      <c r="AB7712" s="4">
        <f t="shared" si="1191"/>
        <v>0</v>
      </c>
      <c r="AC7712" s="6">
        <f t="shared" si="1189"/>
        <v>0</v>
      </c>
      <c r="AD7712" s="6">
        <f t="shared" si="1194"/>
        <v>0</v>
      </c>
      <c r="AE7712" s="14">
        <f>VLOOKUP(I7712,[2]媒体政策预估表!A:N,MATCH(O7712,[2]媒体政策预估表!$A$2:$M$2,0),0)</f>
        <v>7.0000000000000007E-2</v>
      </c>
      <c r="AF7712" s="6">
        <f t="shared" si="1187"/>
        <v>0</v>
      </c>
      <c r="AG7712" s="14">
        <v>0</v>
      </c>
      <c r="AH7712" s="64">
        <f t="shared" si="1195"/>
        <v>0</v>
      </c>
      <c r="AJ7712" s="126" t="e">
        <v>#N/A</v>
      </c>
      <c r="AK7712" s="80">
        <f t="shared" si="1192"/>
        <v>0</v>
      </c>
      <c r="AL7712" s="85"/>
      <c r="AM7712" s="85"/>
    </row>
    <row r="7713" spans="1:39" s="86" customFormat="1" ht="13.25" hidden="1" customHeight="1" x14ac:dyDescent="0.3">
      <c r="A7713" s="89" t="s">
        <v>3978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3767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193"/>
        <v>2.0199999999895226</v>
      </c>
      <c r="X7713" s="6">
        <f t="shared" si="1188"/>
        <v>0</v>
      </c>
      <c r="Y7713" s="13">
        <f t="shared" si="1190"/>
        <v>0</v>
      </c>
      <c r="Z7713" s="14">
        <v>0</v>
      </c>
      <c r="AA7713" s="6">
        <v>0</v>
      </c>
      <c r="AB7713" s="4">
        <f t="shared" si="1191"/>
        <v>0</v>
      </c>
      <c r="AC7713" s="6">
        <f t="shared" si="1189"/>
        <v>0</v>
      </c>
      <c r="AD7713" s="6">
        <f t="shared" si="1194"/>
        <v>0</v>
      </c>
      <c r="AE7713" s="14">
        <f>VLOOKUP(I7713,[2]媒体政策预估表!A:N,MATCH(O7713,[2]媒体政策预估表!$A$2:$M$2,0),0)</f>
        <v>7.0000000000000007E-2</v>
      </c>
      <c r="AF7713" s="6">
        <f t="shared" si="1187"/>
        <v>0</v>
      </c>
      <c r="AG7713" s="14">
        <v>0</v>
      </c>
      <c r="AH7713" s="64">
        <f t="shared" si="1195"/>
        <v>0</v>
      </c>
      <c r="AJ7713" s="126" t="e">
        <v>#N/A</v>
      </c>
      <c r="AK7713" s="80">
        <f t="shared" si="1192"/>
        <v>0</v>
      </c>
      <c r="AL7713" s="85"/>
      <c r="AM7713" s="85"/>
    </row>
    <row r="7714" spans="1:39" s="86" customFormat="1" ht="13.25" hidden="1" customHeight="1" x14ac:dyDescent="0.3">
      <c r="A7714" s="89" t="s">
        <v>3978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3767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193"/>
        <v>2027.2165199999936</v>
      </c>
      <c r="X7714" s="6">
        <f t="shared" si="1188"/>
        <v>0</v>
      </c>
      <c r="Y7714" s="13">
        <f t="shared" si="1190"/>
        <v>0</v>
      </c>
      <c r="Z7714" s="14">
        <v>0</v>
      </c>
      <c r="AA7714" s="6">
        <v>0</v>
      </c>
      <c r="AB7714" s="4">
        <f t="shared" si="1191"/>
        <v>0</v>
      </c>
      <c r="AC7714" s="6">
        <f t="shared" si="1189"/>
        <v>0</v>
      </c>
      <c r="AD7714" s="6">
        <f t="shared" si="1194"/>
        <v>0</v>
      </c>
      <c r="AE7714" s="14">
        <f>VLOOKUP(I7714,[2]媒体政策预估表!A:N,MATCH(O7714,[2]媒体政策预估表!$A$2:$M$2,0),0)</f>
        <v>0.1</v>
      </c>
      <c r="AF7714" s="6">
        <f t="shared" si="1187"/>
        <v>0</v>
      </c>
      <c r="AG7714" s="14">
        <v>0</v>
      </c>
      <c r="AH7714" s="64">
        <f t="shared" si="1195"/>
        <v>0</v>
      </c>
      <c r="AJ7714" s="126" t="e">
        <v>#N/A</v>
      </c>
      <c r="AK7714" s="80">
        <f t="shared" si="1192"/>
        <v>0</v>
      </c>
      <c r="AL7714" s="85"/>
      <c r="AM7714" s="85"/>
    </row>
    <row r="7715" spans="1:39" s="86" customFormat="1" ht="13.25" hidden="1" customHeight="1" x14ac:dyDescent="0.3">
      <c r="A7715" s="89" t="s">
        <v>3978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3767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193"/>
        <v>397.55999999999403</v>
      </c>
      <c r="X7715" s="6">
        <f t="shared" si="1188"/>
        <v>0</v>
      </c>
      <c r="Y7715" s="13">
        <f t="shared" si="1190"/>
        <v>0</v>
      </c>
      <c r="Z7715" s="14">
        <v>0</v>
      </c>
      <c r="AA7715" s="6">
        <v>0</v>
      </c>
      <c r="AB7715" s="4">
        <f t="shared" si="1191"/>
        <v>0</v>
      </c>
      <c r="AC7715" s="6">
        <f t="shared" si="1189"/>
        <v>0</v>
      </c>
      <c r="AD7715" s="6">
        <f t="shared" si="1194"/>
        <v>0</v>
      </c>
      <c r="AE7715" s="14">
        <f>VLOOKUP(I7715,[2]媒体政策预估表!A:N,MATCH(O7715,[2]媒体政策预估表!$A$2:$M$2,0),0)</f>
        <v>7.0000000000000007E-2</v>
      </c>
      <c r="AF7715" s="6">
        <f t="shared" si="1187"/>
        <v>0</v>
      </c>
      <c r="AG7715" s="14">
        <v>0</v>
      </c>
      <c r="AH7715" s="64">
        <f t="shared" si="1195"/>
        <v>0</v>
      </c>
      <c r="AJ7715" s="126" t="s">
        <v>4222</v>
      </c>
      <c r="AK7715" s="80">
        <f t="shared" si="1192"/>
        <v>0</v>
      </c>
      <c r="AL7715" s="150"/>
      <c r="AM7715" s="85"/>
    </row>
    <row r="7716" spans="1:39" s="86" customFormat="1" ht="13.25" hidden="1" customHeight="1" x14ac:dyDescent="0.3">
      <c r="A7716" s="89" t="s">
        <v>3978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3767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193"/>
        <v>8138.9999999999927</v>
      </c>
      <c r="X7716" s="6">
        <f t="shared" si="1188"/>
        <v>0</v>
      </c>
      <c r="Y7716" s="13">
        <f t="shared" si="1190"/>
        <v>0</v>
      </c>
      <c r="Z7716" s="14">
        <v>0</v>
      </c>
      <c r="AA7716" s="6">
        <v>0</v>
      </c>
      <c r="AB7716" s="4">
        <f t="shared" si="1191"/>
        <v>0</v>
      </c>
      <c r="AC7716" s="6">
        <f t="shared" si="1189"/>
        <v>0</v>
      </c>
      <c r="AD7716" s="6">
        <f t="shared" si="1194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196">AD7716*AE7716</f>
        <v>0</v>
      </c>
      <c r="AG7716" s="14">
        <v>0</v>
      </c>
      <c r="AH7716" s="64">
        <f t="shared" si="1195"/>
        <v>0</v>
      </c>
      <c r="AJ7716" s="126" t="e">
        <v>#N/A</v>
      </c>
      <c r="AK7716" s="80">
        <f t="shared" si="1192"/>
        <v>0</v>
      </c>
      <c r="AL7716" s="85"/>
      <c r="AM7716" s="85"/>
    </row>
    <row r="7717" spans="1:39" s="86" customFormat="1" ht="13.25" hidden="1" customHeight="1" x14ac:dyDescent="0.3">
      <c r="A7717" s="89" t="s">
        <v>3978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3767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193"/>
        <v>2957.1000000000004</v>
      </c>
      <c r="X7717" s="6">
        <f t="shared" si="1188"/>
        <v>0</v>
      </c>
      <c r="Y7717" s="13">
        <f t="shared" si="1190"/>
        <v>0</v>
      </c>
      <c r="Z7717" s="14">
        <v>0</v>
      </c>
      <c r="AA7717" s="6">
        <v>0</v>
      </c>
      <c r="AB7717" s="4">
        <f t="shared" si="1191"/>
        <v>0</v>
      </c>
      <c r="AC7717" s="6">
        <f t="shared" si="1189"/>
        <v>0</v>
      </c>
      <c r="AD7717" s="6">
        <f t="shared" si="1194"/>
        <v>0</v>
      </c>
      <c r="AE7717" s="14">
        <f>VLOOKUP(I7717,[2]媒体政策预估表!A:N,MATCH(O7717,[2]媒体政策预估表!$A$2:$M$2,0),0)</f>
        <v>7.0000000000000007E-2</v>
      </c>
      <c r="AF7717" s="6">
        <f t="shared" si="1196"/>
        <v>0</v>
      </c>
      <c r="AG7717" s="14">
        <v>0</v>
      </c>
      <c r="AH7717" s="64">
        <f t="shared" si="1195"/>
        <v>0</v>
      </c>
      <c r="AJ7717" s="126" t="e">
        <v>#N/A</v>
      </c>
      <c r="AK7717" s="80">
        <f t="shared" si="1192"/>
        <v>0</v>
      </c>
      <c r="AL7717" s="85"/>
      <c r="AM7717" s="85"/>
    </row>
    <row r="7718" spans="1:39" s="86" customFormat="1" ht="13.25" hidden="1" customHeight="1" x14ac:dyDescent="0.3">
      <c r="A7718" s="89" t="s">
        <v>3978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3767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193"/>
        <v>376.56999999999971</v>
      </c>
      <c r="X7718" s="6">
        <f t="shared" si="1188"/>
        <v>0</v>
      </c>
      <c r="Y7718" s="13">
        <f t="shared" si="1190"/>
        <v>0</v>
      </c>
      <c r="Z7718" s="14">
        <v>0</v>
      </c>
      <c r="AA7718" s="6">
        <v>0</v>
      </c>
      <c r="AB7718" s="4">
        <f t="shared" si="1191"/>
        <v>0</v>
      </c>
      <c r="AC7718" s="6">
        <f t="shared" si="1189"/>
        <v>0</v>
      </c>
      <c r="AD7718" s="6">
        <f t="shared" si="1194"/>
        <v>0</v>
      </c>
      <c r="AE7718" s="14">
        <f>VLOOKUP(I7718,[2]媒体政策预估表!A:N,MATCH(O7718,[2]媒体政策预估表!$A$2:$M$2,0),0)</f>
        <v>7.0000000000000007E-2</v>
      </c>
      <c r="AF7718" s="6">
        <f t="shared" si="1196"/>
        <v>0</v>
      </c>
      <c r="AG7718" s="14">
        <v>0</v>
      </c>
      <c r="AH7718" s="64">
        <f t="shared" si="1195"/>
        <v>0</v>
      </c>
      <c r="AJ7718" s="126" t="e">
        <v>#N/A</v>
      </c>
      <c r="AK7718" s="80">
        <f t="shared" si="1192"/>
        <v>0</v>
      </c>
      <c r="AL7718" s="85"/>
      <c r="AM7718" s="85"/>
    </row>
    <row r="7719" spans="1:39" s="86" customFormat="1" ht="13.25" hidden="1" customHeight="1" x14ac:dyDescent="0.3">
      <c r="A7719" s="89" t="s">
        <v>3792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3767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193"/>
        <v>459.09999999999854</v>
      </c>
      <c r="X7719" s="6">
        <f t="shared" si="1188"/>
        <v>0</v>
      </c>
      <c r="Y7719" s="13">
        <f t="shared" si="1190"/>
        <v>0</v>
      </c>
      <c r="Z7719" s="14">
        <v>0</v>
      </c>
      <c r="AA7719" s="6">
        <v>0</v>
      </c>
      <c r="AB7719" s="4">
        <f t="shared" si="1191"/>
        <v>0</v>
      </c>
      <c r="AC7719" s="6">
        <f t="shared" si="1189"/>
        <v>0</v>
      </c>
      <c r="AD7719" s="6">
        <f t="shared" si="1194"/>
        <v>0</v>
      </c>
      <c r="AE7719" s="14">
        <f>VLOOKUP(I7719,[2]媒体政策预估表!A:N,MATCH(O7719,[2]媒体政策预估表!$A$2:$M$2,0),0)</f>
        <v>7.0000000000000007E-2</v>
      </c>
      <c r="AF7719" s="6">
        <f t="shared" si="1196"/>
        <v>0</v>
      </c>
      <c r="AG7719" s="14">
        <v>0</v>
      </c>
      <c r="AH7719" s="64">
        <f t="shared" si="1195"/>
        <v>0</v>
      </c>
      <c r="AJ7719" s="126" t="e">
        <v>#N/A</v>
      </c>
      <c r="AK7719" s="80">
        <f t="shared" si="1192"/>
        <v>0</v>
      </c>
      <c r="AL7719" s="85"/>
      <c r="AM7719" s="85"/>
    </row>
    <row r="7720" spans="1:39" s="86" customFormat="1" ht="13.25" hidden="1" customHeight="1" x14ac:dyDescent="0.3">
      <c r="A7720" s="89" t="s">
        <v>3792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3767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193"/>
        <v>-36306.883640000022</v>
      </c>
      <c r="X7720" s="6">
        <f t="shared" si="1188"/>
        <v>0</v>
      </c>
      <c r="Y7720" s="13">
        <f t="shared" si="1190"/>
        <v>0</v>
      </c>
      <c r="Z7720" s="14">
        <v>0</v>
      </c>
      <c r="AA7720" s="6">
        <v>0</v>
      </c>
      <c r="AB7720" s="4">
        <f t="shared" si="1191"/>
        <v>0</v>
      </c>
      <c r="AC7720" s="6">
        <f t="shared" si="1189"/>
        <v>0</v>
      </c>
      <c r="AD7720" s="6">
        <f t="shared" si="1194"/>
        <v>0</v>
      </c>
      <c r="AE7720" s="14">
        <f>VLOOKUP(I7720,[2]媒体政策预估表!A:N,MATCH(O7720,[2]媒体政策预估表!$A$2:$M$2,0),0)</f>
        <v>0.1</v>
      </c>
      <c r="AF7720" s="6">
        <f t="shared" si="1196"/>
        <v>0</v>
      </c>
      <c r="AG7720" s="14">
        <v>0</v>
      </c>
      <c r="AH7720" s="64">
        <f t="shared" si="1195"/>
        <v>0</v>
      </c>
      <c r="AJ7720" s="126" t="e">
        <v>#N/A</v>
      </c>
      <c r="AK7720" s="80">
        <f t="shared" si="1192"/>
        <v>0</v>
      </c>
      <c r="AL7720" s="85"/>
      <c r="AM7720" s="85"/>
    </row>
    <row r="7721" spans="1:39" s="86" customFormat="1" ht="13.25" hidden="1" customHeight="1" x14ac:dyDescent="0.3">
      <c r="A7721" s="89" t="s">
        <v>3978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3767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193"/>
        <v>-1590008.6081399997</v>
      </c>
      <c r="X7721" s="6">
        <f t="shared" si="1188"/>
        <v>0</v>
      </c>
      <c r="Y7721" s="13">
        <f t="shared" si="1190"/>
        <v>0</v>
      </c>
      <c r="Z7721" s="14">
        <v>0</v>
      </c>
      <c r="AA7721" s="6">
        <v>0</v>
      </c>
      <c r="AB7721" s="4">
        <f t="shared" si="1191"/>
        <v>0</v>
      </c>
      <c r="AC7721" s="6">
        <f t="shared" si="1189"/>
        <v>0</v>
      </c>
      <c r="AD7721" s="6">
        <f t="shared" si="1194"/>
        <v>0</v>
      </c>
      <c r="AE7721" s="14">
        <f>VLOOKUP(I7721,[2]媒体政策预估表!A:N,MATCH(O7721,[2]媒体政策预估表!$A$2:$M$2,0),0)</f>
        <v>0.1</v>
      </c>
      <c r="AF7721" s="6">
        <f t="shared" si="1196"/>
        <v>0</v>
      </c>
      <c r="AG7721" s="14">
        <v>0</v>
      </c>
      <c r="AH7721" s="64">
        <f t="shared" si="1195"/>
        <v>0</v>
      </c>
      <c r="AJ7721" s="126" t="e">
        <v>#N/A</v>
      </c>
      <c r="AK7721" s="80">
        <f t="shared" si="1192"/>
        <v>0</v>
      </c>
      <c r="AL7721" s="85"/>
      <c r="AM7721" s="85"/>
    </row>
    <row r="7722" spans="1:39" s="86" customFormat="1" ht="13.25" hidden="1" customHeight="1" x14ac:dyDescent="0.3">
      <c r="A7722" s="89" t="s">
        <v>3978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3767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193"/>
        <v>492.5</v>
      </c>
      <c r="X7722" s="6">
        <f t="shared" si="1188"/>
        <v>0</v>
      </c>
      <c r="Y7722" s="13">
        <f t="shared" si="1190"/>
        <v>0</v>
      </c>
      <c r="Z7722" s="14">
        <v>0</v>
      </c>
      <c r="AA7722" s="6">
        <v>0</v>
      </c>
      <c r="AB7722" s="4">
        <f t="shared" si="1191"/>
        <v>0</v>
      </c>
      <c r="AC7722" s="6">
        <f t="shared" si="1189"/>
        <v>0</v>
      </c>
      <c r="AD7722" s="6">
        <f t="shared" si="1194"/>
        <v>0</v>
      </c>
      <c r="AE7722" s="14">
        <f>VLOOKUP(I7722,[2]媒体政策预估表!A:N,MATCH(O7722,[2]媒体政策预估表!$A$2:$M$2,0),0)</f>
        <v>7.0000000000000007E-2</v>
      </c>
      <c r="AF7722" s="6">
        <f t="shared" si="1196"/>
        <v>0</v>
      </c>
      <c r="AG7722" s="14">
        <v>0</v>
      </c>
      <c r="AH7722" s="64">
        <f t="shared" si="1195"/>
        <v>0</v>
      </c>
      <c r="AJ7722" s="126" t="e">
        <v>#N/A</v>
      </c>
      <c r="AK7722" s="80">
        <f t="shared" si="1192"/>
        <v>0</v>
      </c>
      <c r="AL7722" s="85"/>
      <c r="AM7722" s="85"/>
    </row>
    <row r="7723" spans="1:39" s="86" customFormat="1" ht="13.25" hidden="1" customHeight="1" x14ac:dyDescent="0.3">
      <c r="A7723" s="89" t="s">
        <v>3792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3767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193"/>
        <v>1.8000000000029104</v>
      </c>
      <c r="X7723" s="6">
        <f t="shared" si="1188"/>
        <v>0</v>
      </c>
      <c r="Y7723" s="13">
        <f t="shared" si="1190"/>
        <v>0</v>
      </c>
      <c r="Z7723" s="14">
        <v>0</v>
      </c>
      <c r="AA7723" s="6">
        <v>0</v>
      </c>
      <c r="AB7723" s="4">
        <f t="shared" si="1191"/>
        <v>0</v>
      </c>
      <c r="AC7723" s="6">
        <f t="shared" si="1189"/>
        <v>0</v>
      </c>
      <c r="AD7723" s="6">
        <f t="shared" si="1194"/>
        <v>0</v>
      </c>
      <c r="AE7723" s="14">
        <f>VLOOKUP(I7723,[2]媒体政策预估表!A:N,MATCH(O7723,[2]媒体政策预估表!$A$2:$M$2,0),0)</f>
        <v>7.0000000000000007E-2</v>
      </c>
      <c r="AF7723" s="6">
        <f t="shared" si="1196"/>
        <v>0</v>
      </c>
      <c r="AG7723" s="14">
        <v>0</v>
      </c>
      <c r="AH7723" s="64">
        <f t="shared" si="1195"/>
        <v>0</v>
      </c>
      <c r="AJ7723" s="126" t="e">
        <v>#N/A</v>
      </c>
      <c r="AK7723" s="80">
        <f t="shared" si="1192"/>
        <v>0</v>
      </c>
      <c r="AL7723" s="85"/>
      <c r="AM7723" s="85"/>
    </row>
    <row r="7724" spans="1:39" s="86" customFormat="1" ht="13.25" hidden="1" customHeight="1" x14ac:dyDescent="0.3">
      <c r="A7724" s="89" t="s">
        <v>3792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3767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193"/>
        <v>476.60000000000036</v>
      </c>
      <c r="X7724" s="6">
        <f t="shared" si="1188"/>
        <v>0</v>
      </c>
      <c r="Y7724" s="13">
        <f t="shared" si="1190"/>
        <v>0</v>
      </c>
      <c r="Z7724" s="14">
        <v>0</v>
      </c>
      <c r="AA7724" s="6">
        <v>0</v>
      </c>
      <c r="AB7724" s="4">
        <f t="shared" si="1191"/>
        <v>0</v>
      </c>
      <c r="AC7724" s="6">
        <f t="shared" si="1189"/>
        <v>0</v>
      </c>
      <c r="AD7724" s="6">
        <f t="shared" si="1194"/>
        <v>0</v>
      </c>
      <c r="AE7724" s="14">
        <f>VLOOKUP(I7724,[2]媒体政策预估表!A:N,MATCH(O7724,[2]媒体政策预估表!$A$2:$M$2,0),0)</f>
        <v>7.0000000000000007E-2</v>
      </c>
      <c r="AF7724" s="6">
        <f t="shared" si="1196"/>
        <v>0</v>
      </c>
      <c r="AG7724" s="14">
        <v>0</v>
      </c>
      <c r="AH7724" s="64">
        <f t="shared" si="1195"/>
        <v>0</v>
      </c>
      <c r="AJ7724" s="126" t="e">
        <v>#N/A</v>
      </c>
      <c r="AK7724" s="80">
        <f t="shared" si="1192"/>
        <v>0</v>
      </c>
      <c r="AL7724" s="85"/>
      <c r="AM7724" s="85"/>
    </row>
    <row r="7725" spans="1:39" s="86" customFormat="1" ht="13.25" hidden="1" customHeight="1" x14ac:dyDescent="0.3">
      <c r="A7725" s="89" t="s">
        <v>3792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3767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193"/>
        <v>30000</v>
      </c>
      <c r="X7725" s="6">
        <f t="shared" si="1188"/>
        <v>0</v>
      </c>
      <c r="Y7725" s="13">
        <f t="shared" si="1190"/>
        <v>0</v>
      </c>
      <c r="Z7725" s="14">
        <v>0</v>
      </c>
      <c r="AA7725" s="6">
        <v>0</v>
      </c>
      <c r="AB7725" s="4">
        <f t="shared" si="1191"/>
        <v>0</v>
      </c>
      <c r="AC7725" s="6">
        <f t="shared" si="1189"/>
        <v>0</v>
      </c>
      <c r="AD7725" s="6">
        <f t="shared" si="1194"/>
        <v>0</v>
      </c>
      <c r="AE7725" s="14">
        <f>VLOOKUP(I7725,[2]媒体政策预估表!A:N,MATCH(O7725,[2]媒体政策预估表!$A$2:$M$2,0),0)</f>
        <v>7.0000000000000007E-2</v>
      </c>
      <c r="AF7725" s="6">
        <f t="shared" si="1196"/>
        <v>0</v>
      </c>
      <c r="AG7725" s="14">
        <v>0</v>
      </c>
      <c r="AH7725" s="64">
        <f t="shared" si="1195"/>
        <v>0</v>
      </c>
      <c r="AJ7725" s="126" t="e">
        <v>#N/A</v>
      </c>
      <c r="AK7725" s="80">
        <f t="shared" si="1192"/>
        <v>0</v>
      </c>
      <c r="AL7725" s="85"/>
      <c r="AM7725" s="85"/>
    </row>
    <row r="7726" spans="1:39" s="86" customFormat="1" ht="13.25" hidden="1" customHeight="1" x14ac:dyDescent="0.3">
      <c r="A7726" s="89" t="s">
        <v>3805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3767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193"/>
        <v>7976.3767700000008</v>
      </c>
      <c r="X7726" s="6">
        <f t="shared" si="1188"/>
        <v>0</v>
      </c>
      <c r="Y7726" s="13">
        <f t="shared" si="1190"/>
        <v>0</v>
      </c>
      <c r="Z7726" s="14">
        <v>0</v>
      </c>
      <c r="AA7726" s="6">
        <v>0</v>
      </c>
      <c r="AB7726" s="4">
        <f t="shared" si="1191"/>
        <v>0</v>
      </c>
      <c r="AC7726" s="6">
        <f t="shared" si="1189"/>
        <v>0</v>
      </c>
      <c r="AD7726" s="6">
        <f t="shared" si="1194"/>
        <v>0</v>
      </c>
      <c r="AE7726" s="14">
        <f>VLOOKUP(I7726,[2]媒体政策预估表!A:N,MATCH(O7726,[2]媒体政策预估表!$A$2:$M$2,0),0)</f>
        <v>0.1</v>
      </c>
      <c r="AF7726" s="6">
        <f t="shared" si="1196"/>
        <v>0</v>
      </c>
      <c r="AG7726" s="14">
        <v>0</v>
      </c>
      <c r="AH7726" s="64">
        <f t="shared" si="1195"/>
        <v>0</v>
      </c>
      <c r="AJ7726" s="126" t="e">
        <v>#N/A</v>
      </c>
      <c r="AK7726" s="80">
        <f t="shared" si="1192"/>
        <v>0</v>
      </c>
      <c r="AL7726" s="85"/>
      <c r="AM7726" s="85"/>
    </row>
    <row r="7727" spans="1:39" s="86" customFormat="1" ht="13.25" hidden="1" customHeight="1" x14ac:dyDescent="0.3">
      <c r="A7727" s="89" t="s">
        <v>3792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193"/>
        <v>48179.8</v>
      </c>
      <c r="X7727" s="6">
        <f t="shared" si="1188"/>
        <v>0</v>
      </c>
      <c r="Y7727" s="13">
        <f t="shared" si="1190"/>
        <v>0</v>
      </c>
      <c r="Z7727" s="14">
        <v>0</v>
      </c>
      <c r="AA7727" s="6">
        <v>0</v>
      </c>
      <c r="AB7727" s="4">
        <f t="shared" si="1191"/>
        <v>0</v>
      </c>
      <c r="AC7727" s="6">
        <f t="shared" si="1189"/>
        <v>0</v>
      </c>
      <c r="AD7727" s="6">
        <f t="shared" si="1194"/>
        <v>0</v>
      </c>
      <c r="AE7727" s="14">
        <v>0</v>
      </c>
      <c r="AF7727" s="6">
        <f t="shared" si="1196"/>
        <v>0</v>
      </c>
      <c r="AG7727" s="14">
        <v>0</v>
      </c>
      <c r="AH7727" s="64">
        <f t="shared" si="1195"/>
        <v>0</v>
      </c>
      <c r="AJ7727" s="126" t="e">
        <v>#N/A</v>
      </c>
      <c r="AK7727" s="80">
        <f t="shared" si="1192"/>
        <v>0</v>
      </c>
      <c r="AL7727" s="85"/>
      <c r="AM7727" s="85"/>
    </row>
    <row r="7728" spans="1:39" s="86" customFormat="1" ht="13.25" hidden="1" customHeight="1" x14ac:dyDescent="0.3">
      <c r="A7728" s="89" t="s">
        <v>3978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193"/>
        <v>-14.2</v>
      </c>
      <c r="X7728" s="6">
        <f t="shared" ref="X7728:X7791" si="1197">IF(P7728="折扣",V7728*Q7728,IF(P7728="返现",V7728,V7728/(1+Q7728)))</f>
        <v>0</v>
      </c>
      <c r="Y7728" s="13">
        <f t="shared" si="1190"/>
        <v>0</v>
      </c>
      <c r="Z7728" s="14">
        <v>0</v>
      </c>
      <c r="AA7728" s="6">
        <v>0</v>
      </c>
      <c r="AB7728" s="4">
        <f t="shared" si="1191"/>
        <v>0</v>
      </c>
      <c r="AC7728" s="6">
        <f t="shared" si="1189"/>
        <v>0</v>
      </c>
      <c r="AD7728" s="6">
        <f t="shared" si="1194"/>
        <v>0</v>
      </c>
      <c r="AE7728" s="14">
        <v>0</v>
      </c>
      <c r="AF7728" s="6">
        <f t="shared" si="1196"/>
        <v>0</v>
      </c>
      <c r="AG7728" s="14">
        <v>0</v>
      </c>
      <c r="AH7728" s="64">
        <f t="shared" si="1195"/>
        <v>0</v>
      </c>
      <c r="AJ7728" s="126" t="e">
        <v>#N/A</v>
      </c>
      <c r="AK7728" s="80">
        <f t="shared" si="1192"/>
        <v>0</v>
      </c>
      <c r="AL7728" s="85"/>
      <c r="AM7728" s="85"/>
    </row>
    <row r="7729" spans="1:39" s="86" customFormat="1" ht="13.25" hidden="1" customHeight="1" x14ac:dyDescent="0.3">
      <c r="A7729" s="89" t="s">
        <v>3978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193"/>
        <v>5697.7</v>
      </c>
      <c r="X7729" s="6">
        <f t="shared" si="1197"/>
        <v>0</v>
      </c>
      <c r="Y7729" s="13">
        <f t="shared" si="1190"/>
        <v>0</v>
      </c>
      <c r="Z7729" s="14">
        <v>0</v>
      </c>
      <c r="AA7729" s="6">
        <v>0</v>
      </c>
      <c r="AB7729" s="4">
        <f t="shared" si="1191"/>
        <v>0</v>
      </c>
      <c r="AC7729" s="6">
        <f t="shared" si="1189"/>
        <v>0</v>
      </c>
      <c r="AD7729" s="6">
        <f t="shared" si="1194"/>
        <v>0</v>
      </c>
      <c r="AE7729" s="14">
        <f>VLOOKUP(I7729,[2]媒体政策预估表!A:N,MATCH(O7729,[2]媒体政策预估表!$A$2:$M$2,0),0)</f>
        <v>0.02</v>
      </c>
      <c r="AF7729" s="6">
        <f t="shared" si="1196"/>
        <v>0</v>
      </c>
      <c r="AG7729" s="14">
        <v>0</v>
      </c>
      <c r="AH7729" s="64">
        <f t="shared" si="1195"/>
        <v>0</v>
      </c>
      <c r="AJ7729" s="126" t="e">
        <v>#N/A</v>
      </c>
      <c r="AK7729" s="80">
        <f t="shared" si="1192"/>
        <v>0</v>
      </c>
      <c r="AL7729" s="85"/>
      <c r="AM7729" s="85"/>
    </row>
    <row r="7730" spans="1:39" s="86" customFormat="1" ht="13.25" hidden="1" customHeight="1" x14ac:dyDescent="0.3">
      <c r="A7730" s="89" t="s">
        <v>3792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3767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193"/>
        <v>-936905.81706000003</v>
      </c>
      <c r="X7730" s="6">
        <f t="shared" si="1197"/>
        <v>0</v>
      </c>
      <c r="Y7730" s="13">
        <f t="shared" si="1190"/>
        <v>0</v>
      </c>
      <c r="Z7730" s="14">
        <v>0</v>
      </c>
      <c r="AA7730" s="6">
        <v>0</v>
      </c>
      <c r="AB7730" s="4">
        <f t="shared" si="1191"/>
        <v>0</v>
      </c>
      <c r="AC7730" s="6">
        <f t="shared" si="1189"/>
        <v>0</v>
      </c>
      <c r="AD7730" s="6">
        <f t="shared" si="1194"/>
        <v>0</v>
      </c>
      <c r="AE7730" s="14">
        <f>VLOOKUP(I7730,[2]媒体政策预估表!A:N,MATCH(O7730,[2]媒体政策预估表!$A$2:$M$2,0),0)</f>
        <v>0.1</v>
      </c>
      <c r="AF7730" s="6">
        <f t="shared" si="1196"/>
        <v>0</v>
      </c>
      <c r="AG7730" s="14">
        <v>0</v>
      </c>
      <c r="AH7730" s="64">
        <f t="shared" si="1195"/>
        <v>0</v>
      </c>
      <c r="AJ7730" s="126" t="e">
        <v>#N/A</v>
      </c>
      <c r="AK7730" s="80">
        <f t="shared" si="1192"/>
        <v>0</v>
      </c>
      <c r="AL7730" s="85"/>
      <c r="AM7730" s="85"/>
    </row>
    <row r="7731" spans="1:39" s="86" customFormat="1" ht="13.25" hidden="1" customHeight="1" x14ac:dyDescent="0.3">
      <c r="A7731" s="89" t="s">
        <v>3978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3767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193"/>
        <v>-185345.80999999997</v>
      </c>
      <c r="X7731" s="6">
        <f t="shared" si="1197"/>
        <v>0</v>
      </c>
      <c r="Y7731" s="13">
        <f t="shared" si="1190"/>
        <v>0</v>
      </c>
      <c r="Z7731" s="14">
        <v>0</v>
      </c>
      <c r="AA7731" s="6">
        <v>0</v>
      </c>
      <c r="AB7731" s="4">
        <f t="shared" si="1191"/>
        <v>0</v>
      </c>
      <c r="AC7731" s="6">
        <f t="shared" si="1189"/>
        <v>0</v>
      </c>
      <c r="AD7731" s="6">
        <f t="shared" si="1194"/>
        <v>0</v>
      </c>
      <c r="AE7731" s="14">
        <f>VLOOKUP(I7731,[2]媒体政策预估表!A:N,MATCH(O7731,[2]媒体政策预估表!$A$2:$M$2,0),0)</f>
        <v>0.15</v>
      </c>
      <c r="AF7731" s="6">
        <f t="shared" si="1196"/>
        <v>0</v>
      </c>
      <c r="AG7731" s="14">
        <v>0</v>
      </c>
      <c r="AH7731" s="64">
        <f t="shared" si="1195"/>
        <v>0</v>
      </c>
      <c r="AJ7731" s="126" t="e">
        <v>#N/A</v>
      </c>
      <c r="AK7731" s="80">
        <f t="shared" si="1192"/>
        <v>0</v>
      </c>
      <c r="AL7731" s="85"/>
      <c r="AM7731" s="85"/>
    </row>
    <row r="7732" spans="1:39" s="86" customFormat="1" ht="13.25" hidden="1" customHeight="1" x14ac:dyDescent="0.3">
      <c r="A7732" s="89" t="s">
        <v>3978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3767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193"/>
        <v>-43803.945879999999</v>
      </c>
      <c r="X7732" s="6">
        <f t="shared" si="1197"/>
        <v>0</v>
      </c>
      <c r="Y7732" s="13">
        <f t="shared" si="1190"/>
        <v>0</v>
      </c>
      <c r="Z7732" s="14">
        <v>0</v>
      </c>
      <c r="AA7732" s="6">
        <v>0</v>
      </c>
      <c r="AB7732" s="4">
        <f t="shared" si="1191"/>
        <v>0</v>
      </c>
      <c r="AC7732" s="6">
        <f t="shared" si="1189"/>
        <v>0</v>
      </c>
      <c r="AD7732" s="6">
        <f t="shared" si="1194"/>
        <v>0</v>
      </c>
      <c r="AE7732" s="14">
        <f>VLOOKUP(I7732,[2]媒体政策预估表!A:N,MATCH(O7732,[2]媒体政策预估表!$A$2:$M$2,0),0)</f>
        <v>0.1</v>
      </c>
      <c r="AF7732" s="6">
        <f t="shared" si="1196"/>
        <v>0</v>
      </c>
      <c r="AG7732" s="14">
        <v>0</v>
      </c>
      <c r="AH7732" s="64">
        <f t="shared" si="1195"/>
        <v>0</v>
      </c>
      <c r="AJ7732" s="126" t="e">
        <v>#N/A</v>
      </c>
      <c r="AK7732" s="80">
        <f t="shared" si="1192"/>
        <v>0</v>
      </c>
      <c r="AL7732" s="85"/>
      <c r="AM7732" s="85"/>
    </row>
    <row r="7733" spans="1:39" s="86" customFormat="1" ht="13.25" hidden="1" customHeight="1" x14ac:dyDescent="0.3">
      <c r="A7733" s="89" t="s">
        <v>3978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3767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193"/>
        <v>-5253929.0927099995</v>
      </c>
      <c r="X7733" s="6">
        <f t="shared" si="1197"/>
        <v>874106.80512499996</v>
      </c>
      <c r="Y7733" s="13">
        <f t="shared" si="1190"/>
        <v>0</v>
      </c>
      <c r="Z7733" s="14">
        <v>0</v>
      </c>
      <c r="AA7733" s="6">
        <v>0</v>
      </c>
      <c r="AB7733" s="4">
        <f t="shared" si="1191"/>
        <v>874106.80512499996</v>
      </c>
      <c r="AC7733" s="6">
        <f t="shared" si="1189"/>
        <v>34964.272205000045</v>
      </c>
      <c r="AD7733" s="6">
        <f t="shared" si="1194"/>
        <v>909071.07733</v>
      </c>
      <c r="AE7733" s="14">
        <f>VLOOKUP(I7733,[2]媒体政策预估表!A:N,MATCH(O7733,[2]媒体政策预估表!$A$2:$M$2,0),0)</f>
        <v>0.15</v>
      </c>
      <c r="AF7733" s="6">
        <f t="shared" si="1196"/>
        <v>136360.66159949999</v>
      </c>
      <c r="AG7733" s="14">
        <v>0</v>
      </c>
      <c r="AH7733" s="64">
        <f t="shared" si="1195"/>
        <v>909071.07733</v>
      </c>
      <c r="AJ7733" s="126" t="e">
        <v>#N/A</v>
      </c>
      <c r="AK7733" s="80">
        <f t="shared" si="1192"/>
        <v>0</v>
      </c>
      <c r="AL7733" s="85"/>
      <c r="AM7733" s="85"/>
    </row>
    <row r="7734" spans="1:39" s="86" customFormat="1" ht="13.25" hidden="1" customHeight="1" x14ac:dyDescent="0.3">
      <c r="A7734" s="89" t="s">
        <v>3978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3767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193"/>
        <v>1111.7</v>
      </c>
      <c r="X7734" s="6">
        <f t="shared" si="1197"/>
        <v>0</v>
      </c>
      <c r="Y7734" s="13">
        <f t="shared" si="1190"/>
        <v>0</v>
      </c>
      <c r="Z7734" s="14">
        <v>0</v>
      </c>
      <c r="AA7734" s="6">
        <v>0</v>
      </c>
      <c r="AB7734" s="4">
        <f t="shared" si="1191"/>
        <v>0</v>
      </c>
      <c r="AC7734" s="6">
        <f t="shared" si="1189"/>
        <v>0</v>
      </c>
      <c r="AD7734" s="6">
        <f t="shared" si="1194"/>
        <v>0</v>
      </c>
      <c r="AE7734" s="14">
        <f>VLOOKUP(I7734,[2]媒体政策预估表!A:N,MATCH(O7734,[2]媒体政策预估表!$A$2:$M$2,0),0)</f>
        <v>7.0000000000000007E-2</v>
      </c>
      <c r="AF7734" s="6">
        <f t="shared" si="1196"/>
        <v>0</v>
      </c>
      <c r="AG7734" s="14">
        <v>0</v>
      </c>
      <c r="AH7734" s="64">
        <f t="shared" si="1195"/>
        <v>0</v>
      </c>
      <c r="AJ7734" s="126" t="e">
        <v>#N/A</v>
      </c>
      <c r="AK7734" s="80">
        <f t="shared" si="1192"/>
        <v>0</v>
      </c>
      <c r="AL7734" s="85"/>
      <c r="AM7734" s="85"/>
    </row>
    <row r="7735" spans="1:39" s="86" customFormat="1" ht="13.25" hidden="1" customHeight="1" x14ac:dyDescent="0.3">
      <c r="A7735" s="89" t="s">
        <v>3978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3767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193"/>
        <v>-23338.6</v>
      </c>
      <c r="X7735" s="6">
        <f t="shared" si="1197"/>
        <v>0</v>
      </c>
      <c r="Y7735" s="13">
        <f t="shared" si="1190"/>
        <v>0</v>
      </c>
      <c r="Z7735" s="14">
        <v>0</v>
      </c>
      <c r="AA7735" s="6">
        <v>0</v>
      </c>
      <c r="AB7735" s="4">
        <f t="shared" si="1191"/>
        <v>0</v>
      </c>
      <c r="AC7735" s="6">
        <f t="shared" si="1189"/>
        <v>0</v>
      </c>
      <c r="AD7735" s="6">
        <f t="shared" si="1194"/>
        <v>0</v>
      </c>
      <c r="AE7735" s="14">
        <f>VLOOKUP(I7735,[2]媒体政策预估表!A:N,MATCH(O7735,[2]媒体政策预估表!$A$2:$M$2,0),0)</f>
        <v>0.15</v>
      </c>
      <c r="AF7735" s="6">
        <f t="shared" si="1196"/>
        <v>0</v>
      </c>
      <c r="AG7735" s="14">
        <v>0</v>
      </c>
      <c r="AH7735" s="64">
        <f t="shared" si="1195"/>
        <v>0</v>
      </c>
      <c r="AJ7735" s="126" t="e">
        <v>#N/A</v>
      </c>
      <c r="AK7735" s="80">
        <f t="shared" si="1192"/>
        <v>0</v>
      </c>
      <c r="AL7735" s="85"/>
      <c r="AM7735" s="85"/>
    </row>
    <row r="7736" spans="1:39" s="86" customFormat="1" ht="13.25" hidden="1" customHeight="1" x14ac:dyDescent="0.3">
      <c r="A7736" s="89" t="s">
        <v>3978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3767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193"/>
        <v>12.47</v>
      </c>
      <c r="X7736" s="6">
        <f t="shared" si="1197"/>
        <v>0</v>
      </c>
      <c r="Y7736" s="13">
        <f t="shared" si="1190"/>
        <v>0</v>
      </c>
      <c r="Z7736" s="14">
        <v>0</v>
      </c>
      <c r="AA7736" s="6">
        <v>0</v>
      </c>
      <c r="AB7736" s="4">
        <f t="shared" si="1191"/>
        <v>0</v>
      </c>
      <c r="AC7736" s="6">
        <f t="shared" si="1189"/>
        <v>0</v>
      </c>
      <c r="AD7736" s="6">
        <f t="shared" si="1194"/>
        <v>0</v>
      </c>
      <c r="AE7736" s="14">
        <f>VLOOKUP(I7736,[2]媒体政策预估表!A:N,MATCH(O7736,[2]媒体政策预估表!$A$2:$M$2,0),0)</f>
        <v>0.1</v>
      </c>
      <c r="AF7736" s="6">
        <f t="shared" si="1196"/>
        <v>0</v>
      </c>
      <c r="AG7736" s="14">
        <v>0</v>
      </c>
      <c r="AH7736" s="64">
        <f t="shared" si="1195"/>
        <v>0</v>
      </c>
      <c r="AJ7736" s="126" t="e">
        <v>#N/A</v>
      </c>
      <c r="AK7736" s="80">
        <f t="shared" si="1192"/>
        <v>0</v>
      </c>
      <c r="AL7736" s="85"/>
      <c r="AM7736" s="85"/>
    </row>
    <row r="7737" spans="1:39" s="86" customFormat="1" ht="13.25" hidden="1" customHeight="1" x14ac:dyDescent="0.3">
      <c r="A7737" s="89" t="s">
        <v>3978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3767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193"/>
        <v>450.89999999998997</v>
      </c>
      <c r="X7737" s="6">
        <f t="shared" si="1197"/>
        <v>0</v>
      </c>
      <c r="Y7737" s="13">
        <f t="shared" si="1190"/>
        <v>0</v>
      </c>
      <c r="Z7737" s="14">
        <v>0</v>
      </c>
      <c r="AA7737" s="6">
        <v>0</v>
      </c>
      <c r="AB7737" s="4">
        <f t="shared" si="1191"/>
        <v>0</v>
      </c>
      <c r="AC7737" s="6">
        <f t="shared" si="1189"/>
        <v>0</v>
      </c>
      <c r="AD7737" s="6">
        <f t="shared" si="1194"/>
        <v>0</v>
      </c>
      <c r="AE7737" s="14">
        <f>VLOOKUP(I7737,[2]媒体政策预估表!A:N,MATCH(O7737,[2]媒体政策预估表!$A$2:$M$2,0),0)</f>
        <v>7.0000000000000007E-2</v>
      </c>
      <c r="AF7737" s="6">
        <f t="shared" si="1196"/>
        <v>0</v>
      </c>
      <c r="AG7737" s="14">
        <v>0</v>
      </c>
      <c r="AH7737" s="64">
        <f t="shared" si="1195"/>
        <v>0</v>
      </c>
      <c r="AJ7737" s="126" t="e">
        <v>#N/A</v>
      </c>
      <c r="AK7737" s="80">
        <f t="shared" si="1192"/>
        <v>0</v>
      </c>
      <c r="AL7737" s="85"/>
      <c r="AM7737" s="85"/>
    </row>
    <row r="7738" spans="1:39" s="86" customFormat="1" ht="13.25" hidden="1" customHeight="1" x14ac:dyDescent="0.3">
      <c r="A7738" s="89" t="s">
        <v>3792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3767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193"/>
        <v>4.9999999999954498E-2</v>
      </c>
      <c r="X7738" s="6">
        <f t="shared" si="1197"/>
        <v>0</v>
      </c>
      <c r="Y7738" s="13">
        <f t="shared" si="1190"/>
        <v>0</v>
      </c>
      <c r="Z7738" s="14">
        <v>0</v>
      </c>
      <c r="AA7738" s="6">
        <v>0</v>
      </c>
      <c r="AB7738" s="4">
        <f t="shared" si="1191"/>
        <v>0</v>
      </c>
      <c r="AC7738" s="6">
        <f t="shared" si="1189"/>
        <v>0</v>
      </c>
      <c r="AD7738" s="6">
        <f t="shared" si="1194"/>
        <v>0</v>
      </c>
      <c r="AE7738" s="14">
        <f>VLOOKUP(I7738,[2]媒体政策预估表!A:N,MATCH(O7738,[2]媒体政策预估表!$A$2:$M$2,0),0)</f>
        <v>0.1</v>
      </c>
      <c r="AF7738" s="6">
        <f t="shared" si="1196"/>
        <v>0</v>
      </c>
      <c r="AG7738" s="14">
        <v>0</v>
      </c>
      <c r="AH7738" s="64">
        <f t="shared" si="1195"/>
        <v>0</v>
      </c>
      <c r="AJ7738" s="126" t="e">
        <v>#N/A</v>
      </c>
      <c r="AK7738" s="80">
        <f t="shared" si="1192"/>
        <v>0</v>
      </c>
      <c r="AL7738" s="85"/>
      <c r="AM7738" s="85"/>
    </row>
    <row r="7739" spans="1:39" s="86" customFormat="1" ht="13.25" hidden="1" customHeight="1" x14ac:dyDescent="0.3">
      <c r="A7739" s="89" t="s">
        <v>3978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3767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193"/>
        <v>1.1000000000000001</v>
      </c>
      <c r="X7739" s="6">
        <f t="shared" si="1197"/>
        <v>0</v>
      </c>
      <c r="Y7739" s="13">
        <f t="shared" si="1190"/>
        <v>0</v>
      </c>
      <c r="Z7739" s="14">
        <v>0</v>
      </c>
      <c r="AA7739" s="6">
        <v>0</v>
      </c>
      <c r="AB7739" s="4">
        <f t="shared" si="1191"/>
        <v>0</v>
      </c>
      <c r="AC7739" s="6">
        <f t="shared" si="1189"/>
        <v>0</v>
      </c>
      <c r="AD7739" s="6">
        <f t="shared" si="1194"/>
        <v>0</v>
      </c>
      <c r="AE7739" s="14">
        <f>VLOOKUP(I7739,[2]媒体政策预估表!A:N,MATCH(O7739,[2]媒体政策预估表!$A$2:$M$2,0),0)</f>
        <v>7.0000000000000007E-2</v>
      </c>
      <c r="AF7739" s="6">
        <f t="shared" si="1196"/>
        <v>0</v>
      </c>
      <c r="AG7739" s="14">
        <v>0</v>
      </c>
      <c r="AH7739" s="64">
        <f t="shared" si="1195"/>
        <v>0</v>
      </c>
      <c r="AJ7739" s="126" t="e">
        <v>#N/A</v>
      </c>
      <c r="AK7739" s="80">
        <f t="shared" si="1192"/>
        <v>0</v>
      </c>
      <c r="AL7739" s="85"/>
      <c r="AM7739" s="85"/>
    </row>
    <row r="7740" spans="1:39" s="86" customFormat="1" ht="13.25" hidden="1" customHeight="1" x14ac:dyDescent="0.3">
      <c r="A7740" s="89" t="s">
        <v>3978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3767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193"/>
        <v>447.35000000001003</v>
      </c>
      <c r="X7740" s="6">
        <f t="shared" si="1197"/>
        <v>0</v>
      </c>
      <c r="Y7740" s="13">
        <f t="shared" si="1190"/>
        <v>0</v>
      </c>
      <c r="Z7740" s="14">
        <v>0</v>
      </c>
      <c r="AA7740" s="6">
        <v>0</v>
      </c>
      <c r="AB7740" s="4"/>
      <c r="AC7740" s="6">
        <f t="shared" si="1189"/>
        <v>0</v>
      </c>
      <c r="AD7740" s="6">
        <f t="shared" si="1194"/>
        <v>0</v>
      </c>
      <c r="AE7740" s="14">
        <f>VLOOKUP(I7740,[2]媒体政策预估表!A:N,MATCH(O7740,[2]媒体政策预估表!$A$2:$M$2,0),0)</f>
        <v>0.1</v>
      </c>
      <c r="AF7740" s="6">
        <f t="shared" si="1196"/>
        <v>0</v>
      </c>
      <c r="AG7740" s="14">
        <v>0</v>
      </c>
      <c r="AH7740" s="64">
        <f t="shared" si="1195"/>
        <v>0</v>
      </c>
      <c r="AJ7740" s="126">
        <v>66</v>
      </c>
      <c r="AK7740" s="80">
        <f t="shared" si="1192"/>
        <v>0</v>
      </c>
      <c r="AL7740" s="85"/>
      <c r="AM7740" s="85"/>
    </row>
    <row r="7741" spans="1:39" s="86" customFormat="1" ht="13.25" hidden="1" customHeight="1" x14ac:dyDescent="0.3">
      <c r="A7741" s="89" t="s">
        <v>3792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3767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193"/>
        <v>3627.9</v>
      </c>
      <c r="X7741" s="6">
        <f t="shared" si="1197"/>
        <v>0</v>
      </c>
      <c r="Y7741" s="13">
        <f t="shared" si="1190"/>
        <v>0</v>
      </c>
      <c r="Z7741" s="14">
        <v>0</v>
      </c>
      <c r="AA7741" s="6">
        <v>0</v>
      </c>
      <c r="AB7741" s="4">
        <f t="shared" si="1191"/>
        <v>0</v>
      </c>
      <c r="AC7741" s="6">
        <f t="shared" si="1189"/>
        <v>0</v>
      </c>
      <c r="AD7741" s="6">
        <f t="shared" si="1194"/>
        <v>0</v>
      </c>
      <c r="AE7741" s="14">
        <f>VLOOKUP(I7741,[2]媒体政策预估表!A:N,MATCH(O7741,[2]媒体政策预估表!$A$2:$M$2,0),0)</f>
        <v>7.0000000000000007E-2</v>
      </c>
      <c r="AF7741" s="6">
        <f t="shared" si="1196"/>
        <v>0</v>
      </c>
      <c r="AG7741" s="14">
        <v>0</v>
      </c>
      <c r="AH7741" s="64">
        <f t="shared" si="1195"/>
        <v>0</v>
      </c>
      <c r="AJ7741" s="126" t="e">
        <v>#N/A</v>
      </c>
      <c r="AK7741" s="80">
        <f t="shared" si="1192"/>
        <v>0</v>
      </c>
      <c r="AL7741" s="85"/>
      <c r="AM7741" s="85"/>
    </row>
    <row r="7742" spans="1:39" s="86" customFormat="1" ht="13.25" hidden="1" customHeight="1" x14ac:dyDescent="0.3">
      <c r="A7742" s="89" t="s">
        <v>3978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3767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193"/>
        <v>-180715.45261000001</v>
      </c>
      <c r="X7742" s="6">
        <f t="shared" si="1197"/>
        <v>0</v>
      </c>
      <c r="Y7742" s="13">
        <f t="shared" si="1190"/>
        <v>0</v>
      </c>
      <c r="Z7742" s="14">
        <v>0</v>
      </c>
      <c r="AA7742" s="6">
        <v>0</v>
      </c>
      <c r="AB7742" s="4">
        <f t="shared" si="1191"/>
        <v>0</v>
      </c>
      <c r="AC7742" s="6">
        <f t="shared" ref="AC7742:AC7805" si="1198">IF(P7742="返现",X7742*Q7742,V7742-X7742)</f>
        <v>0</v>
      </c>
      <c r="AD7742" s="6">
        <f t="shared" si="1194"/>
        <v>0</v>
      </c>
      <c r="AE7742" s="14">
        <f>VLOOKUP(I7742,[2]媒体政策预估表!A:N,MATCH(O7742,[2]媒体政策预估表!$A$2:$M$2,0),0)</f>
        <v>0.1</v>
      </c>
      <c r="AF7742" s="6">
        <f t="shared" si="1196"/>
        <v>0</v>
      </c>
      <c r="AG7742" s="14">
        <v>0</v>
      </c>
      <c r="AH7742" s="64">
        <f t="shared" si="1195"/>
        <v>0</v>
      </c>
      <c r="AJ7742" s="126" t="e">
        <v>#N/A</v>
      </c>
      <c r="AK7742" s="80">
        <f t="shared" si="1192"/>
        <v>0</v>
      </c>
      <c r="AL7742" s="85"/>
      <c r="AM7742" s="85"/>
    </row>
    <row r="7743" spans="1:39" s="86" customFormat="1" ht="13.25" hidden="1" customHeight="1" x14ac:dyDescent="0.3">
      <c r="A7743" s="89" t="s">
        <v>3978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3767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193"/>
        <v>-4350.87</v>
      </c>
      <c r="X7743" s="6">
        <f t="shared" si="1197"/>
        <v>0</v>
      </c>
      <c r="Y7743" s="13">
        <f t="shared" si="1190"/>
        <v>0</v>
      </c>
      <c r="Z7743" s="14">
        <v>0</v>
      </c>
      <c r="AA7743" s="6">
        <v>0</v>
      </c>
      <c r="AB7743" s="4">
        <f t="shared" si="1191"/>
        <v>0</v>
      </c>
      <c r="AC7743" s="6">
        <f t="shared" si="1198"/>
        <v>0</v>
      </c>
      <c r="AD7743" s="6">
        <f t="shared" si="1194"/>
        <v>0</v>
      </c>
      <c r="AE7743" s="14">
        <f>VLOOKUP(I7743,[2]媒体政策预估表!A:N,MATCH(O7743,[2]媒体政策预估表!$A$2:$M$2,0),0)</f>
        <v>0.15</v>
      </c>
      <c r="AF7743" s="6">
        <f t="shared" si="1196"/>
        <v>0</v>
      </c>
      <c r="AG7743" s="14">
        <v>0</v>
      </c>
      <c r="AH7743" s="64">
        <f t="shared" si="1195"/>
        <v>0</v>
      </c>
      <c r="AJ7743" s="126" t="e">
        <v>#N/A</v>
      </c>
      <c r="AK7743" s="80">
        <f t="shared" si="1192"/>
        <v>0</v>
      </c>
      <c r="AL7743" s="85"/>
      <c r="AM7743" s="85"/>
    </row>
    <row r="7744" spans="1:39" s="86" customFormat="1" ht="13.25" hidden="1" customHeight="1" x14ac:dyDescent="0.3">
      <c r="A7744" s="89" t="s">
        <v>3978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3767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193"/>
        <v>-5507.8273900000013</v>
      </c>
      <c r="X7744" s="6">
        <f t="shared" si="1197"/>
        <v>0</v>
      </c>
      <c r="Y7744" s="13">
        <f t="shared" si="1190"/>
        <v>0</v>
      </c>
      <c r="Z7744" s="14">
        <v>0</v>
      </c>
      <c r="AA7744" s="6">
        <v>0</v>
      </c>
      <c r="AB7744" s="4">
        <f t="shared" si="1191"/>
        <v>0</v>
      </c>
      <c r="AC7744" s="6">
        <f t="shared" si="1198"/>
        <v>0</v>
      </c>
      <c r="AD7744" s="6">
        <f t="shared" si="1194"/>
        <v>0</v>
      </c>
      <c r="AE7744" s="14">
        <f>VLOOKUP(I7744,[2]媒体政策预估表!A:N,MATCH(O7744,[2]媒体政策预估表!$A$2:$M$2,0),0)</f>
        <v>0.1</v>
      </c>
      <c r="AF7744" s="6">
        <f t="shared" si="1196"/>
        <v>0</v>
      </c>
      <c r="AG7744" s="14">
        <v>0</v>
      </c>
      <c r="AH7744" s="64">
        <f t="shared" si="1195"/>
        <v>0</v>
      </c>
      <c r="AJ7744" s="126" t="e">
        <v>#N/A</v>
      </c>
      <c r="AK7744" s="80">
        <f t="shared" si="1192"/>
        <v>0</v>
      </c>
      <c r="AL7744" s="85"/>
      <c r="AM7744" s="85"/>
    </row>
    <row r="7745" spans="1:39" s="86" customFormat="1" ht="13.25" hidden="1" customHeight="1" x14ac:dyDescent="0.3">
      <c r="A7745" s="89" t="s">
        <v>3978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3767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193"/>
        <v>2728.4</v>
      </c>
      <c r="X7745" s="6">
        <f t="shared" si="1197"/>
        <v>0</v>
      </c>
      <c r="Y7745" s="13">
        <f t="shared" si="1190"/>
        <v>0</v>
      </c>
      <c r="Z7745" s="14">
        <v>0</v>
      </c>
      <c r="AA7745" s="6">
        <v>0</v>
      </c>
      <c r="AB7745" s="4">
        <f t="shared" si="1191"/>
        <v>0</v>
      </c>
      <c r="AC7745" s="6">
        <f t="shared" si="1198"/>
        <v>0</v>
      </c>
      <c r="AD7745" s="6">
        <f t="shared" si="1194"/>
        <v>0</v>
      </c>
      <c r="AE7745" s="14">
        <f>VLOOKUP(I7745,[2]媒体政策预估表!A:N,MATCH(O7745,[2]媒体政策预估表!$A$2:$M$2,0),0)</f>
        <v>7.0000000000000007E-2</v>
      </c>
      <c r="AF7745" s="6">
        <f t="shared" si="1196"/>
        <v>0</v>
      </c>
      <c r="AG7745" s="14">
        <v>0</v>
      </c>
      <c r="AH7745" s="64">
        <f t="shared" si="1195"/>
        <v>0</v>
      </c>
      <c r="AJ7745" s="126" t="e">
        <v>#N/A</v>
      </c>
      <c r="AK7745" s="80">
        <f t="shared" si="1192"/>
        <v>0</v>
      </c>
      <c r="AL7745" s="85"/>
      <c r="AM7745" s="85"/>
    </row>
    <row r="7746" spans="1:39" s="86" customFormat="1" ht="13.25" hidden="1" customHeight="1" x14ac:dyDescent="0.3">
      <c r="A7746" s="89" t="s">
        <v>3978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3767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193"/>
        <v>5706.5</v>
      </c>
      <c r="X7746" s="6">
        <f t="shared" si="1197"/>
        <v>0</v>
      </c>
      <c r="Y7746" s="13">
        <f t="shared" si="1190"/>
        <v>0</v>
      </c>
      <c r="Z7746" s="14">
        <v>0</v>
      </c>
      <c r="AA7746" s="6">
        <v>0</v>
      </c>
      <c r="AB7746" s="4">
        <f t="shared" si="1191"/>
        <v>0</v>
      </c>
      <c r="AC7746" s="6">
        <f t="shared" si="1198"/>
        <v>0</v>
      </c>
      <c r="AD7746" s="6">
        <f t="shared" si="1194"/>
        <v>0</v>
      </c>
      <c r="AE7746" s="14">
        <f>VLOOKUP(I7746,[2]媒体政策预估表!A:N,MATCH(O7746,[2]媒体政策预估表!$A$2:$M$2,0),0)</f>
        <v>0.1</v>
      </c>
      <c r="AF7746" s="6">
        <f t="shared" si="1196"/>
        <v>0</v>
      </c>
      <c r="AG7746" s="14">
        <v>0</v>
      </c>
      <c r="AH7746" s="64">
        <f t="shared" si="1195"/>
        <v>0</v>
      </c>
      <c r="AJ7746" s="126" t="e">
        <v>#N/A</v>
      </c>
      <c r="AK7746" s="80">
        <f t="shared" si="1192"/>
        <v>0</v>
      </c>
      <c r="AL7746" s="85"/>
      <c r="AM7746" s="85"/>
    </row>
    <row r="7747" spans="1:39" s="86" customFormat="1" ht="13.25" hidden="1" customHeight="1" x14ac:dyDescent="0.3">
      <c r="A7747" s="89" t="s">
        <v>3978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3767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193"/>
        <v>352.30000000000098</v>
      </c>
      <c r="X7747" s="6">
        <f t="shared" si="1197"/>
        <v>0</v>
      </c>
      <c r="Y7747" s="13">
        <f t="shared" ref="Y7747:Y7810" si="1199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00">X7747+AA7747</f>
        <v>0</v>
      </c>
      <c r="AC7747" s="6">
        <f t="shared" si="1198"/>
        <v>0</v>
      </c>
      <c r="AD7747" s="6">
        <f t="shared" si="1194"/>
        <v>0</v>
      </c>
      <c r="AE7747" s="14">
        <f>VLOOKUP(I7747,[2]媒体政策预估表!A:N,MATCH(O7747,[2]媒体政策预估表!$A$2:$M$2,0),0)</f>
        <v>7.0000000000000007E-2</v>
      </c>
      <c r="AF7747" s="6">
        <f t="shared" si="1196"/>
        <v>0</v>
      </c>
      <c r="AG7747" s="14">
        <v>0</v>
      </c>
      <c r="AH7747" s="64">
        <f t="shared" si="1195"/>
        <v>0</v>
      </c>
      <c r="AJ7747" s="126" t="e">
        <v>#N/A</v>
      </c>
      <c r="AK7747" s="80">
        <f t="shared" ref="AK7747:AK7810" si="1201">X7747+AA7747-AB7747</f>
        <v>0</v>
      </c>
      <c r="AL7747" s="85"/>
      <c r="AM7747" s="85"/>
    </row>
    <row r="7748" spans="1:39" s="86" customFormat="1" ht="13.25" hidden="1" customHeight="1" x14ac:dyDescent="0.3">
      <c r="A7748" s="89" t="s">
        <v>3978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3767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193"/>
        <v>720.7599999999984</v>
      </c>
      <c r="X7748" s="6">
        <f t="shared" si="1197"/>
        <v>0</v>
      </c>
      <c r="Y7748" s="13">
        <f t="shared" si="1199"/>
        <v>0</v>
      </c>
      <c r="Z7748" s="14">
        <v>0</v>
      </c>
      <c r="AA7748" s="6">
        <v>0</v>
      </c>
      <c r="AB7748" s="4">
        <f t="shared" si="1200"/>
        <v>0</v>
      </c>
      <c r="AC7748" s="6">
        <f t="shared" si="1198"/>
        <v>0</v>
      </c>
      <c r="AD7748" s="6">
        <f t="shared" si="1194"/>
        <v>0</v>
      </c>
      <c r="AE7748" s="14">
        <f>VLOOKUP(I7748,[2]媒体政策预估表!A:N,MATCH(O7748,[2]媒体政策预估表!$A$2:$M$2,0),0)</f>
        <v>7.0000000000000007E-2</v>
      </c>
      <c r="AF7748" s="6">
        <f t="shared" si="1196"/>
        <v>0</v>
      </c>
      <c r="AG7748" s="14">
        <v>0</v>
      </c>
      <c r="AH7748" s="64">
        <f t="shared" si="1195"/>
        <v>0</v>
      </c>
      <c r="AJ7748" s="126" t="e">
        <v>#N/A</v>
      </c>
      <c r="AK7748" s="80">
        <f t="shared" si="1201"/>
        <v>0</v>
      </c>
      <c r="AL7748" s="85"/>
      <c r="AM7748" s="85"/>
    </row>
    <row r="7749" spans="1:39" s="86" customFormat="1" ht="13.25" hidden="1" customHeight="1" x14ac:dyDescent="0.3">
      <c r="A7749" s="89" t="s">
        <v>3978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3767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193"/>
        <v>120.71</v>
      </c>
      <c r="X7749" s="6">
        <f t="shared" si="1197"/>
        <v>0</v>
      </c>
      <c r="Y7749" s="13">
        <f t="shared" si="1199"/>
        <v>0</v>
      </c>
      <c r="Z7749" s="14">
        <v>0</v>
      </c>
      <c r="AA7749" s="6">
        <v>0</v>
      </c>
      <c r="AB7749" s="4">
        <f t="shared" si="1200"/>
        <v>0</v>
      </c>
      <c r="AC7749" s="6">
        <f t="shared" si="1198"/>
        <v>0</v>
      </c>
      <c r="AD7749" s="6">
        <f t="shared" si="1194"/>
        <v>0</v>
      </c>
      <c r="AE7749" s="14">
        <f>VLOOKUP(I7749,[2]媒体政策预估表!A:N,MATCH(O7749,[2]媒体政策预估表!$A$2:$M$2,0),0)</f>
        <v>0.1</v>
      </c>
      <c r="AF7749" s="6">
        <f t="shared" si="1196"/>
        <v>0</v>
      </c>
      <c r="AG7749" s="14">
        <v>0</v>
      </c>
      <c r="AH7749" s="64">
        <f t="shared" si="1195"/>
        <v>0</v>
      </c>
      <c r="AJ7749" s="126" t="e">
        <v>#N/A</v>
      </c>
      <c r="AK7749" s="80">
        <f t="shared" si="1201"/>
        <v>0</v>
      </c>
      <c r="AL7749" s="85"/>
      <c r="AM7749" s="85"/>
    </row>
    <row r="7750" spans="1:39" s="86" customFormat="1" ht="13.25" hidden="1" customHeight="1" x14ac:dyDescent="0.3">
      <c r="A7750" s="89" t="s">
        <v>3792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3767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193"/>
        <v>0.100000000000023</v>
      </c>
      <c r="X7750" s="6">
        <f t="shared" si="1197"/>
        <v>0</v>
      </c>
      <c r="Y7750" s="13">
        <f t="shared" si="1199"/>
        <v>0</v>
      </c>
      <c r="Z7750" s="14">
        <v>0</v>
      </c>
      <c r="AA7750" s="6">
        <v>0</v>
      </c>
      <c r="AB7750" s="4">
        <f t="shared" si="1200"/>
        <v>0</v>
      </c>
      <c r="AC7750" s="6">
        <f t="shared" si="1198"/>
        <v>0</v>
      </c>
      <c r="AD7750" s="6">
        <f t="shared" si="1194"/>
        <v>0</v>
      </c>
      <c r="AE7750" s="14">
        <f>VLOOKUP(I7750,[2]媒体政策预估表!A:N,MATCH(O7750,[2]媒体政策预估表!$A$2:$M$2,0),0)</f>
        <v>0.1</v>
      </c>
      <c r="AF7750" s="6">
        <f t="shared" si="1196"/>
        <v>0</v>
      </c>
      <c r="AG7750" s="14">
        <v>0</v>
      </c>
      <c r="AH7750" s="64">
        <f t="shared" si="1195"/>
        <v>0</v>
      </c>
      <c r="AJ7750" s="126" t="e">
        <v>#N/A</v>
      </c>
      <c r="AK7750" s="80">
        <f t="shared" si="1201"/>
        <v>0</v>
      </c>
      <c r="AL7750" s="85"/>
      <c r="AM7750" s="85"/>
    </row>
    <row r="7751" spans="1:39" s="86" customFormat="1" ht="13.25" hidden="1" customHeight="1" x14ac:dyDescent="0.3">
      <c r="A7751" s="89" t="s">
        <v>3978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193"/>
        <v>-1687065.62026</v>
      </c>
      <c r="X7751" s="6">
        <f t="shared" si="1197"/>
        <v>0</v>
      </c>
      <c r="Y7751" s="13">
        <f t="shared" si="1199"/>
        <v>0</v>
      </c>
      <c r="Z7751" s="14">
        <v>0</v>
      </c>
      <c r="AA7751" s="6">
        <v>0</v>
      </c>
      <c r="AB7751" s="4">
        <f t="shared" si="1200"/>
        <v>0</v>
      </c>
      <c r="AC7751" s="6">
        <f t="shared" si="1198"/>
        <v>0</v>
      </c>
      <c r="AD7751" s="6">
        <f t="shared" si="1194"/>
        <v>0</v>
      </c>
      <c r="AE7751" s="14">
        <f>VLOOKUP(I7751,[2]媒体政策预估表!A:N,MATCH(O7751,[2]媒体政策预估表!$A$2:$M$2,0),0)</f>
        <v>0.04</v>
      </c>
      <c r="AF7751" s="6">
        <f t="shared" si="1196"/>
        <v>0</v>
      </c>
      <c r="AG7751" s="14">
        <v>0</v>
      </c>
      <c r="AH7751" s="64">
        <f t="shared" si="1195"/>
        <v>0</v>
      </c>
      <c r="AJ7751" s="126" t="e">
        <v>#N/A</v>
      </c>
      <c r="AK7751" s="80">
        <f t="shared" si="1201"/>
        <v>0</v>
      </c>
      <c r="AL7751" s="85"/>
      <c r="AM7751" s="85"/>
    </row>
    <row r="7752" spans="1:39" s="86" customFormat="1" ht="13.25" hidden="1" customHeight="1" x14ac:dyDescent="0.3">
      <c r="A7752" s="89" t="s">
        <v>3792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193"/>
        <v>-1855135.3655000001</v>
      </c>
      <c r="X7752" s="6">
        <f t="shared" si="1197"/>
        <v>0</v>
      </c>
      <c r="Y7752" s="13">
        <f t="shared" si="1199"/>
        <v>0</v>
      </c>
      <c r="Z7752" s="14">
        <v>0</v>
      </c>
      <c r="AA7752" s="6">
        <v>0</v>
      </c>
      <c r="AB7752" s="4">
        <f t="shared" si="1200"/>
        <v>0</v>
      </c>
      <c r="AC7752" s="6">
        <f t="shared" si="1198"/>
        <v>0</v>
      </c>
      <c r="AD7752" s="6">
        <f t="shared" si="1194"/>
        <v>0</v>
      </c>
      <c r="AE7752" s="14">
        <f>VLOOKUP(I7752,[2]媒体政策预估表!A:N,MATCH(O7752,[2]媒体政策预估表!$A$2:$M$2,0),0)</f>
        <v>0.04</v>
      </c>
      <c r="AF7752" s="6">
        <f t="shared" si="1196"/>
        <v>0</v>
      </c>
      <c r="AG7752" s="14">
        <v>0</v>
      </c>
      <c r="AH7752" s="64">
        <f t="shared" si="1195"/>
        <v>0</v>
      </c>
      <c r="AJ7752" s="126" t="e">
        <v>#N/A</v>
      </c>
      <c r="AK7752" s="80">
        <f t="shared" si="1201"/>
        <v>0</v>
      </c>
      <c r="AL7752" s="85"/>
      <c r="AM7752" s="85"/>
    </row>
    <row r="7753" spans="1:39" s="86" customFormat="1" ht="13.25" hidden="1" customHeight="1" x14ac:dyDescent="0.3">
      <c r="A7753" s="89" t="s">
        <v>3805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193"/>
        <v>-78646.579059999989</v>
      </c>
      <c r="X7753" s="6">
        <f t="shared" si="1197"/>
        <v>0</v>
      </c>
      <c r="Y7753" s="13">
        <f t="shared" si="1199"/>
        <v>0</v>
      </c>
      <c r="Z7753" s="14">
        <v>0</v>
      </c>
      <c r="AA7753" s="6">
        <v>0</v>
      </c>
      <c r="AB7753" s="4">
        <f t="shared" si="1200"/>
        <v>0</v>
      </c>
      <c r="AC7753" s="6">
        <f t="shared" si="1198"/>
        <v>0</v>
      </c>
      <c r="AD7753" s="6">
        <f t="shared" si="1194"/>
        <v>0</v>
      </c>
      <c r="AE7753" s="14">
        <f>VLOOKUP(I7753,[2]媒体政策预估表!A:N,MATCH(O7753,[2]媒体政策预估表!$A$2:$M$2,0),0)</f>
        <v>0.04</v>
      </c>
      <c r="AF7753" s="6">
        <f t="shared" si="1196"/>
        <v>0</v>
      </c>
      <c r="AG7753" s="14">
        <v>0</v>
      </c>
      <c r="AH7753" s="64">
        <f t="shared" si="1195"/>
        <v>0</v>
      </c>
      <c r="AJ7753" s="126" t="e">
        <v>#N/A</v>
      </c>
      <c r="AK7753" s="80">
        <f t="shared" si="1201"/>
        <v>0</v>
      </c>
      <c r="AL7753" s="85"/>
      <c r="AM7753" s="85"/>
    </row>
    <row r="7754" spans="1:39" s="86" customFormat="1" ht="13.25" hidden="1" customHeight="1" x14ac:dyDescent="0.3">
      <c r="A7754" s="89" t="s">
        <v>3978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3767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193"/>
        <v>59364.5</v>
      </c>
      <c r="X7754" s="6">
        <f t="shared" si="1197"/>
        <v>0</v>
      </c>
      <c r="Y7754" s="13">
        <f t="shared" si="1199"/>
        <v>0</v>
      </c>
      <c r="Z7754" s="14">
        <v>0</v>
      </c>
      <c r="AA7754" s="6">
        <v>0</v>
      </c>
      <c r="AB7754" s="4">
        <f t="shared" si="1200"/>
        <v>0</v>
      </c>
      <c r="AC7754" s="6">
        <f t="shared" si="1198"/>
        <v>0</v>
      </c>
      <c r="AD7754" s="6">
        <f t="shared" si="1194"/>
        <v>0</v>
      </c>
      <c r="AE7754" s="14">
        <f>VLOOKUP(I7754,[2]媒体政策预估表!A:N,MATCH(O7754,[2]媒体政策预估表!$A$2:$M$2,0),0)</f>
        <v>7.0000000000000007E-2</v>
      </c>
      <c r="AF7754" s="6">
        <f t="shared" si="1196"/>
        <v>0</v>
      </c>
      <c r="AG7754" s="14">
        <v>0</v>
      </c>
      <c r="AH7754" s="64">
        <f t="shared" si="1195"/>
        <v>0</v>
      </c>
      <c r="AJ7754" s="126" t="e">
        <v>#N/A</v>
      </c>
      <c r="AK7754" s="80">
        <f t="shared" si="1201"/>
        <v>0</v>
      </c>
      <c r="AL7754" s="85"/>
      <c r="AM7754" s="85"/>
    </row>
    <row r="7755" spans="1:39" s="86" customFormat="1" ht="13.25" hidden="1" customHeight="1" x14ac:dyDescent="0.3">
      <c r="A7755" s="89" t="s">
        <v>3978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3767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193"/>
        <v>73906.899999999994</v>
      </c>
      <c r="X7755" s="6">
        <f t="shared" si="1197"/>
        <v>0</v>
      </c>
      <c r="Y7755" s="13">
        <f t="shared" si="1199"/>
        <v>0</v>
      </c>
      <c r="Z7755" s="14">
        <v>0</v>
      </c>
      <c r="AA7755" s="6">
        <v>0</v>
      </c>
      <c r="AB7755" s="4">
        <f t="shared" si="1200"/>
        <v>0</v>
      </c>
      <c r="AC7755" s="6">
        <f t="shared" si="1198"/>
        <v>0</v>
      </c>
      <c r="AD7755" s="6">
        <f t="shared" si="1194"/>
        <v>0</v>
      </c>
      <c r="AE7755" s="14">
        <f>VLOOKUP(I7755,[2]媒体政策预估表!A:N,MATCH(O7755,[2]媒体政策预估表!$A$2:$M$2,0),0)</f>
        <v>7.0000000000000007E-2</v>
      </c>
      <c r="AF7755" s="6">
        <f t="shared" si="1196"/>
        <v>0</v>
      </c>
      <c r="AG7755" s="14">
        <v>0</v>
      </c>
      <c r="AH7755" s="64">
        <f t="shared" si="1195"/>
        <v>0</v>
      </c>
      <c r="AJ7755" s="126" t="e">
        <v>#N/A</v>
      </c>
      <c r="AK7755" s="80">
        <f t="shared" si="1201"/>
        <v>0</v>
      </c>
      <c r="AL7755" s="85"/>
      <c r="AM7755" s="85"/>
    </row>
    <row r="7756" spans="1:39" s="86" customFormat="1" ht="13.25" hidden="1" customHeight="1" x14ac:dyDescent="0.3">
      <c r="A7756" s="89" t="s">
        <v>3792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3767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193"/>
        <v>21552</v>
      </c>
      <c r="X7756" s="6">
        <f t="shared" si="1197"/>
        <v>0</v>
      </c>
      <c r="Y7756" s="13">
        <f t="shared" si="1199"/>
        <v>0</v>
      </c>
      <c r="Z7756" s="14">
        <v>0</v>
      </c>
      <c r="AA7756" s="6">
        <v>0</v>
      </c>
      <c r="AB7756" s="4">
        <f t="shared" si="1200"/>
        <v>0</v>
      </c>
      <c r="AC7756" s="6">
        <f t="shared" si="1198"/>
        <v>0</v>
      </c>
      <c r="AD7756" s="6">
        <f t="shared" si="1194"/>
        <v>0</v>
      </c>
      <c r="AE7756" s="14">
        <f>VLOOKUP(I7756,[2]媒体政策预估表!A:N,MATCH(O7756,[2]媒体政策预估表!$A$2:$M$2,0),0)</f>
        <v>7.0000000000000007E-2</v>
      </c>
      <c r="AF7756" s="6">
        <f t="shared" si="1196"/>
        <v>0</v>
      </c>
      <c r="AG7756" s="14">
        <v>0</v>
      </c>
      <c r="AH7756" s="64">
        <f t="shared" si="1195"/>
        <v>0</v>
      </c>
      <c r="AJ7756" s="126" t="e">
        <v>#N/A</v>
      </c>
      <c r="AK7756" s="80">
        <f t="shared" si="1201"/>
        <v>0</v>
      </c>
      <c r="AL7756" s="85"/>
      <c r="AM7756" s="85"/>
    </row>
    <row r="7757" spans="1:39" s="86" customFormat="1" ht="13.25" hidden="1" customHeight="1" x14ac:dyDescent="0.3">
      <c r="A7757" s="89" t="s">
        <v>3792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3767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193"/>
        <v>-7905515.2958499994</v>
      </c>
      <c r="X7757" s="6">
        <f t="shared" si="1197"/>
        <v>0</v>
      </c>
      <c r="Y7757" s="13">
        <f t="shared" si="1199"/>
        <v>0</v>
      </c>
      <c r="Z7757" s="14">
        <v>0</v>
      </c>
      <c r="AA7757" s="6">
        <v>0</v>
      </c>
      <c r="AB7757" s="4">
        <f t="shared" si="1200"/>
        <v>0</v>
      </c>
      <c r="AC7757" s="6">
        <f t="shared" si="1198"/>
        <v>0</v>
      </c>
      <c r="AD7757" s="6">
        <f t="shared" si="1194"/>
        <v>0</v>
      </c>
      <c r="AE7757" s="14">
        <f>VLOOKUP(I7757,[2]媒体政策预估表!A:N,MATCH(O7757,[2]媒体政策预估表!$A$2:$M$2,0),0)</f>
        <v>0.15</v>
      </c>
      <c r="AF7757" s="6">
        <f t="shared" si="1196"/>
        <v>0</v>
      </c>
      <c r="AG7757" s="14">
        <v>0</v>
      </c>
      <c r="AH7757" s="64">
        <f t="shared" si="1195"/>
        <v>0</v>
      </c>
      <c r="AJ7757" s="126" t="e">
        <v>#N/A</v>
      </c>
      <c r="AK7757" s="80">
        <f t="shared" si="1201"/>
        <v>0</v>
      </c>
      <c r="AL7757" s="85"/>
      <c r="AM7757" s="85"/>
    </row>
    <row r="7758" spans="1:39" s="86" customFormat="1" ht="13.25" hidden="1" customHeight="1" x14ac:dyDescent="0.3">
      <c r="A7758" s="89" t="s">
        <v>3978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3767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193"/>
        <v>9.6800000000100699</v>
      </c>
      <c r="X7758" s="6">
        <f t="shared" si="1197"/>
        <v>0</v>
      </c>
      <c r="Y7758" s="13">
        <f t="shared" si="1199"/>
        <v>0</v>
      </c>
      <c r="Z7758" s="14">
        <v>0</v>
      </c>
      <c r="AA7758" s="6">
        <v>0</v>
      </c>
      <c r="AB7758" s="4"/>
      <c r="AC7758" s="6">
        <f t="shared" si="1198"/>
        <v>0</v>
      </c>
      <c r="AD7758" s="6">
        <f t="shared" si="1194"/>
        <v>0</v>
      </c>
      <c r="AE7758" s="14">
        <f>VLOOKUP(I7758,[2]媒体政策预估表!A:N,MATCH(O7758,[2]媒体政策预估表!$A$2:$M$2,0),0)</f>
        <v>0.1</v>
      </c>
      <c r="AF7758" s="6">
        <f t="shared" si="1196"/>
        <v>0</v>
      </c>
      <c r="AG7758" s="14">
        <v>0</v>
      </c>
      <c r="AH7758" s="64">
        <f t="shared" si="1195"/>
        <v>0</v>
      </c>
      <c r="AJ7758" s="126">
        <v>31</v>
      </c>
      <c r="AK7758" s="80">
        <f t="shared" si="1201"/>
        <v>0</v>
      </c>
      <c r="AL7758" s="85"/>
      <c r="AM7758" s="85"/>
    </row>
    <row r="7759" spans="1:39" s="86" customFormat="1" ht="13.25" hidden="1" customHeight="1" x14ac:dyDescent="0.3">
      <c r="A7759" s="89" t="s">
        <v>3792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3767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193"/>
        <v>5.0000000001034599E-2</v>
      </c>
      <c r="X7759" s="6">
        <f t="shared" si="1197"/>
        <v>0</v>
      </c>
      <c r="Y7759" s="13">
        <f t="shared" si="1199"/>
        <v>0</v>
      </c>
      <c r="Z7759" s="14">
        <v>0</v>
      </c>
      <c r="AA7759" s="6">
        <v>0</v>
      </c>
      <c r="AB7759" s="4">
        <f t="shared" si="1200"/>
        <v>0</v>
      </c>
      <c r="AC7759" s="6">
        <f t="shared" si="1198"/>
        <v>0</v>
      </c>
      <c r="AD7759" s="6">
        <f t="shared" si="1194"/>
        <v>0</v>
      </c>
      <c r="AE7759" s="14">
        <f>VLOOKUP(I7759,[2]媒体政策预估表!A:N,MATCH(O7759,[2]媒体政策预估表!$A$2:$M$2,0),0)</f>
        <v>0.1</v>
      </c>
      <c r="AF7759" s="6">
        <f t="shared" si="1196"/>
        <v>0</v>
      </c>
      <c r="AG7759" s="14">
        <v>0</v>
      </c>
      <c r="AH7759" s="64">
        <f t="shared" si="1195"/>
        <v>0</v>
      </c>
      <c r="AJ7759" s="126" t="e">
        <v>#N/A</v>
      </c>
      <c r="AK7759" s="80">
        <f t="shared" si="1201"/>
        <v>0</v>
      </c>
      <c r="AL7759" s="85"/>
      <c r="AM7759" s="85"/>
    </row>
    <row r="7760" spans="1:39" s="86" customFormat="1" ht="13.25" hidden="1" customHeight="1" x14ac:dyDescent="0.3">
      <c r="A7760" s="89" t="s">
        <v>3978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3767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193"/>
        <v>492.7</v>
      </c>
      <c r="X7760" s="6">
        <f t="shared" si="1197"/>
        <v>0</v>
      </c>
      <c r="Y7760" s="13">
        <f t="shared" si="1199"/>
        <v>0</v>
      </c>
      <c r="Z7760" s="14">
        <v>0</v>
      </c>
      <c r="AA7760" s="6">
        <v>0</v>
      </c>
      <c r="AB7760" s="4">
        <f t="shared" si="1200"/>
        <v>0</v>
      </c>
      <c r="AC7760" s="6">
        <f t="shared" si="1198"/>
        <v>0</v>
      </c>
      <c r="AD7760" s="6">
        <f t="shared" si="1194"/>
        <v>0</v>
      </c>
      <c r="AE7760" s="14">
        <f>VLOOKUP(I7760,[2]媒体政策预估表!A:N,MATCH(O7760,[2]媒体政策预估表!$A$2:$M$2,0),0)</f>
        <v>7.0000000000000007E-2</v>
      </c>
      <c r="AF7760" s="6">
        <f t="shared" si="1196"/>
        <v>0</v>
      </c>
      <c r="AG7760" s="14">
        <v>0</v>
      </c>
      <c r="AH7760" s="64">
        <f t="shared" si="1195"/>
        <v>0</v>
      </c>
      <c r="AJ7760" s="126" t="e">
        <v>#N/A</v>
      </c>
      <c r="AK7760" s="80">
        <f t="shared" si="1201"/>
        <v>0</v>
      </c>
      <c r="AL7760" s="85"/>
      <c r="AM7760" s="85"/>
    </row>
    <row r="7761" spans="1:39" s="86" customFormat="1" ht="13.25" hidden="1" customHeight="1" x14ac:dyDescent="0.3">
      <c r="A7761" s="89" t="s">
        <v>3978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3767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193"/>
        <v>16886.5</v>
      </c>
      <c r="X7761" s="6">
        <f t="shared" si="1197"/>
        <v>0</v>
      </c>
      <c r="Y7761" s="13">
        <f t="shared" si="1199"/>
        <v>0</v>
      </c>
      <c r="Z7761" s="14">
        <v>0</v>
      </c>
      <c r="AA7761" s="6">
        <v>0</v>
      </c>
      <c r="AB7761" s="4">
        <f t="shared" si="1200"/>
        <v>0</v>
      </c>
      <c r="AC7761" s="6">
        <f t="shared" si="1198"/>
        <v>0</v>
      </c>
      <c r="AD7761" s="6">
        <f t="shared" si="1194"/>
        <v>0</v>
      </c>
      <c r="AE7761" s="14">
        <f>VLOOKUP(I7761,[2]媒体政策预估表!A:N,MATCH(O7761,[2]媒体政策预估表!$A$2:$M$2,0),0)</f>
        <v>7.0000000000000007E-2</v>
      </c>
      <c r="AF7761" s="6">
        <f t="shared" si="1196"/>
        <v>0</v>
      </c>
      <c r="AG7761" s="14">
        <v>0</v>
      </c>
      <c r="AH7761" s="64">
        <f t="shared" si="1195"/>
        <v>0</v>
      </c>
      <c r="AJ7761" s="126" t="e">
        <v>#N/A</v>
      </c>
      <c r="AK7761" s="80">
        <f t="shared" si="1201"/>
        <v>0</v>
      </c>
      <c r="AL7761" s="85"/>
      <c r="AM7761" s="85"/>
    </row>
    <row r="7762" spans="1:39" s="86" customFormat="1" ht="13.25" hidden="1" customHeight="1" x14ac:dyDescent="0.3">
      <c r="A7762" s="89" t="s">
        <v>3978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3767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193"/>
        <v>3.4399999999995998</v>
      </c>
      <c r="X7762" s="6">
        <f t="shared" si="1197"/>
        <v>0</v>
      </c>
      <c r="Y7762" s="13">
        <f t="shared" si="1199"/>
        <v>0</v>
      </c>
      <c r="Z7762" s="14">
        <v>0</v>
      </c>
      <c r="AA7762" s="6">
        <v>0</v>
      </c>
      <c r="AB7762" s="4">
        <f t="shared" si="1200"/>
        <v>0</v>
      </c>
      <c r="AC7762" s="6">
        <f t="shared" si="1198"/>
        <v>0</v>
      </c>
      <c r="AD7762" s="6">
        <f t="shared" si="1194"/>
        <v>0</v>
      </c>
      <c r="AE7762" s="14">
        <f>VLOOKUP(I7762,[2]媒体政策预估表!A:N,MATCH(O7762,[2]媒体政策预估表!$A$2:$M$2,0),0)</f>
        <v>7.0000000000000007E-2</v>
      </c>
      <c r="AF7762" s="6">
        <f t="shared" si="1196"/>
        <v>0</v>
      </c>
      <c r="AG7762" s="14">
        <v>0</v>
      </c>
      <c r="AH7762" s="64">
        <f t="shared" si="1195"/>
        <v>0</v>
      </c>
      <c r="AJ7762" s="126" t="e">
        <v>#N/A</v>
      </c>
      <c r="AK7762" s="80">
        <f t="shared" si="1201"/>
        <v>0</v>
      </c>
      <c r="AL7762" s="85"/>
      <c r="AM7762" s="85"/>
    </row>
    <row r="7763" spans="1:39" s="86" customFormat="1" ht="13.25" hidden="1" customHeight="1" x14ac:dyDescent="0.3">
      <c r="A7763" s="89" t="s">
        <v>3978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3767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193"/>
        <v>184.4</v>
      </c>
      <c r="X7763" s="6">
        <f t="shared" si="1197"/>
        <v>0</v>
      </c>
      <c r="Y7763" s="13">
        <f t="shared" si="1199"/>
        <v>0</v>
      </c>
      <c r="Z7763" s="14">
        <v>0</v>
      </c>
      <c r="AA7763" s="6">
        <v>0</v>
      </c>
      <c r="AB7763" s="4">
        <f t="shared" si="1200"/>
        <v>0</v>
      </c>
      <c r="AC7763" s="6">
        <f t="shared" si="1198"/>
        <v>0</v>
      </c>
      <c r="AD7763" s="6">
        <f t="shared" si="1194"/>
        <v>0</v>
      </c>
      <c r="AE7763" s="14">
        <f>VLOOKUP(I7763,[2]媒体政策预估表!A:N,MATCH(O7763,[2]媒体政策预估表!$A$2:$M$2,0),0)</f>
        <v>7.0000000000000007E-2</v>
      </c>
      <c r="AF7763" s="6">
        <f t="shared" si="1196"/>
        <v>0</v>
      </c>
      <c r="AG7763" s="14">
        <v>0</v>
      </c>
      <c r="AH7763" s="64">
        <f t="shared" si="1195"/>
        <v>0</v>
      </c>
      <c r="AJ7763" s="126" t="e">
        <v>#N/A</v>
      </c>
      <c r="AK7763" s="80">
        <f t="shared" si="1201"/>
        <v>0</v>
      </c>
      <c r="AL7763" s="85"/>
      <c r="AM7763" s="85"/>
    </row>
    <row r="7764" spans="1:39" s="86" customFormat="1" ht="13.25" hidden="1" customHeight="1" x14ac:dyDescent="0.3">
      <c r="A7764" s="89" t="s">
        <v>3978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3767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193"/>
        <v>-1028420.64298</v>
      </c>
      <c r="X7764" s="6">
        <f t="shared" si="1197"/>
        <v>0</v>
      </c>
      <c r="Y7764" s="13">
        <f t="shared" si="1199"/>
        <v>0</v>
      </c>
      <c r="Z7764" s="14">
        <v>0</v>
      </c>
      <c r="AA7764" s="6">
        <v>0</v>
      </c>
      <c r="AB7764" s="4">
        <f t="shared" si="1200"/>
        <v>0</v>
      </c>
      <c r="AC7764" s="6">
        <f t="shared" si="1198"/>
        <v>0</v>
      </c>
      <c r="AD7764" s="6">
        <f t="shared" si="1194"/>
        <v>0</v>
      </c>
      <c r="AE7764" s="14">
        <f>VLOOKUP(I7764,[2]媒体政策预估表!A:N,MATCH(O7764,[2]媒体政策预估表!$A$2:$M$2,0),0)</f>
        <v>0.1</v>
      </c>
      <c r="AF7764" s="6">
        <f t="shared" si="1196"/>
        <v>0</v>
      </c>
      <c r="AG7764" s="14">
        <v>0</v>
      </c>
      <c r="AH7764" s="64">
        <f t="shared" si="1195"/>
        <v>0</v>
      </c>
      <c r="AJ7764" s="126" t="e">
        <v>#N/A</v>
      </c>
      <c r="AK7764" s="80">
        <f t="shared" si="1201"/>
        <v>0</v>
      </c>
      <c r="AL7764" s="85"/>
      <c r="AM7764" s="85"/>
    </row>
    <row r="7765" spans="1:39" s="86" customFormat="1" ht="13.25" hidden="1" customHeight="1" x14ac:dyDescent="0.3">
      <c r="A7765" s="89" t="s">
        <v>3978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3767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193"/>
        <v>-1595747.2432499998</v>
      </c>
      <c r="X7765" s="6">
        <f t="shared" si="1197"/>
        <v>0</v>
      </c>
      <c r="Y7765" s="13">
        <f t="shared" si="1199"/>
        <v>0</v>
      </c>
      <c r="Z7765" s="14">
        <v>0</v>
      </c>
      <c r="AA7765" s="6">
        <v>0</v>
      </c>
      <c r="AB7765" s="4">
        <f t="shared" si="1200"/>
        <v>0</v>
      </c>
      <c r="AC7765" s="6">
        <f t="shared" si="1198"/>
        <v>0</v>
      </c>
      <c r="AD7765" s="6">
        <f t="shared" si="1194"/>
        <v>0</v>
      </c>
      <c r="AE7765" s="14">
        <f>VLOOKUP(I7765,[2]媒体政策预估表!A:N,MATCH(O7765,[2]媒体政策预估表!$A$2:$M$2,0),0)</f>
        <v>0.15</v>
      </c>
      <c r="AF7765" s="6">
        <f t="shared" si="1196"/>
        <v>0</v>
      </c>
      <c r="AG7765" s="14">
        <v>0</v>
      </c>
      <c r="AH7765" s="64">
        <f t="shared" si="1195"/>
        <v>0</v>
      </c>
      <c r="AJ7765" s="126" t="e">
        <v>#N/A</v>
      </c>
      <c r="AK7765" s="80">
        <f t="shared" si="1201"/>
        <v>0</v>
      </c>
      <c r="AL7765" s="85"/>
      <c r="AM7765" s="85"/>
    </row>
    <row r="7766" spans="1:39" s="86" customFormat="1" ht="13.25" hidden="1" customHeight="1" x14ac:dyDescent="0.3">
      <c r="A7766" s="89" t="s">
        <v>3978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3767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193"/>
        <v>-144447.58701999995</v>
      </c>
      <c r="X7766" s="6">
        <f t="shared" si="1197"/>
        <v>0</v>
      </c>
      <c r="Y7766" s="13">
        <f t="shared" si="1199"/>
        <v>0</v>
      </c>
      <c r="Z7766" s="14">
        <v>0</v>
      </c>
      <c r="AA7766" s="6">
        <v>0</v>
      </c>
      <c r="AB7766" s="4">
        <f t="shared" si="1200"/>
        <v>0</v>
      </c>
      <c r="AC7766" s="6">
        <f t="shared" si="1198"/>
        <v>0</v>
      </c>
      <c r="AD7766" s="6">
        <f t="shared" si="1194"/>
        <v>0</v>
      </c>
      <c r="AE7766" s="14">
        <f>VLOOKUP(I7766,[2]媒体政策预估表!A:N,MATCH(O7766,[2]媒体政策预估表!$A$2:$M$2,0),0)</f>
        <v>0.1</v>
      </c>
      <c r="AF7766" s="6">
        <f t="shared" si="1196"/>
        <v>0</v>
      </c>
      <c r="AG7766" s="14">
        <v>0</v>
      </c>
      <c r="AH7766" s="64">
        <f t="shared" si="1195"/>
        <v>0</v>
      </c>
      <c r="AJ7766" s="126" t="e">
        <v>#N/A</v>
      </c>
      <c r="AK7766" s="80">
        <f t="shared" si="1201"/>
        <v>0</v>
      </c>
      <c r="AL7766" s="85"/>
      <c r="AM7766" s="85"/>
    </row>
    <row r="7767" spans="1:39" s="86" customFormat="1" ht="13.25" hidden="1" customHeight="1" x14ac:dyDescent="0.3">
      <c r="A7767" s="89" t="s">
        <v>3978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3767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193"/>
        <v>34.220000000000255</v>
      </c>
      <c r="X7767" s="6">
        <f t="shared" si="1197"/>
        <v>0</v>
      </c>
      <c r="Y7767" s="13">
        <f t="shared" si="1199"/>
        <v>0</v>
      </c>
      <c r="Z7767" s="14">
        <v>0</v>
      </c>
      <c r="AA7767" s="6">
        <v>0</v>
      </c>
      <c r="AB7767" s="4">
        <f t="shared" si="1200"/>
        <v>0</v>
      </c>
      <c r="AC7767" s="6">
        <f t="shared" si="1198"/>
        <v>0</v>
      </c>
      <c r="AD7767" s="6">
        <f t="shared" si="1194"/>
        <v>0</v>
      </c>
      <c r="AE7767" s="14">
        <f>VLOOKUP(I7767,[2]媒体政策预估表!A:N,MATCH(O7767,[2]媒体政策预估表!$A$2:$M$2,0),0)</f>
        <v>7.0000000000000007E-2</v>
      </c>
      <c r="AF7767" s="6">
        <f t="shared" si="1196"/>
        <v>0</v>
      </c>
      <c r="AG7767" s="14">
        <v>0</v>
      </c>
      <c r="AH7767" s="64">
        <f t="shared" si="1195"/>
        <v>0</v>
      </c>
      <c r="AJ7767" s="126" t="e">
        <v>#N/A</v>
      </c>
      <c r="AK7767" s="80">
        <f t="shared" si="1201"/>
        <v>0</v>
      </c>
      <c r="AL7767" s="85"/>
      <c r="AM7767" s="85"/>
    </row>
    <row r="7768" spans="1:39" s="86" customFormat="1" ht="13.25" hidden="1" customHeight="1" x14ac:dyDescent="0.3">
      <c r="A7768" s="89" t="s">
        <v>3978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3767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193"/>
        <v>0.24000000000523899</v>
      </c>
      <c r="X7768" s="6">
        <f t="shared" si="1197"/>
        <v>0</v>
      </c>
      <c r="Y7768" s="13">
        <f t="shared" si="1199"/>
        <v>0</v>
      </c>
      <c r="Z7768" s="14">
        <v>0</v>
      </c>
      <c r="AA7768" s="6">
        <v>0</v>
      </c>
      <c r="AB7768" s="4">
        <f t="shared" si="1200"/>
        <v>0</v>
      </c>
      <c r="AC7768" s="6">
        <f t="shared" si="1198"/>
        <v>0</v>
      </c>
      <c r="AD7768" s="6">
        <f t="shared" si="1194"/>
        <v>0</v>
      </c>
      <c r="AE7768" s="14">
        <f>VLOOKUP(I7768,[2]媒体政策预估表!A:N,MATCH(O7768,[2]媒体政策预估表!$A$2:$M$2,0),0)</f>
        <v>0.1</v>
      </c>
      <c r="AF7768" s="6">
        <f t="shared" si="1196"/>
        <v>0</v>
      </c>
      <c r="AG7768" s="14">
        <v>0</v>
      </c>
      <c r="AH7768" s="64">
        <f t="shared" si="1195"/>
        <v>0</v>
      </c>
      <c r="AJ7768" s="126" t="e">
        <v>#N/A</v>
      </c>
      <c r="AK7768" s="80">
        <f t="shared" si="1201"/>
        <v>0</v>
      </c>
      <c r="AL7768" s="85"/>
      <c r="AM7768" s="85"/>
    </row>
    <row r="7769" spans="1:39" s="86" customFormat="1" ht="13.25" hidden="1" customHeight="1" x14ac:dyDescent="0.3">
      <c r="A7769" s="89" t="s">
        <v>3805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3767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02">T7769+U7769-V7769</f>
        <v>0.59999999999945397</v>
      </c>
      <c r="X7769" s="6">
        <f t="shared" si="1197"/>
        <v>0</v>
      </c>
      <c r="Y7769" s="13">
        <f t="shared" si="1199"/>
        <v>0</v>
      </c>
      <c r="Z7769" s="14">
        <v>0</v>
      </c>
      <c r="AA7769" s="6">
        <v>0</v>
      </c>
      <c r="AB7769" s="4">
        <f t="shared" si="1200"/>
        <v>0</v>
      </c>
      <c r="AC7769" s="6">
        <f t="shared" si="1198"/>
        <v>0</v>
      </c>
      <c r="AD7769" s="6">
        <f t="shared" ref="AD7769:AD7832" si="1203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196"/>
        <v>0</v>
      </c>
      <c r="AG7769" s="14">
        <v>0</v>
      </c>
      <c r="AH7769" s="64">
        <f t="shared" ref="AH7769:AH7832" si="1204">V7769</f>
        <v>0</v>
      </c>
      <c r="AJ7769" s="126" t="e">
        <v>#N/A</v>
      </c>
      <c r="AK7769" s="80">
        <f t="shared" si="1201"/>
        <v>0</v>
      </c>
      <c r="AL7769" s="85"/>
      <c r="AM7769" s="85"/>
    </row>
    <row r="7770" spans="1:39" s="86" customFormat="1" ht="13.25" hidden="1" customHeight="1" x14ac:dyDescent="0.3">
      <c r="A7770" s="89" t="s">
        <v>3978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3767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02"/>
        <v>5.3500000000301497</v>
      </c>
      <c r="X7770" s="6">
        <f t="shared" si="1197"/>
        <v>0</v>
      </c>
      <c r="Y7770" s="13">
        <f t="shared" si="1199"/>
        <v>0</v>
      </c>
      <c r="Z7770" s="14">
        <v>0</v>
      </c>
      <c r="AA7770" s="6">
        <v>0</v>
      </c>
      <c r="AB7770" s="4"/>
      <c r="AC7770" s="6">
        <f t="shared" si="1198"/>
        <v>0</v>
      </c>
      <c r="AD7770" s="6">
        <f t="shared" si="1203"/>
        <v>0</v>
      </c>
      <c r="AE7770" s="14">
        <f>VLOOKUP(I7770,[2]媒体政策预估表!A:N,MATCH(O7770,[2]媒体政策预估表!$A$2:$M$2,0),0)</f>
        <v>0.1</v>
      </c>
      <c r="AF7770" s="6">
        <f t="shared" si="1196"/>
        <v>0</v>
      </c>
      <c r="AG7770" s="14">
        <v>0</v>
      </c>
      <c r="AH7770" s="64">
        <f t="shared" si="1204"/>
        <v>0</v>
      </c>
      <c r="AJ7770" s="126">
        <v>62</v>
      </c>
      <c r="AK7770" s="80">
        <f t="shared" si="1201"/>
        <v>0</v>
      </c>
      <c r="AL7770" s="85"/>
      <c r="AM7770" s="85"/>
    </row>
    <row r="7771" spans="1:39" s="86" customFormat="1" ht="13.25" hidden="1" customHeight="1" x14ac:dyDescent="0.3">
      <c r="A7771" s="89" t="s">
        <v>3978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3767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02"/>
        <v>5541.4</v>
      </c>
      <c r="X7771" s="6">
        <f t="shared" si="1197"/>
        <v>0</v>
      </c>
      <c r="Y7771" s="13">
        <f t="shared" si="1199"/>
        <v>0</v>
      </c>
      <c r="Z7771" s="14">
        <v>0</v>
      </c>
      <c r="AA7771" s="6">
        <v>0</v>
      </c>
      <c r="AB7771" s="4">
        <f t="shared" si="1200"/>
        <v>0</v>
      </c>
      <c r="AC7771" s="6">
        <f t="shared" si="1198"/>
        <v>0</v>
      </c>
      <c r="AD7771" s="6">
        <f t="shared" si="1203"/>
        <v>0</v>
      </c>
      <c r="AE7771" s="14">
        <f>VLOOKUP(I7771,[2]媒体政策预估表!A:N,MATCH(O7771,[2]媒体政策预估表!$A$2:$M$2,0),0)</f>
        <v>7.0000000000000007E-2</v>
      </c>
      <c r="AF7771" s="6">
        <f t="shared" si="1196"/>
        <v>0</v>
      </c>
      <c r="AG7771" s="14">
        <v>0</v>
      </c>
      <c r="AH7771" s="64">
        <f t="shared" si="1204"/>
        <v>0</v>
      </c>
      <c r="AJ7771" s="126" t="e">
        <v>#N/A</v>
      </c>
      <c r="AK7771" s="80">
        <f t="shared" si="1201"/>
        <v>0</v>
      </c>
      <c r="AL7771" s="85"/>
      <c r="AM7771" s="85"/>
    </row>
    <row r="7772" spans="1:39" s="86" customFormat="1" ht="13.25" hidden="1" customHeight="1" x14ac:dyDescent="0.3">
      <c r="A7772" s="89" t="s">
        <v>3978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3767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02"/>
        <v>589.11</v>
      </c>
      <c r="X7772" s="6">
        <f t="shared" si="1197"/>
        <v>0</v>
      </c>
      <c r="Y7772" s="13">
        <f t="shared" si="1199"/>
        <v>0</v>
      </c>
      <c r="Z7772" s="14">
        <v>0</v>
      </c>
      <c r="AA7772" s="6">
        <v>0</v>
      </c>
      <c r="AB7772" s="4">
        <f t="shared" si="1200"/>
        <v>0</v>
      </c>
      <c r="AC7772" s="6">
        <f t="shared" si="1198"/>
        <v>0</v>
      </c>
      <c r="AD7772" s="6">
        <f t="shared" si="1203"/>
        <v>0</v>
      </c>
      <c r="AE7772" s="14">
        <f>VLOOKUP(I7772,[2]媒体政策预估表!A:N,MATCH(O7772,[2]媒体政策预估表!$A$2:$M$2,0),0)</f>
        <v>0.1</v>
      </c>
      <c r="AF7772" s="6">
        <f t="shared" si="1196"/>
        <v>0</v>
      </c>
      <c r="AG7772" s="14">
        <v>0</v>
      </c>
      <c r="AH7772" s="64">
        <f t="shared" si="1204"/>
        <v>0</v>
      </c>
      <c r="AJ7772" s="126" t="e">
        <v>#N/A</v>
      </c>
      <c r="AK7772" s="80">
        <f t="shared" si="1201"/>
        <v>0</v>
      </c>
      <c r="AL7772" s="85"/>
      <c r="AM7772" s="85"/>
    </row>
    <row r="7773" spans="1:39" s="86" customFormat="1" ht="13.25" hidden="1" customHeight="1" x14ac:dyDescent="0.3">
      <c r="A7773" s="89" t="s">
        <v>3978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3767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02"/>
        <v>593.24</v>
      </c>
      <c r="X7773" s="6">
        <f t="shared" si="1197"/>
        <v>0</v>
      </c>
      <c r="Y7773" s="13">
        <f t="shared" si="1199"/>
        <v>0</v>
      </c>
      <c r="Z7773" s="14">
        <v>0</v>
      </c>
      <c r="AA7773" s="6">
        <v>0</v>
      </c>
      <c r="AB7773" s="4">
        <f t="shared" si="1200"/>
        <v>0</v>
      </c>
      <c r="AC7773" s="6">
        <f t="shared" si="1198"/>
        <v>0</v>
      </c>
      <c r="AD7773" s="6">
        <f t="shared" si="1203"/>
        <v>0</v>
      </c>
      <c r="AE7773" s="14">
        <f>VLOOKUP(I7773,[2]媒体政策预估表!A:N,MATCH(O7773,[2]媒体政策预估表!$A$2:$M$2,0),0)</f>
        <v>7.0000000000000007E-2</v>
      </c>
      <c r="AF7773" s="6">
        <f t="shared" si="1196"/>
        <v>0</v>
      </c>
      <c r="AG7773" s="14">
        <v>0</v>
      </c>
      <c r="AH7773" s="64">
        <f t="shared" si="1204"/>
        <v>0</v>
      </c>
      <c r="AJ7773" s="126" t="e">
        <v>#N/A</v>
      </c>
      <c r="AK7773" s="80">
        <f t="shared" si="1201"/>
        <v>0</v>
      </c>
      <c r="AL7773" s="85"/>
      <c r="AM7773" s="85"/>
    </row>
    <row r="7774" spans="1:39" s="86" customFormat="1" ht="13.25" hidden="1" customHeight="1" x14ac:dyDescent="0.3">
      <c r="A7774" s="89" t="s">
        <v>3978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3767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02"/>
        <v>10.049999999999301</v>
      </c>
      <c r="X7774" s="6">
        <f t="shared" si="1197"/>
        <v>0</v>
      </c>
      <c r="Y7774" s="13">
        <f t="shared" si="1199"/>
        <v>0</v>
      </c>
      <c r="Z7774" s="14">
        <v>0</v>
      </c>
      <c r="AA7774" s="6">
        <v>0</v>
      </c>
      <c r="AB7774" s="4"/>
      <c r="AC7774" s="6">
        <f t="shared" si="1198"/>
        <v>0</v>
      </c>
      <c r="AD7774" s="6">
        <f t="shared" si="1203"/>
        <v>0</v>
      </c>
      <c r="AE7774" s="14">
        <f>VLOOKUP(I7774,[2]媒体政策预估表!A:N,MATCH(O7774,[2]媒体政策预估表!$A$2:$M$2,0),0)</f>
        <v>0.1</v>
      </c>
      <c r="AF7774" s="6">
        <f t="shared" si="1196"/>
        <v>0</v>
      </c>
      <c r="AG7774" s="14">
        <v>0</v>
      </c>
      <c r="AH7774" s="64">
        <f t="shared" si="1204"/>
        <v>0</v>
      </c>
      <c r="AJ7774" s="126">
        <v>64</v>
      </c>
      <c r="AK7774" s="80">
        <f t="shared" si="1201"/>
        <v>0</v>
      </c>
      <c r="AL7774" s="85"/>
      <c r="AM7774" s="85"/>
    </row>
    <row r="7775" spans="1:39" s="86" customFormat="1" ht="13.25" hidden="1" customHeight="1" x14ac:dyDescent="0.3">
      <c r="A7775" s="89" t="s">
        <v>3978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3767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02"/>
        <v>9.8799999998882395</v>
      </c>
      <c r="X7775" s="6">
        <f t="shared" si="1197"/>
        <v>0</v>
      </c>
      <c r="Y7775" s="13">
        <f t="shared" si="1199"/>
        <v>0</v>
      </c>
      <c r="Z7775" s="14">
        <v>0</v>
      </c>
      <c r="AA7775" s="6">
        <v>0</v>
      </c>
      <c r="AB7775" s="4"/>
      <c r="AC7775" s="6">
        <f t="shared" si="1198"/>
        <v>0</v>
      </c>
      <c r="AD7775" s="6">
        <f t="shared" si="1203"/>
        <v>0</v>
      </c>
      <c r="AE7775" s="14">
        <f>VLOOKUP(I7775,[2]媒体政策预估表!A:N,MATCH(O7775,[2]媒体政策预估表!$A$2:$M$2,0),0)</f>
        <v>0.1</v>
      </c>
      <c r="AF7775" s="6">
        <f t="shared" si="1196"/>
        <v>0</v>
      </c>
      <c r="AG7775" s="14">
        <v>0</v>
      </c>
      <c r="AH7775" s="64">
        <f t="shared" si="1204"/>
        <v>0</v>
      </c>
      <c r="AJ7775" s="126">
        <v>63</v>
      </c>
      <c r="AK7775" s="80">
        <f t="shared" si="1201"/>
        <v>0</v>
      </c>
      <c r="AL7775" s="85"/>
      <c r="AM7775" s="85"/>
    </row>
    <row r="7776" spans="1:39" s="86" customFormat="1" ht="13.25" hidden="1" customHeight="1" x14ac:dyDescent="0.3">
      <c r="A7776" s="89" t="s">
        <v>3978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3767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02"/>
        <v>3015.2</v>
      </c>
      <c r="X7776" s="6">
        <f t="shared" si="1197"/>
        <v>0</v>
      </c>
      <c r="Y7776" s="13">
        <f t="shared" si="1199"/>
        <v>0</v>
      </c>
      <c r="Z7776" s="14">
        <v>0</v>
      </c>
      <c r="AA7776" s="6">
        <v>0</v>
      </c>
      <c r="AB7776" s="4">
        <f t="shared" si="1200"/>
        <v>0</v>
      </c>
      <c r="AC7776" s="6">
        <f t="shared" si="1198"/>
        <v>0</v>
      </c>
      <c r="AD7776" s="6">
        <f t="shared" si="1203"/>
        <v>0</v>
      </c>
      <c r="AE7776" s="14">
        <f>VLOOKUP(I7776,[2]媒体政策预估表!A:N,MATCH(O7776,[2]媒体政策预估表!$A$2:$M$2,0),0)</f>
        <v>7.0000000000000007E-2</v>
      </c>
      <c r="AF7776" s="6">
        <f t="shared" si="1196"/>
        <v>0</v>
      </c>
      <c r="AG7776" s="14">
        <v>0</v>
      </c>
      <c r="AH7776" s="64">
        <f t="shared" si="1204"/>
        <v>0</v>
      </c>
      <c r="AJ7776" s="126" t="e">
        <v>#N/A</v>
      </c>
      <c r="AK7776" s="80">
        <f t="shared" si="1201"/>
        <v>0</v>
      </c>
      <c r="AL7776" s="85"/>
      <c r="AM7776" s="85"/>
    </row>
    <row r="7777" spans="1:39" s="86" customFormat="1" ht="13.25" hidden="1" customHeight="1" x14ac:dyDescent="0.3">
      <c r="A7777" s="89" t="s">
        <v>3792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3767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02"/>
        <v>1135.989999999998</v>
      </c>
      <c r="X7777" s="6">
        <f t="shared" si="1197"/>
        <v>0</v>
      </c>
      <c r="Y7777" s="13">
        <f t="shared" si="1199"/>
        <v>0</v>
      </c>
      <c r="Z7777" s="14">
        <v>0</v>
      </c>
      <c r="AA7777" s="6">
        <v>0</v>
      </c>
      <c r="AB7777" s="4">
        <f t="shared" si="1200"/>
        <v>0</v>
      </c>
      <c r="AC7777" s="6">
        <f t="shared" si="1198"/>
        <v>0</v>
      </c>
      <c r="AD7777" s="6">
        <f t="shared" si="1203"/>
        <v>0</v>
      </c>
      <c r="AE7777" s="14">
        <f>VLOOKUP(I7777,[2]媒体政策预估表!A:N,MATCH(O7777,[2]媒体政策预估表!$A$2:$M$2,0),0)</f>
        <v>7.0000000000000007E-2</v>
      </c>
      <c r="AF7777" s="6">
        <f t="shared" si="1196"/>
        <v>0</v>
      </c>
      <c r="AG7777" s="14">
        <v>0</v>
      </c>
      <c r="AH7777" s="64">
        <f t="shared" si="1204"/>
        <v>0</v>
      </c>
      <c r="AJ7777" s="126" t="e">
        <v>#N/A</v>
      </c>
      <c r="AK7777" s="80">
        <f t="shared" si="1201"/>
        <v>0</v>
      </c>
      <c r="AL7777" s="85"/>
      <c r="AM7777" s="85"/>
    </row>
    <row r="7778" spans="1:39" s="86" customFormat="1" ht="13.25" hidden="1" customHeight="1" x14ac:dyDescent="0.3">
      <c r="A7778" s="89" t="s">
        <v>3978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3767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02"/>
        <v>20021.52</v>
      </c>
      <c r="X7778" s="6">
        <f t="shared" si="1197"/>
        <v>0</v>
      </c>
      <c r="Y7778" s="13">
        <f t="shared" si="1199"/>
        <v>0</v>
      </c>
      <c r="Z7778" s="14">
        <v>0</v>
      </c>
      <c r="AA7778" s="6">
        <v>0</v>
      </c>
      <c r="AB7778" s="4">
        <f t="shared" si="1200"/>
        <v>0</v>
      </c>
      <c r="AC7778" s="6">
        <f t="shared" si="1198"/>
        <v>0</v>
      </c>
      <c r="AD7778" s="6">
        <f t="shared" si="1203"/>
        <v>0</v>
      </c>
      <c r="AE7778" s="14">
        <f>VLOOKUP(I7778,[2]媒体政策预估表!A:N,MATCH(O7778,[2]媒体政策预估表!$A$2:$M$2,0),0)</f>
        <v>7.0000000000000007E-2</v>
      </c>
      <c r="AF7778" s="6">
        <f t="shared" si="1196"/>
        <v>0</v>
      </c>
      <c r="AG7778" s="14">
        <v>0</v>
      </c>
      <c r="AH7778" s="64">
        <f t="shared" si="1204"/>
        <v>0</v>
      </c>
      <c r="AJ7778" s="126" t="e">
        <v>#N/A</v>
      </c>
      <c r="AK7778" s="80">
        <f t="shared" si="1201"/>
        <v>0</v>
      </c>
      <c r="AL7778" s="85"/>
      <c r="AM7778" s="85"/>
    </row>
    <row r="7779" spans="1:39" s="86" customFormat="1" ht="13.25" hidden="1" customHeight="1" x14ac:dyDescent="0.3">
      <c r="A7779" s="89" t="s">
        <v>3792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3767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02"/>
        <v>434.58</v>
      </c>
      <c r="X7779" s="6">
        <f t="shared" si="1197"/>
        <v>0</v>
      </c>
      <c r="Y7779" s="13">
        <f t="shared" si="1199"/>
        <v>0</v>
      </c>
      <c r="Z7779" s="14">
        <v>0</v>
      </c>
      <c r="AA7779" s="6">
        <v>0</v>
      </c>
      <c r="AB7779" s="4">
        <f t="shared" si="1200"/>
        <v>0</v>
      </c>
      <c r="AC7779" s="6">
        <f t="shared" si="1198"/>
        <v>0</v>
      </c>
      <c r="AD7779" s="6">
        <f t="shared" si="1203"/>
        <v>0</v>
      </c>
      <c r="AE7779" s="14">
        <f>VLOOKUP(I7779,[2]媒体政策预估表!A:N,MATCH(O7779,[2]媒体政策预估表!$A$2:$M$2,0),0)</f>
        <v>7.0000000000000007E-2</v>
      </c>
      <c r="AF7779" s="6">
        <f t="shared" si="1196"/>
        <v>0</v>
      </c>
      <c r="AG7779" s="14">
        <v>0</v>
      </c>
      <c r="AH7779" s="64">
        <f t="shared" si="1204"/>
        <v>0</v>
      </c>
      <c r="AJ7779" s="126" t="e">
        <v>#N/A</v>
      </c>
      <c r="AK7779" s="80">
        <f t="shared" si="1201"/>
        <v>0</v>
      </c>
      <c r="AL7779" s="85"/>
      <c r="AM7779" s="85"/>
    </row>
    <row r="7780" spans="1:39" s="86" customFormat="1" ht="13.25" hidden="1" customHeight="1" x14ac:dyDescent="0.3">
      <c r="A7780" s="89" t="s">
        <v>3978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3767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02"/>
        <v>440.79999999998802</v>
      </c>
      <c r="X7780" s="6">
        <f t="shared" si="1197"/>
        <v>0</v>
      </c>
      <c r="Y7780" s="13">
        <f t="shared" si="1199"/>
        <v>0</v>
      </c>
      <c r="Z7780" s="14">
        <v>0</v>
      </c>
      <c r="AA7780" s="6">
        <v>0</v>
      </c>
      <c r="AB7780" s="4">
        <f t="shared" si="1200"/>
        <v>0</v>
      </c>
      <c r="AC7780" s="6">
        <f t="shared" si="1198"/>
        <v>0</v>
      </c>
      <c r="AD7780" s="6">
        <f t="shared" si="1203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205">AD7780*AE7780</f>
        <v>0</v>
      </c>
      <c r="AG7780" s="14">
        <v>0</v>
      </c>
      <c r="AH7780" s="64">
        <f t="shared" si="1204"/>
        <v>0</v>
      </c>
      <c r="AJ7780" s="126" t="e">
        <v>#N/A</v>
      </c>
      <c r="AK7780" s="80">
        <f t="shared" si="1201"/>
        <v>0</v>
      </c>
      <c r="AL7780" s="85"/>
      <c r="AM7780" s="85"/>
    </row>
    <row r="7781" spans="1:39" s="86" customFormat="1" ht="13.25" hidden="1" customHeight="1" x14ac:dyDescent="0.3">
      <c r="A7781" s="89" t="s">
        <v>3978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3767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02"/>
        <v>4033.89</v>
      </c>
      <c r="X7781" s="6">
        <f t="shared" si="1197"/>
        <v>0</v>
      </c>
      <c r="Y7781" s="13">
        <f t="shared" si="1199"/>
        <v>0</v>
      </c>
      <c r="Z7781" s="14">
        <v>0</v>
      </c>
      <c r="AA7781" s="6">
        <v>0</v>
      </c>
      <c r="AB7781" s="4">
        <f t="shared" si="1200"/>
        <v>0</v>
      </c>
      <c r="AC7781" s="6">
        <f t="shared" si="1198"/>
        <v>0</v>
      </c>
      <c r="AD7781" s="6">
        <f t="shared" si="1203"/>
        <v>0</v>
      </c>
      <c r="AE7781" s="14">
        <f>VLOOKUP(I7781,[2]媒体政策预估表!A:N,MATCH(O7781,[2]媒体政策预估表!$A$2:$M$2,0),0)</f>
        <v>0.1</v>
      </c>
      <c r="AF7781" s="6">
        <f t="shared" si="1205"/>
        <v>0</v>
      </c>
      <c r="AG7781" s="14">
        <v>0</v>
      </c>
      <c r="AH7781" s="64">
        <f t="shared" si="1204"/>
        <v>0</v>
      </c>
      <c r="AJ7781" s="126" t="e">
        <v>#N/A</v>
      </c>
      <c r="AK7781" s="80">
        <f t="shared" si="1201"/>
        <v>0</v>
      </c>
      <c r="AL7781" s="85"/>
      <c r="AM7781" s="85"/>
    </row>
    <row r="7782" spans="1:39" s="86" customFormat="1" ht="13.25" hidden="1" customHeight="1" x14ac:dyDescent="0.3">
      <c r="A7782" s="89" t="s">
        <v>3978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3767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02"/>
        <v>-801.2</v>
      </c>
      <c r="X7782" s="6">
        <f t="shared" si="1197"/>
        <v>0</v>
      </c>
      <c r="Y7782" s="13">
        <f t="shared" si="1199"/>
        <v>0</v>
      </c>
      <c r="Z7782" s="14">
        <v>0</v>
      </c>
      <c r="AA7782" s="6">
        <v>0</v>
      </c>
      <c r="AB7782" s="4">
        <f t="shared" si="1200"/>
        <v>0</v>
      </c>
      <c r="AC7782" s="6">
        <f t="shared" si="1198"/>
        <v>0</v>
      </c>
      <c r="AD7782" s="6">
        <f t="shared" si="1203"/>
        <v>0</v>
      </c>
      <c r="AE7782" s="14">
        <f>VLOOKUP(I7782,[2]媒体政策预估表!A:N,MATCH(O7782,[2]媒体政策预估表!$A$2:$M$2,0),0)</f>
        <v>0.15</v>
      </c>
      <c r="AF7782" s="6">
        <f t="shared" si="1205"/>
        <v>0</v>
      </c>
      <c r="AG7782" s="14">
        <v>0</v>
      </c>
      <c r="AH7782" s="64">
        <f t="shared" si="1204"/>
        <v>0</v>
      </c>
      <c r="AJ7782" s="126" t="e">
        <v>#N/A</v>
      </c>
      <c r="AK7782" s="80">
        <f t="shared" si="1201"/>
        <v>0</v>
      </c>
      <c r="AL7782" s="85"/>
      <c r="AM7782" s="85"/>
    </row>
    <row r="7783" spans="1:39" s="86" customFormat="1" ht="13.25" hidden="1" customHeight="1" x14ac:dyDescent="0.3">
      <c r="A7783" s="89" t="s">
        <v>3978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3767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02"/>
        <v>18770.099999999999</v>
      </c>
      <c r="X7783" s="6">
        <f t="shared" si="1197"/>
        <v>0</v>
      </c>
      <c r="Y7783" s="13">
        <f t="shared" si="1199"/>
        <v>0</v>
      </c>
      <c r="Z7783" s="14">
        <v>0</v>
      </c>
      <c r="AA7783" s="6">
        <v>0</v>
      </c>
      <c r="AB7783" s="4">
        <f t="shared" si="1200"/>
        <v>0</v>
      </c>
      <c r="AC7783" s="6">
        <f t="shared" si="1198"/>
        <v>0</v>
      </c>
      <c r="AD7783" s="6">
        <f t="shared" si="1203"/>
        <v>0</v>
      </c>
      <c r="AE7783" s="14">
        <f>VLOOKUP(I7783,[2]媒体政策预估表!A:N,MATCH(O7783,[2]媒体政策预估表!$A$2:$M$2,0),0)</f>
        <v>7.0000000000000007E-2</v>
      </c>
      <c r="AF7783" s="6">
        <f t="shared" si="1205"/>
        <v>0</v>
      </c>
      <c r="AG7783" s="14">
        <v>0</v>
      </c>
      <c r="AH7783" s="64">
        <f t="shared" si="1204"/>
        <v>0</v>
      </c>
      <c r="AJ7783" s="126" t="e">
        <v>#N/A</v>
      </c>
      <c r="AK7783" s="80">
        <f t="shared" si="1201"/>
        <v>0</v>
      </c>
      <c r="AL7783" s="85"/>
      <c r="AM7783" s="85"/>
    </row>
    <row r="7784" spans="1:39" s="86" customFormat="1" ht="13.25" hidden="1" customHeight="1" x14ac:dyDescent="0.3">
      <c r="A7784" s="89" t="s">
        <v>3978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3767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02"/>
        <v>67.989999999999995</v>
      </c>
      <c r="X7784" s="6">
        <f t="shared" si="1197"/>
        <v>0</v>
      </c>
      <c r="Y7784" s="13">
        <f t="shared" si="1199"/>
        <v>0</v>
      </c>
      <c r="Z7784" s="14">
        <v>0</v>
      </c>
      <c r="AA7784" s="6">
        <v>0</v>
      </c>
      <c r="AB7784" s="4">
        <f t="shared" si="1200"/>
        <v>0</v>
      </c>
      <c r="AC7784" s="6">
        <f t="shared" si="1198"/>
        <v>0</v>
      </c>
      <c r="AD7784" s="6">
        <f t="shared" si="1203"/>
        <v>0</v>
      </c>
      <c r="AE7784" s="14">
        <f>VLOOKUP(I7784,[2]媒体政策预估表!A:N,MATCH(O7784,[2]媒体政策预估表!$A$2:$M$2,0),0)</f>
        <v>0.1</v>
      </c>
      <c r="AF7784" s="6">
        <f t="shared" si="1205"/>
        <v>0</v>
      </c>
      <c r="AG7784" s="14">
        <v>0</v>
      </c>
      <c r="AH7784" s="64">
        <f t="shared" si="1204"/>
        <v>0</v>
      </c>
      <c r="AJ7784" s="126" t="e">
        <v>#N/A</v>
      </c>
      <c r="AK7784" s="80">
        <f t="shared" si="1201"/>
        <v>0</v>
      </c>
      <c r="AL7784" s="85"/>
      <c r="AM7784" s="85"/>
    </row>
    <row r="7785" spans="1:39" s="86" customFormat="1" ht="13.25" hidden="1" customHeight="1" x14ac:dyDescent="0.3">
      <c r="A7785" s="89" t="s">
        <v>3792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3767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02"/>
        <v>1475.2</v>
      </c>
      <c r="X7785" s="6">
        <f t="shared" si="1197"/>
        <v>0</v>
      </c>
      <c r="Y7785" s="13">
        <f t="shared" si="1199"/>
        <v>0</v>
      </c>
      <c r="Z7785" s="14">
        <v>0</v>
      </c>
      <c r="AA7785" s="6">
        <v>0</v>
      </c>
      <c r="AB7785" s="4">
        <f t="shared" si="1200"/>
        <v>0</v>
      </c>
      <c r="AC7785" s="6">
        <f t="shared" si="1198"/>
        <v>0</v>
      </c>
      <c r="AD7785" s="6">
        <f t="shared" si="1203"/>
        <v>0</v>
      </c>
      <c r="AE7785" s="14">
        <f>VLOOKUP(I7785,[2]媒体政策预估表!A:N,MATCH(O7785,[2]媒体政策预估表!$A$2:$M$2,0),0)</f>
        <v>0.1</v>
      </c>
      <c r="AF7785" s="6">
        <f t="shared" si="1205"/>
        <v>0</v>
      </c>
      <c r="AG7785" s="14">
        <v>0</v>
      </c>
      <c r="AH7785" s="64">
        <f t="shared" si="1204"/>
        <v>0</v>
      </c>
      <c r="AJ7785" s="126" t="e">
        <v>#N/A</v>
      </c>
      <c r="AK7785" s="80">
        <f t="shared" si="1201"/>
        <v>0</v>
      </c>
      <c r="AL7785" s="85"/>
      <c r="AM7785" s="85"/>
    </row>
    <row r="7786" spans="1:39" s="86" customFormat="1" ht="13.25" hidden="1" customHeight="1" x14ac:dyDescent="0.3">
      <c r="A7786" s="89" t="s">
        <v>3792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3767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02"/>
        <v>32251.5</v>
      </c>
      <c r="X7786" s="6">
        <f t="shared" si="1197"/>
        <v>0</v>
      </c>
      <c r="Y7786" s="13">
        <f t="shared" si="1199"/>
        <v>0</v>
      </c>
      <c r="Z7786" s="14">
        <v>0</v>
      </c>
      <c r="AA7786" s="6">
        <v>0</v>
      </c>
      <c r="AB7786" s="4">
        <f t="shared" si="1200"/>
        <v>0</v>
      </c>
      <c r="AC7786" s="6">
        <f t="shared" si="1198"/>
        <v>0</v>
      </c>
      <c r="AD7786" s="6">
        <f t="shared" si="1203"/>
        <v>0</v>
      </c>
      <c r="AE7786" s="14">
        <f>VLOOKUP(I7786,[2]媒体政策预估表!A:N,MATCH(O7786,[2]媒体政策预估表!$A$2:$M$2,0),0)</f>
        <v>7.0000000000000007E-2</v>
      </c>
      <c r="AF7786" s="6">
        <f t="shared" si="1205"/>
        <v>0</v>
      </c>
      <c r="AG7786" s="14">
        <v>0</v>
      </c>
      <c r="AH7786" s="64">
        <f t="shared" si="1204"/>
        <v>0</v>
      </c>
      <c r="AJ7786" s="126" t="e">
        <v>#N/A</v>
      </c>
      <c r="AK7786" s="80">
        <f t="shared" si="1201"/>
        <v>0</v>
      </c>
      <c r="AL7786" s="85"/>
      <c r="AM7786" s="85"/>
    </row>
    <row r="7787" spans="1:39" s="86" customFormat="1" ht="13.25" hidden="1" customHeight="1" x14ac:dyDescent="0.3">
      <c r="A7787" s="89" t="s">
        <v>3978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3767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02"/>
        <v>360.6</v>
      </c>
      <c r="X7787" s="6">
        <f t="shared" si="1197"/>
        <v>0</v>
      </c>
      <c r="Y7787" s="13">
        <f t="shared" si="1199"/>
        <v>0</v>
      </c>
      <c r="Z7787" s="14">
        <v>0</v>
      </c>
      <c r="AA7787" s="6">
        <v>0</v>
      </c>
      <c r="AB7787" s="4">
        <f t="shared" si="1200"/>
        <v>0</v>
      </c>
      <c r="AC7787" s="6">
        <f t="shared" si="1198"/>
        <v>0</v>
      </c>
      <c r="AD7787" s="6">
        <f t="shared" si="1203"/>
        <v>0</v>
      </c>
      <c r="AE7787" s="14">
        <f>VLOOKUP(I7787,[2]媒体政策预估表!A:N,MATCH(O7787,[2]媒体政策预估表!$A$2:$M$2,0),0)</f>
        <v>7.0000000000000007E-2</v>
      </c>
      <c r="AF7787" s="6">
        <f t="shared" si="1205"/>
        <v>0</v>
      </c>
      <c r="AG7787" s="14">
        <v>0</v>
      </c>
      <c r="AH7787" s="64">
        <f t="shared" si="1204"/>
        <v>0</v>
      </c>
      <c r="AJ7787" s="126" t="e">
        <v>#N/A</v>
      </c>
      <c r="AK7787" s="80">
        <f t="shared" si="1201"/>
        <v>0</v>
      </c>
      <c r="AL7787" s="85"/>
      <c r="AM7787" s="85"/>
    </row>
    <row r="7788" spans="1:39" s="86" customFormat="1" ht="13.25" hidden="1" customHeight="1" x14ac:dyDescent="0.3">
      <c r="A7788" s="89" t="s">
        <v>3792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3767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02"/>
        <v>483.22</v>
      </c>
      <c r="X7788" s="6">
        <f t="shared" si="1197"/>
        <v>0</v>
      </c>
      <c r="Y7788" s="13">
        <f t="shared" si="1199"/>
        <v>0</v>
      </c>
      <c r="Z7788" s="14">
        <v>0</v>
      </c>
      <c r="AA7788" s="6">
        <v>0</v>
      </c>
      <c r="AB7788" s="4">
        <f t="shared" si="1200"/>
        <v>0</v>
      </c>
      <c r="AC7788" s="6">
        <f t="shared" si="1198"/>
        <v>0</v>
      </c>
      <c r="AD7788" s="6">
        <f t="shared" si="1203"/>
        <v>0</v>
      </c>
      <c r="AE7788" s="14">
        <f>VLOOKUP(I7788,[2]媒体政策预估表!A:N,MATCH(O7788,[2]媒体政策预估表!$A$2:$M$2,0),0)</f>
        <v>0.1</v>
      </c>
      <c r="AF7788" s="6">
        <f t="shared" si="1205"/>
        <v>0</v>
      </c>
      <c r="AG7788" s="14">
        <v>0</v>
      </c>
      <c r="AH7788" s="64">
        <f t="shared" si="1204"/>
        <v>0</v>
      </c>
      <c r="AJ7788" s="126" t="e">
        <v>#N/A</v>
      </c>
      <c r="AK7788" s="80">
        <f t="shared" si="1201"/>
        <v>0</v>
      </c>
      <c r="AL7788" s="85"/>
      <c r="AM7788" s="85"/>
    </row>
    <row r="7789" spans="1:39" s="86" customFormat="1" ht="13.25" hidden="1" customHeight="1" x14ac:dyDescent="0.3">
      <c r="A7789" s="89" t="s">
        <v>3978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3767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02"/>
        <v>61.709999999999098</v>
      </c>
      <c r="X7789" s="6">
        <f t="shared" si="1197"/>
        <v>0</v>
      </c>
      <c r="Y7789" s="13">
        <f t="shared" si="1199"/>
        <v>0</v>
      </c>
      <c r="Z7789" s="14">
        <v>0</v>
      </c>
      <c r="AA7789" s="6">
        <v>0</v>
      </c>
      <c r="AB7789" s="4">
        <f t="shared" si="1200"/>
        <v>0</v>
      </c>
      <c r="AC7789" s="6">
        <f t="shared" si="1198"/>
        <v>0</v>
      </c>
      <c r="AD7789" s="6">
        <f t="shared" si="1203"/>
        <v>0</v>
      </c>
      <c r="AE7789" s="14">
        <f>VLOOKUP(I7789,[2]媒体政策预估表!A:N,MATCH(O7789,[2]媒体政策预估表!$A$2:$M$2,0),0)</f>
        <v>0.1</v>
      </c>
      <c r="AF7789" s="6">
        <f t="shared" si="1205"/>
        <v>0</v>
      </c>
      <c r="AG7789" s="14">
        <v>0</v>
      </c>
      <c r="AH7789" s="64">
        <f t="shared" si="1204"/>
        <v>0</v>
      </c>
      <c r="AJ7789" s="126" t="e">
        <v>#N/A</v>
      </c>
      <c r="AK7789" s="80">
        <f t="shared" si="1201"/>
        <v>0</v>
      </c>
      <c r="AL7789" s="85"/>
      <c r="AM7789" s="85"/>
    </row>
    <row r="7790" spans="1:39" s="86" customFormat="1" ht="13.25" hidden="1" customHeight="1" x14ac:dyDescent="0.3">
      <c r="A7790" s="89" t="s">
        <v>3978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3767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02"/>
        <v>6.9999999992433004E-2</v>
      </c>
      <c r="X7790" s="6">
        <f t="shared" si="1197"/>
        <v>0</v>
      </c>
      <c r="Y7790" s="13">
        <f t="shared" si="1199"/>
        <v>0</v>
      </c>
      <c r="Z7790" s="14">
        <v>0</v>
      </c>
      <c r="AA7790" s="6">
        <v>0</v>
      </c>
      <c r="AB7790" s="4">
        <f t="shared" si="1200"/>
        <v>0</v>
      </c>
      <c r="AC7790" s="6">
        <f t="shared" si="1198"/>
        <v>0</v>
      </c>
      <c r="AD7790" s="6">
        <f t="shared" si="1203"/>
        <v>0</v>
      </c>
      <c r="AE7790" s="14">
        <f>VLOOKUP(I7790,[2]媒体政策预估表!A:N,MATCH(O7790,[2]媒体政策预估表!$A$2:$M$2,0),0)</f>
        <v>0.1</v>
      </c>
      <c r="AF7790" s="6">
        <f t="shared" si="1205"/>
        <v>0</v>
      </c>
      <c r="AG7790" s="14">
        <v>0</v>
      </c>
      <c r="AH7790" s="64">
        <f t="shared" si="1204"/>
        <v>0</v>
      </c>
      <c r="AJ7790" s="126" t="e">
        <v>#N/A</v>
      </c>
      <c r="AK7790" s="80">
        <f t="shared" si="1201"/>
        <v>0</v>
      </c>
      <c r="AL7790" s="85"/>
      <c r="AM7790" s="85"/>
    </row>
    <row r="7791" spans="1:39" s="86" customFormat="1" ht="13.25" hidden="1" customHeight="1" x14ac:dyDescent="0.3">
      <c r="A7791" s="89" t="s">
        <v>3978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3767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02"/>
        <v>2.5599999999976699</v>
      </c>
      <c r="X7791" s="6">
        <f t="shared" si="1197"/>
        <v>0</v>
      </c>
      <c r="Y7791" s="13">
        <f t="shared" si="1199"/>
        <v>0</v>
      </c>
      <c r="Z7791" s="14">
        <v>0</v>
      </c>
      <c r="AA7791" s="6">
        <v>0</v>
      </c>
      <c r="AB7791" s="4">
        <f t="shared" si="1200"/>
        <v>0</v>
      </c>
      <c r="AC7791" s="6">
        <f t="shared" si="1198"/>
        <v>0</v>
      </c>
      <c r="AD7791" s="6">
        <f t="shared" si="1203"/>
        <v>0</v>
      </c>
      <c r="AE7791" s="14">
        <f>VLOOKUP(I7791,[2]媒体政策预估表!A:N,MATCH(O7791,[2]媒体政策预估表!$A$2:$M$2,0),0)</f>
        <v>7.0000000000000007E-2</v>
      </c>
      <c r="AF7791" s="6">
        <f t="shared" si="1205"/>
        <v>0</v>
      </c>
      <c r="AG7791" s="14">
        <v>0</v>
      </c>
      <c r="AH7791" s="64">
        <f t="shared" si="1204"/>
        <v>0</v>
      </c>
      <c r="AJ7791" s="126" t="e">
        <v>#N/A</v>
      </c>
      <c r="AK7791" s="80">
        <f t="shared" si="1201"/>
        <v>0</v>
      </c>
      <c r="AL7791" s="85"/>
      <c r="AM7791" s="85"/>
    </row>
    <row r="7792" spans="1:39" s="86" customFormat="1" ht="13.25" hidden="1" customHeight="1" x14ac:dyDescent="0.3">
      <c r="A7792" s="89" t="s">
        <v>3792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3767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02"/>
        <v>5518.78</v>
      </c>
      <c r="X7792" s="6">
        <f t="shared" ref="X7792:X7855" si="1206">IF(P7792="折扣",V7792*Q7792,IF(P7792="返现",V7792,V7792/(1+Q7792)))</f>
        <v>0</v>
      </c>
      <c r="Y7792" s="13">
        <f t="shared" si="1199"/>
        <v>0</v>
      </c>
      <c r="Z7792" s="14">
        <v>0</v>
      </c>
      <c r="AA7792" s="6">
        <v>0</v>
      </c>
      <c r="AB7792" s="4">
        <f t="shared" si="1200"/>
        <v>0</v>
      </c>
      <c r="AC7792" s="6">
        <f t="shared" si="1198"/>
        <v>0</v>
      </c>
      <c r="AD7792" s="6">
        <f t="shared" si="1203"/>
        <v>0</v>
      </c>
      <c r="AE7792" s="14">
        <f>VLOOKUP(I7792,[2]媒体政策预估表!A:N,MATCH(O7792,[2]媒体政策预估表!$A$2:$M$2,0),0)</f>
        <v>0.1</v>
      </c>
      <c r="AF7792" s="6">
        <f t="shared" si="1205"/>
        <v>0</v>
      </c>
      <c r="AG7792" s="14">
        <v>0</v>
      </c>
      <c r="AH7792" s="64">
        <f t="shared" si="1204"/>
        <v>0</v>
      </c>
      <c r="AJ7792" s="126" t="e">
        <v>#N/A</v>
      </c>
      <c r="AK7792" s="80">
        <f t="shared" si="1201"/>
        <v>0</v>
      </c>
      <c r="AL7792" s="85"/>
      <c r="AM7792" s="85"/>
    </row>
    <row r="7793" spans="1:39" s="86" customFormat="1" ht="13.25" hidden="1" customHeight="1" x14ac:dyDescent="0.3">
      <c r="A7793" s="89" t="s">
        <v>3978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3767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02"/>
        <v>472</v>
      </c>
      <c r="X7793" s="6">
        <f t="shared" si="1206"/>
        <v>0</v>
      </c>
      <c r="Y7793" s="13">
        <f t="shared" si="1199"/>
        <v>0</v>
      </c>
      <c r="Z7793" s="14">
        <v>0</v>
      </c>
      <c r="AA7793" s="6">
        <v>0</v>
      </c>
      <c r="AB7793" s="4">
        <f t="shared" si="1200"/>
        <v>0</v>
      </c>
      <c r="AC7793" s="6">
        <f t="shared" si="1198"/>
        <v>0</v>
      </c>
      <c r="AD7793" s="6">
        <f t="shared" si="1203"/>
        <v>0</v>
      </c>
      <c r="AE7793" s="14">
        <f>VLOOKUP(I7793,[2]媒体政策预估表!A:N,MATCH(O7793,[2]媒体政策预估表!$A$2:$M$2,0),0)</f>
        <v>0.1</v>
      </c>
      <c r="AF7793" s="6">
        <f t="shared" si="1205"/>
        <v>0</v>
      </c>
      <c r="AG7793" s="14">
        <v>0</v>
      </c>
      <c r="AH7793" s="64">
        <f t="shared" si="1204"/>
        <v>0</v>
      </c>
      <c r="AJ7793" s="126" t="e">
        <v>#N/A</v>
      </c>
      <c r="AK7793" s="80">
        <f t="shared" si="1201"/>
        <v>0</v>
      </c>
      <c r="AL7793" s="85"/>
      <c r="AM7793" s="85"/>
    </row>
    <row r="7794" spans="1:39" s="86" customFormat="1" ht="13.25" hidden="1" customHeight="1" x14ac:dyDescent="0.3">
      <c r="A7794" s="89" t="s">
        <v>3792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3767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02"/>
        <v>0.40000000000145502</v>
      </c>
      <c r="X7794" s="6">
        <f t="shared" si="1206"/>
        <v>0</v>
      </c>
      <c r="Y7794" s="13">
        <f t="shared" si="1199"/>
        <v>0</v>
      </c>
      <c r="Z7794" s="14">
        <v>0</v>
      </c>
      <c r="AA7794" s="6">
        <v>0</v>
      </c>
      <c r="AB7794" s="4">
        <f t="shared" si="1200"/>
        <v>0</v>
      </c>
      <c r="AC7794" s="6">
        <f t="shared" si="1198"/>
        <v>0</v>
      </c>
      <c r="AD7794" s="6">
        <f t="shared" si="1203"/>
        <v>0</v>
      </c>
      <c r="AE7794" s="14">
        <f>VLOOKUP(I7794,[2]媒体政策预估表!A:N,MATCH(O7794,[2]媒体政策预估表!$A$2:$M$2,0),0)</f>
        <v>7.0000000000000007E-2</v>
      </c>
      <c r="AF7794" s="6">
        <f t="shared" si="1205"/>
        <v>0</v>
      </c>
      <c r="AG7794" s="14">
        <v>0</v>
      </c>
      <c r="AH7794" s="64">
        <f t="shared" si="1204"/>
        <v>0</v>
      </c>
      <c r="AJ7794" s="126" t="e">
        <v>#N/A</v>
      </c>
      <c r="AK7794" s="80">
        <f t="shared" si="1201"/>
        <v>0</v>
      </c>
      <c r="AL7794" s="85"/>
      <c r="AM7794" s="85"/>
    </row>
    <row r="7795" spans="1:39" s="86" customFormat="1" ht="13.25" hidden="1" customHeight="1" x14ac:dyDescent="0.3">
      <c r="A7795" s="89" t="s">
        <v>3792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3767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02"/>
        <v>475.77999999999975</v>
      </c>
      <c r="X7795" s="6">
        <f t="shared" si="1206"/>
        <v>0</v>
      </c>
      <c r="Y7795" s="13">
        <f t="shared" si="1199"/>
        <v>0</v>
      </c>
      <c r="Z7795" s="14">
        <v>0</v>
      </c>
      <c r="AA7795" s="6">
        <v>0</v>
      </c>
      <c r="AB7795" s="4">
        <f t="shared" si="1200"/>
        <v>0</v>
      </c>
      <c r="AC7795" s="6">
        <f t="shared" si="1198"/>
        <v>0</v>
      </c>
      <c r="AD7795" s="6">
        <f t="shared" si="1203"/>
        <v>0</v>
      </c>
      <c r="AE7795" s="14">
        <f>VLOOKUP(I7795,[2]媒体政策预估表!A:N,MATCH(O7795,[2]媒体政策预估表!$A$2:$M$2,0),0)</f>
        <v>7.0000000000000007E-2</v>
      </c>
      <c r="AF7795" s="6">
        <f t="shared" si="1205"/>
        <v>0</v>
      </c>
      <c r="AG7795" s="14">
        <v>0</v>
      </c>
      <c r="AH7795" s="64">
        <f t="shared" si="1204"/>
        <v>0</v>
      </c>
      <c r="AJ7795" s="126" t="e">
        <v>#N/A</v>
      </c>
      <c r="AK7795" s="80">
        <f t="shared" si="1201"/>
        <v>0</v>
      </c>
      <c r="AL7795" s="85"/>
      <c r="AM7795" s="85"/>
    </row>
    <row r="7796" spans="1:39" s="86" customFormat="1" ht="13.25" hidden="1" customHeight="1" x14ac:dyDescent="0.3">
      <c r="A7796" s="89" t="s">
        <v>3978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3767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02"/>
        <v>-103371.7908</v>
      </c>
      <c r="X7796" s="6">
        <f t="shared" si="1206"/>
        <v>3883.4769117647061</v>
      </c>
      <c r="Y7796" s="13">
        <f t="shared" si="1199"/>
        <v>0</v>
      </c>
      <c r="Z7796" s="14">
        <v>0</v>
      </c>
      <c r="AA7796" s="6">
        <v>0</v>
      </c>
      <c r="AB7796" s="4">
        <f t="shared" si="1200"/>
        <v>3883.4769117647061</v>
      </c>
      <c r="AC7796" s="6">
        <f t="shared" si="1198"/>
        <v>77.669538235294112</v>
      </c>
      <c r="AD7796" s="6">
        <f t="shared" si="1203"/>
        <v>3961.1464500000002</v>
      </c>
      <c r="AE7796" s="14">
        <f>VLOOKUP(I7796,[2]媒体政策预估表!A:N,MATCH(O7796,[2]媒体政策预估表!$A$2:$M$2,0),0)</f>
        <v>0.1</v>
      </c>
      <c r="AF7796" s="6">
        <f t="shared" si="1205"/>
        <v>396.11464500000005</v>
      </c>
      <c r="AG7796" s="14">
        <v>0</v>
      </c>
      <c r="AH7796" s="64">
        <f t="shared" si="1204"/>
        <v>3961.1464500000002</v>
      </c>
      <c r="AJ7796" s="126" t="e">
        <v>#N/A</v>
      </c>
      <c r="AK7796" s="80">
        <f t="shared" si="1201"/>
        <v>0</v>
      </c>
      <c r="AL7796" s="85"/>
      <c r="AM7796" s="85"/>
    </row>
    <row r="7797" spans="1:39" s="86" customFormat="1" ht="13.25" hidden="1" customHeight="1" x14ac:dyDescent="0.3">
      <c r="A7797" s="89" t="s">
        <v>3978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3767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02"/>
        <v>29740.7</v>
      </c>
      <c r="X7797" s="6">
        <f t="shared" si="1206"/>
        <v>0</v>
      </c>
      <c r="Y7797" s="13">
        <f t="shared" si="1199"/>
        <v>0</v>
      </c>
      <c r="Z7797" s="14">
        <v>0</v>
      </c>
      <c r="AA7797" s="6">
        <v>0</v>
      </c>
      <c r="AB7797" s="4"/>
      <c r="AC7797" s="6">
        <f t="shared" si="1198"/>
        <v>0</v>
      </c>
      <c r="AD7797" s="6">
        <f t="shared" si="1203"/>
        <v>0</v>
      </c>
      <c r="AE7797" s="14">
        <f>VLOOKUP(I7797,[2]媒体政策预估表!A:N,MATCH(O7797,[2]媒体政策预估表!$A$2:$M$2,0),0)</f>
        <v>7.0000000000000007E-2</v>
      </c>
      <c r="AF7797" s="6">
        <f t="shared" si="1205"/>
        <v>0</v>
      </c>
      <c r="AG7797" s="14">
        <v>0</v>
      </c>
      <c r="AH7797" s="64">
        <f t="shared" si="1204"/>
        <v>0</v>
      </c>
      <c r="AJ7797" s="126">
        <v>85</v>
      </c>
      <c r="AK7797" s="80">
        <f t="shared" si="1201"/>
        <v>0</v>
      </c>
      <c r="AL7797" s="85"/>
      <c r="AM7797" s="85"/>
    </row>
    <row r="7798" spans="1:39" s="86" customFormat="1" ht="13.25" hidden="1" customHeight="1" x14ac:dyDescent="0.3">
      <c r="A7798" s="89" t="s">
        <v>3792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3767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02"/>
        <v>6.4</v>
      </c>
      <c r="X7798" s="6">
        <f t="shared" si="1206"/>
        <v>0</v>
      </c>
      <c r="Y7798" s="13">
        <f t="shared" si="1199"/>
        <v>0</v>
      </c>
      <c r="Z7798" s="14">
        <v>0</v>
      </c>
      <c r="AA7798" s="6">
        <v>0</v>
      </c>
      <c r="AB7798" s="4">
        <f t="shared" si="1200"/>
        <v>0</v>
      </c>
      <c r="AC7798" s="6">
        <f t="shared" si="1198"/>
        <v>0</v>
      </c>
      <c r="AD7798" s="6">
        <f t="shared" si="1203"/>
        <v>0</v>
      </c>
      <c r="AE7798" s="14">
        <f>VLOOKUP(I7798,[2]媒体政策预估表!A:N,MATCH(O7798,[2]媒体政策预估表!$A$2:$M$2,0),0)</f>
        <v>0.1</v>
      </c>
      <c r="AF7798" s="6">
        <f t="shared" si="1205"/>
        <v>0</v>
      </c>
      <c r="AG7798" s="14">
        <v>0</v>
      </c>
      <c r="AH7798" s="64">
        <f t="shared" si="1204"/>
        <v>0</v>
      </c>
      <c r="AJ7798" s="126" t="e">
        <v>#N/A</v>
      </c>
      <c r="AK7798" s="80">
        <f t="shared" si="1201"/>
        <v>0</v>
      </c>
      <c r="AL7798" s="85"/>
      <c r="AM7798" s="85"/>
    </row>
    <row r="7799" spans="1:39" s="86" customFormat="1" ht="13.25" hidden="1" customHeight="1" x14ac:dyDescent="0.3">
      <c r="A7799" s="89" t="s">
        <v>3792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3767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02"/>
        <v>4109.4000000000015</v>
      </c>
      <c r="X7799" s="6">
        <f t="shared" si="1206"/>
        <v>0</v>
      </c>
      <c r="Y7799" s="13">
        <f t="shared" si="1199"/>
        <v>0</v>
      </c>
      <c r="Z7799" s="14">
        <v>0</v>
      </c>
      <c r="AA7799" s="6">
        <v>0</v>
      </c>
      <c r="AB7799" s="4">
        <f t="shared" si="1200"/>
        <v>0</v>
      </c>
      <c r="AC7799" s="6">
        <f t="shared" si="1198"/>
        <v>0</v>
      </c>
      <c r="AD7799" s="6">
        <f t="shared" si="1203"/>
        <v>0</v>
      </c>
      <c r="AE7799" s="14">
        <f>VLOOKUP(I7799,[2]媒体政策预估表!A:N,MATCH(O7799,[2]媒体政策预估表!$A$2:$M$2,0),0)</f>
        <v>7.0000000000000007E-2</v>
      </c>
      <c r="AF7799" s="6">
        <f t="shared" si="1205"/>
        <v>0</v>
      </c>
      <c r="AG7799" s="14">
        <v>0</v>
      </c>
      <c r="AH7799" s="64">
        <f t="shared" si="1204"/>
        <v>0</v>
      </c>
      <c r="AJ7799" s="126" t="e">
        <v>#N/A</v>
      </c>
      <c r="AK7799" s="80">
        <f t="shared" si="1201"/>
        <v>0</v>
      </c>
      <c r="AL7799" s="85"/>
      <c r="AM7799" s="85"/>
    </row>
    <row r="7800" spans="1:39" s="86" customFormat="1" ht="13.25" hidden="1" customHeight="1" x14ac:dyDescent="0.3">
      <c r="A7800" s="89" t="s">
        <v>3978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3767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02"/>
        <v>628.40999999999894</v>
      </c>
      <c r="X7800" s="6">
        <f t="shared" si="1206"/>
        <v>0</v>
      </c>
      <c r="Y7800" s="13">
        <f t="shared" si="1199"/>
        <v>0</v>
      </c>
      <c r="Z7800" s="14">
        <v>0</v>
      </c>
      <c r="AA7800" s="6">
        <v>0</v>
      </c>
      <c r="AB7800" s="4">
        <f t="shared" si="1200"/>
        <v>0</v>
      </c>
      <c r="AC7800" s="6">
        <f t="shared" si="1198"/>
        <v>0</v>
      </c>
      <c r="AD7800" s="6">
        <f t="shared" si="1203"/>
        <v>0</v>
      </c>
      <c r="AE7800" s="14">
        <f>VLOOKUP(I7800,[2]媒体政策预估表!A:N,MATCH(O7800,[2]媒体政策预估表!$A$2:$M$2,0),0)</f>
        <v>0.1</v>
      </c>
      <c r="AF7800" s="6">
        <f t="shared" si="1205"/>
        <v>0</v>
      </c>
      <c r="AG7800" s="14">
        <v>0</v>
      </c>
      <c r="AH7800" s="64">
        <f t="shared" si="1204"/>
        <v>0</v>
      </c>
      <c r="AJ7800" s="126" t="e">
        <v>#N/A</v>
      </c>
      <c r="AK7800" s="80">
        <f t="shared" si="1201"/>
        <v>0</v>
      </c>
      <c r="AL7800" s="85"/>
      <c r="AM7800" s="85"/>
    </row>
    <row r="7801" spans="1:39" s="86" customFormat="1" ht="13.25" hidden="1" customHeight="1" x14ac:dyDescent="0.3">
      <c r="A7801" s="89" t="s">
        <v>3792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3767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02"/>
        <v>3445.4</v>
      </c>
      <c r="X7801" s="6">
        <f t="shared" si="1206"/>
        <v>0</v>
      </c>
      <c r="Y7801" s="13">
        <f t="shared" si="1199"/>
        <v>0</v>
      </c>
      <c r="Z7801" s="14">
        <v>0</v>
      </c>
      <c r="AA7801" s="6">
        <v>0</v>
      </c>
      <c r="AB7801" s="4">
        <f t="shared" si="1200"/>
        <v>0</v>
      </c>
      <c r="AC7801" s="6">
        <f t="shared" si="1198"/>
        <v>0</v>
      </c>
      <c r="AD7801" s="6">
        <f t="shared" si="1203"/>
        <v>0</v>
      </c>
      <c r="AE7801" s="14">
        <f>VLOOKUP(I7801,[2]媒体政策预估表!A:N,MATCH(O7801,[2]媒体政策预估表!$A$2:$M$2,0),0)</f>
        <v>7.0000000000000007E-2</v>
      </c>
      <c r="AF7801" s="6">
        <f t="shared" si="1205"/>
        <v>0</v>
      </c>
      <c r="AG7801" s="14">
        <v>0</v>
      </c>
      <c r="AH7801" s="64">
        <f t="shared" si="1204"/>
        <v>0</v>
      </c>
      <c r="AJ7801" s="126" t="e">
        <v>#N/A</v>
      </c>
      <c r="AK7801" s="80">
        <f t="shared" si="1201"/>
        <v>0</v>
      </c>
      <c r="AL7801" s="85"/>
      <c r="AM7801" s="85"/>
    </row>
    <row r="7802" spans="1:39" s="86" customFormat="1" ht="13.25" hidden="1" customHeight="1" x14ac:dyDescent="0.3">
      <c r="A7802" s="89" t="s">
        <v>3792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3767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02"/>
        <v>9481.92</v>
      </c>
      <c r="X7802" s="6">
        <f t="shared" si="1206"/>
        <v>0</v>
      </c>
      <c r="Y7802" s="13">
        <f t="shared" si="1199"/>
        <v>0</v>
      </c>
      <c r="Z7802" s="14">
        <v>0</v>
      </c>
      <c r="AA7802" s="6">
        <v>0</v>
      </c>
      <c r="AB7802" s="4">
        <f t="shared" si="1200"/>
        <v>0</v>
      </c>
      <c r="AC7802" s="6">
        <f t="shared" si="1198"/>
        <v>0</v>
      </c>
      <c r="AD7802" s="6">
        <f t="shared" si="1203"/>
        <v>0</v>
      </c>
      <c r="AE7802" s="14">
        <f>VLOOKUP(I7802,[2]媒体政策预估表!A:N,MATCH(O7802,[2]媒体政策预估表!$A$2:$M$2,0),0)</f>
        <v>0.1</v>
      </c>
      <c r="AF7802" s="6">
        <f t="shared" si="1205"/>
        <v>0</v>
      </c>
      <c r="AG7802" s="14">
        <v>0</v>
      </c>
      <c r="AH7802" s="64">
        <f t="shared" si="1204"/>
        <v>0</v>
      </c>
      <c r="AJ7802" s="126" t="e">
        <v>#N/A</v>
      </c>
      <c r="AK7802" s="80">
        <f t="shared" si="1201"/>
        <v>0</v>
      </c>
      <c r="AL7802" s="85"/>
      <c r="AM7802" s="85"/>
    </row>
    <row r="7803" spans="1:39" s="86" customFormat="1" ht="13.25" hidden="1" customHeight="1" x14ac:dyDescent="0.3">
      <c r="A7803" s="89" t="s">
        <v>3978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3767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02"/>
        <v>10200</v>
      </c>
      <c r="X7803" s="6">
        <f t="shared" si="1206"/>
        <v>0</v>
      </c>
      <c r="Y7803" s="13">
        <f t="shared" si="1199"/>
        <v>0</v>
      </c>
      <c r="Z7803" s="14">
        <v>0</v>
      </c>
      <c r="AA7803" s="6">
        <v>0</v>
      </c>
      <c r="AB7803" s="4">
        <f t="shared" si="1200"/>
        <v>0</v>
      </c>
      <c r="AC7803" s="6">
        <f t="shared" si="1198"/>
        <v>0</v>
      </c>
      <c r="AD7803" s="6">
        <f t="shared" si="1203"/>
        <v>0</v>
      </c>
      <c r="AE7803" s="14">
        <f>VLOOKUP(I7803,[2]媒体政策预估表!A:N,MATCH(O7803,[2]媒体政策预估表!$A$2:$M$2,0),0)</f>
        <v>7.0000000000000007E-2</v>
      </c>
      <c r="AF7803" s="6">
        <f t="shared" si="1205"/>
        <v>0</v>
      </c>
      <c r="AG7803" s="14">
        <v>0</v>
      </c>
      <c r="AH7803" s="64">
        <f t="shared" si="1204"/>
        <v>0</v>
      </c>
      <c r="AJ7803" s="126" t="e">
        <v>#N/A</v>
      </c>
      <c r="AK7803" s="80">
        <f t="shared" si="1201"/>
        <v>0</v>
      </c>
      <c r="AL7803" s="85"/>
      <c r="AM7803" s="85"/>
    </row>
    <row r="7804" spans="1:39" s="86" customFormat="1" ht="13.25" hidden="1" customHeight="1" x14ac:dyDescent="0.3">
      <c r="A7804" s="89" t="s">
        <v>3978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3767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02"/>
        <v>3704.22</v>
      </c>
      <c r="X7804" s="6">
        <f t="shared" si="1206"/>
        <v>0</v>
      </c>
      <c r="Y7804" s="13">
        <f t="shared" si="1199"/>
        <v>0</v>
      </c>
      <c r="Z7804" s="14">
        <v>0</v>
      </c>
      <c r="AA7804" s="6">
        <v>0</v>
      </c>
      <c r="AB7804" s="4">
        <f t="shared" si="1200"/>
        <v>0</v>
      </c>
      <c r="AC7804" s="6">
        <f t="shared" si="1198"/>
        <v>0</v>
      </c>
      <c r="AD7804" s="6">
        <f t="shared" si="1203"/>
        <v>0</v>
      </c>
      <c r="AE7804" s="14">
        <f>VLOOKUP(I7804,[2]媒体政策预估表!A:N,MATCH(O7804,[2]媒体政策预估表!$A$2:$M$2,0),0)</f>
        <v>0.1</v>
      </c>
      <c r="AF7804" s="6">
        <f t="shared" si="1205"/>
        <v>0</v>
      </c>
      <c r="AG7804" s="14">
        <v>0</v>
      </c>
      <c r="AH7804" s="64">
        <f t="shared" si="1204"/>
        <v>0</v>
      </c>
      <c r="AJ7804" s="126" t="e">
        <v>#N/A</v>
      </c>
      <c r="AK7804" s="80">
        <f t="shared" si="1201"/>
        <v>0</v>
      </c>
      <c r="AL7804" s="85"/>
      <c r="AM7804" s="85"/>
    </row>
    <row r="7805" spans="1:39" s="86" customFormat="1" ht="13.25" hidden="1" customHeight="1" x14ac:dyDescent="0.3">
      <c r="A7805" s="89" t="s">
        <v>3978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3767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02"/>
        <v>2.93</v>
      </c>
      <c r="X7805" s="6">
        <f t="shared" si="1206"/>
        <v>0</v>
      </c>
      <c r="Y7805" s="13">
        <f t="shared" si="1199"/>
        <v>0</v>
      </c>
      <c r="Z7805" s="14">
        <v>0</v>
      </c>
      <c r="AA7805" s="6">
        <v>0</v>
      </c>
      <c r="AB7805" s="4"/>
      <c r="AC7805" s="6">
        <f t="shared" si="1198"/>
        <v>0</v>
      </c>
      <c r="AD7805" s="6">
        <f t="shared" si="1203"/>
        <v>0</v>
      </c>
      <c r="AE7805" s="14">
        <f>VLOOKUP(I7805,[2]媒体政策预估表!A:N,MATCH(O7805,[2]媒体政策预估表!$A$2:$M$2,0),0)</f>
        <v>0.1</v>
      </c>
      <c r="AF7805" s="6">
        <f t="shared" si="1205"/>
        <v>0</v>
      </c>
      <c r="AG7805" s="14">
        <v>0</v>
      </c>
      <c r="AH7805" s="64">
        <f t="shared" si="1204"/>
        <v>0</v>
      </c>
      <c r="AJ7805" s="126">
        <v>12</v>
      </c>
      <c r="AK7805" s="80">
        <f t="shared" si="1201"/>
        <v>0</v>
      </c>
      <c r="AL7805" s="85"/>
      <c r="AM7805" s="85"/>
    </row>
    <row r="7806" spans="1:39" s="86" customFormat="1" ht="13.25" hidden="1" customHeight="1" x14ac:dyDescent="0.3">
      <c r="A7806" s="89" t="s">
        <v>3978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3767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02"/>
        <v>1166.5999999999999</v>
      </c>
      <c r="X7806" s="6">
        <f t="shared" si="1206"/>
        <v>0</v>
      </c>
      <c r="Y7806" s="13">
        <f t="shared" si="1199"/>
        <v>0</v>
      </c>
      <c r="Z7806" s="14">
        <v>0</v>
      </c>
      <c r="AA7806" s="6">
        <v>0</v>
      </c>
      <c r="AB7806" s="4">
        <f t="shared" si="1200"/>
        <v>0</v>
      </c>
      <c r="AC7806" s="6">
        <f t="shared" ref="AC7806:AC7869" si="1207">IF(P7806="返现",X7806*Q7806,V7806-X7806)</f>
        <v>0</v>
      </c>
      <c r="AD7806" s="6">
        <f t="shared" si="1203"/>
        <v>0</v>
      </c>
      <c r="AE7806" s="14">
        <f>VLOOKUP(I7806,[2]媒体政策预估表!A:N,MATCH(O7806,[2]媒体政策预估表!$A$2:$M$2,0),0)</f>
        <v>7.0000000000000007E-2</v>
      </c>
      <c r="AF7806" s="6">
        <f t="shared" si="1205"/>
        <v>0</v>
      </c>
      <c r="AG7806" s="14">
        <v>0</v>
      </c>
      <c r="AH7806" s="64">
        <f t="shared" si="1204"/>
        <v>0</v>
      </c>
      <c r="AJ7806" s="126" t="e">
        <v>#N/A</v>
      </c>
      <c r="AK7806" s="80">
        <f t="shared" si="1201"/>
        <v>0</v>
      </c>
      <c r="AL7806" s="85"/>
      <c r="AM7806" s="85"/>
    </row>
    <row r="7807" spans="1:39" s="86" customFormat="1" ht="13.25" hidden="1" customHeight="1" x14ac:dyDescent="0.3">
      <c r="A7807" s="89" t="s">
        <v>3792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3767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02"/>
        <v>4759</v>
      </c>
      <c r="X7807" s="6">
        <f t="shared" si="1206"/>
        <v>0</v>
      </c>
      <c r="Y7807" s="13">
        <f t="shared" si="1199"/>
        <v>0</v>
      </c>
      <c r="Z7807" s="14">
        <v>0</v>
      </c>
      <c r="AA7807" s="6">
        <v>0</v>
      </c>
      <c r="AB7807" s="4">
        <f t="shared" si="1200"/>
        <v>0</v>
      </c>
      <c r="AC7807" s="6">
        <f t="shared" si="1207"/>
        <v>0</v>
      </c>
      <c r="AD7807" s="6">
        <f t="shared" si="1203"/>
        <v>0</v>
      </c>
      <c r="AE7807" s="14">
        <f>VLOOKUP(I7807,[2]媒体政策预估表!A:N,MATCH(O7807,[2]媒体政策预估表!$A$2:$M$2,0),0)</f>
        <v>7.0000000000000007E-2</v>
      </c>
      <c r="AF7807" s="6">
        <f t="shared" si="1205"/>
        <v>0</v>
      </c>
      <c r="AG7807" s="14">
        <v>0</v>
      </c>
      <c r="AH7807" s="64">
        <f t="shared" si="1204"/>
        <v>0</v>
      </c>
      <c r="AJ7807" s="126" t="e">
        <v>#N/A</v>
      </c>
      <c r="AK7807" s="80">
        <f t="shared" si="1201"/>
        <v>0</v>
      </c>
      <c r="AL7807" s="85"/>
      <c r="AM7807" s="85"/>
    </row>
    <row r="7808" spans="1:39" s="86" customFormat="1" ht="13.25" hidden="1" customHeight="1" x14ac:dyDescent="0.3">
      <c r="A7808" s="89" t="s">
        <v>3978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3767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02"/>
        <v>31033.109999999971</v>
      </c>
      <c r="X7808" s="6">
        <f t="shared" si="1206"/>
        <v>0</v>
      </c>
      <c r="Y7808" s="13">
        <f t="shared" si="1199"/>
        <v>0</v>
      </c>
      <c r="Z7808" s="14">
        <v>0</v>
      </c>
      <c r="AA7808" s="6">
        <v>0</v>
      </c>
      <c r="AB7808" s="4">
        <f t="shared" si="1200"/>
        <v>0</v>
      </c>
      <c r="AC7808" s="6">
        <f t="shared" si="1207"/>
        <v>0</v>
      </c>
      <c r="AD7808" s="6">
        <f t="shared" si="1203"/>
        <v>0</v>
      </c>
      <c r="AE7808" s="14">
        <f>VLOOKUP(I7808,[2]媒体政策预估表!A:N,MATCH(O7808,[2]媒体政策预估表!$A$2:$M$2,0),0)</f>
        <v>7.0000000000000007E-2</v>
      </c>
      <c r="AF7808" s="6">
        <f t="shared" si="1205"/>
        <v>0</v>
      </c>
      <c r="AG7808" s="14">
        <v>0</v>
      </c>
      <c r="AH7808" s="64">
        <f t="shared" si="1204"/>
        <v>0</v>
      </c>
      <c r="AJ7808" s="126" t="e">
        <v>#N/A</v>
      </c>
      <c r="AK7808" s="80">
        <f t="shared" si="1201"/>
        <v>0</v>
      </c>
      <c r="AL7808" s="85"/>
      <c r="AM7808" s="85"/>
    </row>
    <row r="7809" spans="1:39" s="86" customFormat="1" ht="13.25" hidden="1" customHeight="1" x14ac:dyDescent="0.3">
      <c r="A7809" s="89" t="s">
        <v>3978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3767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02"/>
        <v>-1993.4765199999997</v>
      </c>
      <c r="X7809" s="6">
        <f t="shared" si="1206"/>
        <v>0</v>
      </c>
      <c r="Y7809" s="13">
        <f t="shared" si="1199"/>
        <v>0</v>
      </c>
      <c r="Z7809" s="14">
        <v>0</v>
      </c>
      <c r="AA7809" s="6">
        <v>0</v>
      </c>
      <c r="AB7809" s="4">
        <f t="shared" si="1200"/>
        <v>0</v>
      </c>
      <c r="AC7809" s="6">
        <f t="shared" si="1207"/>
        <v>0</v>
      </c>
      <c r="AD7809" s="6">
        <f t="shared" si="1203"/>
        <v>0</v>
      </c>
      <c r="AE7809" s="14">
        <f>VLOOKUP(I7809,[2]媒体政策预估表!A:N,MATCH(O7809,[2]媒体政策预估表!$A$2:$M$2,0),0)</f>
        <v>0.1</v>
      </c>
      <c r="AF7809" s="6">
        <f t="shared" si="1205"/>
        <v>0</v>
      </c>
      <c r="AG7809" s="14">
        <v>0</v>
      </c>
      <c r="AH7809" s="64">
        <f t="shared" si="1204"/>
        <v>0</v>
      </c>
      <c r="AJ7809" s="126" t="e">
        <v>#N/A</v>
      </c>
      <c r="AK7809" s="80">
        <f t="shared" si="1201"/>
        <v>0</v>
      </c>
      <c r="AL7809" s="85"/>
      <c r="AM7809" s="85"/>
    </row>
    <row r="7810" spans="1:39" s="86" customFormat="1" ht="13.25" hidden="1" customHeight="1" x14ac:dyDescent="0.3">
      <c r="A7810" s="89" t="s">
        <v>3978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3767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02"/>
        <v>3139.3</v>
      </c>
      <c r="X7810" s="6">
        <f t="shared" si="1206"/>
        <v>0</v>
      </c>
      <c r="Y7810" s="13">
        <f t="shared" si="1199"/>
        <v>0</v>
      </c>
      <c r="Z7810" s="14">
        <v>0</v>
      </c>
      <c r="AA7810" s="6">
        <v>0</v>
      </c>
      <c r="AB7810" s="4">
        <f t="shared" si="1200"/>
        <v>0</v>
      </c>
      <c r="AC7810" s="6">
        <f t="shared" si="1207"/>
        <v>0</v>
      </c>
      <c r="AD7810" s="6">
        <f t="shared" si="1203"/>
        <v>0</v>
      </c>
      <c r="AE7810" s="14">
        <f>VLOOKUP(I7810,[2]媒体政策预估表!A:N,MATCH(O7810,[2]媒体政策预估表!$A$2:$M$2,0),0)</f>
        <v>7.0000000000000007E-2</v>
      </c>
      <c r="AF7810" s="6">
        <f t="shared" si="1205"/>
        <v>0</v>
      </c>
      <c r="AG7810" s="14">
        <v>0</v>
      </c>
      <c r="AH7810" s="64">
        <f t="shared" si="1204"/>
        <v>0</v>
      </c>
      <c r="AJ7810" s="126" t="e">
        <v>#N/A</v>
      </c>
      <c r="AK7810" s="80">
        <f t="shared" si="1201"/>
        <v>0</v>
      </c>
      <c r="AL7810" s="85"/>
      <c r="AM7810" s="85"/>
    </row>
    <row r="7811" spans="1:39" s="86" customFormat="1" ht="13.25" hidden="1" customHeight="1" x14ac:dyDescent="0.3">
      <c r="A7811" s="89" t="s">
        <v>3978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3767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02"/>
        <v>4939.5</v>
      </c>
      <c r="X7811" s="6">
        <f t="shared" si="1206"/>
        <v>0</v>
      </c>
      <c r="Y7811" s="13">
        <f t="shared" ref="Y7811:Y7874" si="1208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209">X7811+AA7811</f>
        <v>0</v>
      </c>
      <c r="AC7811" s="6">
        <f t="shared" si="1207"/>
        <v>0</v>
      </c>
      <c r="AD7811" s="6">
        <f t="shared" si="1203"/>
        <v>0</v>
      </c>
      <c r="AE7811" s="14">
        <f>VLOOKUP(I7811,[2]媒体政策预估表!A:N,MATCH(O7811,[2]媒体政策预估表!$A$2:$M$2,0),0)</f>
        <v>7.0000000000000007E-2</v>
      </c>
      <c r="AF7811" s="6">
        <f t="shared" si="1205"/>
        <v>0</v>
      </c>
      <c r="AG7811" s="14">
        <v>0</v>
      </c>
      <c r="AH7811" s="64">
        <f t="shared" si="1204"/>
        <v>0</v>
      </c>
      <c r="AJ7811" s="126" t="e">
        <v>#N/A</v>
      </c>
      <c r="AK7811" s="80">
        <f t="shared" ref="AK7811:AK7874" si="1210">X7811+AA7811-AB7811</f>
        <v>0</v>
      </c>
      <c r="AL7811" s="85"/>
      <c r="AM7811" s="85"/>
    </row>
    <row r="7812" spans="1:39" s="86" customFormat="1" ht="13.25" hidden="1" customHeight="1" x14ac:dyDescent="0.3">
      <c r="A7812" s="89" t="s">
        <v>3978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3767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02"/>
        <v>1</v>
      </c>
      <c r="X7812" s="6">
        <f t="shared" si="1206"/>
        <v>0</v>
      </c>
      <c r="Y7812" s="13">
        <f t="shared" si="1208"/>
        <v>0</v>
      </c>
      <c r="Z7812" s="14">
        <v>0</v>
      </c>
      <c r="AA7812" s="6">
        <v>0</v>
      </c>
      <c r="AB7812" s="4">
        <f t="shared" si="1209"/>
        <v>0</v>
      </c>
      <c r="AC7812" s="6">
        <f t="shared" si="1207"/>
        <v>0</v>
      </c>
      <c r="AD7812" s="6">
        <f t="shared" si="1203"/>
        <v>0</v>
      </c>
      <c r="AE7812" s="14">
        <f>VLOOKUP(I7812,[2]媒体政策预估表!A:N,MATCH(O7812,[2]媒体政策预估表!$A$2:$M$2,0),0)</f>
        <v>7.0000000000000007E-2</v>
      </c>
      <c r="AF7812" s="6">
        <f t="shared" si="1205"/>
        <v>0</v>
      </c>
      <c r="AG7812" s="14">
        <v>0</v>
      </c>
      <c r="AH7812" s="64">
        <f t="shared" si="1204"/>
        <v>0</v>
      </c>
      <c r="AJ7812" s="126" t="e">
        <v>#N/A</v>
      </c>
      <c r="AK7812" s="80">
        <f t="shared" si="1210"/>
        <v>0</v>
      </c>
      <c r="AL7812" s="85"/>
      <c r="AM7812" s="85"/>
    </row>
    <row r="7813" spans="1:39" s="86" customFormat="1" ht="13.25" hidden="1" customHeight="1" x14ac:dyDescent="0.3">
      <c r="A7813" s="89" t="s">
        <v>3792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3767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02"/>
        <v>62.199999999999818</v>
      </c>
      <c r="X7813" s="6">
        <f t="shared" si="1206"/>
        <v>0</v>
      </c>
      <c r="Y7813" s="13">
        <f t="shared" si="1208"/>
        <v>0</v>
      </c>
      <c r="Z7813" s="14">
        <v>0</v>
      </c>
      <c r="AA7813" s="6">
        <v>0</v>
      </c>
      <c r="AB7813" s="4">
        <f t="shared" si="1209"/>
        <v>0</v>
      </c>
      <c r="AC7813" s="6">
        <f t="shared" si="1207"/>
        <v>0</v>
      </c>
      <c r="AD7813" s="6">
        <f t="shared" si="1203"/>
        <v>0</v>
      </c>
      <c r="AE7813" s="14">
        <f>VLOOKUP(I7813,[2]媒体政策预估表!A:N,MATCH(O7813,[2]媒体政策预估表!$A$2:$M$2,0),0)</f>
        <v>7.0000000000000007E-2</v>
      </c>
      <c r="AF7813" s="6">
        <f t="shared" si="1205"/>
        <v>0</v>
      </c>
      <c r="AG7813" s="14">
        <v>0</v>
      </c>
      <c r="AH7813" s="64">
        <f t="shared" si="1204"/>
        <v>0</v>
      </c>
      <c r="AJ7813" s="126" t="e">
        <v>#N/A</v>
      </c>
      <c r="AK7813" s="80">
        <f t="shared" si="1210"/>
        <v>0</v>
      </c>
      <c r="AL7813" s="85"/>
      <c r="AM7813" s="85"/>
    </row>
    <row r="7814" spans="1:39" s="86" customFormat="1" ht="13.25" hidden="1" customHeight="1" x14ac:dyDescent="0.3">
      <c r="A7814" s="89" t="s">
        <v>3978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3767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02"/>
        <v>54.699999999999903</v>
      </c>
      <c r="X7814" s="6">
        <f t="shared" si="1206"/>
        <v>0</v>
      </c>
      <c r="Y7814" s="13">
        <f t="shared" si="1208"/>
        <v>0</v>
      </c>
      <c r="Z7814" s="14">
        <v>0</v>
      </c>
      <c r="AA7814" s="6">
        <v>0</v>
      </c>
      <c r="AB7814" s="4">
        <f t="shared" si="1209"/>
        <v>0</v>
      </c>
      <c r="AC7814" s="6">
        <f t="shared" si="1207"/>
        <v>0</v>
      </c>
      <c r="AD7814" s="6">
        <f t="shared" si="1203"/>
        <v>0</v>
      </c>
      <c r="AE7814" s="14">
        <f>VLOOKUP(I7814,[2]媒体政策预估表!A:N,MATCH(O7814,[2]媒体政策预估表!$A$2:$M$2,0),0)</f>
        <v>7.0000000000000007E-2</v>
      </c>
      <c r="AF7814" s="6">
        <f t="shared" si="1205"/>
        <v>0</v>
      </c>
      <c r="AG7814" s="14">
        <v>0</v>
      </c>
      <c r="AH7814" s="64">
        <f t="shared" si="1204"/>
        <v>0</v>
      </c>
      <c r="AJ7814" s="126" t="e">
        <v>#N/A</v>
      </c>
      <c r="AK7814" s="80">
        <f t="shared" si="1210"/>
        <v>0</v>
      </c>
      <c r="AL7814" s="85"/>
      <c r="AM7814" s="85"/>
    </row>
    <row r="7815" spans="1:39" s="86" customFormat="1" ht="13.25" hidden="1" customHeight="1" x14ac:dyDescent="0.3">
      <c r="A7815" s="89" t="s">
        <v>3978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3767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02"/>
        <v>95600</v>
      </c>
      <c r="X7815" s="6">
        <f t="shared" si="1206"/>
        <v>0</v>
      </c>
      <c r="Y7815" s="13">
        <f t="shared" si="1208"/>
        <v>0</v>
      </c>
      <c r="Z7815" s="14">
        <v>0</v>
      </c>
      <c r="AA7815" s="6">
        <v>0</v>
      </c>
      <c r="AB7815" s="4">
        <f t="shared" si="1209"/>
        <v>0</v>
      </c>
      <c r="AC7815" s="6">
        <f t="shared" si="1207"/>
        <v>0</v>
      </c>
      <c r="AD7815" s="6">
        <f t="shared" si="1203"/>
        <v>0</v>
      </c>
      <c r="AE7815" s="14">
        <f>VLOOKUP(I7815,[2]媒体政策预估表!A:N,MATCH(O7815,[2]媒体政策预估表!$A$2:$M$2,0),0)</f>
        <v>0.1</v>
      </c>
      <c r="AF7815" s="6">
        <f t="shared" si="1205"/>
        <v>0</v>
      </c>
      <c r="AG7815" s="14">
        <v>0</v>
      </c>
      <c r="AH7815" s="64">
        <f t="shared" si="1204"/>
        <v>0</v>
      </c>
      <c r="AJ7815" s="126" t="e">
        <v>#N/A</v>
      </c>
      <c r="AK7815" s="80">
        <f t="shared" si="1210"/>
        <v>0</v>
      </c>
      <c r="AL7815" s="85"/>
      <c r="AM7815" s="85"/>
    </row>
    <row r="7816" spans="1:39" s="86" customFormat="1" ht="13.25" hidden="1" customHeight="1" x14ac:dyDescent="0.3">
      <c r="A7816" s="89" t="s">
        <v>3792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3767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02"/>
        <v>-594818.11</v>
      </c>
      <c r="X7816" s="6">
        <f t="shared" si="1206"/>
        <v>0</v>
      </c>
      <c r="Y7816" s="13">
        <f t="shared" si="1208"/>
        <v>0</v>
      </c>
      <c r="Z7816" s="14">
        <v>0</v>
      </c>
      <c r="AA7816" s="6">
        <v>0</v>
      </c>
      <c r="AB7816" s="4">
        <f t="shared" si="1209"/>
        <v>0</v>
      </c>
      <c r="AC7816" s="6">
        <f t="shared" si="1207"/>
        <v>0</v>
      </c>
      <c r="AD7816" s="6">
        <f t="shared" si="1203"/>
        <v>0</v>
      </c>
      <c r="AE7816" s="14">
        <f>VLOOKUP(I7816,[2]媒体政策预估表!A:N,MATCH(O7816,[2]媒体政策预估表!$A$2:$M$2,0),0)</f>
        <v>0.15</v>
      </c>
      <c r="AF7816" s="6">
        <f t="shared" si="1205"/>
        <v>0</v>
      </c>
      <c r="AG7816" s="14">
        <v>0</v>
      </c>
      <c r="AH7816" s="64">
        <f t="shared" si="1204"/>
        <v>0</v>
      </c>
      <c r="AJ7816" s="126" t="e">
        <v>#N/A</v>
      </c>
      <c r="AK7816" s="80">
        <f t="shared" si="1210"/>
        <v>0</v>
      </c>
      <c r="AL7816" s="85"/>
      <c r="AM7816" s="85"/>
    </row>
    <row r="7817" spans="1:39" s="86" customFormat="1" ht="13.25" hidden="1" customHeight="1" x14ac:dyDescent="0.3">
      <c r="A7817" s="89" t="s">
        <v>3978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3767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02"/>
        <v>8603.76</v>
      </c>
      <c r="X7817" s="6">
        <f t="shared" si="1206"/>
        <v>0</v>
      </c>
      <c r="Y7817" s="13">
        <f t="shared" si="1208"/>
        <v>0</v>
      </c>
      <c r="Z7817" s="14">
        <v>0</v>
      </c>
      <c r="AA7817" s="6">
        <v>0</v>
      </c>
      <c r="AB7817" s="4">
        <f t="shared" si="1209"/>
        <v>0</v>
      </c>
      <c r="AC7817" s="6">
        <f t="shared" si="1207"/>
        <v>0</v>
      </c>
      <c r="AD7817" s="6">
        <f t="shared" si="1203"/>
        <v>0</v>
      </c>
      <c r="AE7817" s="14">
        <f>VLOOKUP(I7817,[2]媒体政策预估表!A:N,MATCH(O7817,[2]媒体政策预估表!$A$2:$M$2,0),0)</f>
        <v>7.0000000000000007E-2</v>
      </c>
      <c r="AF7817" s="6">
        <f t="shared" si="1205"/>
        <v>0</v>
      </c>
      <c r="AG7817" s="14">
        <v>0</v>
      </c>
      <c r="AH7817" s="64">
        <f t="shared" si="1204"/>
        <v>0</v>
      </c>
      <c r="AJ7817" s="126" t="e">
        <v>#N/A</v>
      </c>
      <c r="AK7817" s="80">
        <f t="shared" si="1210"/>
        <v>0</v>
      </c>
      <c r="AL7817" s="85"/>
      <c r="AM7817" s="85"/>
    </row>
    <row r="7818" spans="1:39" s="86" customFormat="1" ht="13.25" hidden="1" customHeight="1" x14ac:dyDescent="0.3">
      <c r="A7818" s="89" t="s">
        <v>3792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3767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02"/>
        <v>9.9500000000007294</v>
      </c>
      <c r="X7818" s="6">
        <f t="shared" si="1206"/>
        <v>0</v>
      </c>
      <c r="Y7818" s="13">
        <f t="shared" si="1208"/>
        <v>0</v>
      </c>
      <c r="Z7818" s="14">
        <v>0</v>
      </c>
      <c r="AA7818" s="6">
        <v>0</v>
      </c>
      <c r="AB7818" s="4">
        <f t="shared" si="1209"/>
        <v>0</v>
      </c>
      <c r="AC7818" s="6">
        <f t="shared" si="1207"/>
        <v>0</v>
      </c>
      <c r="AD7818" s="6">
        <f t="shared" si="1203"/>
        <v>0</v>
      </c>
      <c r="AE7818" s="14">
        <f>VLOOKUP(I7818,[2]媒体政策预估表!A:N,MATCH(O7818,[2]媒体政策预估表!$A$2:$M$2,0),0)</f>
        <v>0.1</v>
      </c>
      <c r="AF7818" s="6">
        <f t="shared" si="1205"/>
        <v>0</v>
      </c>
      <c r="AG7818" s="14">
        <v>0</v>
      </c>
      <c r="AH7818" s="64">
        <f t="shared" si="1204"/>
        <v>0</v>
      </c>
      <c r="AJ7818" s="126" t="e">
        <v>#N/A</v>
      </c>
      <c r="AK7818" s="80">
        <f t="shared" si="1210"/>
        <v>0</v>
      </c>
      <c r="AL7818" s="85"/>
      <c r="AM7818" s="85"/>
    </row>
    <row r="7819" spans="1:39" s="86" customFormat="1" ht="13.25" hidden="1" customHeight="1" x14ac:dyDescent="0.3">
      <c r="A7819" s="89" t="s">
        <v>3978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3767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02"/>
        <v>5157.2</v>
      </c>
      <c r="X7819" s="6">
        <f t="shared" si="1206"/>
        <v>0</v>
      </c>
      <c r="Y7819" s="13">
        <f t="shared" si="1208"/>
        <v>0</v>
      </c>
      <c r="Z7819" s="14">
        <v>0</v>
      </c>
      <c r="AA7819" s="6">
        <v>0</v>
      </c>
      <c r="AB7819" s="4">
        <f t="shared" si="1209"/>
        <v>0</v>
      </c>
      <c r="AC7819" s="6">
        <f t="shared" si="1207"/>
        <v>0</v>
      </c>
      <c r="AD7819" s="6">
        <f t="shared" si="1203"/>
        <v>0</v>
      </c>
      <c r="AE7819" s="14">
        <f>VLOOKUP(I7819,[2]媒体政策预估表!A:N,MATCH(O7819,[2]媒体政策预估表!$A$2:$M$2,0),0)</f>
        <v>0.1</v>
      </c>
      <c r="AF7819" s="6">
        <f t="shared" si="1205"/>
        <v>0</v>
      </c>
      <c r="AG7819" s="14">
        <v>0</v>
      </c>
      <c r="AH7819" s="64">
        <f t="shared" si="1204"/>
        <v>0</v>
      </c>
      <c r="AJ7819" s="126" t="e">
        <v>#N/A</v>
      </c>
      <c r="AK7819" s="80">
        <f t="shared" si="1210"/>
        <v>0</v>
      </c>
      <c r="AL7819" s="85"/>
      <c r="AM7819" s="85"/>
    </row>
    <row r="7820" spans="1:39" s="86" customFormat="1" ht="13.25" hidden="1" customHeight="1" x14ac:dyDescent="0.3">
      <c r="A7820" s="89" t="s">
        <v>3792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3767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02"/>
        <v>-966783.75237999996</v>
      </c>
      <c r="X7820" s="6">
        <f t="shared" si="1206"/>
        <v>0</v>
      </c>
      <c r="Y7820" s="13">
        <f t="shared" si="1208"/>
        <v>0</v>
      </c>
      <c r="Z7820" s="14">
        <v>0</v>
      </c>
      <c r="AA7820" s="6">
        <v>0</v>
      </c>
      <c r="AB7820" s="4">
        <f t="shared" si="1209"/>
        <v>0</v>
      </c>
      <c r="AC7820" s="6">
        <f t="shared" si="1207"/>
        <v>0</v>
      </c>
      <c r="AD7820" s="6">
        <f t="shared" si="1203"/>
        <v>0</v>
      </c>
      <c r="AE7820" s="14">
        <f>VLOOKUP(I7820,[2]媒体政策预估表!A:N,MATCH(O7820,[2]媒体政策预估表!$A$2:$M$2,0),0)</f>
        <v>0.1</v>
      </c>
      <c r="AF7820" s="6">
        <f t="shared" si="1205"/>
        <v>0</v>
      </c>
      <c r="AG7820" s="14">
        <v>0</v>
      </c>
      <c r="AH7820" s="64">
        <f t="shared" si="1204"/>
        <v>0</v>
      </c>
      <c r="AJ7820" s="126" t="e">
        <v>#N/A</v>
      </c>
      <c r="AK7820" s="80">
        <f t="shared" si="1210"/>
        <v>0</v>
      </c>
      <c r="AL7820" s="85"/>
      <c r="AM7820" s="85"/>
    </row>
    <row r="7821" spans="1:39" s="86" customFormat="1" ht="13.25" hidden="1" customHeight="1" x14ac:dyDescent="0.3">
      <c r="A7821" s="89" t="s">
        <v>3978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3767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02"/>
        <v>-815025.97281999991</v>
      </c>
      <c r="X7821" s="6">
        <f t="shared" si="1206"/>
        <v>4869.2852079207923</v>
      </c>
      <c r="Y7821" s="13">
        <f t="shared" si="1208"/>
        <v>0</v>
      </c>
      <c r="Z7821" s="14">
        <v>0</v>
      </c>
      <c r="AA7821" s="6">
        <v>0</v>
      </c>
      <c r="AB7821" s="4">
        <f t="shared" si="1209"/>
        <v>4869.2852079207923</v>
      </c>
      <c r="AC7821" s="6">
        <f t="shared" si="1207"/>
        <v>48.692852079208023</v>
      </c>
      <c r="AD7821" s="6">
        <f t="shared" si="1203"/>
        <v>4917.9780600000004</v>
      </c>
      <c r="AE7821" s="14">
        <f>VLOOKUP(I7821,[2]媒体政策预估表!A:N,MATCH(O7821,[2]媒体政策预估表!$A$2:$M$2,0),0)</f>
        <v>0.15</v>
      </c>
      <c r="AF7821" s="6">
        <f t="shared" si="1205"/>
        <v>737.69670900000006</v>
      </c>
      <c r="AG7821" s="14">
        <v>0</v>
      </c>
      <c r="AH7821" s="64">
        <f t="shared" si="1204"/>
        <v>4917.9780600000004</v>
      </c>
      <c r="AJ7821" s="126" t="e">
        <v>#N/A</v>
      </c>
      <c r="AK7821" s="80">
        <f t="shared" si="1210"/>
        <v>0</v>
      </c>
      <c r="AL7821" s="85"/>
      <c r="AM7821" s="85"/>
    </row>
    <row r="7822" spans="1:39" s="86" customFormat="1" ht="13.25" hidden="1" customHeight="1" x14ac:dyDescent="0.3">
      <c r="A7822" s="89" t="s">
        <v>3792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3767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02"/>
        <v>-118633.86223999999</v>
      </c>
      <c r="X7822" s="6">
        <f t="shared" si="1206"/>
        <v>8514.5052475247521</v>
      </c>
      <c r="Y7822" s="13">
        <f t="shared" si="1208"/>
        <v>0</v>
      </c>
      <c r="Z7822" s="14">
        <v>0</v>
      </c>
      <c r="AA7822" s="6">
        <v>0</v>
      </c>
      <c r="AB7822" s="4">
        <f t="shared" si="1209"/>
        <v>8514.5052475247521</v>
      </c>
      <c r="AC7822" s="6">
        <f t="shared" si="1207"/>
        <v>85.145052475247212</v>
      </c>
      <c r="AD7822" s="6">
        <f t="shared" si="1203"/>
        <v>8599.6502999999993</v>
      </c>
      <c r="AE7822" s="14">
        <f>VLOOKUP(I7822,[2]媒体政策预估表!A:N,MATCH(O7822,[2]媒体政策预估表!$A$2:$M$2,0),0)</f>
        <v>0.15</v>
      </c>
      <c r="AF7822" s="6">
        <f t="shared" si="1205"/>
        <v>1289.9475449999998</v>
      </c>
      <c r="AG7822" s="14">
        <v>0</v>
      </c>
      <c r="AH7822" s="64">
        <f t="shared" si="1204"/>
        <v>8599.6502999999993</v>
      </c>
      <c r="AJ7822" s="126" t="e">
        <v>#N/A</v>
      </c>
      <c r="AK7822" s="80">
        <f t="shared" si="1210"/>
        <v>0</v>
      </c>
      <c r="AL7822" s="85"/>
      <c r="AM7822" s="85"/>
    </row>
    <row r="7823" spans="1:39" s="86" customFormat="1" ht="13.25" hidden="1" customHeight="1" x14ac:dyDescent="0.3">
      <c r="A7823" s="89" t="s">
        <v>3978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3767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02"/>
        <v>-7162.6865100000014</v>
      </c>
      <c r="X7823" s="6">
        <f t="shared" si="1206"/>
        <v>0</v>
      </c>
      <c r="Y7823" s="13">
        <f t="shared" si="1208"/>
        <v>0</v>
      </c>
      <c r="Z7823" s="14">
        <v>0</v>
      </c>
      <c r="AA7823" s="6">
        <v>0</v>
      </c>
      <c r="AB7823" s="4">
        <f t="shared" si="1209"/>
        <v>0</v>
      </c>
      <c r="AC7823" s="6">
        <f t="shared" si="1207"/>
        <v>0</v>
      </c>
      <c r="AD7823" s="6">
        <f t="shared" si="1203"/>
        <v>0</v>
      </c>
      <c r="AE7823" s="14">
        <f>VLOOKUP(I7823,[2]媒体政策预估表!A:N,MATCH(O7823,[2]媒体政策预估表!$A$2:$M$2,0),0)</f>
        <v>0.1</v>
      </c>
      <c r="AF7823" s="6">
        <f t="shared" si="1205"/>
        <v>0</v>
      </c>
      <c r="AG7823" s="14">
        <v>0</v>
      </c>
      <c r="AH7823" s="64">
        <f t="shared" si="1204"/>
        <v>0</v>
      </c>
      <c r="AJ7823" s="126" t="e">
        <v>#N/A</v>
      </c>
      <c r="AK7823" s="80">
        <f t="shared" si="1210"/>
        <v>0</v>
      </c>
      <c r="AL7823" s="85"/>
      <c r="AM7823" s="85"/>
    </row>
    <row r="7824" spans="1:39" s="86" customFormat="1" ht="13.25" hidden="1" customHeight="1" x14ac:dyDescent="0.3">
      <c r="A7824" s="89" t="s">
        <v>3978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3767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02"/>
        <v>-126029.43908</v>
      </c>
      <c r="X7824" s="6">
        <f t="shared" si="1206"/>
        <v>6226.6561584158408</v>
      </c>
      <c r="Y7824" s="13">
        <f t="shared" si="1208"/>
        <v>0</v>
      </c>
      <c r="Z7824" s="14">
        <v>0</v>
      </c>
      <c r="AA7824" s="6">
        <v>0</v>
      </c>
      <c r="AB7824" s="4">
        <f t="shared" si="1209"/>
        <v>6226.6561584158408</v>
      </c>
      <c r="AC7824" s="6">
        <f t="shared" si="1207"/>
        <v>62.266561584158808</v>
      </c>
      <c r="AD7824" s="6">
        <f t="shared" si="1203"/>
        <v>6288.9227199999996</v>
      </c>
      <c r="AE7824" s="14">
        <f>VLOOKUP(I7824,[2]媒体政策预估表!A:N,MATCH(O7824,[2]媒体政策预估表!$A$2:$M$2,0),0)</f>
        <v>0.1</v>
      </c>
      <c r="AF7824" s="6">
        <f t="shared" si="1205"/>
        <v>628.89227200000005</v>
      </c>
      <c r="AG7824" s="14">
        <v>0</v>
      </c>
      <c r="AH7824" s="64">
        <f t="shared" si="1204"/>
        <v>6288.9227199999996</v>
      </c>
      <c r="AJ7824" s="126" t="e">
        <v>#N/A</v>
      </c>
      <c r="AK7824" s="80">
        <f t="shared" si="1210"/>
        <v>0</v>
      </c>
      <c r="AL7824" s="85"/>
      <c r="AM7824" s="85"/>
    </row>
    <row r="7825" spans="1:39" s="86" customFormat="1" ht="13.25" hidden="1" customHeight="1" x14ac:dyDescent="0.3">
      <c r="A7825" s="89" t="s">
        <v>3978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3767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02"/>
        <v>-682254.41494000005</v>
      </c>
      <c r="X7825" s="6">
        <f t="shared" si="1206"/>
        <v>50353.509960396033</v>
      </c>
      <c r="Y7825" s="13">
        <f t="shared" si="1208"/>
        <v>0</v>
      </c>
      <c r="Z7825" s="14">
        <v>0</v>
      </c>
      <c r="AA7825" s="6">
        <v>0</v>
      </c>
      <c r="AB7825" s="4">
        <f t="shared" si="1209"/>
        <v>50353.509960396033</v>
      </c>
      <c r="AC7825" s="6">
        <f t="shared" si="1207"/>
        <v>503.53509960396332</v>
      </c>
      <c r="AD7825" s="6">
        <f t="shared" si="1203"/>
        <v>50857.045059999997</v>
      </c>
      <c r="AE7825" s="14">
        <f>VLOOKUP(I7825,[2]媒体政策预估表!A:N,MATCH(O7825,[2]媒体政策预估表!$A$2:$M$2,0),0)</f>
        <v>0.1</v>
      </c>
      <c r="AF7825" s="6">
        <f t="shared" si="1205"/>
        <v>5085.704506</v>
      </c>
      <c r="AG7825" s="14">
        <v>0</v>
      </c>
      <c r="AH7825" s="64">
        <f t="shared" si="1204"/>
        <v>50857.045059999997</v>
      </c>
      <c r="AJ7825" s="126" t="e">
        <v>#N/A</v>
      </c>
      <c r="AK7825" s="80">
        <f t="shared" si="1210"/>
        <v>0</v>
      </c>
      <c r="AL7825" s="85"/>
      <c r="AM7825" s="85"/>
    </row>
    <row r="7826" spans="1:39" s="86" customFormat="1" ht="13.25" hidden="1" customHeight="1" x14ac:dyDescent="0.3">
      <c r="A7826" s="89" t="s">
        <v>3978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3767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02"/>
        <v>0.16000000000349199</v>
      </c>
      <c r="X7826" s="6">
        <f t="shared" si="1206"/>
        <v>0</v>
      </c>
      <c r="Y7826" s="13">
        <f t="shared" si="1208"/>
        <v>0</v>
      </c>
      <c r="Z7826" s="14">
        <v>0</v>
      </c>
      <c r="AA7826" s="6">
        <v>0</v>
      </c>
      <c r="AB7826" s="4">
        <f t="shared" si="1209"/>
        <v>0</v>
      </c>
      <c r="AC7826" s="6">
        <f t="shared" si="1207"/>
        <v>0</v>
      </c>
      <c r="AD7826" s="6">
        <f t="shared" si="1203"/>
        <v>0</v>
      </c>
      <c r="AE7826" s="14">
        <f>VLOOKUP(I7826,[2]媒体政策预估表!A:N,MATCH(O7826,[2]媒体政策预估表!$A$2:$M$2,0),0)</f>
        <v>0.1</v>
      </c>
      <c r="AF7826" s="6">
        <f t="shared" si="1205"/>
        <v>0</v>
      </c>
      <c r="AG7826" s="14">
        <v>0</v>
      </c>
      <c r="AH7826" s="64">
        <f t="shared" si="1204"/>
        <v>0</v>
      </c>
      <c r="AJ7826" s="126" t="s">
        <v>4220</v>
      </c>
      <c r="AK7826" s="80">
        <f t="shared" si="1210"/>
        <v>0</v>
      </c>
      <c r="AL7826" s="150"/>
      <c r="AM7826" s="85"/>
    </row>
    <row r="7827" spans="1:39" s="86" customFormat="1" ht="13.25" hidden="1" customHeight="1" x14ac:dyDescent="0.3">
      <c r="A7827" s="89" t="s">
        <v>3978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3767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02"/>
        <v>1.2799999999988401</v>
      </c>
      <c r="X7827" s="6">
        <f t="shared" si="1206"/>
        <v>0</v>
      </c>
      <c r="Y7827" s="13">
        <f t="shared" si="1208"/>
        <v>0</v>
      </c>
      <c r="Z7827" s="14">
        <v>0</v>
      </c>
      <c r="AA7827" s="6">
        <v>0</v>
      </c>
      <c r="AB7827" s="4"/>
      <c r="AC7827" s="6">
        <f t="shared" si="1207"/>
        <v>0</v>
      </c>
      <c r="AD7827" s="6">
        <f t="shared" si="1203"/>
        <v>0</v>
      </c>
      <c r="AE7827" s="14">
        <f>VLOOKUP(I7827,[2]媒体政策预估表!A:N,MATCH(O7827,[2]媒体政策预估表!$A$2:$M$2,0),0)</f>
        <v>7.0000000000000007E-2</v>
      </c>
      <c r="AF7827" s="6">
        <f t="shared" si="1205"/>
        <v>0</v>
      </c>
      <c r="AG7827" s="14">
        <v>0</v>
      </c>
      <c r="AH7827" s="64">
        <f t="shared" si="1204"/>
        <v>0</v>
      </c>
      <c r="AJ7827" s="126">
        <v>60</v>
      </c>
      <c r="AK7827" s="80">
        <f t="shared" si="1210"/>
        <v>0</v>
      </c>
      <c r="AL7827" s="85"/>
      <c r="AM7827" s="85"/>
    </row>
    <row r="7828" spans="1:39" s="86" customFormat="1" ht="13.25" hidden="1" customHeight="1" x14ac:dyDescent="0.3">
      <c r="A7828" s="89" t="s">
        <v>3792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3767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02"/>
        <v>489.4</v>
      </c>
      <c r="X7828" s="6">
        <f t="shared" si="1206"/>
        <v>0</v>
      </c>
      <c r="Y7828" s="13">
        <f t="shared" si="1208"/>
        <v>0</v>
      </c>
      <c r="Z7828" s="14">
        <v>0</v>
      </c>
      <c r="AA7828" s="6">
        <v>0</v>
      </c>
      <c r="AB7828" s="4">
        <f t="shared" si="1209"/>
        <v>0</v>
      </c>
      <c r="AC7828" s="6">
        <f t="shared" si="1207"/>
        <v>0</v>
      </c>
      <c r="AD7828" s="6">
        <f t="shared" si="1203"/>
        <v>0</v>
      </c>
      <c r="AE7828" s="14">
        <f>VLOOKUP(I7828,[2]媒体政策预估表!A:N,MATCH(O7828,[2]媒体政策预估表!$A$2:$M$2,0),0)</f>
        <v>7.0000000000000007E-2</v>
      </c>
      <c r="AF7828" s="6">
        <f t="shared" si="1205"/>
        <v>0</v>
      </c>
      <c r="AG7828" s="14">
        <v>0</v>
      </c>
      <c r="AH7828" s="64">
        <f t="shared" si="1204"/>
        <v>0</v>
      </c>
      <c r="AJ7828" s="126" t="e">
        <v>#N/A</v>
      </c>
      <c r="AK7828" s="80">
        <f t="shared" si="1210"/>
        <v>0</v>
      </c>
      <c r="AL7828" s="85"/>
      <c r="AM7828" s="85"/>
    </row>
    <row r="7829" spans="1:39" s="86" customFormat="1" ht="13.25" hidden="1" customHeight="1" x14ac:dyDescent="0.3">
      <c r="A7829" s="89" t="s">
        <v>3978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3767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02"/>
        <v>7206.97</v>
      </c>
      <c r="X7829" s="6">
        <f t="shared" si="1206"/>
        <v>0</v>
      </c>
      <c r="Y7829" s="13">
        <f t="shared" si="1208"/>
        <v>0</v>
      </c>
      <c r="Z7829" s="14">
        <v>0</v>
      </c>
      <c r="AA7829" s="6">
        <v>0</v>
      </c>
      <c r="AB7829" s="4">
        <f t="shared" si="1209"/>
        <v>0</v>
      </c>
      <c r="AC7829" s="6">
        <f t="shared" si="1207"/>
        <v>0</v>
      </c>
      <c r="AD7829" s="6">
        <f t="shared" si="1203"/>
        <v>0</v>
      </c>
      <c r="AE7829" s="14">
        <f>VLOOKUP(I7829,[2]媒体政策预估表!A:N,MATCH(O7829,[2]媒体政策预估表!$A$2:$M$2,0),0)</f>
        <v>0.1</v>
      </c>
      <c r="AF7829" s="6">
        <f t="shared" si="1205"/>
        <v>0</v>
      </c>
      <c r="AG7829" s="14">
        <v>0</v>
      </c>
      <c r="AH7829" s="64">
        <f t="shared" si="1204"/>
        <v>0</v>
      </c>
      <c r="AJ7829" s="126" t="e">
        <v>#N/A</v>
      </c>
      <c r="AK7829" s="80">
        <f t="shared" si="1210"/>
        <v>0</v>
      </c>
      <c r="AL7829" s="85"/>
      <c r="AM7829" s="85"/>
    </row>
    <row r="7830" spans="1:39" s="86" customFormat="1" ht="13.25" hidden="1" customHeight="1" x14ac:dyDescent="0.3">
      <c r="A7830" s="89" t="s">
        <v>3978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3767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02"/>
        <v>-6242</v>
      </c>
      <c r="X7830" s="6">
        <f t="shared" si="1206"/>
        <v>0</v>
      </c>
      <c r="Y7830" s="13">
        <f t="shared" si="1208"/>
        <v>0</v>
      </c>
      <c r="Z7830" s="14">
        <v>0</v>
      </c>
      <c r="AA7830" s="6">
        <v>0</v>
      </c>
      <c r="AB7830" s="4">
        <f t="shared" si="1209"/>
        <v>0</v>
      </c>
      <c r="AC7830" s="6">
        <f t="shared" si="1207"/>
        <v>0</v>
      </c>
      <c r="AD7830" s="6">
        <f t="shared" si="1203"/>
        <v>0</v>
      </c>
      <c r="AE7830" s="14">
        <f>VLOOKUP(I7830,[2]媒体政策预估表!A:N,MATCH(O7830,[2]媒体政策预估表!$A$2:$M$2,0),0)</f>
        <v>7.0000000000000007E-2</v>
      </c>
      <c r="AF7830" s="6">
        <f t="shared" si="1205"/>
        <v>0</v>
      </c>
      <c r="AG7830" s="14">
        <v>0</v>
      </c>
      <c r="AH7830" s="64">
        <f t="shared" si="1204"/>
        <v>0</v>
      </c>
      <c r="AJ7830" s="126" t="e">
        <v>#N/A</v>
      </c>
      <c r="AK7830" s="80">
        <f t="shared" si="1210"/>
        <v>0</v>
      </c>
      <c r="AL7830" s="85"/>
      <c r="AM7830" s="85"/>
    </row>
    <row r="7831" spans="1:39" s="86" customFormat="1" ht="13.25" hidden="1" customHeight="1" x14ac:dyDescent="0.3">
      <c r="A7831" s="89" t="s">
        <v>3978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3767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02"/>
        <v>-513.77</v>
      </c>
      <c r="X7831" s="6">
        <f t="shared" si="1206"/>
        <v>0</v>
      </c>
      <c r="Y7831" s="13">
        <f t="shared" si="1208"/>
        <v>0</v>
      </c>
      <c r="Z7831" s="14">
        <v>0</v>
      </c>
      <c r="AA7831" s="6">
        <v>0</v>
      </c>
      <c r="AB7831" s="4">
        <f t="shared" si="1209"/>
        <v>0</v>
      </c>
      <c r="AC7831" s="6">
        <f t="shared" si="1207"/>
        <v>0</v>
      </c>
      <c r="AD7831" s="6">
        <f t="shared" si="1203"/>
        <v>0</v>
      </c>
      <c r="AE7831" s="14">
        <f>VLOOKUP(I7831,[2]媒体政策预估表!A:N,MATCH(O7831,[2]媒体政策预估表!$A$2:$M$2,0),0)</f>
        <v>0.15</v>
      </c>
      <c r="AF7831" s="6">
        <f t="shared" si="1205"/>
        <v>0</v>
      </c>
      <c r="AG7831" s="14">
        <v>0</v>
      </c>
      <c r="AH7831" s="64">
        <f t="shared" si="1204"/>
        <v>0</v>
      </c>
      <c r="AJ7831" s="126" t="e">
        <v>#N/A</v>
      </c>
      <c r="AK7831" s="80">
        <f t="shared" si="1210"/>
        <v>0</v>
      </c>
      <c r="AL7831" s="85"/>
      <c r="AM7831" s="85"/>
    </row>
    <row r="7832" spans="1:39" s="86" customFormat="1" ht="13.25" hidden="1" customHeight="1" x14ac:dyDescent="0.3">
      <c r="A7832" s="89" t="s">
        <v>3978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3767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02"/>
        <v>0.229999999999563</v>
      </c>
      <c r="X7832" s="6">
        <f t="shared" si="1206"/>
        <v>0</v>
      </c>
      <c r="Y7832" s="13">
        <f t="shared" si="1208"/>
        <v>0</v>
      </c>
      <c r="Z7832" s="14">
        <v>0</v>
      </c>
      <c r="AA7832" s="6">
        <v>0</v>
      </c>
      <c r="AB7832" s="4">
        <f t="shared" si="1209"/>
        <v>0</v>
      </c>
      <c r="AC7832" s="6">
        <f t="shared" si="1207"/>
        <v>0</v>
      </c>
      <c r="AD7832" s="6">
        <f t="shared" si="1203"/>
        <v>0</v>
      </c>
      <c r="AE7832" s="14">
        <f>VLOOKUP(I7832,[2]媒体政策预估表!A:N,MATCH(O7832,[2]媒体政策预估表!$A$2:$M$2,0),0)</f>
        <v>0.1</v>
      </c>
      <c r="AF7832" s="6">
        <f t="shared" si="1205"/>
        <v>0</v>
      </c>
      <c r="AG7832" s="14">
        <v>0</v>
      </c>
      <c r="AH7832" s="64">
        <f t="shared" si="1204"/>
        <v>0</v>
      </c>
      <c r="AJ7832" s="126" t="e">
        <v>#N/A</v>
      </c>
      <c r="AK7832" s="80">
        <f t="shared" si="1210"/>
        <v>0</v>
      </c>
      <c r="AL7832" s="85"/>
      <c r="AM7832" s="85"/>
    </row>
    <row r="7833" spans="1:39" s="86" customFormat="1" ht="13.25" hidden="1" customHeight="1" x14ac:dyDescent="0.3">
      <c r="A7833" s="89" t="s">
        <v>3978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3767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211">T7833+U7833-V7833</f>
        <v>10000</v>
      </c>
      <c r="X7833" s="6">
        <f t="shared" si="1206"/>
        <v>0</v>
      </c>
      <c r="Y7833" s="13">
        <f t="shared" si="1208"/>
        <v>0</v>
      </c>
      <c r="Z7833" s="14">
        <v>0</v>
      </c>
      <c r="AA7833" s="6">
        <v>0</v>
      </c>
      <c r="AB7833" s="4">
        <f t="shared" si="1209"/>
        <v>0</v>
      </c>
      <c r="AC7833" s="6">
        <f t="shared" si="1207"/>
        <v>0</v>
      </c>
      <c r="AD7833" s="6">
        <f t="shared" ref="AD7833:AD7896" si="1212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205"/>
        <v>0</v>
      </c>
      <c r="AG7833" s="14">
        <v>0</v>
      </c>
      <c r="AH7833" s="64">
        <f t="shared" ref="AH7833:AH7896" si="1213">V7833</f>
        <v>0</v>
      </c>
      <c r="AJ7833" s="126" t="e">
        <v>#N/A</v>
      </c>
      <c r="AK7833" s="80">
        <f t="shared" si="1210"/>
        <v>0</v>
      </c>
      <c r="AL7833" s="85"/>
      <c r="AM7833" s="85"/>
    </row>
    <row r="7834" spans="1:39" s="86" customFormat="1" ht="13.25" hidden="1" customHeight="1" x14ac:dyDescent="0.3">
      <c r="A7834" s="89" t="s">
        <v>3792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3767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211"/>
        <v>12.079999999999927</v>
      </c>
      <c r="X7834" s="6">
        <f t="shared" si="1206"/>
        <v>0</v>
      </c>
      <c r="Y7834" s="13">
        <f t="shared" si="1208"/>
        <v>0</v>
      </c>
      <c r="Z7834" s="14">
        <v>0</v>
      </c>
      <c r="AA7834" s="6">
        <v>0</v>
      </c>
      <c r="AB7834" s="4">
        <f t="shared" si="1209"/>
        <v>0</v>
      </c>
      <c r="AC7834" s="6">
        <f t="shared" si="1207"/>
        <v>0</v>
      </c>
      <c r="AD7834" s="6">
        <f t="shared" si="1212"/>
        <v>0</v>
      </c>
      <c r="AE7834" s="14">
        <f>VLOOKUP(I7834,[2]媒体政策预估表!A:N,MATCH(O7834,[2]媒体政策预估表!$A$2:$M$2,0),0)</f>
        <v>0.1</v>
      </c>
      <c r="AF7834" s="6">
        <f t="shared" si="1205"/>
        <v>0</v>
      </c>
      <c r="AG7834" s="14">
        <v>0</v>
      </c>
      <c r="AH7834" s="64">
        <f t="shared" si="1213"/>
        <v>0</v>
      </c>
      <c r="AJ7834" s="126" t="e">
        <v>#N/A</v>
      </c>
      <c r="AK7834" s="80">
        <f t="shared" si="1210"/>
        <v>0</v>
      </c>
      <c r="AL7834" s="85"/>
      <c r="AM7834" s="85"/>
    </row>
    <row r="7835" spans="1:39" s="86" customFormat="1" ht="13.25" hidden="1" customHeight="1" x14ac:dyDescent="0.3">
      <c r="A7835" s="89" t="s">
        <v>3978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3767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211"/>
        <v>463.2</v>
      </c>
      <c r="X7835" s="6">
        <f t="shared" si="1206"/>
        <v>0</v>
      </c>
      <c r="Y7835" s="13">
        <f t="shared" si="1208"/>
        <v>0</v>
      </c>
      <c r="Z7835" s="14">
        <v>0</v>
      </c>
      <c r="AA7835" s="6">
        <v>0</v>
      </c>
      <c r="AB7835" s="4">
        <f t="shared" si="1209"/>
        <v>0</v>
      </c>
      <c r="AC7835" s="6">
        <f t="shared" si="1207"/>
        <v>0</v>
      </c>
      <c r="AD7835" s="6">
        <f t="shared" si="1212"/>
        <v>0</v>
      </c>
      <c r="AE7835" s="14">
        <f>VLOOKUP(I7835,[2]媒体政策预估表!A:N,MATCH(O7835,[2]媒体政策预估表!$A$2:$M$2,0),0)</f>
        <v>7.0000000000000007E-2</v>
      </c>
      <c r="AF7835" s="6">
        <f t="shared" si="1205"/>
        <v>0</v>
      </c>
      <c r="AG7835" s="14">
        <v>0</v>
      </c>
      <c r="AH7835" s="64">
        <f t="shared" si="1213"/>
        <v>0</v>
      </c>
      <c r="AJ7835" s="126" t="e">
        <v>#N/A</v>
      </c>
      <c r="AK7835" s="80">
        <f t="shared" si="1210"/>
        <v>0</v>
      </c>
      <c r="AL7835" s="85"/>
      <c r="AM7835" s="85"/>
    </row>
    <row r="7836" spans="1:39" s="86" customFormat="1" ht="13.25" hidden="1" customHeight="1" x14ac:dyDescent="0.3">
      <c r="A7836" s="89" t="s">
        <v>3792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3767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211"/>
        <v>84.229999999999606</v>
      </c>
      <c r="X7836" s="6">
        <f t="shared" si="1206"/>
        <v>0</v>
      </c>
      <c r="Y7836" s="13">
        <f t="shared" si="1208"/>
        <v>0</v>
      </c>
      <c r="Z7836" s="14">
        <v>0</v>
      </c>
      <c r="AA7836" s="6">
        <v>0</v>
      </c>
      <c r="AB7836" s="4">
        <f t="shared" si="1209"/>
        <v>0</v>
      </c>
      <c r="AC7836" s="6">
        <f t="shared" si="1207"/>
        <v>0</v>
      </c>
      <c r="AD7836" s="6">
        <f t="shared" si="1212"/>
        <v>0</v>
      </c>
      <c r="AE7836" s="14">
        <f>VLOOKUP(I7836,[2]媒体政策预估表!A:N,MATCH(O7836,[2]媒体政策预估表!$A$2:$M$2,0),0)</f>
        <v>0.1</v>
      </c>
      <c r="AF7836" s="6">
        <f t="shared" si="1205"/>
        <v>0</v>
      </c>
      <c r="AG7836" s="14">
        <v>0</v>
      </c>
      <c r="AH7836" s="64">
        <f t="shared" si="1213"/>
        <v>0</v>
      </c>
      <c r="AJ7836" s="126" t="e">
        <v>#N/A</v>
      </c>
      <c r="AK7836" s="80">
        <f t="shared" si="1210"/>
        <v>0</v>
      </c>
      <c r="AL7836" s="85"/>
      <c r="AM7836" s="85"/>
    </row>
    <row r="7837" spans="1:39" s="86" customFormat="1" ht="13.25" hidden="1" customHeight="1" x14ac:dyDescent="0.3">
      <c r="A7837" s="89" t="s">
        <v>3978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3767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211"/>
        <v>-77447.75</v>
      </c>
      <c r="X7837" s="6">
        <f t="shared" si="1206"/>
        <v>0</v>
      </c>
      <c r="Y7837" s="13">
        <f t="shared" si="1208"/>
        <v>0</v>
      </c>
      <c r="Z7837" s="14">
        <v>0</v>
      </c>
      <c r="AA7837" s="6">
        <v>0</v>
      </c>
      <c r="AB7837" s="4">
        <f t="shared" si="1209"/>
        <v>0</v>
      </c>
      <c r="AC7837" s="6">
        <f t="shared" si="1207"/>
        <v>0</v>
      </c>
      <c r="AD7837" s="6">
        <f t="shared" si="1212"/>
        <v>0</v>
      </c>
      <c r="AE7837" s="14">
        <f>VLOOKUP(I7837,[2]媒体政策预估表!A:N,MATCH(O7837,[2]媒体政策预估表!$A$2:$M$2,0),0)</f>
        <v>0.15</v>
      </c>
      <c r="AF7837" s="6">
        <f t="shared" si="1205"/>
        <v>0</v>
      </c>
      <c r="AG7837" s="14">
        <v>0</v>
      </c>
      <c r="AH7837" s="64">
        <f t="shared" si="1213"/>
        <v>0</v>
      </c>
      <c r="AJ7837" s="126" t="e">
        <v>#N/A</v>
      </c>
      <c r="AK7837" s="80">
        <f t="shared" si="1210"/>
        <v>0</v>
      </c>
      <c r="AL7837" s="85"/>
      <c r="AM7837" s="85"/>
    </row>
    <row r="7838" spans="1:39" s="86" customFormat="1" ht="13.25" hidden="1" customHeight="1" x14ac:dyDescent="0.3">
      <c r="A7838" s="89" t="s">
        <v>3978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3767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211"/>
        <v>-22392.737779999999</v>
      </c>
      <c r="X7838" s="6">
        <f t="shared" si="1206"/>
        <v>0</v>
      </c>
      <c r="Y7838" s="13">
        <f t="shared" si="1208"/>
        <v>0</v>
      </c>
      <c r="Z7838" s="14">
        <v>0</v>
      </c>
      <c r="AA7838" s="6">
        <v>0</v>
      </c>
      <c r="AB7838" s="4">
        <f t="shared" si="1209"/>
        <v>0</v>
      </c>
      <c r="AC7838" s="6">
        <f t="shared" si="1207"/>
        <v>0</v>
      </c>
      <c r="AD7838" s="6">
        <f t="shared" si="1212"/>
        <v>0</v>
      </c>
      <c r="AE7838" s="14">
        <f>VLOOKUP(I7838,[2]媒体政策预估表!A:N,MATCH(O7838,[2]媒体政策预估表!$A$2:$M$2,0),0)</f>
        <v>0.1</v>
      </c>
      <c r="AF7838" s="6">
        <f t="shared" si="1205"/>
        <v>0</v>
      </c>
      <c r="AG7838" s="14">
        <v>0</v>
      </c>
      <c r="AH7838" s="64">
        <f t="shared" si="1213"/>
        <v>0</v>
      </c>
      <c r="AJ7838" s="126" t="e">
        <v>#N/A</v>
      </c>
      <c r="AK7838" s="80">
        <f t="shared" si="1210"/>
        <v>0</v>
      </c>
      <c r="AL7838" s="85"/>
      <c r="AM7838" s="85"/>
    </row>
    <row r="7839" spans="1:39" s="86" customFormat="1" ht="13.25" hidden="1" customHeight="1" x14ac:dyDescent="0.3">
      <c r="A7839" s="89" t="s">
        <v>3978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211"/>
        <v>-685889.37</v>
      </c>
      <c r="X7839" s="6">
        <f t="shared" si="1206"/>
        <v>0</v>
      </c>
      <c r="Y7839" s="13">
        <f t="shared" si="1208"/>
        <v>0</v>
      </c>
      <c r="Z7839" s="14">
        <v>0</v>
      </c>
      <c r="AA7839" s="6">
        <v>0</v>
      </c>
      <c r="AB7839" s="4">
        <f t="shared" si="1209"/>
        <v>0</v>
      </c>
      <c r="AC7839" s="6">
        <f t="shared" si="1207"/>
        <v>0</v>
      </c>
      <c r="AD7839" s="6">
        <f t="shared" si="1212"/>
        <v>0</v>
      </c>
      <c r="AE7839" s="14">
        <f>VLOOKUP(I7839,[2]媒体政策预估表!A:N,MATCH(O7839,[2]媒体政策预估表!$A$2:$M$2,0),0)</f>
        <v>0.04</v>
      </c>
      <c r="AF7839" s="6">
        <f t="shared" si="1205"/>
        <v>0</v>
      </c>
      <c r="AG7839" s="14">
        <v>0</v>
      </c>
      <c r="AH7839" s="64">
        <f t="shared" si="1213"/>
        <v>0</v>
      </c>
      <c r="AJ7839" s="126" t="e">
        <v>#N/A</v>
      </c>
      <c r="AK7839" s="80">
        <f t="shared" si="1210"/>
        <v>0</v>
      </c>
      <c r="AL7839" s="85"/>
      <c r="AM7839" s="85"/>
    </row>
    <row r="7840" spans="1:39" s="86" customFormat="1" ht="13.25" hidden="1" customHeight="1" x14ac:dyDescent="0.3">
      <c r="A7840" s="89" t="s">
        <v>3792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211"/>
        <v>-60204.99</v>
      </c>
      <c r="X7840" s="6">
        <f t="shared" si="1206"/>
        <v>0</v>
      </c>
      <c r="Y7840" s="13">
        <f t="shared" si="1208"/>
        <v>0</v>
      </c>
      <c r="Z7840" s="14">
        <v>0</v>
      </c>
      <c r="AA7840" s="6">
        <v>0</v>
      </c>
      <c r="AB7840" s="4">
        <f t="shared" si="1209"/>
        <v>0</v>
      </c>
      <c r="AC7840" s="6">
        <f t="shared" si="1207"/>
        <v>0</v>
      </c>
      <c r="AD7840" s="6">
        <f t="shared" si="1212"/>
        <v>0</v>
      </c>
      <c r="AE7840" s="14">
        <f>VLOOKUP(I7840,[2]媒体政策预估表!A:N,MATCH(O7840,[2]媒体政策预估表!$A$2:$M$2,0),0)</f>
        <v>0.04</v>
      </c>
      <c r="AF7840" s="6">
        <f t="shared" si="1205"/>
        <v>0</v>
      </c>
      <c r="AG7840" s="14">
        <v>0</v>
      </c>
      <c r="AH7840" s="64">
        <f t="shared" si="1213"/>
        <v>0</v>
      </c>
      <c r="AJ7840" s="126" t="e">
        <v>#N/A</v>
      </c>
      <c r="AK7840" s="80">
        <f t="shared" si="1210"/>
        <v>0</v>
      </c>
      <c r="AL7840" s="85"/>
      <c r="AM7840" s="85"/>
    </row>
    <row r="7841" spans="1:39" s="86" customFormat="1" ht="13.25" hidden="1" customHeight="1" x14ac:dyDescent="0.3">
      <c r="A7841" s="89" t="s">
        <v>3792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3767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211"/>
        <v>15465.78</v>
      </c>
      <c r="X7841" s="6">
        <f t="shared" si="1206"/>
        <v>0</v>
      </c>
      <c r="Y7841" s="13">
        <f t="shared" si="1208"/>
        <v>0</v>
      </c>
      <c r="Z7841" s="14">
        <v>0</v>
      </c>
      <c r="AA7841" s="6">
        <v>0</v>
      </c>
      <c r="AB7841" s="4">
        <f t="shared" si="1209"/>
        <v>0</v>
      </c>
      <c r="AC7841" s="6">
        <f t="shared" si="1207"/>
        <v>0</v>
      </c>
      <c r="AD7841" s="6">
        <f t="shared" si="1212"/>
        <v>0</v>
      </c>
      <c r="AE7841" s="14">
        <f>VLOOKUP(I7841,[2]媒体政策预估表!A:N,MATCH(O7841,[2]媒体政策预估表!$A$2:$M$2,0),0)</f>
        <v>0.1</v>
      </c>
      <c r="AF7841" s="6">
        <f t="shared" si="1205"/>
        <v>0</v>
      </c>
      <c r="AG7841" s="14">
        <v>0</v>
      </c>
      <c r="AH7841" s="64">
        <f t="shared" si="1213"/>
        <v>0</v>
      </c>
      <c r="AJ7841" s="126" t="e">
        <v>#N/A</v>
      </c>
      <c r="AK7841" s="80">
        <f t="shared" si="1210"/>
        <v>0</v>
      </c>
      <c r="AL7841" s="85"/>
      <c r="AM7841" s="85"/>
    </row>
    <row r="7842" spans="1:39" s="86" customFormat="1" ht="13.25" hidden="1" customHeight="1" x14ac:dyDescent="0.3">
      <c r="A7842" s="89" t="s">
        <v>3792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3767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211"/>
        <v>5801</v>
      </c>
      <c r="X7842" s="6">
        <f t="shared" si="1206"/>
        <v>0</v>
      </c>
      <c r="Y7842" s="13">
        <f t="shared" si="1208"/>
        <v>0</v>
      </c>
      <c r="Z7842" s="14">
        <v>0</v>
      </c>
      <c r="AA7842" s="6">
        <v>0</v>
      </c>
      <c r="AB7842" s="4">
        <f t="shared" si="1209"/>
        <v>0</v>
      </c>
      <c r="AC7842" s="6">
        <f t="shared" si="1207"/>
        <v>0</v>
      </c>
      <c r="AD7842" s="6">
        <f t="shared" si="1212"/>
        <v>0</v>
      </c>
      <c r="AE7842" s="14">
        <f>VLOOKUP(I7842,[2]媒体政策预估表!A:N,MATCH(O7842,[2]媒体政策预估表!$A$2:$M$2,0),0)</f>
        <v>7.0000000000000007E-2</v>
      </c>
      <c r="AF7842" s="6">
        <f t="shared" si="1205"/>
        <v>0</v>
      </c>
      <c r="AG7842" s="14">
        <v>0</v>
      </c>
      <c r="AH7842" s="64">
        <f t="shared" si="1213"/>
        <v>0</v>
      </c>
      <c r="AJ7842" s="126" t="e">
        <v>#N/A</v>
      </c>
      <c r="AK7842" s="80">
        <f t="shared" si="1210"/>
        <v>0</v>
      </c>
      <c r="AL7842" s="85"/>
      <c r="AM7842" s="85"/>
    </row>
    <row r="7843" spans="1:39" s="86" customFormat="1" ht="13.25" hidden="1" customHeight="1" x14ac:dyDescent="0.3">
      <c r="A7843" s="89" t="s">
        <v>3792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3767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211"/>
        <v>489.46</v>
      </c>
      <c r="X7843" s="6">
        <f t="shared" si="1206"/>
        <v>0</v>
      </c>
      <c r="Y7843" s="13">
        <f t="shared" si="1208"/>
        <v>0</v>
      </c>
      <c r="Z7843" s="14">
        <v>0</v>
      </c>
      <c r="AA7843" s="6">
        <v>0</v>
      </c>
      <c r="AB7843" s="4">
        <f t="shared" si="1209"/>
        <v>0</v>
      </c>
      <c r="AC7843" s="6">
        <f t="shared" si="1207"/>
        <v>0</v>
      </c>
      <c r="AD7843" s="6">
        <f t="shared" si="1212"/>
        <v>0</v>
      </c>
      <c r="AE7843" s="14">
        <f>VLOOKUP(I7843,[2]媒体政策预估表!A:N,MATCH(O7843,[2]媒体政策预估表!$A$2:$M$2,0),0)</f>
        <v>7.0000000000000007E-2</v>
      </c>
      <c r="AF7843" s="6">
        <f t="shared" si="1205"/>
        <v>0</v>
      </c>
      <c r="AG7843" s="14">
        <v>0</v>
      </c>
      <c r="AH7843" s="64">
        <f t="shared" si="1213"/>
        <v>0</v>
      </c>
      <c r="AJ7843" s="126" t="e">
        <v>#N/A</v>
      </c>
      <c r="AK7843" s="80">
        <f t="shared" si="1210"/>
        <v>0</v>
      </c>
      <c r="AL7843" s="85"/>
      <c r="AM7843" s="85"/>
    </row>
    <row r="7844" spans="1:39" s="86" customFormat="1" ht="13.25" hidden="1" customHeight="1" x14ac:dyDescent="0.3">
      <c r="A7844" s="89" t="s">
        <v>3792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3767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211"/>
        <v>16335.18</v>
      </c>
      <c r="X7844" s="6">
        <f t="shared" si="1206"/>
        <v>0</v>
      </c>
      <c r="Y7844" s="13">
        <f t="shared" si="1208"/>
        <v>0</v>
      </c>
      <c r="Z7844" s="14">
        <v>0</v>
      </c>
      <c r="AA7844" s="6">
        <v>0</v>
      </c>
      <c r="AB7844" s="4">
        <f t="shared" si="1209"/>
        <v>0</v>
      </c>
      <c r="AC7844" s="6">
        <f t="shared" si="1207"/>
        <v>0</v>
      </c>
      <c r="AD7844" s="6">
        <f t="shared" si="1212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214">AD7844*AE7844</f>
        <v>0</v>
      </c>
      <c r="AG7844" s="14">
        <v>0</v>
      </c>
      <c r="AH7844" s="64">
        <f t="shared" si="1213"/>
        <v>0</v>
      </c>
      <c r="AJ7844" s="126" t="e">
        <v>#N/A</v>
      </c>
      <c r="AK7844" s="80">
        <f t="shared" si="1210"/>
        <v>0</v>
      </c>
      <c r="AL7844" s="85"/>
      <c r="AM7844" s="85"/>
    </row>
    <row r="7845" spans="1:39" s="86" customFormat="1" ht="13.25" hidden="1" customHeight="1" x14ac:dyDescent="0.3">
      <c r="A7845" s="89" t="s">
        <v>3978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3767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211"/>
        <v>31601.200000000001</v>
      </c>
      <c r="X7845" s="6">
        <f t="shared" si="1206"/>
        <v>0</v>
      </c>
      <c r="Y7845" s="13">
        <f t="shared" si="1208"/>
        <v>0</v>
      </c>
      <c r="Z7845" s="14">
        <v>0</v>
      </c>
      <c r="AA7845" s="6">
        <v>0</v>
      </c>
      <c r="AB7845" s="4">
        <f t="shared" si="1209"/>
        <v>0</v>
      </c>
      <c r="AC7845" s="6">
        <f t="shared" si="1207"/>
        <v>0</v>
      </c>
      <c r="AD7845" s="6">
        <f t="shared" si="1212"/>
        <v>0</v>
      </c>
      <c r="AE7845" s="14">
        <f>VLOOKUP(I7845,[2]媒体政策预估表!A:N,MATCH(O7845,[2]媒体政策预估表!$A$2:$M$2,0),0)</f>
        <v>7.0000000000000007E-2</v>
      </c>
      <c r="AF7845" s="6">
        <f t="shared" si="1214"/>
        <v>0</v>
      </c>
      <c r="AG7845" s="14">
        <v>0</v>
      </c>
      <c r="AH7845" s="64">
        <f t="shared" si="1213"/>
        <v>0</v>
      </c>
      <c r="AJ7845" s="126" t="e">
        <v>#N/A</v>
      </c>
      <c r="AK7845" s="80">
        <f t="shared" si="1210"/>
        <v>0</v>
      </c>
      <c r="AL7845" s="85"/>
      <c r="AM7845" s="85"/>
    </row>
    <row r="7846" spans="1:39" s="86" customFormat="1" ht="13.25" hidden="1" customHeight="1" x14ac:dyDescent="0.3">
      <c r="A7846" s="89" t="s">
        <v>3792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3767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211"/>
        <v>302.09999999999098</v>
      </c>
      <c r="X7846" s="6">
        <f t="shared" si="1206"/>
        <v>0</v>
      </c>
      <c r="Y7846" s="13">
        <f t="shared" si="1208"/>
        <v>0</v>
      </c>
      <c r="Z7846" s="14">
        <v>0</v>
      </c>
      <c r="AA7846" s="6">
        <v>0</v>
      </c>
      <c r="AB7846" s="4">
        <f t="shared" si="1209"/>
        <v>0</v>
      </c>
      <c r="AC7846" s="6">
        <f t="shared" si="1207"/>
        <v>0</v>
      </c>
      <c r="AD7846" s="6">
        <f t="shared" si="1212"/>
        <v>0</v>
      </c>
      <c r="AE7846" s="14">
        <f>VLOOKUP(I7846,[2]媒体政策预估表!A:N,MATCH(O7846,[2]媒体政策预估表!$A$2:$M$2,0),0)</f>
        <v>7.0000000000000007E-2</v>
      </c>
      <c r="AF7846" s="6">
        <f t="shared" si="1214"/>
        <v>0</v>
      </c>
      <c r="AG7846" s="14">
        <v>0</v>
      </c>
      <c r="AH7846" s="64">
        <f t="shared" si="1213"/>
        <v>0</v>
      </c>
      <c r="AJ7846" s="126" t="e">
        <v>#N/A</v>
      </c>
      <c r="AK7846" s="80">
        <f t="shared" si="1210"/>
        <v>0</v>
      </c>
      <c r="AL7846" s="85"/>
      <c r="AM7846" s="85"/>
    </row>
    <row r="7847" spans="1:39" s="86" customFormat="1" ht="13.25" hidden="1" customHeight="1" x14ac:dyDescent="0.3">
      <c r="A7847" s="89" t="s">
        <v>3978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3767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211"/>
        <v>7428.92</v>
      </c>
      <c r="X7847" s="6">
        <f t="shared" si="1206"/>
        <v>0</v>
      </c>
      <c r="Y7847" s="13">
        <f t="shared" si="1208"/>
        <v>0</v>
      </c>
      <c r="Z7847" s="14">
        <v>0</v>
      </c>
      <c r="AA7847" s="6">
        <v>0</v>
      </c>
      <c r="AB7847" s="4">
        <f t="shared" si="1209"/>
        <v>0</v>
      </c>
      <c r="AC7847" s="6">
        <f t="shared" si="1207"/>
        <v>0</v>
      </c>
      <c r="AD7847" s="6">
        <f t="shared" si="1212"/>
        <v>0</v>
      </c>
      <c r="AE7847" s="14">
        <f>VLOOKUP(I7847,[2]媒体政策预估表!A:N,MATCH(O7847,[2]媒体政策预估表!$A$2:$M$2,0),0)</f>
        <v>7.0000000000000007E-2</v>
      </c>
      <c r="AF7847" s="6">
        <f t="shared" si="1214"/>
        <v>0</v>
      </c>
      <c r="AG7847" s="14">
        <v>0</v>
      </c>
      <c r="AH7847" s="64">
        <f t="shared" si="1213"/>
        <v>0</v>
      </c>
      <c r="AJ7847" s="126" t="e">
        <v>#N/A</v>
      </c>
      <c r="AK7847" s="80">
        <f t="shared" si="1210"/>
        <v>0</v>
      </c>
      <c r="AL7847" s="85"/>
      <c r="AM7847" s="85"/>
    </row>
    <row r="7848" spans="1:39" s="86" customFormat="1" ht="13.25" hidden="1" customHeight="1" x14ac:dyDescent="0.3">
      <c r="A7848" s="89" t="s">
        <v>3978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3767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211"/>
        <v>487.4</v>
      </c>
      <c r="X7848" s="6">
        <f t="shared" si="1206"/>
        <v>0</v>
      </c>
      <c r="Y7848" s="13">
        <f t="shared" si="1208"/>
        <v>0</v>
      </c>
      <c r="Z7848" s="14">
        <v>0</v>
      </c>
      <c r="AA7848" s="6">
        <v>0</v>
      </c>
      <c r="AB7848" s="4">
        <f t="shared" si="1209"/>
        <v>0</v>
      </c>
      <c r="AC7848" s="6">
        <f t="shared" si="1207"/>
        <v>0</v>
      </c>
      <c r="AD7848" s="6">
        <f t="shared" si="1212"/>
        <v>0</v>
      </c>
      <c r="AE7848" s="14">
        <f>VLOOKUP(I7848,[2]媒体政策预估表!A:N,MATCH(O7848,[2]媒体政策预估表!$A$2:$M$2,0),0)</f>
        <v>7.0000000000000007E-2</v>
      </c>
      <c r="AF7848" s="6">
        <f t="shared" si="1214"/>
        <v>0</v>
      </c>
      <c r="AG7848" s="14">
        <v>0</v>
      </c>
      <c r="AH7848" s="64">
        <f t="shared" si="1213"/>
        <v>0</v>
      </c>
      <c r="AJ7848" s="126" t="e">
        <v>#N/A</v>
      </c>
      <c r="AK7848" s="80">
        <f t="shared" si="1210"/>
        <v>0</v>
      </c>
      <c r="AL7848" s="85"/>
      <c r="AM7848" s="85"/>
    </row>
    <row r="7849" spans="1:39" s="86" customFormat="1" ht="13.25" hidden="1" customHeight="1" x14ac:dyDescent="0.3">
      <c r="A7849" s="89" t="s">
        <v>3978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3767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211"/>
        <v>5.9999999999490697E-2</v>
      </c>
      <c r="X7849" s="6">
        <f t="shared" si="1206"/>
        <v>0</v>
      </c>
      <c r="Y7849" s="13">
        <f t="shared" si="1208"/>
        <v>0</v>
      </c>
      <c r="Z7849" s="14">
        <v>0</v>
      </c>
      <c r="AA7849" s="6">
        <v>0</v>
      </c>
      <c r="AB7849" s="4">
        <f t="shared" si="1209"/>
        <v>0</v>
      </c>
      <c r="AC7849" s="6">
        <f t="shared" si="1207"/>
        <v>0</v>
      </c>
      <c r="AD7849" s="6">
        <f t="shared" si="1212"/>
        <v>0</v>
      </c>
      <c r="AE7849" s="14">
        <f>VLOOKUP(I7849,[2]媒体政策预估表!A:N,MATCH(O7849,[2]媒体政策预估表!$A$2:$M$2,0),0)</f>
        <v>0.1</v>
      </c>
      <c r="AF7849" s="6">
        <f t="shared" si="1214"/>
        <v>0</v>
      </c>
      <c r="AG7849" s="14">
        <v>0</v>
      </c>
      <c r="AH7849" s="64">
        <f t="shared" si="1213"/>
        <v>0</v>
      </c>
      <c r="AJ7849" s="126" t="s">
        <v>4222</v>
      </c>
      <c r="AK7849" s="80">
        <f t="shared" si="1210"/>
        <v>0</v>
      </c>
      <c r="AL7849" s="150"/>
      <c r="AM7849" s="85"/>
    </row>
    <row r="7850" spans="1:39" s="86" customFormat="1" ht="13.25" hidden="1" customHeight="1" x14ac:dyDescent="0.3">
      <c r="A7850" s="89" t="s">
        <v>3805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3767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211"/>
        <v>6189.5</v>
      </c>
      <c r="X7850" s="6">
        <f t="shared" si="1206"/>
        <v>0</v>
      </c>
      <c r="Y7850" s="13">
        <f t="shared" si="1208"/>
        <v>0</v>
      </c>
      <c r="Z7850" s="14">
        <v>0</v>
      </c>
      <c r="AA7850" s="6">
        <v>0</v>
      </c>
      <c r="AB7850" s="4">
        <f t="shared" si="1209"/>
        <v>0</v>
      </c>
      <c r="AC7850" s="6">
        <f t="shared" si="1207"/>
        <v>0</v>
      </c>
      <c r="AD7850" s="6">
        <f t="shared" si="1212"/>
        <v>0</v>
      </c>
      <c r="AE7850" s="14">
        <f>VLOOKUP(I7850,[2]媒体政策预估表!A:N,MATCH(O7850,[2]媒体政策预估表!$A$2:$M$2,0),0)</f>
        <v>7.0000000000000007E-2</v>
      </c>
      <c r="AF7850" s="6">
        <f t="shared" si="1214"/>
        <v>0</v>
      </c>
      <c r="AG7850" s="14">
        <v>0</v>
      </c>
      <c r="AH7850" s="64">
        <f t="shared" si="1213"/>
        <v>0</v>
      </c>
      <c r="AJ7850" s="126" t="e">
        <v>#N/A</v>
      </c>
      <c r="AK7850" s="80">
        <f t="shared" si="1210"/>
        <v>0</v>
      </c>
      <c r="AL7850" s="85"/>
      <c r="AM7850" s="85"/>
    </row>
    <row r="7851" spans="1:39" s="86" customFormat="1" ht="13.25" hidden="1" customHeight="1" x14ac:dyDescent="0.3">
      <c r="A7851" s="89" t="s">
        <v>3978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3767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211"/>
        <v>1.8599999999900101</v>
      </c>
      <c r="X7851" s="6">
        <f t="shared" si="1206"/>
        <v>0</v>
      </c>
      <c r="Y7851" s="13">
        <f t="shared" si="1208"/>
        <v>0</v>
      </c>
      <c r="Z7851" s="14">
        <v>0</v>
      </c>
      <c r="AA7851" s="6">
        <v>0</v>
      </c>
      <c r="AB7851" s="4">
        <f t="shared" si="1209"/>
        <v>0</v>
      </c>
      <c r="AC7851" s="6">
        <f t="shared" si="1207"/>
        <v>0</v>
      </c>
      <c r="AD7851" s="6">
        <f t="shared" si="1212"/>
        <v>0</v>
      </c>
      <c r="AE7851" s="14">
        <f>VLOOKUP(I7851,[2]媒体政策预估表!A:N,MATCH(O7851,[2]媒体政策预估表!$A$2:$M$2,0),0)</f>
        <v>7.0000000000000007E-2</v>
      </c>
      <c r="AF7851" s="6">
        <f t="shared" si="1214"/>
        <v>0</v>
      </c>
      <c r="AG7851" s="14">
        <v>0</v>
      </c>
      <c r="AH7851" s="64">
        <f t="shared" si="1213"/>
        <v>0</v>
      </c>
      <c r="AJ7851" s="126" t="e">
        <v>#N/A</v>
      </c>
      <c r="AK7851" s="80">
        <f t="shared" si="1210"/>
        <v>0</v>
      </c>
      <c r="AL7851" s="85"/>
      <c r="AM7851" s="85"/>
    </row>
    <row r="7852" spans="1:39" s="86" customFormat="1" ht="13.25" hidden="1" customHeight="1" x14ac:dyDescent="0.3">
      <c r="A7852" s="89" t="s">
        <v>3978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3767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211"/>
        <v>484</v>
      </c>
      <c r="X7852" s="6">
        <f t="shared" si="1206"/>
        <v>0</v>
      </c>
      <c r="Y7852" s="13">
        <f t="shared" si="1208"/>
        <v>0</v>
      </c>
      <c r="Z7852" s="14">
        <v>0</v>
      </c>
      <c r="AA7852" s="6">
        <v>0</v>
      </c>
      <c r="AB7852" s="4">
        <f t="shared" si="1209"/>
        <v>0</v>
      </c>
      <c r="AC7852" s="6">
        <f t="shared" si="1207"/>
        <v>0</v>
      </c>
      <c r="AD7852" s="6">
        <f t="shared" si="1212"/>
        <v>0</v>
      </c>
      <c r="AE7852" s="14">
        <f>VLOOKUP(I7852,[2]媒体政策预估表!A:N,MATCH(O7852,[2]媒体政策预估表!$A$2:$M$2,0),0)</f>
        <v>7.0000000000000007E-2</v>
      </c>
      <c r="AF7852" s="6">
        <f t="shared" si="1214"/>
        <v>0</v>
      </c>
      <c r="AG7852" s="14">
        <v>0</v>
      </c>
      <c r="AH7852" s="64">
        <f t="shared" si="1213"/>
        <v>0</v>
      </c>
      <c r="AJ7852" s="126" t="e">
        <v>#N/A</v>
      </c>
      <c r="AK7852" s="80">
        <f t="shared" si="1210"/>
        <v>0</v>
      </c>
      <c r="AL7852" s="85"/>
      <c r="AM7852" s="85"/>
    </row>
    <row r="7853" spans="1:39" s="86" customFormat="1" ht="13.25" hidden="1" customHeight="1" x14ac:dyDescent="0.3">
      <c r="A7853" s="89" t="s">
        <v>3978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3767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211"/>
        <v>1902.1</v>
      </c>
      <c r="X7853" s="6">
        <f t="shared" si="1206"/>
        <v>0</v>
      </c>
      <c r="Y7853" s="13">
        <f t="shared" si="1208"/>
        <v>0</v>
      </c>
      <c r="Z7853" s="14">
        <v>0</v>
      </c>
      <c r="AA7853" s="6">
        <v>0</v>
      </c>
      <c r="AB7853" s="4">
        <f t="shared" si="1209"/>
        <v>0</v>
      </c>
      <c r="AC7853" s="6">
        <f t="shared" si="1207"/>
        <v>0</v>
      </c>
      <c r="AD7853" s="6">
        <f t="shared" si="1212"/>
        <v>0</v>
      </c>
      <c r="AE7853" s="14">
        <f>VLOOKUP(I7853,[2]媒体政策预估表!A:N,MATCH(O7853,[2]媒体政策预估表!$A$2:$M$2,0),0)</f>
        <v>7.0000000000000007E-2</v>
      </c>
      <c r="AF7853" s="6">
        <f t="shared" si="1214"/>
        <v>0</v>
      </c>
      <c r="AG7853" s="14">
        <v>0</v>
      </c>
      <c r="AH7853" s="64">
        <f t="shared" si="1213"/>
        <v>0</v>
      </c>
      <c r="AJ7853" s="126" t="e">
        <v>#N/A</v>
      </c>
      <c r="AK7853" s="80">
        <f t="shared" si="1210"/>
        <v>0</v>
      </c>
      <c r="AL7853" s="85"/>
      <c r="AM7853" s="85"/>
    </row>
    <row r="7854" spans="1:39" s="86" customFormat="1" ht="13.25" hidden="1" customHeight="1" x14ac:dyDescent="0.3">
      <c r="A7854" s="89" t="s">
        <v>3978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3767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211"/>
        <v>142.44999999999999</v>
      </c>
      <c r="X7854" s="6">
        <f t="shared" si="1206"/>
        <v>0</v>
      </c>
      <c r="Y7854" s="13">
        <f t="shared" si="1208"/>
        <v>0</v>
      </c>
      <c r="Z7854" s="14">
        <v>0</v>
      </c>
      <c r="AA7854" s="6">
        <v>0</v>
      </c>
      <c r="AB7854" s="4">
        <f t="shared" si="1209"/>
        <v>0</v>
      </c>
      <c r="AC7854" s="6">
        <f t="shared" si="1207"/>
        <v>0</v>
      </c>
      <c r="AD7854" s="6">
        <f t="shared" si="1212"/>
        <v>0</v>
      </c>
      <c r="AE7854" s="14">
        <f>VLOOKUP(I7854,[2]媒体政策预估表!A:N,MATCH(O7854,[2]媒体政策预估表!$A$2:$M$2,0),0)</f>
        <v>0.1</v>
      </c>
      <c r="AF7854" s="6">
        <f t="shared" si="1214"/>
        <v>0</v>
      </c>
      <c r="AG7854" s="14">
        <v>0</v>
      </c>
      <c r="AH7854" s="64">
        <f t="shared" si="1213"/>
        <v>0</v>
      </c>
      <c r="AJ7854" s="126" t="e">
        <v>#N/A</v>
      </c>
      <c r="AK7854" s="80">
        <f t="shared" si="1210"/>
        <v>0</v>
      </c>
      <c r="AL7854" s="85"/>
      <c r="AM7854" s="85"/>
    </row>
    <row r="7855" spans="1:39" s="86" customFormat="1" ht="13.25" hidden="1" customHeight="1" x14ac:dyDescent="0.3">
      <c r="A7855" s="89" t="s">
        <v>3792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3767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211"/>
        <v>3.1000000000003598</v>
      </c>
      <c r="X7855" s="6">
        <f t="shared" si="1206"/>
        <v>0</v>
      </c>
      <c r="Y7855" s="13">
        <f t="shared" si="1208"/>
        <v>0</v>
      </c>
      <c r="Z7855" s="14">
        <v>0</v>
      </c>
      <c r="AA7855" s="6">
        <v>0</v>
      </c>
      <c r="AB7855" s="4">
        <f t="shared" si="1209"/>
        <v>0</v>
      </c>
      <c r="AC7855" s="6">
        <f t="shared" si="1207"/>
        <v>0</v>
      </c>
      <c r="AD7855" s="6">
        <f t="shared" si="1212"/>
        <v>0</v>
      </c>
      <c r="AE7855" s="14">
        <f>VLOOKUP(I7855,[2]媒体政策预估表!A:N,MATCH(O7855,[2]媒体政策预估表!$A$2:$M$2,0),0)</f>
        <v>7.0000000000000007E-2</v>
      </c>
      <c r="AF7855" s="6">
        <f t="shared" si="1214"/>
        <v>0</v>
      </c>
      <c r="AG7855" s="14">
        <v>0</v>
      </c>
      <c r="AH7855" s="64">
        <f t="shared" si="1213"/>
        <v>0</v>
      </c>
      <c r="AJ7855" s="126" t="e">
        <v>#N/A</v>
      </c>
      <c r="AK7855" s="80">
        <f t="shared" si="1210"/>
        <v>0</v>
      </c>
      <c r="AL7855" s="85"/>
      <c r="AM7855" s="85"/>
    </row>
    <row r="7856" spans="1:39" s="86" customFormat="1" ht="13.25" hidden="1" customHeight="1" x14ac:dyDescent="0.3">
      <c r="A7856" s="89" t="s">
        <v>3978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3767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211"/>
        <v>464.88000000000102</v>
      </c>
      <c r="X7856" s="6">
        <f t="shared" ref="X7856:X7919" si="1215">IF(P7856="折扣",V7856*Q7856,IF(P7856="返现",V7856,V7856/(1+Q7856)))</f>
        <v>0</v>
      </c>
      <c r="Y7856" s="13">
        <f t="shared" si="1208"/>
        <v>0</v>
      </c>
      <c r="Z7856" s="14">
        <v>0</v>
      </c>
      <c r="AA7856" s="6">
        <v>0</v>
      </c>
      <c r="AB7856" s="4"/>
      <c r="AC7856" s="6">
        <f t="shared" si="1207"/>
        <v>0</v>
      </c>
      <c r="AD7856" s="6">
        <f t="shared" si="1212"/>
        <v>0</v>
      </c>
      <c r="AE7856" s="14">
        <f>VLOOKUP(I7856,[2]媒体政策预估表!A:N,MATCH(O7856,[2]媒体政策预估表!$A$2:$M$2,0),0)</f>
        <v>0.1</v>
      </c>
      <c r="AF7856" s="6">
        <f t="shared" si="1214"/>
        <v>0</v>
      </c>
      <c r="AG7856" s="14">
        <v>0</v>
      </c>
      <c r="AH7856" s="64">
        <f t="shared" si="1213"/>
        <v>0</v>
      </c>
      <c r="AJ7856" s="126">
        <v>61</v>
      </c>
      <c r="AK7856" s="80">
        <f t="shared" si="1210"/>
        <v>0</v>
      </c>
      <c r="AL7856" s="85"/>
      <c r="AM7856" s="85"/>
    </row>
    <row r="7857" spans="1:39" s="86" customFormat="1" ht="13.25" hidden="1" customHeight="1" x14ac:dyDescent="0.3">
      <c r="A7857" s="89" t="s">
        <v>3792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3767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211"/>
        <v>347.59000000002601</v>
      </c>
      <c r="X7857" s="6">
        <f t="shared" si="1215"/>
        <v>0</v>
      </c>
      <c r="Y7857" s="13">
        <f t="shared" si="1208"/>
        <v>0</v>
      </c>
      <c r="Z7857" s="14">
        <v>0</v>
      </c>
      <c r="AA7857" s="6">
        <v>0</v>
      </c>
      <c r="AB7857" s="4"/>
      <c r="AC7857" s="6">
        <f t="shared" si="1207"/>
        <v>0</v>
      </c>
      <c r="AD7857" s="6">
        <f t="shared" si="1212"/>
        <v>0</v>
      </c>
      <c r="AE7857" s="14">
        <f>VLOOKUP(I7857,[2]媒体政策预估表!A:N,MATCH(O7857,[2]媒体政策预估表!$A$2:$M$2,0),0)</f>
        <v>0.1</v>
      </c>
      <c r="AF7857" s="6">
        <f t="shared" si="1214"/>
        <v>0</v>
      </c>
      <c r="AG7857" s="14">
        <v>0</v>
      </c>
      <c r="AH7857" s="64">
        <f t="shared" si="1213"/>
        <v>0</v>
      </c>
      <c r="AJ7857" s="126">
        <v>61</v>
      </c>
      <c r="AK7857" s="80">
        <f t="shared" si="1210"/>
        <v>0</v>
      </c>
      <c r="AL7857" s="85"/>
      <c r="AM7857" s="85"/>
    </row>
    <row r="7858" spans="1:39" s="86" customFormat="1" ht="13.25" hidden="1" customHeight="1" x14ac:dyDescent="0.3">
      <c r="A7858" s="89" t="s">
        <v>3978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3767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211"/>
        <v>9103.4</v>
      </c>
      <c r="X7858" s="6">
        <f t="shared" si="1215"/>
        <v>0</v>
      </c>
      <c r="Y7858" s="13">
        <f t="shared" si="1208"/>
        <v>0</v>
      </c>
      <c r="Z7858" s="14">
        <v>0</v>
      </c>
      <c r="AA7858" s="6">
        <v>0</v>
      </c>
      <c r="AB7858" s="4"/>
      <c r="AC7858" s="6">
        <f t="shared" si="1207"/>
        <v>0</v>
      </c>
      <c r="AD7858" s="6">
        <f t="shared" si="1212"/>
        <v>0</v>
      </c>
      <c r="AE7858" s="14">
        <f>VLOOKUP(I7858,[2]媒体政策预估表!A:N,MATCH(O7858,[2]媒体政策预估表!$A$2:$M$2,0),0)</f>
        <v>0.1</v>
      </c>
      <c r="AF7858" s="6">
        <f t="shared" si="1214"/>
        <v>0</v>
      </c>
      <c r="AG7858" s="14">
        <v>0</v>
      </c>
      <c r="AH7858" s="64">
        <f t="shared" si="1213"/>
        <v>0</v>
      </c>
      <c r="AJ7858" s="126">
        <v>61</v>
      </c>
      <c r="AK7858" s="80">
        <f t="shared" si="1210"/>
        <v>0</v>
      </c>
      <c r="AL7858" s="85"/>
      <c r="AM7858" s="85"/>
    </row>
    <row r="7859" spans="1:39" s="86" customFormat="1" ht="13.25" hidden="1" customHeight="1" x14ac:dyDescent="0.3">
      <c r="A7859" s="89" t="s">
        <v>3978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3767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211"/>
        <v>2374.2600000000002</v>
      </c>
      <c r="X7859" s="6">
        <f t="shared" si="1215"/>
        <v>0</v>
      </c>
      <c r="Y7859" s="13">
        <f t="shared" si="1208"/>
        <v>0</v>
      </c>
      <c r="Z7859" s="14">
        <v>0</v>
      </c>
      <c r="AA7859" s="6">
        <v>0</v>
      </c>
      <c r="AB7859" s="4">
        <f t="shared" si="1209"/>
        <v>0</v>
      </c>
      <c r="AC7859" s="6">
        <f t="shared" si="1207"/>
        <v>0</v>
      </c>
      <c r="AD7859" s="6">
        <f t="shared" si="1212"/>
        <v>0</v>
      </c>
      <c r="AE7859" s="14">
        <f>VLOOKUP(I7859,[2]媒体政策预估表!A:N,MATCH(O7859,[2]媒体政策预估表!$A$2:$M$2,0),0)</f>
        <v>0.1</v>
      </c>
      <c r="AF7859" s="6">
        <f t="shared" si="1214"/>
        <v>0</v>
      </c>
      <c r="AG7859" s="14">
        <v>0</v>
      </c>
      <c r="AH7859" s="64">
        <f t="shared" si="1213"/>
        <v>0</v>
      </c>
      <c r="AJ7859" s="126" t="e">
        <v>#N/A</v>
      </c>
      <c r="AK7859" s="80">
        <f t="shared" si="1210"/>
        <v>0</v>
      </c>
      <c r="AL7859" s="85"/>
      <c r="AM7859" s="85"/>
    </row>
    <row r="7860" spans="1:39" s="86" customFormat="1" ht="13.25" hidden="1" customHeight="1" x14ac:dyDescent="0.3">
      <c r="A7860" s="89" t="s">
        <v>3792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3767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211"/>
        <v>1959.5</v>
      </c>
      <c r="X7860" s="6">
        <f t="shared" si="1215"/>
        <v>0</v>
      </c>
      <c r="Y7860" s="13">
        <f t="shared" si="1208"/>
        <v>0</v>
      </c>
      <c r="Z7860" s="14">
        <v>0</v>
      </c>
      <c r="AA7860" s="6">
        <v>0</v>
      </c>
      <c r="AB7860" s="4">
        <f t="shared" si="1209"/>
        <v>0</v>
      </c>
      <c r="AC7860" s="6">
        <f t="shared" si="1207"/>
        <v>0</v>
      </c>
      <c r="AD7860" s="6">
        <f t="shared" si="1212"/>
        <v>0</v>
      </c>
      <c r="AE7860" s="14">
        <f>VLOOKUP(I7860,[2]媒体政策预估表!A:N,MATCH(O7860,[2]媒体政策预估表!$A$2:$M$2,0),0)</f>
        <v>7.0000000000000007E-2</v>
      </c>
      <c r="AF7860" s="6">
        <f t="shared" si="1214"/>
        <v>0</v>
      </c>
      <c r="AG7860" s="14">
        <v>0</v>
      </c>
      <c r="AH7860" s="64">
        <f t="shared" si="1213"/>
        <v>0</v>
      </c>
      <c r="AJ7860" s="126" t="e">
        <v>#N/A</v>
      </c>
      <c r="AK7860" s="80">
        <f t="shared" si="1210"/>
        <v>0</v>
      </c>
      <c r="AL7860" s="85"/>
      <c r="AM7860" s="85"/>
    </row>
    <row r="7861" spans="1:39" s="86" customFormat="1" ht="13.25" hidden="1" customHeight="1" x14ac:dyDescent="0.3">
      <c r="A7861" s="89" t="s">
        <v>3805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3767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211"/>
        <v>-31310.400000000001</v>
      </c>
      <c r="X7861" s="6">
        <f t="shared" si="1215"/>
        <v>0</v>
      </c>
      <c r="Y7861" s="13">
        <f t="shared" si="1208"/>
        <v>0</v>
      </c>
      <c r="Z7861" s="14">
        <v>0</v>
      </c>
      <c r="AA7861" s="6">
        <v>0</v>
      </c>
      <c r="AB7861" s="4">
        <f t="shared" si="1209"/>
        <v>0</v>
      </c>
      <c r="AC7861" s="6">
        <f t="shared" si="1207"/>
        <v>0</v>
      </c>
      <c r="AD7861" s="6">
        <f t="shared" si="1212"/>
        <v>0</v>
      </c>
      <c r="AE7861" s="14">
        <f>VLOOKUP(I7861,[2]媒体政策预估表!A:N,MATCH(O7861,[2]媒体政策预估表!$A$2:$M$2,0),0)</f>
        <v>0.15</v>
      </c>
      <c r="AF7861" s="6">
        <f t="shared" si="1214"/>
        <v>0</v>
      </c>
      <c r="AG7861" s="14">
        <v>0</v>
      </c>
      <c r="AH7861" s="64">
        <f t="shared" si="1213"/>
        <v>0</v>
      </c>
      <c r="AJ7861" s="126" t="e">
        <v>#N/A</v>
      </c>
      <c r="AK7861" s="80">
        <f t="shared" si="1210"/>
        <v>0</v>
      </c>
      <c r="AL7861" s="85"/>
      <c r="AM7861" s="85"/>
    </row>
    <row r="7862" spans="1:39" s="86" customFormat="1" ht="13.25" hidden="1" customHeight="1" x14ac:dyDescent="0.3">
      <c r="A7862" s="89" t="s">
        <v>3792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3767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211"/>
        <v>338.3</v>
      </c>
      <c r="X7862" s="6">
        <f t="shared" si="1215"/>
        <v>0</v>
      </c>
      <c r="Y7862" s="13">
        <f t="shared" si="1208"/>
        <v>0</v>
      </c>
      <c r="Z7862" s="14">
        <v>0</v>
      </c>
      <c r="AA7862" s="6">
        <v>0</v>
      </c>
      <c r="AB7862" s="4">
        <f t="shared" si="1209"/>
        <v>0</v>
      </c>
      <c r="AC7862" s="6">
        <f t="shared" si="1207"/>
        <v>0</v>
      </c>
      <c r="AD7862" s="6">
        <f t="shared" si="1212"/>
        <v>0</v>
      </c>
      <c r="AE7862" s="14">
        <f>VLOOKUP(I7862,[2]媒体政策预估表!A:N,MATCH(O7862,[2]媒体政策预估表!$A$2:$M$2,0),0)</f>
        <v>7.0000000000000007E-2</v>
      </c>
      <c r="AF7862" s="6">
        <f t="shared" si="1214"/>
        <v>0</v>
      </c>
      <c r="AG7862" s="14">
        <v>0</v>
      </c>
      <c r="AH7862" s="64">
        <f t="shared" si="1213"/>
        <v>0</v>
      </c>
      <c r="AJ7862" s="126" t="e">
        <v>#N/A</v>
      </c>
      <c r="AK7862" s="80">
        <f t="shared" si="1210"/>
        <v>0</v>
      </c>
      <c r="AL7862" s="85"/>
      <c r="AM7862" s="85"/>
    </row>
    <row r="7863" spans="1:39" s="86" customFormat="1" ht="13.25" hidden="1" customHeight="1" x14ac:dyDescent="0.3">
      <c r="A7863" s="89" t="s">
        <v>3792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3767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211"/>
        <v>-431894.54719000001</v>
      </c>
      <c r="X7863" s="6">
        <f t="shared" si="1215"/>
        <v>0</v>
      </c>
      <c r="Y7863" s="13">
        <f t="shared" si="1208"/>
        <v>0</v>
      </c>
      <c r="Z7863" s="14">
        <v>0</v>
      </c>
      <c r="AA7863" s="6">
        <v>0</v>
      </c>
      <c r="AB7863" s="4">
        <f t="shared" si="1209"/>
        <v>0</v>
      </c>
      <c r="AC7863" s="6">
        <f t="shared" si="1207"/>
        <v>0</v>
      </c>
      <c r="AD7863" s="6">
        <f t="shared" si="1212"/>
        <v>0</v>
      </c>
      <c r="AE7863" s="14">
        <f>VLOOKUP(I7863,[2]媒体政策预估表!A:N,MATCH(O7863,[2]媒体政策预估表!$A$2:$M$2,0),0)</f>
        <v>0.15</v>
      </c>
      <c r="AF7863" s="6">
        <f t="shared" si="1214"/>
        <v>0</v>
      </c>
      <c r="AG7863" s="14">
        <v>0</v>
      </c>
      <c r="AH7863" s="64">
        <f t="shared" si="1213"/>
        <v>0</v>
      </c>
      <c r="AJ7863" s="126" t="e">
        <v>#N/A</v>
      </c>
      <c r="AK7863" s="80">
        <f t="shared" si="1210"/>
        <v>0</v>
      </c>
      <c r="AL7863" s="85"/>
      <c r="AM7863" s="85"/>
    </row>
    <row r="7864" spans="1:39" s="86" customFormat="1" ht="13.25" hidden="1" customHeight="1" x14ac:dyDescent="0.3">
      <c r="A7864" s="89" t="s">
        <v>3978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3767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211"/>
        <v>-8740.7613600000022</v>
      </c>
      <c r="X7864" s="6">
        <f t="shared" si="1215"/>
        <v>0</v>
      </c>
      <c r="Y7864" s="13">
        <f t="shared" si="1208"/>
        <v>0</v>
      </c>
      <c r="Z7864" s="14">
        <v>0</v>
      </c>
      <c r="AA7864" s="6">
        <v>0</v>
      </c>
      <c r="AB7864" s="4">
        <f t="shared" si="1209"/>
        <v>0</v>
      </c>
      <c r="AC7864" s="6">
        <f t="shared" si="1207"/>
        <v>0</v>
      </c>
      <c r="AD7864" s="6">
        <f t="shared" si="1212"/>
        <v>0</v>
      </c>
      <c r="AE7864" s="14">
        <f>VLOOKUP(I7864,[2]媒体政策预估表!A:N,MATCH(O7864,[2]媒体政策预估表!$A$2:$M$2,0),0)</f>
        <v>0.1</v>
      </c>
      <c r="AF7864" s="6">
        <f t="shared" si="1214"/>
        <v>0</v>
      </c>
      <c r="AG7864" s="14">
        <v>0</v>
      </c>
      <c r="AH7864" s="64">
        <f t="shared" si="1213"/>
        <v>0</v>
      </c>
      <c r="AJ7864" s="126" t="e">
        <v>#N/A</v>
      </c>
      <c r="AK7864" s="80">
        <f t="shared" si="1210"/>
        <v>0</v>
      </c>
      <c r="AL7864" s="85"/>
      <c r="AM7864" s="85"/>
    </row>
    <row r="7865" spans="1:39" s="86" customFormat="1" ht="13.25" hidden="1" customHeight="1" x14ac:dyDescent="0.3">
      <c r="A7865" s="89" t="s">
        <v>3792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3767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211"/>
        <v>-2096832.3865300003</v>
      </c>
      <c r="X7865" s="6">
        <f t="shared" si="1215"/>
        <v>0</v>
      </c>
      <c r="Y7865" s="13">
        <f t="shared" si="1208"/>
        <v>0</v>
      </c>
      <c r="Z7865" s="14">
        <v>0</v>
      </c>
      <c r="AA7865" s="6">
        <v>0</v>
      </c>
      <c r="AB7865" s="4">
        <f t="shared" si="1209"/>
        <v>0</v>
      </c>
      <c r="AC7865" s="6">
        <f t="shared" si="1207"/>
        <v>0</v>
      </c>
      <c r="AD7865" s="6">
        <f t="shared" si="1212"/>
        <v>0</v>
      </c>
      <c r="AE7865" s="14">
        <f>VLOOKUP(I7865,[2]媒体政策预估表!A:N,MATCH(O7865,[2]媒体政策预估表!$A$2:$M$2,0),0)</f>
        <v>0.15</v>
      </c>
      <c r="AF7865" s="6">
        <f t="shared" si="1214"/>
        <v>0</v>
      </c>
      <c r="AG7865" s="14">
        <v>0</v>
      </c>
      <c r="AH7865" s="64">
        <f t="shared" si="1213"/>
        <v>0</v>
      </c>
      <c r="AJ7865" s="126" t="e">
        <v>#N/A</v>
      </c>
      <c r="AK7865" s="80">
        <f t="shared" si="1210"/>
        <v>0</v>
      </c>
      <c r="AL7865" s="85"/>
      <c r="AM7865" s="85"/>
    </row>
    <row r="7866" spans="1:39" s="86" customFormat="1" ht="13.25" hidden="1" customHeight="1" x14ac:dyDescent="0.3">
      <c r="A7866" s="89" t="s">
        <v>3805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3767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211"/>
        <v>-160558.42146000001</v>
      </c>
      <c r="X7866" s="6">
        <f t="shared" si="1215"/>
        <v>0</v>
      </c>
      <c r="Y7866" s="13">
        <f t="shared" si="1208"/>
        <v>0</v>
      </c>
      <c r="Z7866" s="14">
        <v>0</v>
      </c>
      <c r="AA7866" s="6">
        <v>0</v>
      </c>
      <c r="AB7866" s="4">
        <f t="shared" si="1209"/>
        <v>0</v>
      </c>
      <c r="AC7866" s="6">
        <f t="shared" si="1207"/>
        <v>0</v>
      </c>
      <c r="AD7866" s="6">
        <f t="shared" si="1212"/>
        <v>0</v>
      </c>
      <c r="AE7866" s="14">
        <f>VLOOKUP(I7866,[2]媒体政策预估表!A:N,MATCH(O7866,[2]媒体政策预估表!$A$2:$M$2,0),0)</f>
        <v>0.1</v>
      </c>
      <c r="AF7866" s="6">
        <f t="shared" si="1214"/>
        <v>0</v>
      </c>
      <c r="AG7866" s="14">
        <v>0</v>
      </c>
      <c r="AH7866" s="64">
        <f t="shared" si="1213"/>
        <v>0</v>
      </c>
      <c r="AJ7866" s="126" t="e">
        <v>#N/A</v>
      </c>
      <c r="AK7866" s="80">
        <f t="shared" si="1210"/>
        <v>0</v>
      </c>
      <c r="AL7866" s="85"/>
      <c r="AM7866" s="85"/>
    </row>
    <row r="7867" spans="1:39" s="86" customFormat="1" ht="13.25" hidden="1" customHeight="1" x14ac:dyDescent="0.3">
      <c r="A7867" s="89" t="s">
        <v>3792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3767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211"/>
        <v>9993</v>
      </c>
      <c r="X7867" s="6">
        <f t="shared" si="1215"/>
        <v>0</v>
      </c>
      <c r="Y7867" s="13">
        <f t="shared" si="1208"/>
        <v>0</v>
      </c>
      <c r="Z7867" s="14">
        <v>0</v>
      </c>
      <c r="AA7867" s="6">
        <v>0</v>
      </c>
      <c r="AB7867" s="4">
        <f t="shared" si="1209"/>
        <v>0</v>
      </c>
      <c r="AC7867" s="6">
        <f t="shared" si="1207"/>
        <v>0</v>
      </c>
      <c r="AD7867" s="6">
        <f t="shared" si="1212"/>
        <v>0</v>
      </c>
      <c r="AE7867" s="14">
        <f>VLOOKUP(I7867,[2]媒体政策预估表!A:N,MATCH(O7867,[2]媒体政策预估表!$A$2:$M$2,0),0)</f>
        <v>7.0000000000000007E-2</v>
      </c>
      <c r="AF7867" s="6">
        <f t="shared" si="1214"/>
        <v>0</v>
      </c>
      <c r="AG7867" s="14">
        <v>0</v>
      </c>
      <c r="AH7867" s="64">
        <f t="shared" si="1213"/>
        <v>0</v>
      </c>
      <c r="AJ7867" s="126" t="e">
        <v>#N/A</v>
      </c>
      <c r="AK7867" s="80">
        <f t="shared" si="1210"/>
        <v>0</v>
      </c>
      <c r="AL7867" s="85"/>
      <c r="AM7867" s="85"/>
    </row>
    <row r="7868" spans="1:39" s="86" customFormat="1" ht="13.25" hidden="1" customHeight="1" x14ac:dyDescent="0.3">
      <c r="A7868" s="89" t="s">
        <v>3978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3767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211"/>
        <v>169.4</v>
      </c>
      <c r="X7868" s="6">
        <f t="shared" si="1215"/>
        <v>0</v>
      </c>
      <c r="Y7868" s="13">
        <f t="shared" si="1208"/>
        <v>0</v>
      </c>
      <c r="Z7868" s="14">
        <v>0</v>
      </c>
      <c r="AA7868" s="6">
        <v>0</v>
      </c>
      <c r="AB7868" s="4">
        <f t="shared" si="1209"/>
        <v>0</v>
      </c>
      <c r="AC7868" s="6">
        <f t="shared" si="1207"/>
        <v>0</v>
      </c>
      <c r="AD7868" s="6">
        <f t="shared" si="1212"/>
        <v>0</v>
      </c>
      <c r="AE7868" s="14">
        <f>VLOOKUP(I7868,[2]媒体政策预估表!A:N,MATCH(O7868,[2]媒体政策预估表!$A$2:$M$2,0),0)</f>
        <v>7.0000000000000007E-2</v>
      </c>
      <c r="AF7868" s="6">
        <f t="shared" si="1214"/>
        <v>0</v>
      </c>
      <c r="AG7868" s="14">
        <v>0</v>
      </c>
      <c r="AH7868" s="64">
        <f t="shared" si="1213"/>
        <v>0</v>
      </c>
      <c r="AJ7868" s="126" t="e">
        <v>#N/A</v>
      </c>
      <c r="AK7868" s="80">
        <f t="shared" si="1210"/>
        <v>0</v>
      </c>
      <c r="AL7868" s="85"/>
      <c r="AM7868" s="85"/>
    </row>
    <row r="7869" spans="1:39" s="86" customFormat="1" ht="13.25" hidden="1" customHeight="1" x14ac:dyDescent="0.3">
      <c r="A7869" s="89" t="s">
        <v>3792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3767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211"/>
        <v>-11218.59</v>
      </c>
      <c r="X7869" s="6">
        <f t="shared" si="1215"/>
        <v>0</v>
      </c>
      <c r="Y7869" s="13">
        <f t="shared" si="1208"/>
        <v>0</v>
      </c>
      <c r="Z7869" s="14">
        <v>0</v>
      </c>
      <c r="AA7869" s="6">
        <v>0</v>
      </c>
      <c r="AB7869" s="4">
        <f t="shared" si="1209"/>
        <v>0</v>
      </c>
      <c r="AC7869" s="6">
        <f t="shared" si="1207"/>
        <v>0</v>
      </c>
      <c r="AD7869" s="6">
        <f t="shared" si="1212"/>
        <v>0</v>
      </c>
      <c r="AE7869" s="14">
        <f>VLOOKUP(I7869,[2]媒体政策预估表!A:N,MATCH(O7869,[2]媒体政策预估表!$A$2:$M$2,0),0)</f>
        <v>0.1</v>
      </c>
      <c r="AF7869" s="6">
        <f t="shared" si="1214"/>
        <v>0</v>
      </c>
      <c r="AG7869" s="14">
        <v>0</v>
      </c>
      <c r="AH7869" s="64">
        <f t="shared" si="1213"/>
        <v>0</v>
      </c>
      <c r="AJ7869" s="126" t="e">
        <v>#N/A</v>
      </c>
      <c r="AK7869" s="80">
        <f t="shared" si="1210"/>
        <v>0</v>
      </c>
      <c r="AL7869" s="85"/>
      <c r="AM7869" s="85"/>
    </row>
    <row r="7870" spans="1:39" s="86" customFormat="1" ht="13.25" hidden="1" customHeight="1" x14ac:dyDescent="0.3">
      <c r="A7870" s="89" t="s">
        <v>3978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3767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211"/>
        <v>-1161555.3900000001</v>
      </c>
      <c r="X7870" s="6">
        <f t="shared" si="1215"/>
        <v>0</v>
      </c>
      <c r="Y7870" s="13">
        <f t="shared" si="1208"/>
        <v>0</v>
      </c>
      <c r="Z7870" s="14">
        <v>0</v>
      </c>
      <c r="AA7870" s="6">
        <v>0</v>
      </c>
      <c r="AB7870" s="4">
        <f t="shared" si="1209"/>
        <v>0</v>
      </c>
      <c r="AC7870" s="6">
        <f t="shared" ref="AC7870:AC7933" si="1216">IF(P7870="返现",X7870*Q7870,V7870-X7870)</f>
        <v>0</v>
      </c>
      <c r="AD7870" s="6">
        <f t="shared" si="1212"/>
        <v>0</v>
      </c>
      <c r="AE7870" s="14">
        <f>VLOOKUP(I7870,[2]媒体政策预估表!A:N,MATCH(O7870,[2]媒体政策预估表!$A$2:$M$2,0),0)</f>
        <v>0.15</v>
      </c>
      <c r="AF7870" s="6">
        <f t="shared" si="1214"/>
        <v>0</v>
      </c>
      <c r="AG7870" s="14">
        <v>0</v>
      </c>
      <c r="AH7870" s="64">
        <f t="shared" si="1213"/>
        <v>0</v>
      </c>
      <c r="AJ7870" s="126" t="e">
        <v>#N/A</v>
      </c>
      <c r="AK7870" s="80">
        <f t="shared" si="1210"/>
        <v>0</v>
      </c>
      <c r="AL7870" s="85"/>
      <c r="AM7870" s="85"/>
    </row>
    <row r="7871" spans="1:39" s="86" customFormat="1" ht="13.25" hidden="1" customHeight="1" x14ac:dyDescent="0.3">
      <c r="A7871" s="89" t="s">
        <v>3792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3767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211"/>
        <v>-108033.89600000002</v>
      </c>
      <c r="X7871" s="6">
        <f t="shared" si="1215"/>
        <v>0</v>
      </c>
      <c r="Y7871" s="13">
        <f t="shared" si="1208"/>
        <v>0</v>
      </c>
      <c r="Z7871" s="14">
        <v>0</v>
      </c>
      <c r="AA7871" s="6">
        <v>0</v>
      </c>
      <c r="AB7871" s="4">
        <f t="shared" si="1209"/>
        <v>0</v>
      </c>
      <c r="AC7871" s="6">
        <f t="shared" si="1216"/>
        <v>0</v>
      </c>
      <c r="AD7871" s="6">
        <f t="shared" si="1212"/>
        <v>0</v>
      </c>
      <c r="AE7871" s="14">
        <f>VLOOKUP(I7871,[2]媒体政策预估表!A:N,MATCH(O7871,[2]媒体政策预估表!$A$2:$M$2,0),0)</f>
        <v>0.1</v>
      </c>
      <c r="AF7871" s="6">
        <f t="shared" si="1214"/>
        <v>0</v>
      </c>
      <c r="AG7871" s="14">
        <v>0</v>
      </c>
      <c r="AH7871" s="64">
        <f t="shared" si="1213"/>
        <v>0</v>
      </c>
      <c r="AJ7871" s="126" t="e">
        <v>#N/A</v>
      </c>
      <c r="AK7871" s="80">
        <f t="shared" si="1210"/>
        <v>0</v>
      </c>
      <c r="AL7871" s="85"/>
      <c r="AM7871" s="85"/>
    </row>
    <row r="7872" spans="1:39" s="86" customFormat="1" ht="13.25" hidden="1" customHeight="1" x14ac:dyDescent="0.3">
      <c r="A7872" s="89" t="s">
        <v>3792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3767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211"/>
        <v>-1610.5240899999999</v>
      </c>
      <c r="X7872" s="6">
        <f t="shared" si="1215"/>
        <v>0</v>
      </c>
      <c r="Y7872" s="13">
        <f t="shared" si="1208"/>
        <v>0</v>
      </c>
      <c r="Z7872" s="14">
        <v>0</v>
      </c>
      <c r="AA7872" s="6">
        <v>0</v>
      </c>
      <c r="AB7872" s="4">
        <f t="shared" si="1209"/>
        <v>0</v>
      </c>
      <c r="AC7872" s="6">
        <f t="shared" si="1216"/>
        <v>0</v>
      </c>
      <c r="AD7872" s="6">
        <f t="shared" si="1212"/>
        <v>0</v>
      </c>
      <c r="AE7872" s="14">
        <f>VLOOKUP(I7872,[2]媒体政策预估表!A:N,MATCH(O7872,[2]媒体政策预估表!$A$2:$M$2,0),0)</f>
        <v>0.1</v>
      </c>
      <c r="AF7872" s="6">
        <f t="shared" si="1214"/>
        <v>0</v>
      </c>
      <c r="AG7872" s="14">
        <v>0</v>
      </c>
      <c r="AH7872" s="64">
        <f t="shared" si="1213"/>
        <v>0</v>
      </c>
      <c r="AJ7872" s="126" t="e">
        <v>#N/A</v>
      </c>
      <c r="AK7872" s="80">
        <f t="shared" si="1210"/>
        <v>0</v>
      </c>
      <c r="AL7872" s="85"/>
      <c r="AM7872" s="85"/>
    </row>
    <row r="7873" spans="1:39" s="86" customFormat="1" ht="13.25" hidden="1" customHeight="1" x14ac:dyDescent="0.3">
      <c r="A7873" s="89" t="s">
        <v>3978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3767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211"/>
        <v>-149337.03566000002</v>
      </c>
      <c r="X7873" s="6">
        <f t="shared" si="1215"/>
        <v>8334.7199603960398</v>
      </c>
      <c r="Y7873" s="13">
        <f t="shared" si="1208"/>
        <v>0</v>
      </c>
      <c r="Z7873" s="14">
        <v>0</v>
      </c>
      <c r="AA7873" s="6">
        <v>0</v>
      </c>
      <c r="AB7873" s="4">
        <f t="shared" si="1209"/>
        <v>8334.7199603960398</v>
      </c>
      <c r="AC7873" s="6">
        <f t="shared" si="1216"/>
        <v>83.347199603960689</v>
      </c>
      <c r="AD7873" s="6">
        <f t="shared" si="1212"/>
        <v>8418.0671600000005</v>
      </c>
      <c r="AE7873" s="14">
        <f>VLOOKUP(I7873,[2]媒体政策预估表!A:N,MATCH(O7873,[2]媒体政策预估表!$A$2:$M$2,0),0)</f>
        <v>0.15</v>
      </c>
      <c r="AF7873" s="6">
        <f t="shared" si="1214"/>
        <v>1262.7100740000001</v>
      </c>
      <c r="AG7873" s="14">
        <v>0</v>
      </c>
      <c r="AH7873" s="64">
        <f t="shared" si="1213"/>
        <v>8418.0671600000005</v>
      </c>
      <c r="AJ7873" s="126" t="e">
        <v>#N/A</v>
      </c>
      <c r="AK7873" s="80">
        <f t="shared" si="1210"/>
        <v>0</v>
      </c>
      <c r="AL7873" s="85"/>
      <c r="AM7873" s="85"/>
    </row>
    <row r="7874" spans="1:39" s="86" customFormat="1" ht="13.25" hidden="1" customHeight="1" x14ac:dyDescent="0.3">
      <c r="A7874" s="89" t="s">
        <v>3978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3767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211"/>
        <v>-1776.7809299999999</v>
      </c>
      <c r="X7874" s="6">
        <f t="shared" si="1215"/>
        <v>0</v>
      </c>
      <c r="Y7874" s="13">
        <f t="shared" si="1208"/>
        <v>0</v>
      </c>
      <c r="Z7874" s="14">
        <v>0</v>
      </c>
      <c r="AA7874" s="6">
        <v>0</v>
      </c>
      <c r="AB7874" s="4">
        <f t="shared" si="1209"/>
        <v>0</v>
      </c>
      <c r="AC7874" s="6">
        <f t="shared" si="1216"/>
        <v>0</v>
      </c>
      <c r="AD7874" s="6">
        <f t="shared" si="1212"/>
        <v>0</v>
      </c>
      <c r="AE7874" s="14">
        <f>VLOOKUP(I7874,[2]媒体政策预估表!A:N,MATCH(O7874,[2]媒体政策预估表!$A$2:$M$2,0),0)</f>
        <v>0.1</v>
      </c>
      <c r="AF7874" s="6">
        <f t="shared" si="1214"/>
        <v>0</v>
      </c>
      <c r="AG7874" s="14">
        <v>0</v>
      </c>
      <c r="AH7874" s="64">
        <f t="shared" si="1213"/>
        <v>0</v>
      </c>
      <c r="AJ7874" s="126" t="e">
        <v>#N/A</v>
      </c>
      <c r="AK7874" s="80">
        <f t="shared" si="1210"/>
        <v>0</v>
      </c>
      <c r="AL7874" s="85"/>
      <c r="AM7874" s="85"/>
    </row>
    <row r="7875" spans="1:39" s="86" customFormat="1" ht="13.25" hidden="1" customHeight="1" x14ac:dyDescent="0.3">
      <c r="A7875" s="89" t="s">
        <v>3792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3767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211"/>
        <v>-58.8</v>
      </c>
      <c r="X7875" s="6">
        <f t="shared" si="1215"/>
        <v>0</v>
      </c>
      <c r="Y7875" s="13">
        <f t="shared" ref="Y7875:Y7938" si="1217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218">X7875+AA7875</f>
        <v>0</v>
      </c>
      <c r="AC7875" s="6">
        <f t="shared" si="1216"/>
        <v>0</v>
      </c>
      <c r="AD7875" s="6">
        <f t="shared" si="1212"/>
        <v>0</v>
      </c>
      <c r="AE7875" s="14">
        <f>VLOOKUP(I7875,[2]媒体政策预估表!A:N,MATCH(O7875,[2]媒体政策预估表!$A$2:$M$2,0),0)</f>
        <v>0.1</v>
      </c>
      <c r="AF7875" s="6">
        <f t="shared" si="1214"/>
        <v>0</v>
      </c>
      <c r="AG7875" s="14">
        <v>0</v>
      </c>
      <c r="AH7875" s="64">
        <f t="shared" si="1213"/>
        <v>0</v>
      </c>
      <c r="AJ7875" s="126" t="e">
        <v>#N/A</v>
      </c>
      <c r="AK7875" s="80">
        <f t="shared" ref="AK7875:AK7938" si="1219">X7875+AA7875-AB7875</f>
        <v>0</v>
      </c>
      <c r="AL7875" s="85"/>
      <c r="AM7875" s="85"/>
    </row>
    <row r="7876" spans="1:39" s="86" customFormat="1" ht="13.25" hidden="1" customHeight="1" x14ac:dyDescent="0.3">
      <c r="A7876" s="89" t="s">
        <v>3978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3767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211"/>
        <v>-4203.9045400000005</v>
      </c>
      <c r="X7876" s="6">
        <f t="shared" si="1215"/>
        <v>0</v>
      </c>
      <c r="Y7876" s="13">
        <f t="shared" si="1217"/>
        <v>0</v>
      </c>
      <c r="Z7876" s="14">
        <v>0</v>
      </c>
      <c r="AA7876" s="6">
        <v>0</v>
      </c>
      <c r="AB7876" s="4">
        <f t="shared" si="1218"/>
        <v>0</v>
      </c>
      <c r="AC7876" s="6">
        <f t="shared" si="1216"/>
        <v>0</v>
      </c>
      <c r="AD7876" s="6">
        <f t="shared" si="1212"/>
        <v>0</v>
      </c>
      <c r="AE7876" s="14">
        <f>VLOOKUP(I7876,[2]媒体政策预估表!A:N,MATCH(O7876,[2]媒体政策预估表!$A$2:$M$2,0),0)</f>
        <v>0.1</v>
      </c>
      <c r="AF7876" s="6">
        <f t="shared" si="1214"/>
        <v>0</v>
      </c>
      <c r="AG7876" s="14">
        <v>0</v>
      </c>
      <c r="AH7876" s="64">
        <f t="shared" si="1213"/>
        <v>0</v>
      </c>
      <c r="AJ7876" s="126" t="e">
        <v>#N/A</v>
      </c>
      <c r="AK7876" s="80">
        <f t="shared" si="1219"/>
        <v>0</v>
      </c>
      <c r="AL7876" s="85"/>
      <c r="AM7876" s="85"/>
    </row>
    <row r="7877" spans="1:39" s="86" customFormat="1" ht="13.25" hidden="1" customHeight="1" x14ac:dyDescent="0.3">
      <c r="A7877" s="89" t="s">
        <v>3978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3767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211"/>
        <v>-30261.357219999998</v>
      </c>
      <c r="X7877" s="6">
        <f t="shared" si="1215"/>
        <v>0</v>
      </c>
      <c r="Y7877" s="13">
        <f t="shared" si="1217"/>
        <v>0</v>
      </c>
      <c r="Z7877" s="14">
        <v>0</v>
      </c>
      <c r="AA7877" s="6">
        <v>0</v>
      </c>
      <c r="AB7877" s="4">
        <f t="shared" si="1218"/>
        <v>0</v>
      </c>
      <c r="AC7877" s="6">
        <f t="shared" si="1216"/>
        <v>0</v>
      </c>
      <c r="AD7877" s="6">
        <f t="shared" si="1212"/>
        <v>0</v>
      </c>
      <c r="AE7877" s="14">
        <f>VLOOKUP(I7877,[2]媒体政策预估表!A:N,MATCH(O7877,[2]媒体政策预估表!$A$2:$M$2,0),0)</f>
        <v>0.1</v>
      </c>
      <c r="AF7877" s="6">
        <f t="shared" si="1214"/>
        <v>0</v>
      </c>
      <c r="AG7877" s="14">
        <v>0</v>
      </c>
      <c r="AH7877" s="64">
        <f t="shared" si="1213"/>
        <v>0</v>
      </c>
      <c r="AJ7877" s="126" t="e">
        <v>#N/A</v>
      </c>
      <c r="AK7877" s="80">
        <f t="shared" si="1219"/>
        <v>0</v>
      </c>
      <c r="AL7877" s="85"/>
      <c r="AM7877" s="85"/>
    </row>
    <row r="7878" spans="1:39" s="86" customFormat="1" ht="13.25" hidden="1" customHeight="1" x14ac:dyDescent="0.3">
      <c r="A7878" s="89" t="s">
        <v>3792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3767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211"/>
        <v>-15055.826570000001</v>
      </c>
      <c r="X7878" s="6">
        <f t="shared" si="1215"/>
        <v>0</v>
      </c>
      <c r="Y7878" s="13">
        <f t="shared" si="1217"/>
        <v>0</v>
      </c>
      <c r="Z7878" s="14">
        <v>0</v>
      </c>
      <c r="AA7878" s="6">
        <v>0</v>
      </c>
      <c r="AB7878" s="4">
        <f t="shared" si="1218"/>
        <v>0</v>
      </c>
      <c r="AC7878" s="6">
        <f t="shared" si="1216"/>
        <v>0</v>
      </c>
      <c r="AD7878" s="6">
        <f t="shared" si="1212"/>
        <v>0</v>
      </c>
      <c r="AE7878" s="14">
        <f>VLOOKUP(I7878,[2]媒体政策预估表!A:N,MATCH(O7878,[2]媒体政策预估表!$A$2:$M$2,0),0)</f>
        <v>0.1</v>
      </c>
      <c r="AF7878" s="6">
        <f t="shared" si="1214"/>
        <v>0</v>
      </c>
      <c r="AG7878" s="14">
        <v>0</v>
      </c>
      <c r="AH7878" s="64">
        <f t="shared" si="1213"/>
        <v>0</v>
      </c>
      <c r="AJ7878" s="126" t="e">
        <v>#N/A</v>
      </c>
      <c r="AK7878" s="80">
        <f t="shared" si="1219"/>
        <v>0</v>
      </c>
      <c r="AL7878" s="85"/>
      <c r="AM7878" s="85"/>
    </row>
    <row r="7879" spans="1:39" s="86" customFormat="1" ht="13.25" hidden="1" customHeight="1" x14ac:dyDescent="0.3">
      <c r="A7879" s="89" t="s">
        <v>3792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3767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211"/>
        <v>484.13</v>
      </c>
      <c r="X7879" s="6">
        <f t="shared" si="1215"/>
        <v>0</v>
      </c>
      <c r="Y7879" s="13">
        <f t="shared" si="1217"/>
        <v>0</v>
      </c>
      <c r="Z7879" s="14">
        <v>0</v>
      </c>
      <c r="AA7879" s="6">
        <v>0</v>
      </c>
      <c r="AB7879" s="4">
        <f t="shared" si="1218"/>
        <v>0</v>
      </c>
      <c r="AC7879" s="6">
        <f t="shared" si="1216"/>
        <v>0</v>
      </c>
      <c r="AD7879" s="6">
        <f t="shared" si="1212"/>
        <v>0</v>
      </c>
      <c r="AE7879" s="14">
        <f>VLOOKUP(I7879,[2]媒体政策预估表!A:N,MATCH(O7879,[2]媒体政策预估表!$A$2:$M$2,0),0)</f>
        <v>7.0000000000000007E-2</v>
      </c>
      <c r="AF7879" s="6">
        <f t="shared" si="1214"/>
        <v>0</v>
      </c>
      <c r="AG7879" s="14">
        <v>0</v>
      </c>
      <c r="AH7879" s="64">
        <f t="shared" si="1213"/>
        <v>0</v>
      </c>
      <c r="AJ7879" s="126" t="e">
        <v>#N/A</v>
      </c>
      <c r="AK7879" s="80">
        <f t="shared" si="1219"/>
        <v>0</v>
      </c>
      <c r="AL7879" s="85"/>
      <c r="AM7879" s="85"/>
    </row>
    <row r="7880" spans="1:39" s="86" customFormat="1" ht="13.25" hidden="1" customHeight="1" x14ac:dyDescent="0.3">
      <c r="A7880" s="89" t="s">
        <v>3978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3767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211"/>
        <v>487.91</v>
      </c>
      <c r="X7880" s="6">
        <f t="shared" si="1215"/>
        <v>0</v>
      </c>
      <c r="Y7880" s="13">
        <f t="shared" si="1217"/>
        <v>0</v>
      </c>
      <c r="Z7880" s="14">
        <v>0</v>
      </c>
      <c r="AA7880" s="6">
        <v>0</v>
      </c>
      <c r="AB7880" s="4">
        <f t="shared" si="1218"/>
        <v>0</v>
      </c>
      <c r="AC7880" s="6">
        <f t="shared" si="1216"/>
        <v>0</v>
      </c>
      <c r="AD7880" s="6">
        <f t="shared" si="1212"/>
        <v>0</v>
      </c>
      <c r="AE7880" s="14">
        <f>VLOOKUP(I7880,[2]媒体政策预估表!A:N,MATCH(O7880,[2]媒体政策预估表!$A$2:$M$2,0),0)</f>
        <v>0.1</v>
      </c>
      <c r="AF7880" s="6">
        <f t="shared" si="1214"/>
        <v>0</v>
      </c>
      <c r="AG7880" s="14">
        <v>0</v>
      </c>
      <c r="AH7880" s="64">
        <f t="shared" si="1213"/>
        <v>0</v>
      </c>
      <c r="AJ7880" s="126" t="e">
        <v>#N/A</v>
      </c>
      <c r="AK7880" s="80">
        <f t="shared" si="1219"/>
        <v>0</v>
      </c>
      <c r="AL7880" s="85"/>
      <c r="AM7880" s="85"/>
    </row>
    <row r="7881" spans="1:39" s="86" customFormat="1" ht="13.25" hidden="1" customHeight="1" x14ac:dyDescent="0.3">
      <c r="A7881" s="89" t="s">
        <v>3978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3767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211"/>
        <v>149.78</v>
      </c>
      <c r="X7881" s="6">
        <f t="shared" si="1215"/>
        <v>0</v>
      </c>
      <c r="Y7881" s="13">
        <f t="shared" si="1217"/>
        <v>0</v>
      </c>
      <c r="Z7881" s="14">
        <v>0</v>
      </c>
      <c r="AA7881" s="6">
        <v>0</v>
      </c>
      <c r="AB7881" s="4">
        <f t="shared" si="1218"/>
        <v>0</v>
      </c>
      <c r="AC7881" s="6">
        <f t="shared" si="1216"/>
        <v>0</v>
      </c>
      <c r="AD7881" s="6">
        <f t="shared" si="1212"/>
        <v>0</v>
      </c>
      <c r="AE7881" s="14">
        <f>VLOOKUP(I7881,[2]媒体政策预估表!A:N,MATCH(O7881,[2]媒体政策预估表!$A$2:$M$2,0),0)</f>
        <v>7.0000000000000007E-2</v>
      </c>
      <c r="AF7881" s="6">
        <f t="shared" si="1214"/>
        <v>0</v>
      </c>
      <c r="AG7881" s="14">
        <v>0</v>
      </c>
      <c r="AH7881" s="64">
        <f t="shared" si="1213"/>
        <v>0</v>
      </c>
      <c r="AJ7881" s="126" t="e">
        <v>#N/A</v>
      </c>
      <c r="AK7881" s="80">
        <f t="shared" si="1219"/>
        <v>0</v>
      </c>
      <c r="AL7881" s="85"/>
      <c r="AM7881" s="85"/>
    </row>
    <row r="7882" spans="1:39" s="86" customFormat="1" ht="13.25" hidden="1" customHeight="1" x14ac:dyDescent="0.3">
      <c r="A7882" s="89" t="s">
        <v>3792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3767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211"/>
        <v>1.37</v>
      </c>
      <c r="X7882" s="6">
        <f t="shared" si="1215"/>
        <v>0</v>
      </c>
      <c r="Y7882" s="13">
        <f t="shared" si="1217"/>
        <v>0</v>
      </c>
      <c r="Z7882" s="14">
        <v>0</v>
      </c>
      <c r="AA7882" s="6">
        <v>0</v>
      </c>
      <c r="AB7882" s="4">
        <f t="shared" si="1218"/>
        <v>0</v>
      </c>
      <c r="AC7882" s="6">
        <f t="shared" si="1216"/>
        <v>0</v>
      </c>
      <c r="AD7882" s="6">
        <f t="shared" si="1212"/>
        <v>0</v>
      </c>
      <c r="AE7882" s="14">
        <f>VLOOKUP(I7882,[2]媒体政策预估表!A:N,MATCH(O7882,[2]媒体政策预估表!$A$2:$M$2,0),0)</f>
        <v>7.0000000000000007E-2</v>
      </c>
      <c r="AF7882" s="6">
        <f t="shared" si="1214"/>
        <v>0</v>
      </c>
      <c r="AG7882" s="14">
        <v>0</v>
      </c>
      <c r="AH7882" s="64">
        <f t="shared" si="1213"/>
        <v>0</v>
      </c>
      <c r="AJ7882" s="126" t="e">
        <v>#N/A</v>
      </c>
      <c r="AK7882" s="80">
        <f t="shared" si="1219"/>
        <v>0</v>
      </c>
      <c r="AL7882" s="85"/>
      <c r="AM7882" s="85"/>
    </row>
    <row r="7883" spans="1:39" s="86" customFormat="1" ht="13.25" hidden="1" customHeight="1" x14ac:dyDescent="0.3">
      <c r="A7883" s="89" t="s">
        <v>3792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3767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211"/>
        <v>495.16</v>
      </c>
      <c r="X7883" s="6">
        <f t="shared" si="1215"/>
        <v>0</v>
      </c>
      <c r="Y7883" s="13">
        <f t="shared" si="1217"/>
        <v>0</v>
      </c>
      <c r="Z7883" s="14">
        <v>0</v>
      </c>
      <c r="AA7883" s="6">
        <v>0</v>
      </c>
      <c r="AB7883" s="4">
        <f t="shared" si="1218"/>
        <v>0</v>
      </c>
      <c r="AC7883" s="6">
        <f t="shared" si="1216"/>
        <v>0</v>
      </c>
      <c r="AD7883" s="6">
        <f t="shared" si="1212"/>
        <v>0</v>
      </c>
      <c r="AE7883" s="14">
        <f>VLOOKUP(I7883,[2]媒体政策预估表!A:N,MATCH(O7883,[2]媒体政策预估表!$A$2:$M$2,0),0)</f>
        <v>0.1</v>
      </c>
      <c r="AF7883" s="6">
        <f t="shared" si="1214"/>
        <v>0</v>
      </c>
      <c r="AG7883" s="14">
        <v>0</v>
      </c>
      <c r="AH7883" s="64">
        <f t="shared" si="1213"/>
        <v>0</v>
      </c>
      <c r="AJ7883" s="126" t="e">
        <v>#N/A</v>
      </c>
      <c r="AK7883" s="80">
        <f t="shared" si="1219"/>
        <v>0</v>
      </c>
      <c r="AL7883" s="85"/>
      <c r="AM7883" s="85"/>
    </row>
    <row r="7884" spans="1:39" s="86" customFormat="1" ht="13.25" hidden="1" customHeight="1" x14ac:dyDescent="0.3">
      <c r="A7884" s="89" t="s">
        <v>3792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3767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211"/>
        <v>-149226.14513000002</v>
      </c>
      <c r="X7884" s="6">
        <f t="shared" si="1215"/>
        <v>0</v>
      </c>
      <c r="Y7884" s="13">
        <f t="shared" si="1217"/>
        <v>0</v>
      </c>
      <c r="Z7884" s="14">
        <v>0</v>
      </c>
      <c r="AA7884" s="6">
        <v>0</v>
      </c>
      <c r="AB7884" s="4">
        <f t="shared" si="1218"/>
        <v>0</v>
      </c>
      <c r="AC7884" s="6">
        <f t="shared" si="1216"/>
        <v>0</v>
      </c>
      <c r="AD7884" s="6">
        <f t="shared" si="1212"/>
        <v>0</v>
      </c>
      <c r="AE7884" s="14">
        <f>VLOOKUP(I7884,[2]媒体政策预估表!A:N,MATCH(O7884,[2]媒体政策预估表!$A$2:$M$2,0),0)</f>
        <v>0.1</v>
      </c>
      <c r="AF7884" s="6">
        <f t="shared" si="1214"/>
        <v>0</v>
      </c>
      <c r="AG7884" s="14">
        <v>0</v>
      </c>
      <c r="AH7884" s="64">
        <f t="shared" si="1213"/>
        <v>0</v>
      </c>
      <c r="AJ7884" s="126" t="e">
        <v>#N/A</v>
      </c>
      <c r="AK7884" s="80">
        <f t="shared" si="1219"/>
        <v>0</v>
      </c>
      <c r="AL7884" s="85"/>
      <c r="AM7884" s="85"/>
    </row>
    <row r="7885" spans="1:39" s="86" customFormat="1" ht="13.25" hidden="1" customHeight="1" x14ac:dyDescent="0.3">
      <c r="A7885" s="89" t="s">
        <v>3978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3767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211"/>
        <v>-17396.738219999999</v>
      </c>
      <c r="X7885" s="6">
        <f t="shared" si="1215"/>
        <v>4038.9448514851483</v>
      </c>
      <c r="Y7885" s="13">
        <f t="shared" si="1217"/>
        <v>0</v>
      </c>
      <c r="Z7885" s="14">
        <v>0</v>
      </c>
      <c r="AA7885" s="6">
        <v>0</v>
      </c>
      <c r="AB7885" s="4">
        <f t="shared" si="1218"/>
        <v>4038.9448514851483</v>
      </c>
      <c r="AC7885" s="6">
        <f t="shared" si="1216"/>
        <v>40.389448514851665</v>
      </c>
      <c r="AD7885" s="6">
        <f t="shared" si="1212"/>
        <v>4079.3343</v>
      </c>
      <c r="AE7885" s="14">
        <f>VLOOKUP(I7885,[2]媒体政策预估表!A:N,MATCH(O7885,[2]媒体政策预估表!$A$2:$M$2,0),0)</f>
        <v>0.1</v>
      </c>
      <c r="AF7885" s="6">
        <f t="shared" si="1214"/>
        <v>407.93343000000004</v>
      </c>
      <c r="AG7885" s="14">
        <v>0</v>
      </c>
      <c r="AH7885" s="64">
        <f t="shared" si="1213"/>
        <v>4079.3343</v>
      </c>
      <c r="AJ7885" s="126" t="e">
        <v>#N/A</v>
      </c>
      <c r="AK7885" s="80">
        <f t="shared" si="1219"/>
        <v>0</v>
      </c>
      <c r="AL7885" s="85"/>
      <c r="AM7885" s="85"/>
    </row>
    <row r="7886" spans="1:39" s="86" customFormat="1" ht="13.25" hidden="1" customHeight="1" x14ac:dyDescent="0.3">
      <c r="A7886" s="89" t="s">
        <v>3792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3767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211"/>
        <v>1.2</v>
      </c>
      <c r="X7886" s="6">
        <f t="shared" si="1215"/>
        <v>0</v>
      </c>
      <c r="Y7886" s="13">
        <f t="shared" si="1217"/>
        <v>0</v>
      </c>
      <c r="Z7886" s="14">
        <v>0</v>
      </c>
      <c r="AA7886" s="6">
        <v>0</v>
      </c>
      <c r="AB7886" s="4">
        <f t="shared" si="1218"/>
        <v>0</v>
      </c>
      <c r="AC7886" s="6">
        <f t="shared" si="1216"/>
        <v>0</v>
      </c>
      <c r="AD7886" s="6">
        <f t="shared" si="1212"/>
        <v>0</v>
      </c>
      <c r="AE7886" s="14">
        <f>VLOOKUP(I7886,[2]媒体政策预估表!A:N,MATCH(O7886,[2]媒体政策预估表!$A$2:$M$2,0),0)</f>
        <v>7.0000000000000007E-2</v>
      </c>
      <c r="AF7886" s="6">
        <f t="shared" si="1214"/>
        <v>0</v>
      </c>
      <c r="AG7886" s="14">
        <v>0</v>
      </c>
      <c r="AH7886" s="64">
        <f t="shared" si="1213"/>
        <v>0</v>
      </c>
      <c r="AJ7886" s="126" t="e">
        <v>#N/A</v>
      </c>
      <c r="AK7886" s="80">
        <f t="shared" si="1219"/>
        <v>0</v>
      </c>
      <c r="AL7886" s="85"/>
      <c r="AM7886" s="85"/>
    </row>
    <row r="7887" spans="1:39" s="86" customFormat="1" ht="13.25" hidden="1" customHeight="1" x14ac:dyDescent="0.3">
      <c r="A7887" s="89" t="s">
        <v>3978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3767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211"/>
        <v>7945.19</v>
      </c>
      <c r="X7887" s="6">
        <f t="shared" si="1215"/>
        <v>0</v>
      </c>
      <c r="Y7887" s="13">
        <f t="shared" si="1217"/>
        <v>0</v>
      </c>
      <c r="Z7887" s="14">
        <v>0</v>
      </c>
      <c r="AA7887" s="6">
        <v>0</v>
      </c>
      <c r="AB7887" s="4">
        <f t="shared" si="1218"/>
        <v>0</v>
      </c>
      <c r="AC7887" s="6">
        <f t="shared" si="1216"/>
        <v>0</v>
      </c>
      <c r="AD7887" s="6">
        <f t="shared" si="1212"/>
        <v>0</v>
      </c>
      <c r="AE7887" s="14">
        <f>VLOOKUP(I7887,[2]媒体政策预估表!A:N,MATCH(O7887,[2]媒体政策预估表!$A$2:$M$2,0),0)</f>
        <v>0.1</v>
      </c>
      <c r="AF7887" s="6">
        <f t="shared" si="1214"/>
        <v>0</v>
      </c>
      <c r="AG7887" s="14">
        <v>0</v>
      </c>
      <c r="AH7887" s="64">
        <f t="shared" si="1213"/>
        <v>0</v>
      </c>
      <c r="AJ7887" s="126" t="e">
        <v>#N/A</v>
      </c>
      <c r="AK7887" s="80">
        <f t="shared" si="1219"/>
        <v>0</v>
      </c>
      <c r="AL7887" s="85"/>
      <c r="AM7887" s="85"/>
    </row>
    <row r="7888" spans="1:39" s="86" customFormat="1" ht="13.25" hidden="1" customHeight="1" x14ac:dyDescent="0.3">
      <c r="A7888" s="89" t="s">
        <v>3978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3767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211"/>
        <v>1547.3</v>
      </c>
      <c r="X7888" s="6">
        <f t="shared" si="1215"/>
        <v>0</v>
      </c>
      <c r="Y7888" s="13">
        <f t="shared" si="1217"/>
        <v>0</v>
      </c>
      <c r="Z7888" s="14">
        <v>0</v>
      </c>
      <c r="AA7888" s="6">
        <v>0</v>
      </c>
      <c r="AB7888" s="4">
        <f t="shared" si="1218"/>
        <v>0</v>
      </c>
      <c r="AC7888" s="6">
        <f t="shared" si="1216"/>
        <v>0</v>
      </c>
      <c r="AD7888" s="6">
        <f t="shared" si="1212"/>
        <v>0</v>
      </c>
      <c r="AE7888" s="14">
        <f>VLOOKUP(I7888,[2]媒体政策预估表!A:N,MATCH(O7888,[2]媒体政策预估表!$A$2:$M$2,0),0)</f>
        <v>7.0000000000000007E-2</v>
      </c>
      <c r="AF7888" s="6">
        <f t="shared" si="1214"/>
        <v>0</v>
      </c>
      <c r="AG7888" s="14">
        <v>0</v>
      </c>
      <c r="AH7888" s="64">
        <f t="shared" si="1213"/>
        <v>0</v>
      </c>
      <c r="AJ7888" s="126" t="e">
        <v>#N/A</v>
      </c>
      <c r="AK7888" s="80">
        <f t="shared" si="1219"/>
        <v>0</v>
      </c>
      <c r="AL7888" s="85"/>
      <c r="AM7888" s="85"/>
    </row>
    <row r="7889" spans="1:39" s="86" customFormat="1" ht="13.25" hidden="1" customHeight="1" x14ac:dyDescent="0.3">
      <c r="A7889" s="89" t="s">
        <v>3792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211"/>
        <v>2.4</v>
      </c>
      <c r="X7889" s="6">
        <f t="shared" si="1215"/>
        <v>0</v>
      </c>
      <c r="Y7889" s="13">
        <f t="shared" si="1217"/>
        <v>0</v>
      </c>
      <c r="Z7889" s="14">
        <v>0</v>
      </c>
      <c r="AA7889" s="6">
        <v>0</v>
      </c>
      <c r="AB7889" s="4">
        <f t="shared" si="1218"/>
        <v>0</v>
      </c>
      <c r="AC7889" s="6">
        <f t="shared" si="1216"/>
        <v>0</v>
      </c>
      <c r="AD7889" s="6">
        <f t="shared" si="1212"/>
        <v>0</v>
      </c>
      <c r="AE7889" s="14">
        <v>0</v>
      </c>
      <c r="AF7889" s="6">
        <f t="shared" si="1214"/>
        <v>0</v>
      </c>
      <c r="AG7889" s="14">
        <v>0</v>
      </c>
      <c r="AH7889" s="64">
        <f t="shared" si="1213"/>
        <v>0</v>
      </c>
      <c r="AJ7889" s="126" t="e">
        <v>#N/A</v>
      </c>
      <c r="AK7889" s="80">
        <f t="shared" si="1219"/>
        <v>0</v>
      </c>
      <c r="AL7889" s="85"/>
      <c r="AM7889" s="85"/>
    </row>
    <row r="7890" spans="1:39" s="86" customFormat="1" ht="13.25" hidden="1" customHeight="1" x14ac:dyDescent="0.3">
      <c r="A7890" s="89" t="s">
        <v>3978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3767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211"/>
        <v>-417979.23726000002</v>
      </c>
      <c r="X7890" s="6">
        <f t="shared" si="1215"/>
        <v>0</v>
      </c>
      <c r="Y7890" s="13">
        <f t="shared" si="1217"/>
        <v>0</v>
      </c>
      <c r="Z7890" s="14">
        <v>0</v>
      </c>
      <c r="AA7890" s="6">
        <v>0</v>
      </c>
      <c r="AB7890" s="4">
        <f t="shared" si="1218"/>
        <v>0</v>
      </c>
      <c r="AC7890" s="6">
        <f t="shared" si="1216"/>
        <v>0</v>
      </c>
      <c r="AD7890" s="6">
        <f t="shared" si="1212"/>
        <v>0</v>
      </c>
      <c r="AE7890" s="14">
        <f>VLOOKUP(I7890,[2]媒体政策预估表!A:N,MATCH(O7890,[2]媒体政策预估表!$A$2:$M$2,0),0)</f>
        <v>0.15</v>
      </c>
      <c r="AF7890" s="6">
        <f t="shared" si="1214"/>
        <v>0</v>
      </c>
      <c r="AG7890" s="14">
        <v>0</v>
      </c>
      <c r="AH7890" s="64">
        <f t="shared" si="1213"/>
        <v>0</v>
      </c>
      <c r="AJ7890" s="126" t="e">
        <v>#N/A</v>
      </c>
      <c r="AK7890" s="80">
        <f t="shared" si="1219"/>
        <v>0</v>
      </c>
      <c r="AL7890" s="85"/>
      <c r="AM7890" s="85"/>
    </row>
    <row r="7891" spans="1:39" s="86" customFormat="1" ht="13.25" hidden="1" customHeight="1" x14ac:dyDescent="0.3">
      <c r="A7891" s="89" t="s">
        <v>3792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3767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211"/>
        <v>-936117.80069999991</v>
      </c>
      <c r="X7891" s="6">
        <f t="shared" si="1215"/>
        <v>79862.196313725479</v>
      </c>
      <c r="Y7891" s="13">
        <f t="shared" si="1217"/>
        <v>0</v>
      </c>
      <c r="Z7891" s="14">
        <v>0</v>
      </c>
      <c r="AA7891" s="6">
        <v>0</v>
      </c>
      <c r="AB7891" s="4">
        <f t="shared" si="1218"/>
        <v>79862.196313725479</v>
      </c>
      <c r="AC7891" s="6">
        <f t="shared" si="1216"/>
        <v>1597.2439262745174</v>
      </c>
      <c r="AD7891" s="6">
        <f t="shared" si="1212"/>
        <v>81459.440239999996</v>
      </c>
      <c r="AE7891" s="14">
        <f>VLOOKUP(I7891,[2]媒体政策预估表!A:N,MATCH(O7891,[2]媒体政策预估表!$A$2:$M$2,0),0)</f>
        <v>0.15</v>
      </c>
      <c r="AF7891" s="6">
        <f t="shared" si="1214"/>
        <v>12218.916035999999</v>
      </c>
      <c r="AG7891" s="14">
        <v>0</v>
      </c>
      <c r="AH7891" s="64">
        <f t="shared" si="1213"/>
        <v>81459.440239999996</v>
      </c>
      <c r="AJ7891" s="126" t="e">
        <v>#N/A</v>
      </c>
      <c r="AK7891" s="80">
        <f t="shared" si="1219"/>
        <v>0</v>
      </c>
      <c r="AL7891" s="85"/>
      <c r="AM7891" s="85"/>
    </row>
    <row r="7892" spans="1:39" s="86" customFormat="1" ht="13.25" hidden="1" customHeight="1" x14ac:dyDescent="0.3">
      <c r="A7892" s="89" t="s">
        <v>3792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3767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211"/>
        <v>-375204.93352999998</v>
      </c>
      <c r="X7892" s="6">
        <f t="shared" si="1215"/>
        <v>0</v>
      </c>
      <c r="Y7892" s="13">
        <f t="shared" si="1217"/>
        <v>0</v>
      </c>
      <c r="Z7892" s="14">
        <v>0</v>
      </c>
      <c r="AA7892" s="6">
        <v>0</v>
      </c>
      <c r="AB7892" s="4">
        <f t="shared" si="1218"/>
        <v>0</v>
      </c>
      <c r="AC7892" s="6">
        <f t="shared" si="1216"/>
        <v>0</v>
      </c>
      <c r="AD7892" s="6">
        <f t="shared" si="1212"/>
        <v>0</v>
      </c>
      <c r="AE7892" s="14">
        <f>VLOOKUP(I7892,[2]媒体政策预估表!A:N,MATCH(O7892,[2]媒体政策预估表!$A$2:$M$2,0),0)</f>
        <v>0.15</v>
      </c>
      <c r="AF7892" s="6">
        <f t="shared" si="1214"/>
        <v>0</v>
      </c>
      <c r="AG7892" s="14">
        <v>0</v>
      </c>
      <c r="AH7892" s="64">
        <f t="shared" si="1213"/>
        <v>0</v>
      </c>
      <c r="AJ7892" s="126" t="e">
        <v>#N/A</v>
      </c>
      <c r="AK7892" s="80">
        <f t="shared" si="1219"/>
        <v>0</v>
      </c>
      <c r="AL7892" s="85"/>
      <c r="AM7892" s="85"/>
    </row>
    <row r="7893" spans="1:39" s="86" customFormat="1" ht="13.25" hidden="1" customHeight="1" x14ac:dyDescent="0.3">
      <c r="A7893" s="89" t="s">
        <v>3978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3767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211"/>
        <v>-204559.05554999999</v>
      </c>
      <c r="X7893" s="6">
        <f t="shared" si="1215"/>
        <v>0</v>
      </c>
      <c r="Y7893" s="13">
        <f t="shared" si="1217"/>
        <v>0</v>
      </c>
      <c r="Z7893" s="14">
        <v>0</v>
      </c>
      <c r="AA7893" s="6">
        <v>0</v>
      </c>
      <c r="AB7893" s="4">
        <f t="shared" si="1218"/>
        <v>0</v>
      </c>
      <c r="AC7893" s="6">
        <f t="shared" si="1216"/>
        <v>0</v>
      </c>
      <c r="AD7893" s="6">
        <f t="shared" si="1212"/>
        <v>0</v>
      </c>
      <c r="AE7893" s="14">
        <f>VLOOKUP(I7893,[2]媒体政策预估表!A:N,MATCH(O7893,[2]媒体政策预估表!$A$2:$M$2,0),0)</f>
        <v>0.1</v>
      </c>
      <c r="AF7893" s="6">
        <f t="shared" si="1214"/>
        <v>0</v>
      </c>
      <c r="AG7893" s="14">
        <v>0</v>
      </c>
      <c r="AH7893" s="64">
        <f t="shared" si="1213"/>
        <v>0</v>
      </c>
      <c r="AJ7893" s="126" t="e">
        <v>#N/A</v>
      </c>
      <c r="AK7893" s="80">
        <f t="shared" si="1219"/>
        <v>0</v>
      </c>
      <c r="AL7893" s="85"/>
      <c r="AM7893" s="85"/>
    </row>
    <row r="7894" spans="1:39" s="86" customFormat="1" ht="13.25" hidden="1" customHeight="1" x14ac:dyDescent="0.3">
      <c r="A7894" s="89" t="s">
        <v>3978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3767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211"/>
        <v>2855.97</v>
      </c>
      <c r="X7894" s="6">
        <f t="shared" si="1215"/>
        <v>0</v>
      </c>
      <c r="Y7894" s="13">
        <f t="shared" si="1217"/>
        <v>0</v>
      </c>
      <c r="Z7894" s="14">
        <v>0</v>
      </c>
      <c r="AA7894" s="6">
        <v>0</v>
      </c>
      <c r="AB7894" s="4">
        <f t="shared" si="1218"/>
        <v>0</v>
      </c>
      <c r="AC7894" s="6">
        <f t="shared" si="1216"/>
        <v>0</v>
      </c>
      <c r="AD7894" s="6">
        <f t="shared" si="1212"/>
        <v>0</v>
      </c>
      <c r="AE7894" s="14">
        <f>VLOOKUP(I7894,[2]媒体政策预估表!A:N,MATCH(O7894,[2]媒体政策预估表!$A$2:$M$2,0),0)</f>
        <v>7.0000000000000007E-2</v>
      </c>
      <c r="AF7894" s="6">
        <f t="shared" si="1214"/>
        <v>0</v>
      </c>
      <c r="AG7894" s="14">
        <v>0</v>
      </c>
      <c r="AH7894" s="64">
        <f t="shared" si="1213"/>
        <v>0</v>
      </c>
      <c r="AJ7894" s="126" t="e">
        <v>#N/A</v>
      </c>
      <c r="AK7894" s="80">
        <f t="shared" si="1219"/>
        <v>0</v>
      </c>
      <c r="AL7894" s="85"/>
      <c r="AM7894" s="85"/>
    </row>
    <row r="7895" spans="1:39" s="86" customFormat="1" ht="13.25" hidden="1" customHeight="1" x14ac:dyDescent="0.3">
      <c r="A7895" s="89" t="s">
        <v>3792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3767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211"/>
        <v>0.5</v>
      </c>
      <c r="X7895" s="6">
        <f t="shared" si="1215"/>
        <v>0</v>
      </c>
      <c r="Y7895" s="13">
        <f t="shared" si="1217"/>
        <v>0</v>
      </c>
      <c r="Z7895" s="14">
        <v>0</v>
      </c>
      <c r="AA7895" s="6">
        <v>0</v>
      </c>
      <c r="AB7895" s="4"/>
      <c r="AC7895" s="6">
        <f t="shared" si="1216"/>
        <v>0</v>
      </c>
      <c r="AD7895" s="6">
        <f t="shared" si="1212"/>
        <v>0</v>
      </c>
      <c r="AE7895" s="14">
        <f>VLOOKUP(I7895,[2]媒体政策预估表!A:N,MATCH(O7895,[2]媒体政策预估表!$A$2:$M$2,0),0)</f>
        <v>7.0000000000000007E-2</v>
      </c>
      <c r="AF7895" s="6">
        <f t="shared" si="1214"/>
        <v>0</v>
      </c>
      <c r="AG7895" s="14">
        <v>0</v>
      </c>
      <c r="AH7895" s="64">
        <f t="shared" si="1213"/>
        <v>0</v>
      </c>
      <c r="AJ7895" s="126">
        <v>58</v>
      </c>
      <c r="AK7895" s="80">
        <f t="shared" si="1219"/>
        <v>0</v>
      </c>
      <c r="AL7895" s="85"/>
      <c r="AM7895" s="85"/>
    </row>
    <row r="7896" spans="1:39" s="86" customFormat="1" ht="13.25" hidden="1" customHeight="1" x14ac:dyDescent="0.3">
      <c r="A7896" s="89" t="s">
        <v>3792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3767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211"/>
        <v>1.85</v>
      </c>
      <c r="X7896" s="6">
        <f t="shared" si="1215"/>
        <v>0</v>
      </c>
      <c r="Y7896" s="13">
        <f t="shared" si="1217"/>
        <v>0</v>
      </c>
      <c r="Z7896" s="14">
        <v>0</v>
      </c>
      <c r="AA7896" s="6">
        <v>0</v>
      </c>
      <c r="AB7896" s="4">
        <f t="shared" si="1218"/>
        <v>0</v>
      </c>
      <c r="AC7896" s="6">
        <f t="shared" si="1216"/>
        <v>0</v>
      </c>
      <c r="AD7896" s="6">
        <f t="shared" si="1212"/>
        <v>0</v>
      </c>
      <c r="AE7896" s="14">
        <f>VLOOKUP(I7896,[2]媒体政策预估表!A:N,MATCH(O7896,[2]媒体政策预估表!$A$2:$M$2,0),0)</f>
        <v>7.0000000000000007E-2</v>
      </c>
      <c r="AF7896" s="6">
        <f t="shared" si="1214"/>
        <v>0</v>
      </c>
      <c r="AG7896" s="14">
        <v>0</v>
      </c>
      <c r="AH7896" s="64">
        <f t="shared" si="1213"/>
        <v>0</v>
      </c>
      <c r="AJ7896" s="126" t="e">
        <v>#N/A</v>
      </c>
      <c r="AK7896" s="80">
        <f t="shared" si="1219"/>
        <v>0</v>
      </c>
      <c r="AL7896" s="85"/>
      <c r="AM7896" s="85"/>
    </row>
    <row r="7897" spans="1:39" s="86" customFormat="1" ht="13.25" hidden="1" customHeight="1" x14ac:dyDescent="0.3">
      <c r="A7897" s="89" t="s">
        <v>3792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3767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220">T7897+U7897-V7897</f>
        <v>-510.3</v>
      </c>
      <c r="X7897" s="6">
        <f t="shared" si="1215"/>
        <v>0</v>
      </c>
      <c r="Y7897" s="13">
        <f t="shared" si="1217"/>
        <v>0</v>
      </c>
      <c r="Z7897" s="14">
        <v>0</v>
      </c>
      <c r="AA7897" s="6">
        <v>0</v>
      </c>
      <c r="AB7897" s="4">
        <f t="shared" si="1218"/>
        <v>0</v>
      </c>
      <c r="AC7897" s="6">
        <f t="shared" si="1216"/>
        <v>0</v>
      </c>
      <c r="AD7897" s="6">
        <f t="shared" ref="AD7897:AD7960" si="1221">V7897</f>
        <v>0</v>
      </c>
      <c r="AE7897" s="14">
        <f>VLOOKUP(I7897,[2]媒体政策预估表!A:N,MATCH(O7897,[2]媒体政策预估表!$A$2:$M$2,0),0)</f>
        <v>0.1</v>
      </c>
      <c r="AF7897" s="6">
        <f t="shared" si="1214"/>
        <v>0</v>
      </c>
      <c r="AG7897" s="14">
        <v>0</v>
      </c>
      <c r="AH7897" s="64">
        <f t="shared" ref="AH7897:AH7960" si="1222">V7897</f>
        <v>0</v>
      </c>
      <c r="AJ7897" s="126" t="e">
        <v>#N/A</v>
      </c>
      <c r="AK7897" s="80">
        <f t="shared" si="1219"/>
        <v>0</v>
      </c>
      <c r="AL7897" s="85"/>
      <c r="AM7897" s="85"/>
    </row>
    <row r="7898" spans="1:39" s="86" customFormat="1" ht="13.25" hidden="1" customHeight="1" x14ac:dyDescent="0.3">
      <c r="A7898" s="89" t="s">
        <v>3978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3767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220"/>
        <v>-364.65</v>
      </c>
      <c r="X7898" s="6">
        <f t="shared" si="1215"/>
        <v>0</v>
      </c>
      <c r="Y7898" s="13">
        <f t="shared" si="1217"/>
        <v>0</v>
      </c>
      <c r="Z7898" s="14">
        <v>0</v>
      </c>
      <c r="AA7898" s="6">
        <v>0</v>
      </c>
      <c r="AB7898" s="4">
        <f t="shared" si="1218"/>
        <v>0</v>
      </c>
      <c r="AC7898" s="6">
        <f t="shared" si="1216"/>
        <v>0</v>
      </c>
      <c r="AD7898" s="6">
        <f t="shared" si="1221"/>
        <v>0</v>
      </c>
      <c r="AE7898" s="14">
        <f>VLOOKUP(I7898,[2]媒体政策预估表!A:N,MATCH(O7898,[2]媒体政策预估表!$A$2:$M$2,0),0)</f>
        <v>0.1</v>
      </c>
      <c r="AF7898" s="6">
        <f t="shared" si="1214"/>
        <v>0</v>
      </c>
      <c r="AG7898" s="14">
        <v>0</v>
      </c>
      <c r="AH7898" s="64">
        <f t="shared" si="1222"/>
        <v>0</v>
      </c>
      <c r="AJ7898" s="126" t="e">
        <v>#N/A</v>
      </c>
      <c r="AK7898" s="80">
        <f t="shared" si="1219"/>
        <v>0</v>
      </c>
      <c r="AL7898" s="85"/>
      <c r="AM7898" s="85"/>
    </row>
    <row r="7899" spans="1:39" s="86" customFormat="1" ht="13.25" hidden="1" customHeight="1" x14ac:dyDescent="0.3">
      <c r="A7899" s="89" t="s">
        <v>3978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3767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220"/>
        <v>-324427.47837999999</v>
      </c>
      <c r="X7899" s="6">
        <f t="shared" si="1215"/>
        <v>79527.407594059405</v>
      </c>
      <c r="Y7899" s="13">
        <f t="shared" si="1217"/>
        <v>0</v>
      </c>
      <c r="Z7899" s="14">
        <v>0</v>
      </c>
      <c r="AA7899" s="6">
        <v>0</v>
      </c>
      <c r="AB7899" s="4">
        <f t="shared" si="1218"/>
        <v>79527.407594059405</v>
      </c>
      <c r="AC7899" s="6">
        <f t="shared" si="1216"/>
        <v>795.2740759406006</v>
      </c>
      <c r="AD7899" s="6">
        <f t="shared" si="1221"/>
        <v>80322.681670000005</v>
      </c>
      <c r="AE7899" s="14">
        <f>VLOOKUP(I7899,[2]媒体政策预估表!A:N,MATCH(O7899,[2]媒体政策预估表!$A$2:$M$2,0),0)</f>
        <v>0.15</v>
      </c>
      <c r="AF7899" s="6">
        <f t="shared" si="1214"/>
        <v>12048.402250500001</v>
      </c>
      <c r="AG7899" s="14">
        <v>0</v>
      </c>
      <c r="AH7899" s="64">
        <f t="shared" si="1222"/>
        <v>80322.681670000005</v>
      </c>
      <c r="AJ7899" s="126" t="e">
        <v>#N/A</v>
      </c>
      <c r="AK7899" s="80">
        <f t="shared" si="1219"/>
        <v>0</v>
      </c>
      <c r="AL7899" s="85"/>
      <c r="AM7899" s="85"/>
    </row>
    <row r="7900" spans="1:39" s="86" customFormat="1" ht="13.25" hidden="1" customHeight="1" x14ac:dyDescent="0.3">
      <c r="A7900" s="89" t="s">
        <v>3978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3767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220"/>
        <v>-1.5</v>
      </c>
      <c r="X7900" s="6">
        <f t="shared" si="1215"/>
        <v>0</v>
      </c>
      <c r="Y7900" s="13">
        <f t="shared" si="1217"/>
        <v>0</v>
      </c>
      <c r="Z7900" s="14">
        <v>0</v>
      </c>
      <c r="AA7900" s="6">
        <v>0</v>
      </c>
      <c r="AB7900" s="4">
        <f t="shared" si="1218"/>
        <v>0</v>
      </c>
      <c r="AC7900" s="6">
        <f t="shared" si="1216"/>
        <v>0</v>
      </c>
      <c r="AD7900" s="6">
        <f t="shared" si="1221"/>
        <v>0</v>
      </c>
      <c r="AE7900" s="14">
        <f>VLOOKUP(I7900,[2]媒体政策预估表!A:N,MATCH(O7900,[2]媒体政策预估表!$A$2:$M$2,0),0)</f>
        <v>0.1</v>
      </c>
      <c r="AF7900" s="6">
        <f t="shared" si="1214"/>
        <v>0</v>
      </c>
      <c r="AG7900" s="14">
        <v>0</v>
      </c>
      <c r="AH7900" s="64">
        <f t="shared" si="1222"/>
        <v>0</v>
      </c>
      <c r="AJ7900" s="126" t="e">
        <v>#N/A</v>
      </c>
      <c r="AK7900" s="80">
        <f t="shared" si="1219"/>
        <v>0</v>
      </c>
      <c r="AL7900" s="85"/>
      <c r="AM7900" s="85"/>
    </row>
    <row r="7901" spans="1:39" s="86" customFormat="1" ht="13.25" hidden="1" customHeight="1" x14ac:dyDescent="0.3">
      <c r="A7901" s="89" t="s">
        <v>3978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3767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220"/>
        <v>-51</v>
      </c>
      <c r="X7901" s="6">
        <f t="shared" si="1215"/>
        <v>0</v>
      </c>
      <c r="Y7901" s="13">
        <f t="shared" si="1217"/>
        <v>0</v>
      </c>
      <c r="Z7901" s="14">
        <v>0</v>
      </c>
      <c r="AA7901" s="6">
        <v>0</v>
      </c>
      <c r="AB7901" s="4">
        <f t="shared" si="1218"/>
        <v>0</v>
      </c>
      <c r="AC7901" s="6">
        <f t="shared" si="1216"/>
        <v>0</v>
      </c>
      <c r="AD7901" s="6">
        <f t="shared" si="1221"/>
        <v>0</v>
      </c>
      <c r="AE7901" s="14">
        <f>VLOOKUP(I7901,[2]媒体政策预估表!A:N,MATCH(O7901,[2]媒体政策预估表!$A$2:$M$2,0),0)</f>
        <v>0.1</v>
      </c>
      <c r="AF7901" s="6">
        <f t="shared" si="1214"/>
        <v>0</v>
      </c>
      <c r="AG7901" s="14">
        <v>0</v>
      </c>
      <c r="AH7901" s="64">
        <f t="shared" si="1222"/>
        <v>0</v>
      </c>
      <c r="AJ7901" s="126" t="e">
        <v>#N/A</v>
      </c>
      <c r="AK7901" s="80">
        <f t="shared" si="1219"/>
        <v>0</v>
      </c>
      <c r="AL7901" s="85"/>
      <c r="AM7901" s="85"/>
    </row>
    <row r="7902" spans="1:39" s="86" customFormat="1" ht="13.25" hidden="1" customHeight="1" x14ac:dyDescent="0.3">
      <c r="A7902" s="89" t="s">
        <v>3978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3767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4117</v>
      </c>
      <c r="S7902" s="47"/>
      <c r="T7902" s="6">
        <v>427.15000000000049</v>
      </c>
      <c r="U7902" s="6"/>
      <c r="V7902" s="6">
        <v>0</v>
      </c>
      <c r="W7902" s="6">
        <f t="shared" si="1220"/>
        <v>427.15000000000049</v>
      </c>
      <c r="X7902" s="6">
        <f t="shared" si="1215"/>
        <v>0</v>
      </c>
      <c r="Y7902" s="13">
        <f t="shared" si="1217"/>
        <v>0</v>
      </c>
      <c r="Z7902" s="14">
        <v>0</v>
      </c>
      <c r="AA7902" s="6">
        <v>0</v>
      </c>
      <c r="AB7902" s="4">
        <f t="shared" si="1218"/>
        <v>0</v>
      </c>
      <c r="AC7902" s="6">
        <f t="shared" si="1216"/>
        <v>0</v>
      </c>
      <c r="AD7902" s="6">
        <f t="shared" si="1221"/>
        <v>0</v>
      </c>
      <c r="AE7902" s="14">
        <f>VLOOKUP(I7902,[2]媒体政策预估表!A:N,MATCH(O7902,[2]媒体政策预估表!$A$2:$M$2,0),0)</f>
        <v>0.1</v>
      </c>
      <c r="AF7902" s="6">
        <f t="shared" si="1214"/>
        <v>0</v>
      </c>
      <c r="AG7902" s="14">
        <v>0</v>
      </c>
      <c r="AH7902" s="64">
        <f t="shared" si="1222"/>
        <v>0</v>
      </c>
      <c r="AJ7902" s="126" t="e">
        <v>#N/A</v>
      </c>
      <c r="AK7902" s="80">
        <f t="shared" si="1219"/>
        <v>0</v>
      </c>
      <c r="AL7902" s="85"/>
      <c r="AM7902" s="85"/>
    </row>
    <row r="7903" spans="1:39" s="86" customFormat="1" ht="13.25" hidden="1" customHeight="1" x14ac:dyDescent="0.3">
      <c r="A7903" s="89" t="s">
        <v>3792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3767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220"/>
        <v>-662.4</v>
      </c>
      <c r="X7903" s="6">
        <f t="shared" si="1215"/>
        <v>0</v>
      </c>
      <c r="Y7903" s="13">
        <f t="shared" si="1217"/>
        <v>0</v>
      </c>
      <c r="Z7903" s="14">
        <v>0</v>
      </c>
      <c r="AA7903" s="6">
        <v>0</v>
      </c>
      <c r="AB7903" s="4">
        <f t="shared" si="1218"/>
        <v>0</v>
      </c>
      <c r="AC7903" s="6">
        <f t="shared" si="1216"/>
        <v>0</v>
      </c>
      <c r="AD7903" s="6">
        <f t="shared" si="1221"/>
        <v>0</v>
      </c>
      <c r="AE7903" s="14">
        <f>VLOOKUP(I7903,[2]媒体政策预估表!A:N,MATCH(O7903,[2]媒体政策预估表!$A$2:$M$2,0),0)</f>
        <v>0.1</v>
      </c>
      <c r="AF7903" s="6">
        <f t="shared" si="1214"/>
        <v>0</v>
      </c>
      <c r="AG7903" s="14">
        <v>0</v>
      </c>
      <c r="AH7903" s="64">
        <f t="shared" si="1222"/>
        <v>0</v>
      </c>
      <c r="AJ7903" s="126" t="e">
        <v>#N/A</v>
      </c>
      <c r="AK7903" s="80">
        <f t="shared" si="1219"/>
        <v>0</v>
      </c>
      <c r="AL7903" s="85"/>
      <c r="AM7903" s="85"/>
    </row>
    <row r="7904" spans="1:39" s="86" customFormat="1" ht="13.25" hidden="1" customHeight="1" x14ac:dyDescent="0.3">
      <c r="A7904" s="89" t="s">
        <v>3978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3767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220"/>
        <v>-10820.1</v>
      </c>
      <c r="X7904" s="6">
        <f t="shared" si="1215"/>
        <v>0</v>
      </c>
      <c r="Y7904" s="13">
        <f t="shared" si="1217"/>
        <v>0</v>
      </c>
      <c r="Z7904" s="14">
        <v>0</v>
      </c>
      <c r="AA7904" s="6">
        <v>0</v>
      </c>
      <c r="AB7904" s="4">
        <f t="shared" si="1218"/>
        <v>0</v>
      </c>
      <c r="AC7904" s="6">
        <f t="shared" si="1216"/>
        <v>0</v>
      </c>
      <c r="AD7904" s="6">
        <f t="shared" si="1221"/>
        <v>0</v>
      </c>
      <c r="AE7904" s="14">
        <f>VLOOKUP(I7904,[2]媒体政策预估表!A:N,MATCH(O7904,[2]媒体政策预估表!$A$2:$M$2,0),0)</f>
        <v>0.15</v>
      </c>
      <c r="AF7904" s="6">
        <f t="shared" si="1214"/>
        <v>0</v>
      </c>
      <c r="AG7904" s="14">
        <v>0</v>
      </c>
      <c r="AH7904" s="64">
        <f t="shared" si="1222"/>
        <v>0</v>
      </c>
      <c r="AJ7904" s="126" t="e">
        <v>#N/A</v>
      </c>
      <c r="AK7904" s="80">
        <f t="shared" si="1219"/>
        <v>0</v>
      </c>
      <c r="AL7904" s="85"/>
      <c r="AM7904" s="85"/>
    </row>
    <row r="7905" spans="1:39" s="86" customFormat="1" ht="13.25" hidden="1" customHeight="1" x14ac:dyDescent="0.3">
      <c r="A7905" s="89" t="s">
        <v>3792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3767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220"/>
        <v>-159865.21581999998</v>
      </c>
      <c r="X7905" s="6">
        <f t="shared" si="1215"/>
        <v>43072.90933663366</v>
      </c>
      <c r="Y7905" s="13">
        <f t="shared" si="1217"/>
        <v>0</v>
      </c>
      <c r="Z7905" s="14">
        <v>0</v>
      </c>
      <c r="AA7905" s="6">
        <v>0</v>
      </c>
      <c r="AB7905" s="4">
        <f t="shared" si="1218"/>
        <v>43072.90933663366</v>
      </c>
      <c r="AC7905" s="6">
        <f t="shared" si="1216"/>
        <v>430.72909336633893</v>
      </c>
      <c r="AD7905" s="6">
        <f t="shared" si="1221"/>
        <v>43503.638429999999</v>
      </c>
      <c r="AE7905" s="14">
        <f>VLOOKUP(I7905,[2]媒体政策预估表!A:N,MATCH(O7905,[2]媒体政策预估表!$A$2:$M$2,0),0)</f>
        <v>0.1</v>
      </c>
      <c r="AF7905" s="6">
        <f t="shared" si="1214"/>
        <v>4350.3638430000001</v>
      </c>
      <c r="AG7905" s="14">
        <v>0</v>
      </c>
      <c r="AH7905" s="64">
        <f t="shared" si="1222"/>
        <v>43503.638429999999</v>
      </c>
      <c r="AJ7905" s="126" t="e">
        <v>#N/A</v>
      </c>
      <c r="AK7905" s="80">
        <f t="shared" si="1219"/>
        <v>0</v>
      </c>
      <c r="AL7905" s="85"/>
      <c r="AM7905" s="85"/>
    </row>
    <row r="7906" spans="1:39" s="86" customFormat="1" ht="13.25" hidden="1" customHeight="1" x14ac:dyDescent="0.3">
      <c r="A7906" s="89" t="s">
        <v>3978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3767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220"/>
        <v>-100687.09799999988</v>
      </c>
      <c r="X7906" s="6">
        <f t="shared" si="1215"/>
        <v>0</v>
      </c>
      <c r="Y7906" s="13">
        <f t="shared" si="1217"/>
        <v>0</v>
      </c>
      <c r="Z7906" s="14">
        <v>0</v>
      </c>
      <c r="AA7906" s="6">
        <v>0</v>
      </c>
      <c r="AB7906" s="4">
        <f t="shared" si="1218"/>
        <v>0</v>
      </c>
      <c r="AC7906" s="6">
        <f t="shared" si="1216"/>
        <v>0</v>
      </c>
      <c r="AD7906" s="6">
        <f t="shared" si="1221"/>
        <v>0</v>
      </c>
      <c r="AE7906" s="14">
        <f>VLOOKUP(I7906,[2]媒体政策预估表!A:N,MATCH(O7906,[2]媒体政策预估表!$A$2:$M$2,0),0)</f>
        <v>0.1</v>
      </c>
      <c r="AF7906" s="6">
        <f t="shared" si="1214"/>
        <v>0</v>
      </c>
      <c r="AG7906" s="14">
        <v>0</v>
      </c>
      <c r="AH7906" s="64">
        <f t="shared" si="1222"/>
        <v>0</v>
      </c>
      <c r="AJ7906" s="126" t="e">
        <v>#N/A</v>
      </c>
      <c r="AK7906" s="80">
        <f t="shared" si="1219"/>
        <v>0</v>
      </c>
      <c r="AL7906" s="85"/>
      <c r="AM7906" s="85"/>
    </row>
    <row r="7907" spans="1:39" s="86" customFormat="1" ht="13.25" hidden="1" customHeight="1" x14ac:dyDescent="0.3">
      <c r="A7907" s="89" t="s">
        <v>3805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3767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220"/>
        <v>-728794.64371999993</v>
      </c>
      <c r="X7907" s="6">
        <f t="shared" si="1215"/>
        <v>0</v>
      </c>
      <c r="Y7907" s="13">
        <f t="shared" si="1217"/>
        <v>0</v>
      </c>
      <c r="Z7907" s="14">
        <v>0</v>
      </c>
      <c r="AA7907" s="6">
        <v>0</v>
      </c>
      <c r="AB7907" s="4">
        <f t="shared" si="1218"/>
        <v>0</v>
      </c>
      <c r="AC7907" s="6">
        <f t="shared" si="1216"/>
        <v>0</v>
      </c>
      <c r="AD7907" s="6">
        <f t="shared" si="1221"/>
        <v>0</v>
      </c>
      <c r="AE7907" s="14">
        <f>VLOOKUP(I7907,[2]媒体政策预估表!A:N,MATCH(O7907,[2]媒体政策预估表!$A$2:$M$2,0),0)</f>
        <v>0.15</v>
      </c>
      <c r="AF7907" s="6">
        <f t="shared" si="1214"/>
        <v>0</v>
      </c>
      <c r="AG7907" s="14">
        <v>0</v>
      </c>
      <c r="AH7907" s="64">
        <f t="shared" si="1222"/>
        <v>0</v>
      </c>
      <c r="AJ7907" s="126" t="e">
        <v>#N/A</v>
      </c>
      <c r="AK7907" s="80">
        <f t="shared" si="1219"/>
        <v>0</v>
      </c>
      <c r="AL7907" s="85"/>
      <c r="AM7907" s="85"/>
    </row>
    <row r="7908" spans="1:39" s="86" customFormat="1" ht="13.25" hidden="1" customHeight="1" x14ac:dyDescent="0.3">
      <c r="A7908" s="89" t="s">
        <v>3792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3767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220"/>
        <v>12986.9</v>
      </c>
      <c r="X7908" s="6">
        <f t="shared" si="1215"/>
        <v>0</v>
      </c>
      <c r="Y7908" s="13">
        <f t="shared" si="1217"/>
        <v>0</v>
      </c>
      <c r="Z7908" s="14">
        <v>0</v>
      </c>
      <c r="AA7908" s="6">
        <v>0</v>
      </c>
      <c r="AB7908" s="4">
        <f t="shared" si="1218"/>
        <v>0</v>
      </c>
      <c r="AC7908" s="6">
        <f t="shared" si="1216"/>
        <v>0</v>
      </c>
      <c r="AD7908" s="6">
        <f t="shared" si="1221"/>
        <v>0</v>
      </c>
      <c r="AE7908" s="14">
        <f>VLOOKUP(I7908,[2]媒体政策预估表!A:N,MATCH(O7908,[2]媒体政策预估表!$A$2:$M$2,0),0)</f>
        <v>0.1</v>
      </c>
      <c r="AF7908" s="6">
        <f t="shared" ref="AF7908:AF7971" si="1223">AD7908*AE7908</f>
        <v>0</v>
      </c>
      <c r="AG7908" s="14">
        <v>0</v>
      </c>
      <c r="AH7908" s="64">
        <f t="shared" si="1222"/>
        <v>0</v>
      </c>
      <c r="AJ7908" s="126" t="e">
        <v>#N/A</v>
      </c>
      <c r="AK7908" s="80">
        <f t="shared" si="1219"/>
        <v>0</v>
      </c>
      <c r="AL7908" s="85"/>
      <c r="AM7908" s="85"/>
    </row>
    <row r="7909" spans="1:39" s="86" customFormat="1" ht="13.25" hidden="1" customHeight="1" x14ac:dyDescent="0.3">
      <c r="A7909" s="89" t="s">
        <v>3978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3767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220"/>
        <v>-196.2</v>
      </c>
      <c r="X7909" s="6">
        <f t="shared" si="1215"/>
        <v>0</v>
      </c>
      <c r="Y7909" s="13">
        <f t="shared" si="1217"/>
        <v>0</v>
      </c>
      <c r="Z7909" s="14">
        <v>0</v>
      </c>
      <c r="AA7909" s="6">
        <v>0</v>
      </c>
      <c r="AB7909" s="4">
        <f t="shared" si="1218"/>
        <v>0</v>
      </c>
      <c r="AC7909" s="6">
        <f t="shared" si="1216"/>
        <v>0</v>
      </c>
      <c r="AD7909" s="6">
        <f t="shared" si="1221"/>
        <v>0</v>
      </c>
      <c r="AE7909" s="14">
        <f>VLOOKUP(I7909,[2]媒体政策预估表!A:N,MATCH(O7909,[2]媒体政策预估表!$A$2:$M$2,0),0)</f>
        <v>0.1</v>
      </c>
      <c r="AF7909" s="6">
        <f t="shared" si="1223"/>
        <v>0</v>
      </c>
      <c r="AG7909" s="14">
        <v>0</v>
      </c>
      <c r="AH7909" s="64">
        <f t="shared" si="1222"/>
        <v>0</v>
      </c>
      <c r="AJ7909" s="126" t="e">
        <v>#N/A</v>
      </c>
      <c r="AK7909" s="80">
        <f t="shared" si="1219"/>
        <v>0</v>
      </c>
      <c r="AL7909" s="85"/>
      <c r="AM7909" s="85"/>
    </row>
    <row r="7910" spans="1:39" s="86" customFormat="1" ht="13.25" hidden="1" customHeight="1" x14ac:dyDescent="0.3">
      <c r="A7910" s="89" t="s">
        <v>3978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3767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220"/>
        <v>-2919</v>
      </c>
      <c r="X7910" s="6">
        <f t="shared" si="1215"/>
        <v>0</v>
      </c>
      <c r="Y7910" s="13">
        <f t="shared" si="1217"/>
        <v>0</v>
      </c>
      <c r="Z7910" s="14">
        <v>0</v>
      </c>
      <c r="AA7910" s="6">
        <v>0</v>
      </c>
      <c r="AB7910" s="4">
        <f t="shared" si="1218"/>
        <v>0</v>
      </c>
      <c r="AC7910" s="6">
        <f t="shared" si="1216"/>
        <v>0</v>
      </c>
      <c r="AD7910" s="6">
        <f t="shared" si="1221"/>
        <v>0</v>
      </c>
      <c r="AE7910" s="14">
        <f>VLOOKUP(I7910,[2]媒体政策预估表!A:N,MATCH(O7910,[2]媒体政策预估表!$A$2:$M$2,0),0)</f>
        <v>0.1</v>
      </c>
      <c r="AF7910" s="6">
        <f t="shared" si="1223"/>
        <v>0</v>
      </c>
      <c r="AG7910" s="14">
        <v>0</v>
      </c>
      <c r="AH7910" s="64">
        <f t="shared" si="1222"/>
        <v>0</v>
      </c>
      <c r="AJ7910" s="126" t="e">
        <v>#N/A</v>
      </c>
      <c r="AK7910" s="80">
        <f t="shared" si="1219"/>
        <v>0</v>
      </c>
      <c r="AL7910" s="85"/>
      <c r="AM7910" s="85"/>
    </row>
    <row r="7911" spans="1:39" s="86" customFormat="1" ht="13.25" hidden="1" customHeight="1" x14ac:dyDescent="0.3">
      <c r="A7911" s="89" t="s">
        <v>3978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3767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220"/>
        <v>-430156.33107999997</v>
      </c>
      <c r="X7911" s="6">
        <f t="shared" si="1215"/>
        <v>0</v>
      </c>
      <c r="Y7911" s="13">
        <f t="shared" si="1217"/>
        <v>0</v>
      </c>
      <c r="Z7911" s="14">
        <v>0</v>
      </c>
      <c r="AA7911" s="6">
        <v>0</v>
      </c>
      <c r="AB7911" s="4">
        <f t="shared" si="1218"/>
        <v>0</v>
      </c>
      <c r="AC7911" s="6">
        <f t="shared" si="1216"/>
        <v>0</v>
      </c>
      <c r="AD7911" s="6">
        <f t="shared" si="1221"/>
        <v>0</v>
      </c>
      <c r="AE7911" s="14">
        <f>VLOOKUP(I7911,[2]媒体政策预估表!A:N,MATCH(O7911,[2]媒体政策预估表!$A$2:$M$2,0),0)</f>
        <v>0.15</v>
      </c>
      <c r="AF7911" s="6">
        <f t="shared" si="1223"/>
        <v>0</v>
      </c>
      <c r="AG7911" s="14">
        <v>0</v>
      </c>
      <c r="AH7911" s="64">
        <f t="shared" si="1222"/>
        <v>0</v>
      </c>
      <c r="AJ7911" s="126" t="e">
        <v>#N/A</v>
      </c>
      <c r="AK7911" s="80">
        <f t="shared" si="1219"/>
        <v>0</v>
      </c>
      <c r="AL7911" s="85"/>
      <c r="AM7911" s="85"/>
    </row>
    <row r="7912" spans="1:39" s="86" customFormat="1" ht="13.25" hidden="1" customHeight="1" x14ac:dyDescent="0.3">
      <c r="A7912" s="89" t="s">
        <v>3978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3767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220"/>
        <v>-19368.649999999998</v>
      </c>
      <c r="X7912" s="6">
        <f t="shared" si="1215"/>
        <v>0</v>
      </c>
      <c r="Y7912" s="13">
        <f t="shared" si="1217"/>
        <v>0</v>
      </c>
      <c r="Z7912" s="14">
        <v>0</v>
      </c>
      <c r="AA7912" s="6">
        <v>0</v>
      </c>
      <c r="AB7912" s="4">
        <f t="shared" si="1218"/>
        <v>0</v>
      </c>
      <c r="AC7912" s="6">
        <f t="shared" si="1216"/>
        <v>0</v>
      </c>
      <c r="AD7912" s="6">
        <f t="shared" si="1221"/>
        <v>0</v>
      </c>
      <c r="AE7912" s="14">
        <f>VLOOKUP(I7912,[2]媒体政策预估表!A:N,MATCH(O7912,[2]媒体政策预估表!$A$2:$M$2,0),0)</f>
        <v>0.1</v>
      </c>
      <c r="AF7912" s="6">
        <f t="shared" si="1223"/>
        <v>0</v>
      </c>
      <c r="AG7912" s="14">
        <v>0</v>
      </c>
      <c r="AH7912" s="64">
        <f t="shared" si="1222"/>
        <v>0</v>
      </c>
      <c r="AJ7912" s="126" t="e">
        <v>#N/A</v>
      </c>
      <c r="AK7912" s="80">
        <f t="shared" si="1219"/>
        <v>0</v>
      </c>
      <c r="AL7912" s="85"/>
      <c r="AM7912" s="85"/>
    </row>
    <row r="7913" spans="1:39" s="86" customFormat="1" ht="13.25" hidden="1" customHeight="1" x14ac:dyDescent="0.3">
      <c r="A7913" s="89" t="s">
        <v>3978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3767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220"/>
        <v>-20103.67324</v>
      </c>
      <c r="X7913" s="6">
        <f t="shared" si="1215"/>
        <v>0</v>
      </c>
      <c r="Y7913" s="13">
        <f t="shared" si="1217"/>
        <v>0</v>
      </c>
      <c r="Z7913" s="14">
        <v>0</v>
      </c>
      <c r="AA7913" s="6">
        <v>0</v>
      </c>
      <c r="AB7913" s="4">
        <f t="shared" si="1218"/>
        <v>0</v>
      </c>
      <c r="AC7913" s="6">
        <f t="shared" si="1216"/>
        <v>0</v>
      </c>
      <c r="AD7913" s="6">
        <f t="shared" si="1221"/>
        <v>0</v>
      </c>
      <c r="AE7913" s="14">
        <f>VLOOKUP(I7913,[2]媒体政策预估表!A:N,MATCH(O7913,[2]媒体政策预估表!$A$2:$M$2,0),0)</f>
        <v>0.1</v>
      </c>
      <c r="AF7913" s="6">
        <f t="shared" si="1223"/>
        <v>0</v>
      </c>
      <c r="AG7913" s="14">
        <v>0</v>
      </c>
      <c r="AH7913" s="64">
        <f t="shared" si="1222"/>
        <v>0</v>
      </c>
      <c r="AJ7913" s="126" t="e">
        <v>#N/A</v>
      </c>
      <c r="AK7913" s="80">
        <f t="shared" si="1219"/>
        <v>0</v>
      </c>
      <c r="AL7913" s="85"/>
      <c r="AM7913" s="85"/>
    </row>
    <row r="7914" spans="1:39" s="86" customFormat="1" ht="13.25" hidden="1" customHeight="1" x14ac:dyDescent="0.3">
      <c r="A7914" s="89" t="s">
        <v>3792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3767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220"/>
        <v>-283.33</v>
      </c>
      <c r="X7914" s="6">
        <f t="shared" si="1215"/>
        <v>0</v>
      </c>
      <c r="Y7914" s="13">
        <f t="shared" si="1217"/>
        <v>0</v>
      </c>
      <c r="Z7914" s="14">
        <v>0</v>
      </c>
      <c r="AA7914" s="6">
        <v>0</v>
      </c>
      <c r="AB7914" s="4">
        <f t="shared" si="1218"/>
        <v>0</v>
      </c>
      <c r="AC7914" s="6">
        <f t="shared" si="1216"/>
        <v>0</v>
      </c>
      <c r="AD7914" s="6">
        <f t="shared" si="1221"/>
        <v>0</v>
      </c>
      <c r="AE7914" s="14">
        <f>VLOOKUP(I7914,[2]媒体政策预估表!A:N,MATCH(O7914,[2]媒体政策预估表!$A$2:$M$2,0),0)</f>
        <v>0.1</v>
      </c>
      <c r="AF7914" s="6">
        <f t="shared" si="1223"/>
        <v>0</v>
      </c>
      <c r="AG7914" s="14">
        <v>0</v>
      </c>
      <c r="AH7914" s="64">
        <f t="shared" si="1222"/>
        <v>0</v>
      </c>
      <c r="AJ7914" s="126" t="e">
        <v>#N/A</v>
      </c>
      <c r="AK7914" s="80">
        <f t="shared" si="1219"/>
        <v>0</v>
      </c>
      <c r="AL7914" s="85"/>
      <c r="AM7914" s="85"/>
    </row>
    <row r="7915" spans="1:39" s="86" customFormat="1" ht="13.25" hidden="1" customHeight="1" x14ac:dyDescent="0.3">
      <c r="A7915" s="89" t="s">
        <v>3792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3767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220"/>
        <v>-393.79475000000002</v>
      </c>
      <c r="X7915" s="6">
        <f t="shared" si="1215"/>
        <v>0</v>
      </c>
      <c r="Y7915" s="13">
        <f t="shared" si="1217"/>
        <v>0</v>
      </c>
      <c r="Z7915" s="14">
        <v>0</v>
      </c>
      <c r="AA7915" s="6">
        <v>0</v>
      </c>
      <c r="AB7915" s="4">
        <f t="shared" si="1218"/>
        <v>0</v>
      </c>
      <c r="AC7915" s="6">
        <f t="shared" si="1216"/>
        <v>0</v>
      </c>
      <c r="AD7915" s="6">
        <f t="shared" si="1221"/>
        <v>0</v>
      </c>
      <c r="AE7915" s="14">
        <f>VLOOKUP(I7915,[2]媒体政策预估表!A:N,MATCH(O7915,[2]媒体政策预估表!$A$2:$M$2,0),0)</f>
        <v>0.1</v>
      </c>
      <c r="AF7915" s="6">
        <f t="shared" si="1223"/>
        <v>0</v>
      </c>
      <c r="AG7915" s="14">
        <v>0</v>
      </c>
      <c r="AH7915" s="64">
        <f t="shared" si="1222"/>
        <v>0</v>
      </c>
      <c r="AJ7915" s="126" t="e">
        <v>#N/A</v>
      </c>
      <c r="AK7915" s="80">
        <f t="shared" si="1219"/>
        <v>0</v>
      </c>
      <c r="AL7915" s="85"/>
      <c r="AM7915" s="85"/>
    </row>
    <row r="7916" spans="1:39" s="86" customFormat="1" ht="13.25" hidden="1" customHeight="1" x14ac:dyDescent="0.3">
      <c r="A7916" s="89" t="s">
        <v>3978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3767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220"/>
        <v>-515.11821999999995</v>
      </c>
      <c r="X7916" s="6">
        <f t="shared" si="1215"/>
        <v>0</v>
      </c>
      <c r="Y7916" s="13">
        <f t="shared" si="1217"/>
        <v>0</v>
      </c>
      <c r="Z7916" s="14">
        <v>0</v>
      </c>
      <c r="AA7916" s="6">
        <v>0</v>
      </c>
      <c r="AB7916" s="4">
        <f t="shared" si="1218"/>
        <v>0</v>
      </c>
      <c r="AC7916" s="6">
        <f t="shared" si="1216"/>
        <v>0</v>
      </c>
      <c r="AD7916" s="6">
        <f t="shared" si="1221"/>
        <v>0</v>
      </c>
      <c r="AE7916" s="14">
        <f>VLOOKUP(I7916,[2]媒体政策预估表!A:N,MATCH(O7916,[2]媒体政策预估表!$A$2:$M$2,0),0)</f>
        <v>0.1</v>
      </c>
      <c r="AF7916" s="6">
        <f t="shared" si="1223"/>
        <v>0</v>
      </c>
      <c r="AG7916" s="14">
        <v>0</v>
      </c>
      <c r="AH7916" s="64">
        <f t="shared" si="1222"/>
        <v>0</v>
      </c>
      <c r="AJ7916" s="126" t="e">
        <v>#N/A</v>
      </c>
      <c r="AK7916" s="80">
        <f t="shared" si="1219"/>
        <v>0</v>
      </c>
      <c r="AL7916" s="85"/>
      <c r="AM7916" s="85"/>
    </row>
    <row r="7917" spans="1:39" s="86" customFormat="1" ht="13.25" hidden="1" customHeight="1" x14ac:dyDescent="0.3">
      <c r="A7917" s="89" t="s">
        <v>3805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3767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220"/>
        <v>-2326.79</v>
      </c>
      <c r="X7917" s="6">
        <f t="shared" si="1215"/>
        <v>0</v>
      </c>
      <c r="Y7917" s="13">
        <f t="shared" si="1217"/>
        <v>0</v>
      </c>
      <c r="Z7917" s="14">
        <v>0</v>
      </c>
      <c r="AA7917" s="6">
        <v>0</v>
      </c>
      <c r="AB7917" s="4">
        <f t="shared" si="1218"/>
        <v>0</v>
      </c>
      <c r="AC7917" s="6">
        <f t="shared" si="1216"/>
        <v>0</v>
      </c>
      <c r="AD7917" s="6">
        <f t="shared" si="1221"/>
        <v>0</v>
      </c>
      <c r="AE7917" s="14">
        <f>VLOOKUP(I7917,[2]媒体政策预估表!A:N,MATCH(O7917,[2]媒体政策预估表!$A$2:$M$2,0),0)</f>
        <v>0.1</v>
      </c>
      <c r="AF7917" s="6">
        <f t="shared" si="1223"/>
        <v>0</v>
      </c>
      <c r="AG7917" s="14">
        <v>0</v>
      </c>
      <c r="AH7917" s="64">
        <f t="shared" si="1222"/>
        <v>0</v>
      </c>
      <c r="AJ7917" s="126" t="e">
        <v>#N/A</v>
      </c>
      <c r="AK7917" s="80">
        <f t="shared" si="1219"/>
        <v>0</v>
      </c>
      <c r="AL7917" s="85"/>
      <c r="AM7917" s="85"/>
    </row>
    <row r="7918" spans="1:39" s="86" customFormat="1" ht="13.25" hidden="1" customHeight="1" x14ac:dyDescent="0.3">
      <c r="A7918" s="89" t="s">
        <v>3792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220"/>
        <v>-338271.48984000005</v>
      </c>
      <c r="X7918" s="6">
        <f t="shared" si="1215"/>
        <v>123645.16938000001</v>
      </c>
      <c r="Y7918" s="13">
        <f t="shared" si="1217"/>
        <v>0</v>
      </c>
      <c r="Z7918" s="14">
        <v>0</v>
      </c>
      <c r="AA7918" s="6">
        <v>0</v>
      </c>
      <c r="AB7918" s="4">
        <f t="shared" si="1218"/>
        <v>123645.16938000001</v>
      </c>
      <c r="AC7918" s="6">
        <f t="shared" si="1216"/>
        <v>0</v>
      </c>
      <c r="AD7918" s="6">
        <f t="shared" si="1221"/>
        <v>123645.16938000001</v>
      </c>
      <c r="AE7918" s="14">
        <f>VLOOKUP(I7918,[2]媒体政策预估表!A:N,MATCH(O7918,[2]媒体政策预估表!$A$2:$M$2,0),0)</f>
        <v>0.04</v>
      </c>
      <c r="AF7918" s="6">
        <f t="shared" si="1223"/>
        <v>4945.8067752000006</v>
      </c>
      <c r="AG7918" s="14">
        <v>0</v>
      </c>
      <c r="AH7918" s="64">
        <f t="shared" si="1222"/>
        <v>123645.16938000001</v>
      </c>
      <c r="AJ7918" s="126" t="e">
        <v>#N/A</v>
      </c>
      <c r="AK7918" s="80">
        <f t="shared" si="1219"/>
        <v>0</v>
      </c>
      <c r="AL7918" s="85"/>
      <c r="AM7918" s="85"/>
    </row>
    <row r="7919" spans="1:39" s="86" customFormat="1" ht="13.25" hidden="1" customHeight="1" x14ac:dyDescent="0.3">
      <c r="A7919" s="89" t="s">
        <v>3978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220"/>
        <v>-581860.56684999994</v>
      </c>
      <c r="X7919" s="6">
        <f t="shared" si="1215"/>
        <v>237683.13910999999</v>
      </c>
      <c r="Y7919" s="13">
        <f t="shared" si="1217"/>
        <v>0</v>
      </c>
      <c r="Z7919" s="14">
        <v>0</v>
      </c>
      <c r="AA7919" s="6">
        <v>0</v>
      </c>
      <c r="AB7919" s="4">
        <f t="shared" si="1218"/>
        <v>237683.13910999999</v>
      </c>
      <c r="AC7919" s="6">
        <f t="shared" si="1216"/>
        <v>0</v>
      </c>
      <c r="AD7919" s="6">
        <f t="shared" si="1221"/>
        <v>237683.13910999999</v>
      </c>
      <c r="AE7919" s="14">
        <f>VLOOKUP(I7919,[2]媒体政策预估表!A:N,MATCH(O7919,[2]媒体政策预估表!$A$2:$M$2,0),0)</f>
        <v>0.04</v>
      </c>
      <c r="AF7919" s="6">
        <f t="shared" si="1223"/>
        <v>9507.3255644000001</v>
      </c>
      <c r="AG7919" s="14">
        <v>0</v>
      </c>
      <c r="AH7919" s="64">
        <f t="shared" si="1222"/>
        <v>237683.13910999999</v>
      </c>
      <c r="AJ7919" s="126" t="e">
        <v>#N/A</v>
      </c>
      <c r="AK7919" s="80">
        <f t="shared" si="1219"/>
        <v>0</v>
      </c>
      <c r="AL7919" s="85"/>
      <c r="AM7919" s="85"/>
    </row>
    <row r="7920" spans="1:39" s="86" customFormat="1" ht="13.25" hidden="1" customHeight="1" x14ac:dyDescent="0.3">
      <c r="A7920" s="89" t="s">
        <v>3792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220"/>
        <v>-21712.492710000002</v>
      </c>
      <c r="X7920" s="6">
        <f t="shared" ref="X7920:X7983" si="1224">IF(P7920="折扣",V7920*Q7920,IF(P7920="返现",V7920,V7920/(1+Q7920)))</f>
        <v>8279.5297800000008</v>
      </c>
      <c r="Y7920" s="13">
        <f t="shared" si="1217"/>
        <v>0</v>
      </c>
      <c r="Z7920" s="14">
        <v>0</v>
      </c>
      <c r="AA7920" s="6">
        <v>0</v>
      </c>
      <c r="AB7920" s="4">
        <f t="shared" si="1218"/>
        <v>8279.5297800000008</v>
      </c>
      <c r="AC7920" s="6">
        <f t="shared" si="1216"/>
        <v>0</v>
      </c>
      <c r="AD7920" s="6">
        <f t="shared" si="1221"/>
        <v>8279.5297800000008</v>
      </c>
      <c r="AE7920" s="14">
        <f>VLOOKUP(I7920,[2]媒体政策预估表!A:N,MATCH(O7920,[2]媒体政策预估表!$A$2:$M$2,0),0)</f>
        <v>0.04</v>
      </c>
      <c r="AF7920" s="6">
        <f t="shared" si="1223"/>
        <v>331.18119120000006</v>
      </c>
      <c r="AG7920" s="14">
        <v>0</v>
      </c>
      <c r="AH7920" s="64">
        <f t="shared" si="1222"/>
        <v>8279.5297800000008</v>
      </c>
      <c r="AJ7920" s="126" t="e">
        <v>#N/A</v>
      </c>
      <c r="AK7920" s="80">
        <f t="shared" si="1219"/>
        <v>0</v>
      </c>
      <c r="AL7920" s="85"/>
      <c r="AM7920" s="85"/>
    </row>
    <row r="7921" spans="1:39" s="86" customFormat="1" ht="13.25" hidden="1" customHeight="1" x14ac:dyDescent="0.3">
      <c r="A7921" s="89" t="s">
        <v>3978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220"/>
        <v>115420.36452</v>
      </c>
      <c r="X7921" s="6">
        <f t="shared" si="1224"/>
        <v>16908.059399999998</v>
      </c>
      <c r="Y7921" s="13">
        <f t="shared" si="1217"/>
        <v>0</v>
      </c>
      <c r="Z7921" s="14">
        <v>0</v>
      </c>
      <c r="AA7921" s="6">
        <v>0</v>
      </c>
      <c r="AB7921" s="4">
        <f t="shared" si="1218"/>
        <v>16908.059399999998</v>
      </c>
      <c r="AC7921" s="6">
        <f t="shared" si="1216"/>
        <v>0</v>
      </c>
      <c r="AD7921" s="6">
        <f t="shared" si="1221"/>
        <v>16908.059399999998</v>
      </c>
      <c r="AE7921" s="14">
        <f>VLOOKUP(I7921,[2]媒体政策预估表!A:N,MATCH(O7921,[2]媒体政策预估表!$A$2:$M$2,0),0)</f>
        <v>0.04</v>
      </c>
      <c r="AF7921" s="6">
        <f t="shared" si="1223"/>
        <v>676.32237599999996</v>
      </c>
      <c r="AG7921" s="14">
        <v>0</v>
      </c>
      <c r="AH7921" s="64">
        <f t="shared" si="1222"/>
        <v>16908.059399999998</v>
      </c>
      <c r="AJ7921" s="126" t="e">
        <v>#N/A</v>
      </c>
      <c r="AK7921" s="80">
        <f t="shared" si="1219"/>
        <v>0</v>
      </c>
      <c r="AL7921" s="85"/>
      <c r="AM7921" s="85"/>
    </row>
    <row r="7922" spans="1:39" s="86" customFormat="1" ht="13.25" hidden="1" customHeight="1" x14ac:dyDescent="0.3">
      <c r="A7922" s="89" t="s">
        <v>3978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220"/>
        <v>-5286.7861899999998</v>
      </c>
      <c r="X7922" s="6">
        <f t="shared" si="1224"/>
        <v>205.00943000000001</v>
      </c>
      <c r="Y7922" s="13">
        <f t="shared" si="1217"/>
        <v>0</v>
      </c>
      <c r="Z7922" s="14">
        <v>0</v>
      </c>
      <c r="AA7922" s="6">
        <v>0</v>
      </c>
      <c r="AB7922" s="4">
        <f t="shared" si="1218"/>
        <v>205.00943000000001</v>
      </c>
      <c r="AC7922" s="6">
        <f t="shared" si="1216"/>
        <v>0</v>
      </c>
      <c r="AD7922" s="6">
        <f t="shared" si="1221"/>
        <v>205.00943000000001</v>
      </c>
      <c r="AE7922" s="14">
        <f>VLOOKUP(I7922,[2]媒体政策预估表!A:N,MATCH(O7922,[2]媒体政策预估表!$A$2:$M$2,0),0)</f>
        <v>0.04</v>
      </c>
      <c r="AF7922" s="6">
        <f t="shared" si="1223"/>
        <v>8.2003772000000001</v>
      </c>
      <c r="AG7922" s="14">
        <v>0</v>
      </c>
      <c r="AH7922" s="64">
        <f t="shared" si="1222"/>
        <v>205.00943000000001</v>
      </c>
      <c r="AJ7922" s="126" t="e">
        <v>#N/A</v>
      </c>
      <c r="AK7922" s="80">
        <f t="shared" si="1219"/>
        <v>0</v>
      </c>
      <c r="AL7922" s="85"/>
      <c r="AM7922" s="85"/>
    </row>
    <row r="7923" spans="1:39" s="86" customFormat="1" ht="13.25" hidden="1" customHeight="1" x14ac:dyDescent="0.3">
      <c r="A7923" s="89" t="s">
        <v>3978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220"/>
        <v>-139533.57834000001</v>
      </c>
      <c r="X7923" s="6">
        <f t="shared" si="1224"/>
        <v>16684.091990000001</v>
      </c>
      <c r="Y7923" s="13">
        <f t="shared" si="1217"/>
        <v>0</v>
      </c>
      <c r="Z7923" s="14">
        <v>0</v>
      </c>
      <c r="AA7923" s="6">
        <v>0</v>
      </c>
      <c r="AB7923" s="4">
        <f t="shared" si="1218"/>
        <v>16684.091990000001</v>
      </c>
      <c r="AC7923" s="6">
        <f t="shared" si="1216"/>
        <v>0</v>
      </c>
      <c r="AD7923" s="6">
        <f t="shared" si="1221"/>
        <v>16684.091990000001</v>
      </c>
      <c r="AE7923" s="14">
        <f>VLOOKUP(I7923,[2]媒体政策预估表!A:N,MATCH(O7923,[2]媒体政策预估表!$A$2:$M$2,0),0)</f>
        <v>0.04</v>
      </c>
      <c r="AF7923" s="6">
        <f t="shared" si="1223"/>
        <v>667.36367960000007</v>
      </c>
      <c r="AG7923" s="14">
        <v>0</v>
      </c>
      <c r="AH7923" s="64">
        <f t="shared" si="1222"/>
        <v>16684.091990000001</v>
      </c>
      <c r="AJ7923" s="126" t="e">
        <v>#N/A</v>
      </c>
      <c r="AK7923" s="80">
        <f t="shared" si="1219"/>
        <v>0</v>
      </c>
      <c r="AL7923" s="85"/>
      <c r="AM7923" s="85"/>
    </row>
    <row r="7924" spans="1:39" s="86" customFormat="1" ht="13.25" hidden="1" customHeight="1" x14ac:dyDescent="0.3">
      <c r="A7924" s="89" t="s">
        <v>3978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220"/>
        <v>16750.809730000037</v>
      </c>
      <c r="X7924" s="6">
        <f t="shared" si="1224"/>
        <v>0</v>
      </c>
      <c r="Y7924" s="13">
        <f t="shared" si="1217"/>
        <v>0</v>
      </c>
      <c r="Z7924" s="14">
        <v>0</v>
      </c>
      <c r="AA7924" s="6">
        <v>0</v>
      </c>
      <c r="AB7924" s="4">
        <f t="shared" si="1218"/>
        <v>0</v>
      </c>
      <c r="AC7924" s="6">
        <f t="shared" si="1216"/>
        <v>0</v>
      </c>
      <c r="AD7924" s="6">
        <f t="shared" si="1221"/>
        <v>0</v>
      </c>
      <c r="AE7924" s="14">
        <f>VLOOKUP(I7924,[2]媒体政策预估表!A:N,MATCH(O7924,[2]媒体政策预估表!$A$2:$M$2,0),0)</f>
        <v>0.02</v>
      </c>
      <c r="AF7924" s="6">
        <f t="shared" si="1223"/>
        <v>0</v>
      </c>
      <c r="AG7924" s="14">
        <v>0</v>
      </c>
      <c r="AH7924" s="64">
        <f t="shared" si="1222"/>
        <v>0</v>
      </c>
      <c r="AJ7924" s="126" t="e">
        <v>#N/A</v>
      </c>
      <c r="AK7924" s="80">
        <f t="shared" si="1219"/>
        <v>0</v>
      </c>
      <c r="AL7924" s="85"/>
      <c r="AM7924" s="85"/>
    </row>
    <row r="7925" spans="1:39" s="86" customFormat="1" ht="13.25" hidden="1" customHeight="1" x14ac:dyDescent="0.3">
      <c r="A7925" s="89" t="s">
        <v>3978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3767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220"/>
        <v>-2502.8840300000002</v>
      </c>
      <c r="X7925" s="6">
        <f t="shared" si="1224"/>
        <v>0</v>
      </c>
      <c r="Y7925" s="13">
        <f t="shared" si="1217"/>
        <v>0</v>
      </c>
      <c r="Z7925" s="14">
        <v>0</v>
      </c>
      <c r="AA7925" s="6">
        <v>0</v>
      </c>
      <c r="AB7925" s="4">
        <f t="shared" si="1218"/>
        <v>0</v>
      </c>
      <c r="AC7925" s="6">
        <f t="shared" si="1216"/>
        <v>0</v>
      </c>
      <c r="AD7925" s="6">
        <f t="shared" si="1221"/>
        <v>0</v>
      </c>
      <c r="AE7925" s="14">
        <f>VLOOKUP(I7925,[2]媒体政策预估表!A:N,MATCH(O7925,[2]媒体政策预估表!$A$2:$M$2,0),0)</f>
        <v>0.1</v>
      </c>
      <c r="AF7925" s="6">
        <f t="shared" si="1223"/>
        <v>0</v>
      </c>
      <c r="AG7925" s="14">
        <v>0</v>
      </c>
      <c r="AH7925" s="64">
        <f t="shared" si="1222"/>
        <v>0</v>
      </c>
      <c r="AJ7925" s="126" t="e">
        <v>#N/A</v>
      </c>
      <c r="AK7925" s="80">
        <f t="shared" si="1219"/>
        <v>0</v>
      </c>
      <c r="AL7925" s="85"/>
      <c r="AM7925" s="85"/>
    </row>
    <row r="7926" spans="1:39" s="86" customFormat="1" ht="13.25" hidden="1" customHeight="1" x14ac:dyDescent="0.3">
      <c r="A7926" s="89" t="s">
        <v>3978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3767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220"/>
        <v>-470.1</v>
      </c>
      <c r="X7926" s="6">
        <f t="shared" si="1224"/>
        <v>0</v>
      </c>
      <c r="Y7926" s="13">
        <f t="shared" si="1217"/>
        <v>0</v>
      </c>
      <c r="Z7926" s="14">
        <v>0</v>
      </c>
      <c r="AA7926" s="6">
        <v>0</v>
      </c>
      <c r="AB7926" s="4">
        <f t="shared" si="1218"/>
        <v>0</v>
      </c>
      <c r="AC7926" s="6">
        <f t="shared" si="1216"/>
        <v>0</v>
      </c>
      <c r="AD7926" s="6">
        <f t="shared" si="1221"/>
        <v>0</v>
      </c>
      <c r="AE7926" s="14">
        <f>VLOOKUP(I7926,[2]媒体政策预估表!A:N,MATCH(O7926,[2]媒体政策预估表!$A$2:$M$2,0),0)</f>
        <v>0.1</v>
      </c>
      <c r="AF7926" s="6">
        <f t="shared" si="1223"/>
        <v>0</v>
      </c>
      <c r="AG7926" s="14">
        <v>0</v>
      </c>
      <c r="AH7926" s="64">
        <f t="shared" si="1222"/>
        <v>0</v>
      </c>
      <c r="AJ7926" s="126" t="e">
        <v>#N/A</v>
      </c>
      <c r="AK7926" s="80">
        <f t="shared" si="1219"/>
        <v>0</v>
      </c>
      <c r="AL7926" s="85"/>
      <c r="AM7926" s="85"/>
    </row>
    <row r="7927" spans="1:39" s="86" customFormat="1" ht="13.25" hidden="1" customHeight="1" x14ac:dyDescent="0.3">
      <c r="A7927" s="89" t="s">
        <v>3978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3767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220"/>
        <v>-8.6999999999999993</v>
      </c>
      <c r="X7927" s="6">
        <f t="shared" si="1224"/>
        <v>0</v>
      </c>
      <c r="Y7927" s="13">
        <f t="shared" si="1217"/>
        <v>0</v>
      </c>
      <c r="Z7927" s="14">
        <v>0</v>
      </c>
      <c r="AA7927" s="6">
        <v>0</v>
      </c>
      <c r="AB7927" s="4">
        <f t="shared" si="1218"/>
        <v>0</v>
      </c>
      <c r="AC7927" s="6">
        <f t="shared" si="1216"/>
        <v>0</v>
      </c>
      <c r="AD7927" s="6">
        <f t="shared" si="1221"/>
        <v>0</v>
      </c>
      <c r="AE7927" s="14">
        <f>VLOOKUP(I7927,[2]媒体政策预估表!A:N,MATCH(O7927,[2]媒体政策预估表!$A$2:$M$2,0),0)</f>
        <v>0.1</v>
      </c>
      <c r="AF7927" s="6">
        <f t="shared" si="1223"/>
        <v>0</v>
      </c>
      <c r="AG7927" s="14">
        <v>0</v>
      </c>
      <c r="AH7927" s="64">
        <f t="shared" si="1222"/>
        <v>0</v>
      </c>
      <c r="AJ7927" s="126" t="e">
        <v>#N/A</v>
      </c>
      <c r="AK7927" s="80">
        <f t="shared" si="1219"/>
        <v>0</v>
      </c>
      <c r="AL7927" s="85"/>
      <c r="AM7927" s="85"/>
    </row>
    <row r="7928" spans="1:39" s="86" customFormat="1" ht="13.25" hidden="1" customHeight="1" x14ac:dyDescent="0.3">
      <c r="A7928" s="89" t="s">
        <v>3792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3767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220"/>
        <v>-908.48</v>
      </c>
      <c r="X7928" s="6">
        <f t="shared" si="1224"/>
        <v>0</v>
      </c>
      <c r="Y7928" s="13">
        <f t="shared" si="1217"/>
        <v>0</v>
      </c>
      <c r="Z7928" s="14">
        <v>0</v>
      </c>
      <c r="AA7928" s="6">
        <v>0</v>
      </c>
      <c r="AB7928" s="4">
        <f t="shared" si="1218"/>
        <v>0</v>
      </c>
      <c r="AC7928" s="6">
        <f t="shared" si="1216"/>
        <v>0</v>
      </c>
      <c r="AD7928" s="6">
        <f t="shared" si="1221"/>
        <v>0</v>
      </c>
      <c r="AE7928" s="14">
        <f>VLOOKUP(I7928,[2]媒体政策预估表!A:N,MATCH(O7928,[2]媒体政策预估表!$A$2:$M$2,0),0)</f>
        <v>0.1</v>
      </c>
      <c r="AF7928" s="6">
        <f t="shared" si="1223"/>
        <v>0</v>
      </c>
      <c r="AG7928" s="14">
        <v>0</v>
      </c>
      <c r="AH7928" s="64">
        <f t="shared" si="1222"/>
        <v>0</v>
      </c>
      <c r="AJ7928" s="126" t="e">
        <v>#N/A</v>
      </c>
      <c r="AK7928" s="80">
        <f t="shared" si="1219"/>
        <v>0</v>
      </c>
      <c r="AL7928" s="85"/>
      <c r="AM7928" s="85"/>
    </row>
    <row r="7929" spans="1:39" s="86" customFormat="1" ht="13.25" hidden="1" customHeight="1" x14ac:dyDescent="0.3">
      <c r="A7929" s="89" t="s">
        <v>3792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3767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220"/>
        <v>-131.84</v>
      </c>
      <c r="X7929" s="6">
        <f t="shared" si="1224"/>
        <v>0</v>
      </c>
      <c r="Y7929" s="13">
        <f t="shared" si="1217"/>
        <v>0</v>
      </c>
      <c r="Z7929" s="14">
        <v>0</v>
      </c>
      <c r="AA7929" s="6">
        <v>0</v>
      </c>
      <c r="AB7929" s="4">
        <f t="shared" si="1218"/>
        <v>0</v>
      </c>
      <c r="AC7929" s="6">
        <f t="shared" si="1216"/>
        <v>0</v>
      </c>
      <c r="AD7929" s="6">
        <f t="shared" si="1221"/>
        <v>0</v>
      </c>
      <c r="AE7929" s="14">
        <f>VLOOKUP(I7929,[2]媒体政策预估表!A:N,MATCH(O7929,[2]媒体政策预估表!$A$2:$M$2,0),0)</f>
        <v>0.1</v>
      </c>
      <c r="AF7929" s="6">
        <f t="shared" si="1223"/>
        <v>0</v>
      </c>
      <c r="AG7929" s="14">
        <v>0</v>
      </c>
      <c r="AH7929" s="64">
        <f t="shared" si="1222"/>
        <v>0</v>
      </c>
      <c r="AJ7929" s="126" t="e">
        <v>#N/A</v>
      </c>
      <c r="AK7929" s="80">
        <f t="shared" si="1219"/>
        <v>0</v>
      </c>
      <c r="AL7929" s="85"/>
      <c r="AM7929" s="85"/>
    </row>
    <row r="7930" spans="1:39" s="86" customFormat="1" ht="13.25" hidden="1" customHeight="1" x14ac:dyDescent="0.3">
      <c r="A7930" s="89" t="s">
        <v>3978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3767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220"/>
        <v>-89290.265830000004</v>
      </c>
      <c r="X7930" s="6">
        <f t="shared" si="1224"/>
        <v>1437.2026900000001</v>
      </c>
      <c r="Y7930" s="13">
        <f t="shared" si="1217"/>
        <v>0</v>
      </c>
      <c r="Z7930" s="14">
        <v>0</v>
      </c>
      <c r="AA7930" s="6">
        <v>0</v>
      </c>
      <c r="AB7930" s="4">
        <f t="shared" si="1218"/>
        <v>1437.2026900000001</v>
      </c>
      <c r="AC7930" s="6">
        <f t="shared" si="1216"/>
        <v>0</v>
      </c>
      <c r="AD7930" s="6">
        <f t="shared" si="1221"/>
        <v>1437.2026900000001</v>
      </c>
      <c r="AE7930" s="14">
        <f>VLOOKUP(I7930,[2]媒体政策预估表!A:N,MATCH(O7930,[2]媒体政策预估表!$A$2:$M$2,0),0)</f>
        <v>0.1</v>
      </c>
      <c r="AF7930" s="6">
        <f t="shared" si="1223"/>
        <v>143.720269</v>
      </c>
      <c r="AG7930" s="14">
        <v>0</v>
      </c>
      <c r="AH7930" s="64">
        <f t="shared" si="1222"/>
        <v>1437.2026900000001</v>
      </c>
      <c r="AJ7930" s="126" t="e">
        <v>#N/A</v>
      </c>
      <c r="AK7930" s="80">
        <f t="shared" si="1219"/>
        <v>0</v>
      </c>
      <c r="AL7930" s="85"/>
      <c r="AM7930" s="85"/>
    </row>
    <row r="7931" spans="1:39" s="86" customFormat="1" ht="13.25" hidden="1" customHeight="1" x14ac:dyDescent="0.3">
      <c r="A7931" s="89" t="s">
        <v>3978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3767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220"/>
        <v>-1921272.4445</v>
      </c>
      <c r="X7931" s="6">
        <f t="shared" si="1224"/>
        <v>152285.7181</v>
      </c>
      <c r="Y7931" s="13">
        <f t="shared" si="1217"/>
        <v>0</v>
      </c>
      <c r="Z7931" s="14">
        <v>0</v>
      </c>
      <c r="AA7931" s="6">
        <v>0</v>
      </c>
      <c r="AB7931" s="4">
        <f t="shared" si="1218"/>
        <v>152285.7181</v>
      </c>
      <c r="AC7931" s="6">
        <f t="shared" si="1216"/>
        <v>0</v>
      </c>
      <c r="AD7931" s="6">
        <f t="shared" si="1221"/>
        <v>152285.7181</v>
      </c>
      <c r="AE7931" s="14">
        <f>VLOOKUP(I7931,[2]媒体政策预估表!A:N,MATCH(O7931,[2]媒体政策预估表!$A$2:$M$2,0),0)</f>
        <v>0.15</v>
      </c>
      <c r="AF7931" s="6">
        <f t="shared" si="1223"/>
        <v>22842.857714999998</v>
      </c>
      <c r="AG7931" s="14">
        <v>0</v>
      </c>
      <c r="AH7931" s="64">
        <f t="shared" si="1222"/>
        <v>152285.7181</v>
      </c>
      <c r="AJ7931" s="126" t="e">
        <v>#N/A</v>
      </c>
      <c r="AK7931" s="80">
        <f t="shared" si="1219"/>
        <v>0</v>
      </c>
      <c r="AL7931" s="85"/>
      <c r="AM7931" s="85"/>
    </row>
    <row r="7932" spans="1:39" s="86" customFormat="1" ht="13.25" hidden="1" customHeight="1" x14ac:dyDescent="0.3">
      <c r="A7932" s="89" t="s">
        <v>3792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3767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220"/>
        <v>-38886.035690000004</v>
      </c>
      <c r="X7932" s="6">
        <f t="shared" si="1224"/>
        <v>720.76788999999997</v>
      </c>
      <c r="Y7932" s="13">
        <f t="shared" si="1217"/>
        <v>0</v>
      </c>
      <c r="Z7932" s="14">
        <v>0</v>
      </c>
      <c r="AA7932" s="6">
        <v>0</v>
      </c>
      <c r="AB7932" s="4">
        <f t="shared" si="1218"/>
        <v>720.76788999999997</v>
      </c>
      <c r="AC7932" s="6">
        <f t="shared" si="1216"/>
        <v>0</v>
      </c>
      <c r="AD7932" s="6">
        <f t="shared" si="1221"/>
        <v>720.76788999999997</v>
      </c>
      <c r="AE7932" s="14">
        <f>VLOOKUP(I7932,[2]媒体政策预估表!A:N,MATCH(O7932,[2]媒体政策预估表!$A$2:$M$2,0),0)</f>
        <v>0.1</v>
      </c>
      <c r="AF7932" s="6">
        <f t="shared" si="1223"/>
        <v>72.076789000000005</v>
      </c>
      <c r="AG7932" s="14">
        <v>0</v>
      </c>
      <c r="AH7932" s="64">
        <f t="shared" si="1222"/>
        <v>720.76788999999997</v>
      </c>
      <c r="AJ7932" s="126" t="e">
        <v>#N/A</v>
      </c>
      <c r="AK7932" s="80">
        <f t="shared" si="1219"/>
        <v>0</v>
      </c>
      <c r="AL7932" s="85"/>
      <c r="AM7932" s="85"/>
    </row>
    <row r="7933" spans="1:39" s="86" customFormat="1" ht="13.25" hidden="1" customHeight="1" x14ac:dyDescent="0.3">
      <c r="A7933" s="89" t="s">
        <v>3978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3767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220"/>
        <v>-2725292.6299099997</v>
      </c>
      <c r="X7933" s="6">
        <f t="shared" si="1224"/>
        <v>349481.07481999998</v>
      </c>
      <c r="Y7933" s="13">
        <f t="shared" si="1217"/>
        <v>0</v>
      </c>
      <c r="Z7933" s="14">
        <v>0</v>
      </c>
      <c r="AA7933" s="6">
        <v>0</v>
      </c>
      <c r="AB7933" s="4">
        <f t="shared" si="1218"/>
        <v>349481.07481999998</v>
      </c>
      <c r="AC7933" s="6">
        <f t="shared" si="1216"/>
        <v>0</v>
      </c>
      <c r="AD7933" s="6">
        <f t="shared" si="1221"/>
        <v>349481.07481999998</v>
      </c>
      <c r="AE7933" s="14">
        <f>VLOOKUP(I7933,[2]媒体政策预估表!A:N,MATCH(O7933,[2]媒体政策预估表!$A$2:$M$2,0),0)</f>
        <v>0.15</v>
      </c>
      <c r="AF7933" s="6">
        <f t="shared" si="1223"/>
        <v>52422.161222999996</v>
      </c>
      <c r="AG7933" s="14">
        <v>0</v>
      </c>
      <c r="AH7933" s="64">
        <f t="shared" si="1222"/>
        <v>349481.07481999998</v>
      </c>
      <c r="AJ7933" s="126" t="e">
        <v>#N/A</v>
      </c>
      <c r="AK7933" s="80">
        <f t="shared" si="1219"/>
        <v>0</v>
      </c>
      <c r="AL7933" s="85"/>
      <c r="AM7933" s="85"/>
    </row>
    <row r="7934" spans="1:39" s="86" customFormat="1" ht="13.25" hidden="1" customHeight="1" x14ac:dyDescent="0.3">
      <c r="A7934" s="89" t="s">
        <v>3978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3767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220"/>
        <v>-2997382.5677200002</v>
      </c>
      <c r="X7934" s="6">
        <f t="shared" si="1224"/>
        <v>243222.61645</v>
      </c>
      <c r="Y7934" s="13">
        <f t="shared" si="1217"/>
        <v>0</v>
      </c>
      <c r="Z7934" s="14">
        <v>0</v>
      </c>
      <c r="AA7934" s="6">
        <v>0</v>
      </c>
      <c r="AB7934" s="4">
        <f t="shared" si="1218"/>
        <v>243222.61645</v>
      </c>
      <c r="AC7934" s="6">
        <f t="shared" ref="AC7934:AC7997" si="1225">IF(P7934="返现",X7934*Q7934,V7934-X7934)</f>
        <v>0</v>
      </c>
      <c r="AD7934" s="6">
        <f t="shared" si="1221"/>
        <v>243222.61645</v>
      </c>
      <c r="AE7934" s="14">
        <f>VLOOKUP(I7934,[2]媒体政策预估表!A:N,MATCH(O7934,[2]媒体政策预估表!$A$2:$M$2,0),0)</f>
        <v>0.15</v>
      </c>
      <c r="AF7934" s="6">
        <f t="shared" si="1223"/>
        <v>36483.392467500002</v>
      </c>
      <c r="AG7934" s="14">
        <v>0</v>
      </c>
      <c r="AH7934" s="64">
        <f t="shared" si="1222"/>
        <v>243222.61645</v>
      </c>
      <c r="AJ7934" s="126" t="e">
        <v>#N/A</v>
      </c>
      <c r="AK7934" s="80">
        <f t="shared" si="1219"/>
        <v>0</v>
      </c>
      <c r="AL7934" s="85"/>
      <c r="AM7934" s="85"/>
    </row>
    <row r="7935" spans="1:39" s="86" customFormat="1" ht="13.25" hidden="1" customHeight="1" x14ac:dyDescent="0.3">
      <c r="A7935" s="89" t="s">
        <v>3805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3767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220"/>
        <v>-2259.08734</v>
      </c>
      <c r="X7935" s="6">
        <f t="shared" si="1224"/>
        <v>0</v>
      </c>
      <c r="Y7935" s="13">
        <f t="shared" si="1217"/>
        <v>0</v>
      </c>
      <c r="Z7935" s="14">
        <v>0</v>
      </c>
      <c r="AA7935" s="6">
        <v>0</v>
      </c>
      <c r="AB7935" s="4">
        <f t="shared" si="1218"/>
        <v>0</v>
      </c>
      <c r="AC7935" s="6">
        <f t="shared" si="1225"/>
        <v>0</v>
      </c>
      <c r="AD7935" s="6">
        <f t="shared" si="1221"/>
        <v>0</v>
      </c>
      <c r="AE7935" s="14">
        <f>VLOOKUP(I7935,[2]媒体政策预估表!A:N,MATCH(O7935,[2]媒体政策预估表!$A$2:$M$2,0),0)</f>
        <v>0.15</v>
      </c>
      <c r="AF7935" s="6">
        <f t="shared" si="1223"/>
        <v>0</v>
      </c>
      <c r="AG7935" s="14">
        <v>0</v>
      </c>
      <c r="AH7935" s="64">
        <f t="shared" si="1222"/>
        <v>0</v>
      </c>
      <c r="AJ7935" s="126" t="e">
        <v>#N/A</v>
      </c>
      <c r="AK7935" s="80">
        <f t="shared" si="1219"/>
        <v>0</v>
      </c>
      <c r="AL7935" s="85"/>
      <c r="AM7935" s="85"/>
    </row>
    <row r="7936" spans="1:39" s="86" customFormat="1" ht="13.25" hidden="1" customHeight="1" x14ac:dyDescent="0.3">
      <c r="A7936" s="89" t="s">
        <v>3792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3767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220"/>
        <v>-936342.80278999987</v>
      </c>
      <c r="X7936" s="6">
        <f t="shared" si="1224"/>
        <v>118895.99937999999</v>
      </c>
      <c r="Y7936" s="13">
        <f t="shared" si="1217"/>
        <v>0</v>
      </c>
      <c r="Z7936" s="14">
        <v>0</v>
      </c>
      <c r="AA7936" s="6">
        <v>0</v>
      </c>
      <c r="AB7936" s="4">
        <f t="shared" si="1218"/>
        <v>118895.99937999999</v>
      </c>
      <c r="AC7936" s="6">
        <f t="shared" si="1225"/>
        <v>0</v>
      </c>
      <c r="AD7936" s="6">
        <f t="shared" si="1221"/>
        <v>118895.99937999999</v>
      </c>
      <c r="AE7936" s="14">
        <f>VLOOKUP(I7936,[2]媒体政策预估表!A:N,MATCH(O7936,[2]媒体政策预估表!$A$2:$M$2,0),0)</f>
        <v>0.15</v>
      </c>
      <c r="AF7936" s="6">
        <f t="shared" si="1223"/>
        <v>17834.399906999999</v>
      </c>
      <c r="AG7936" s="14">
        <v>0</v>
      </c>
      <c r="AH7936" s="64">
        <f t="shared" si="1222"/>
        <v>118895.99937999999</v>
      </c>
      <c r="AJ7936" s="126" t="e">
        <v>#N/A</v>
      </c>
      <c r="AK7936" s="80">
        <f t="shared" si="1219"/>
        <v>0</v>
      </c>
      <c r="AL7936" s="85"/>
      <c r="AM7936" s="85"/>
    </row>
    <row r="7937" spans="1:39" s="86" customFormat="1" ht="13.25" hidden="1" customHeight="1" x14ac:dyDescent="0.3">
      <c r="A7937" s="89" t="s">
        <v>3792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3767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220"/>
        <v>-666101.84798000008</v>
      </c>
      <c r="X7937" s="6">
        <f t="shared" si="1224"/>
        <v>158475.19834</v>
      </c>
      <c r="Y7937" s="13">
        <f t="shared" si="1217"/>
        <v>0</v>
      </c>
      <c r="Z7937" s="14">
        <v>0</v>
      </c>
      <c r="AA7937" s="6">
        <v>0</v>
      </c>
      <c r="AB7937" s="4">
        <f t="shared" si="1218"/>
        <v>158475.19834</v>
      </c>
      <c r="AC7937" s="6">
        <f t="shared" si="1225"/>
        <v>0</v>
      </c>
      <c r="AD7937" s="6">
        <f t="shared" si="1221"/>
        <v>158475.19834</v>
      </c>
      <c r="AE7937" s="14">
        <f>VLOOKUP(I7937,[2]媒体政策预估表!A:N,MATCH(O7937,[2]媒体政策预估表!$A$2:$M$2,0),0)</f>
        <v>0.15</v>
      </c>
      <c r="AF7937" s="6">
        <f t="shared" si="1223"/>
        <v>23771.279750999998</v>
      </c>
      <c r="AG7937" s="14">
        <v>0</v>
      </c>
      <c r="AH7937" s="64">
        <f t="shared" si="1222"/>
        <v>158475.19834</v>
      </c>
      <c r="AJ7937" s="126" t="e">
        <v>#N/A</v>
      </c>
      <c r="AK7937" s="80">
        <f t="shared" si="1219"/>
        <v>0</v>
      </c>
      <c r="AL7937" s="85"/>
      <c r="AM7937" s="85"/>
    </row>
    <row r="7938" spans="1:39" s="86" customFormat="1" ht="13.25" hidden="1" customHeight="1" x14ac:dyDescent="0.3">
      <c r="A7938" s="89" t="s">
        <v>3978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3767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220"/>
        <v>-582910.99254999997</v>
      </c>
      <c r="X7938" s="6">
        <f t="shared" si="1224"/>
        <v>129900.16923</v>
      </c>
      <c r="Y7938" s="13">
        <f t="shared" si="1217"/>
        <v>0</v>
      </c>
      <c r="Z7938" s="14">
        <v>0</v>
      </c>
      <c r="AA7938" s="6">
        <v>0</v>
      </c>
      <c r="AB7938" s="4">
        <f t="shared" si="1218"/>
        <v>129900.16923</v>
      </c>
      <c r="AC7938" s="6">
        <f t="shared" si="1225"/>
        <v>0</v>
      </c>
      <c r="AD7938" s="6">
        <f t="shared" si="1221"/>
        <v>129900.16923</v>
      </c>
      <c r="AE7938" s="14">
        <f>VLOOKUP(I7938,[2]媒体政策预估表!A:N,MATCH(O7938,[2]媒体政策预估表!$A$2:$M$2,0),0)</f>
        <v>0.15</v>
      </c>
      <c r="AF7938" s="6">
        <f t="shared" si="1223"/>
        <v>19485.025384500001</v>
      </c>
      <c r="AG7938" s="14">
        <v>0</v>
      </c>
      <c r="AH7938" s="64">
        <f t="shared" si="1222"/>
        <v>129900.16923</v>
      </c>
      <c r="AJ7938" s="126" t="e">
        <v>#N/A</v>
      </c>
      <c r="AK7938" s="80">
        <f t="shared" si="1219"/>
        <v>0</v>
      </c>
      <c r="AL7938" s="85"/>
      <c r="AM7938" s="85"/>
    </row>
    <row r="7939" spans="1:39" s="86" customFormat="1" ht="13.25" hidden="1" customHeight="1" x14ac:dyDescent="0.3">
      <c r="A7939" s="89" t="s">
        <v>3978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3767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220"/>
        <v>-194855.58107000001</v>
      </c>
      <c r="X7939" s="6">
        <f t="shared" si="1224"/>
        <v>56070.267220000002</v>
      </c>
      <c r="Y7939" s="13">
        <f t="shared" ref="Y7939:Y8002" si="1226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227">X7939+AA7939</f>
        <v>56070.267220000002</v>
      </c>
      <c r="AC7939" s="6">
        <f t="shared" si="1225"/>
        <v>0</v>
      </c>
      <c r="AD7939" s="6">
        <f t="shared" si="1221"/>
        <v>56070.267220000002</v>
      </c>
      <c r="AE7939" s="14">
        <f>VLOOKUP(I7939,[2]媒体政策预估表!A:N,MATCH(O7939,[2]媒体政策预估表!$A$2:$M$2,0),0)</f>
        <v>0.15</v>
      </c>
      <c r="AF7939" s="6">
        <f t="shared" si="1223"/>
        <v>8410.5400829999999</v>
      </c>
      <c r="AG7939" s="14">
        <v>0</v>
      </c>
      <c r="AH7939" s="64">
        <f t="shared" si="1222"/>
        <v>56070.267220000002</v>
      </c>
      <c r="AJ7939" s="126" t="e">
        <v>#N/A</v>
      </c>
      <c r="AK7939" s="80">
        <f t="shared" ref="AK7939:AK8002" si="1228">X7939+AA7939-AB7939</f>
        <v>0</v>
      </c>
      <c r="AL7939" s="85"/>
      <c r="AM7939" s="85"/>
    </row>
    <row r="7940" spans="1:39" s="86" customFormat="1" ht="13.25" hidden="1" customHeight="1" x14ac:dyDescent="0.3">
      <c r="A7940" s="89" t="s">
        <v>3978</v>
      </c>
      <c r="B7940" s="86" t="s">
        <v>35</v>
      </c>
      <c r="C7940" s="86" t="s">
        <v>184</v>
      </c>
      <c r="D7940" s="86" t="s">
        <v>3849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3767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220"/>
        <v>-523661.23134</v>
      </c>
      <c r="X7940" s="6">
        <f t="shared" si="1224"/>
        <v>86258.924249999996</v>
      </c>
      <c r="Y7940" s="13">
        <f t="shared" si="1226"/>
        <v>0</v>
      </c>
      <c r="Z7940" s="14">
        <v>0</v>
      </c>
      <c r="AA7940" s="6">
        <v>0</v>
      </c>
      <c r="AB7940" s="4">
        <f t="shared" si="1227"/>
        <v>86258.924249999996</v>
      </c>
      <c r="AC7940" s="6">
        <f t="shared" si="1225"/>
        <v>0</v>
      </c>
      <c r="AD7940" s="6">
        <f t="shared" si="1221"/>
        <v>86258.924249999996</v>
      </c>
      <c r="AE7940" s="14">
        <f>VLOOKUP(I7940,[2]媒体政策预估表!A:N,MATCH(O7940,[2]媒体政策预估表!$A$2:$M$2,0),0)</f>
        <v>0.15</v>
      </c>
      <c r="AF7940" s="6">
        <f t="shared" si="1223"/>
        <v>12938.838637499999</v>
      </c>
      <c r="AG7940" s="14">
        <v>0</v>
      </c>
      <c r="AH7940" s="64">
        <f t="shared" si="1222"/>
        <v>86258.924249999996</v>
      </c>
      <c r="AJ7940" s="126" t="e">
        <v>#N/A</v>
      </c>
      <c r="AK7940" s="80">
        <f t="shared" si="1228"/>
        <v>0</v>
      </c>
      <c r="AL7940" s="85"/>
      <c r="AM7940" s="85"/>
    </row>
    <row r="7941" spans="1:39" s="86" customFormat="1" ht="13.25" hidden="1" customHeight="1" x14ac:dyDescent="0.3">
      <c r="A7941" s="89" t="s">
        <v>3792</v>
      </c>
      <c r="B7941" s="86" t="s">
        <v>35</v>
      </c>
      <c r="C7941" s="86" t="s">
        <v>184</v>
      </c>
      <c r="D7941" s="86" t="s">
        <v>3849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3767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224"/>
        <v>0</v>
      </c>
      <c r="Y7941" s="13">
        <f t="shared" si="1226"/>
        <v>0</v>
      </c>
      <c r="Z7941" s="14">
        <v>0</v>
      </c>
      <c r="AA7941" s="6">
        <v>0</v>
      </c>
      <c r="AB7941" s="4">
        <f t="shared" si="1227"/>
        <v>0</v>
      </c>
      <c r="AC7941" s="6">
        <f t="shared" si="1225"/>
        <v>0</v>
      </c>
      <c r="AD7941" s="6">
        <f t="shared" si="1221"/>
        <v>0</v>
      </c>
      <c r="AE7941" s="14">
        <f>VLOOKUP(I7941,[2]媒体政策预估表!A:N,MATCH(O7941,[2]媒体政策预估表!$A$2:$M$2,0),0)</f>
        <v>0.15</v>
      </c>
      <c r="AF7941" s="6">
        <f t="shared" si="1223"/>
        <v>0</v>
      </c>
      <c r="AG7941" s="14">
        <v>0</v>
      </c>
      <c r="AH7941" s="64">
        <f t="shared" si="1222"/>
        <v>0</v>
      </c>
      <c r="AJ7941" s="126" t="e">
        <v>#N/A</v>
      </c>
      <c r="AK7941" s="80">
        <f t="shared" si="1228"/>
        <v>0</v>
      </c>
      <c r="AL7941" s="85"/>
      <c r="AM7941" s="85"/>
    </row>
    <row r="7942" spans="1:39" s="86" customFormat="1" ht="13.25" hidden="1" customHeight="1" x14ac:dyDescent="0.3">
      <c r="A7942" s="89" t="s">
        <v>3978</v>
      </c>
      <c r="B7942" s="86" t="s">
        <v>35</v>
      </c>
      <c r="C7942" s="86" t="s">
        <v>184</v>
      </c>
      <c r="D7942" s="86" t="s">
        <v>3849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3767</v>
      </c>
      <c r="L7942" s="47" t="s">
        <v>35</v>
      </c>
      <c r="M7942" s="86" t="s">
        <v>540</v>
      </c>
      <c r="O7942" s="47" t="s">
        <v>4118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220"/>
        <v>-17623.234009999996</v>
      </c>
      <c r="X7942" s="6">
        <f t="shared" si="1224"/>
        <v>17525.216369999998</v>
      </c>
      <c r="Y7942" s="13">
        <f t="shared" si="1226"/>
        <v>0</v>
      </c>
      <c r="Z7942" s="14">
        <v>0</v>
      </c>
      <c r="AA7942" s="6">
        <v>0</v>
      </c>
      <c r="AB7942" s="4">
        <f t="shared" si="1227"/>
        <v>17525.216369999998</v>
      </c>
      <c r="AC7942" s="6">
        <f t="shared" si="1225"/>
        <v>0</v>
      </c>
      <c r="AD7942" s="6">
        <f t="shared" si="1221"/>
        <v>17525.216369999998</v>
      </c>
      <c r="AE7942" s="14">
        <f>VLOOKUP(I7942,[2]媒体政策预估表!A:N,MATCH(O7942,[2]媒体政策预估表!$A$2:$M$2,0),0)</f>
        <v>0.1</v>
      </c>
      <c r="AF7942" s="6">
        <f t="shared" si="1223"/>
        <v>1752.5216369999998</v>
      </c>
      <c r="AG7942" s="14">
        <v>0</v>
      </c>
      <c r="AH7942" s="64">
        <f t="shared" si="1222"/>
        <v>17525.216369999998</v>
      </c>
      <c r="AJ7942" s="126" t="e">
        <v>#N/A</v>
      </c>
      <c r="AK7942" s="80">
        <f t="shared" si="1228"/>
        <v>0</v>
      </c>
      <c r="AL7942" s="85"/>
      <c r="AM7942" s="85"/>
    </row>
    <row r="7943" spans="1:39" s="86" customFormat="1" ht="13.25" hidden="1" customHeight="1" x14ac:dyDescent="0.3">
      <c r="A7943" s="89" t="s">
        <v>3792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3767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220"/>
        <v>-370563.69140000001</v>
      </c>
      <c r="X7943" s="6">
        <f t="shared" si="1224"/>
        <v>68440.253060000003</v>
      </c>
      <c r="Y7943" s="13">
        <f t="shared" si="1226"/>
        <v>0</v>
      </c>
      <c r="Z7943" s="14">
        <v>0</v>
      </c>
      <c r="AA7943" s="6">
        <v>0</v>
      </c>
      <c r="AB7943" s="4">
        <f t="shared" si="1227"/>
        <v>68440.253060000003</v>
      </c>
      <c r="AC7943" s="6">
        <f t="shared" si="1225"/>
        <v>0</v>
      </c>
      <c r="AD7943" s="6">
        <f t="shared" si="1221"/>
        <v>68440.253060000003</v>
      </c>
      <c r="AE7943" s="14">
        <f>VLOOKUP(I7943,[2]媒体政策预估表!A:N,MATCH(O7943,[2]媒体政策预估表!$A$2:$M$2,0),0)</f>
        <v>0.15</v>
      </c>
      <c r="AF7943" s="6">
        <f t="shared" si="1223"/>
        <v>10266.037958999999</v>
      </c>
      <c r="AG7943" s="14">
        <v>0</v>
      </c>
      <c r="AH7943" s="64">
        <f t="shared" si="1222"/>
        <v>68440.253060000003</v>
      </c>
      <c r="AJ7943" s="126" t="e">
        <v>#N/A</v>
      </c>
      <c r="AK7943" s="80">
        <f t="shared" si="1228"/>
        <v>0</v>
      </c>
      <c r="AL7943" s="85"/>
      <c r="AM7943" s="85"/>
    </row>
    <row r="7944" spans="1:39" s="86" customFormat="1" ht="13.25" hidden="1" customHeight="1" x14ac:dyDescent="0.3">
      <c r="A7944" s="89" t="s">
        <v>3792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3767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220"/>
        <v>-7534.0734100000009</v>
      </c>
      <c r="X7944" s="6">
        <f t="shared" si="1224"/>
        <v>4313.6307100000004</v>
      </c>
      <c r="Y7944" s="13">
        <f t="shared" si="1226"/>
        <v>0</v>
      </c>
      <c r="Z7944" s="14">
        <v>0</v>
      </c>
      <c r="AA7944" s="6">
        <v>0</v>
      </c>
      <c r="AB7944" s="4">
        <f t="shared" si="1227"/>
        <v>4313.6307100000004</v>
      </c>
      <c r="AC7944" s="6">
        <f t="shared" si="1225"/>
        <v>0</v>
      </c>
      <c r="AD7944" s="6">
        <f t="shared" si="1221"/>
        <v>4313.6307100000004</v>
      </c>
      <c r="AE7944" s="14">
        <f>VLOOKUP(I7944,[2]媒体政策预估表!A:N,MATCH(O7944,[2]媒体政策预估表!$A$2:$M$2,0),0)</f>
        <v>0.15</v>
      </c>
      <c r="AF7944" s="6">
        <f t="shared" si="1223"/>
        <v>647.04460649999999</v>
      </c>
      <c r="AG7944" s="14">
        <v>0</v>
      </c>
      <c r="AH7944" s="64">
        <f t="shared" si="1222"/>
        <v>4313.6307100000004</v>
      </c>
      <c r="AJ7944" s="126" t="e">
        <v>#N/A</v>
      </c>
      <c r="AK7944" s="80">
        <f t="shared" si="1228"/>
        <v>0</v>
      </c>
      <c r="AL7944" s="85"/>
      <c r="AM7944" s="85"/>
    </row>
    <row r="7945" spans="1:39" s="86" customFormat="1" ht="13.25" hidden="1" customHeight="1" x14ac:dyDescent="0.3">
      <c r="A7945" s="89" t="s">
        <v>3978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3767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220"/>
        <v>-2320842.2627699999</v>
      </c>
      <c r="X7945" s="6">
        <f t="shared" si="1224"/>
        <v>400449.67679411761</v>
      </c>
      <c r="Y7945" s="13">
        <f t="shared" si="1226"/>
        <v>0</v>
      </c>
      <c r="Z7945" s="14">
        <v>0</v>
      </c>
      <c r="AA7945" s="6">
        <v>0</v>
      </c>
      <c r="AB7945" s="4">
        <f t="shared" si="1227"/>
        <v>400449.67679411761</v>
      </c>
      <c r="AC7945" s="6">
        <f t="shared" si="1225"/>
        <v>8008.9935358823859</v>
      </c>
      <c r="AD7945" s="6">
        <f t="shared" si="1221"/>
        <v>408458.67032999999</v>
      </c>
      <c r="AE7945" s="14">
        <f>VLOOKUP(I7945,[2]媒体政策预估表!A:N,MATCH(O7945,[2]媒体政策预估表!$A$2:$M$2,0),0)</f>
        <v>0.15</v>
      </c>
      <c r="AF7945" s="6">
        <f t="shared" si="1223"/>
        <v>61268.800549499996</v>
      </c>
      <c r="AG7945" s="14">
        <v>0</v>
      </c>
      <c r="AH7945" s="64">
        <f t="shared" si="1222"/>
        <v>408458.67032999999</v>
      </c>
      <c r="AJ7945" s="126" t="e">
        <v>#N/A</v>
      </c>
      <c r="AK7945" s="80">
        <f t="shared" si="1228"/>
        <v>0</v>
      </c>
      <c r="AL7945" s="85"/>
      <c r="AM7945" s="85"/>
    </row>
    <row r="7946" spans="1:39" s="86" customFormat="1" ht="13.25" hidden="1" customHeight="1" x14ac:dyDescent="0.3">
      <c r="A7946" s="89" t="s">
        <v>3978</v>
      </c>
      <c r="B7946" s="86" t="s">
        <v>35</v>
      </c>
      <c r="C7946" s="86" t="s">
        <v>184</v>
      </c>
      <c r="D7946" s="86" t="s">
        <v>3849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3767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220"/>
        <v>-110522.30512</v>
      </c>
      <c r="X7946" s="6">
        <f t="shared" si="1224"/>
        <v>23669.205119999999</v>
      </c>
      <c r="Y7946" s="13">
        <f t="shared" si="1226"/>
        <v>0</v>
      </c>
      <c r="Z7946" s="14">
        <v>0</v>
      </c>
      <c r="AA7946" s="6">
        <v>0</v>
      </c>
      <c r="AB7946" s="4">
        <f t="shared" si="1227"/>
        <v>23669.205119999999</v>
      </c>
      <c r="AC7946" s="6">
        <f t="shared" si="1225"/>
        <v>0</v>
      </c>
      <c r="AD7946" s="6">
        <f t="shared" si="1221"/>
        <v>23669.205119999999</v>
      </c>
      <c r="AE7946" s="14">
        <f>VLOOKUP(I7946,[2]媒体政策预估表!A:N,MATCH(O7946,[2]媒体政策预估表!$A$2:$M$2,0),0)</f>
        <v>0.15</v>
      </c>
      <c r="AF7946" s="6">
        <f t="shared" si="1223"/>
        <v>3550.3807679999995</v>
      </c>
      <c r="AG7946" s="14">
        <v>0</v>
      </c>
      <c r="AH7946" s="64">
        <f t="shared" si="1222"/>
        <v>23669.205119999999</v>
      </c>
      <c r="AJ7946" s="126" t="e">
        <v>#N/A</v>
      </c>
      <c r="AK7946" s="80">
        <f t="shared" si="1228"/>
        <v>0</v>
      </c>
      <c r="AL7946" s="85"/>
      <c r="AM7946" s="85"/>
    </row>
    <row r="7947" spans="1:39" s="86" customFormat="1" ht="13.25" hidden="1" customHeight="1" x14ac:dyDescent="0.3">
      <c r="A7947" s="89" t="s">
        <v>3805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3767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220"/>
        <v>-1116.8140800000001</v>
      </c>
      <c r="X7947" s="6">
        <f t="shared" si="1224"/>
        <v>0</v>
      </c>
      <c r="Y7947" s="13">
        <f t="shared" si="1226"/>
        <v>0</v>
      </c>
      <c r="Z7947" s="14">
        <v>0</v>
      </c>
      <c r="AA7947" s="6">
        <v>0</v>
      </c>
      <c r="AB7947" s="4">
        <f t="shared" si="1227"/>
        <v>0</v>
      </c>
      <c r="AC7947" s="6">
        <f t="shared" si="1225"/>
        <v>0</v>
      </c>
      <c r="AD7947" s="6">
        <f t="shared" si="1221"/>
        <v>0</v>
      </c>
      <c r="AE7947" s="14">
        <f>VLOOKUP(I7947,[2]媒体政策预估表!A:N,MATCH(O7947,[2]媒体政策预估表!$A$2:$M$2,0),0)</f>
        <v>0.15</v>
      </c>
      <c r="AF7947" s="6">
        <f t="shared" si="1223"/>
        <v>0</v>
      </c>
      <c r="AG7947" s="14">
        <v>0</v>
      </c>
      <c r="AH7947" s="64">
        <f t="shared" si="1222"/>
        <v>0</v>
      </c>
      <c r="AJ7947" s="126" t="e">
        <v>#N/A</v>
      </c>
      <c r="AK7947" s="80">
        <f t="shared" si="1228"/>
        <v>0</v>
      </c>
      <c r="AL7947" s="85"/>
      <c r="AM7947" s="85"/>
    </row>
    <row r="7948" spans="1:39" s="86" customFormat="1" ht="13.25" hidden="1" customHeight="1" x14ac:dyDescent="0.3">
      <c r="A7948" s="89" t="s">
        <v>3792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3767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220"/>
        <v>-1740.0517600000001</v>
      </c>
      <c r="X7948" s="6">
        <f t="shared" si="1224"/>
        <v>0</v>
      </c>
      <c r="Y7948" s="13">
        <f t="shared" si="1226"/>
        <v>0</v>
      </c>
      <c r="Z7948" s="14">
        <v>0</v>
      </c>
      <c r="AA7948" s="6">
        <v>0</v>
      </c>
      <c r="AB7948" s="4">
        <f t="shared" si="1227"/>
        <v>0</v>
      </c>
      <c r="AC7948" s="6">
        <f t="shared" si="1225"/>
        <v>0</v>
      </c>
      <c r="AD7948" s="6">
        <f t="shared" si="1221"/>
        <v>0</v>
      </c>
      <c r="AE7948" s="14">
        <f>VLOOKUP(I7948,[2]媒体政策预估表!A:N,MATCH(O7948,[2]媒体政策预估表!$A$2:$M$2,0),0)</f>
        <v>0.15</v>
      </c>
      <c r="AF7948" s="6">
        <f t="shared" si="1223"/>
        <v>0</v>
      </c>
      <c r="AG7948" s="14">
        <v>0</v>
      </c>
      <c r="AH7948" s="64">
        <f t="shared" si="1222"/>
        <v>0</v>
      </c>
      <c r="AJ7948" s="126" t="e">
        <v>#N/A</v>
      </c>
      <c r="AK7948" s="80">
        <f t="shared" si="1228"/>
        <v>0</v>
      </c>
      <c r="AL7948" s="85"/>
      <c r="AM7948" s="85"/>
    </row>
    <row r="7949" spans="1:39" s="86" customFormat="1" ht="13.25" hidden="1" customHeight="1" x14ac:dyDescent="0.3">
      <c r="A7949" s="89" t="s">
        <v>3792</v>
      </c>
      <c r="B7949" s="86" t="s">
        <v>35</v>
      </c>
      <c r="C7949" s="86" t="s">
        <v>184</v>
      </c>
      <c r="D7949" s="86" t="s">
        <v>3849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3767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220"/>
        <v>-1037109.34</v>
      </c>
      <c r="X7949" s="6">
        <f t="shared" si="1224"/>
        <v>712119.35</v>
      </c>
      <c r="Y7949" s="13">
        <f t="shared" si="1226"/>
        <v>0</v>
      </c>
      <c r="Z7949" s="14">
        <v>0</v>
      </c>
      <c r="AA7949" s="6">
        <v>0</v>
      </c>
      <c r="AB7949" s="4">
        <f t="shared" si="1227"/>
        <v>712119.35</v>
      </c>
      <c r="AC7949" s="6">
        <f t="shared" si="1225"/>
        <v>0</v>
      </c>
      <c r="AD7949" s="6">
        <f t="shared" si="1221"/>
        <v>712119.35</v>
      </c>
      <c r="AE7949" s="14">
        <f>VLOOKUP(I7949,[2]媒体政策预估表!A:N,MATCH(O7949,[2]媒体政策预估表!$A$2:$M$2,0),0)</f>
        <v>0.15</v>
      </c>
      <c r="AF7949" s="6">
        <f t="shared" si="1223"/>
        <v>106817.9025</v>
      </c>
      <c r="AG7949" s="14">
        <v>0</v>
      </c>
      <c r="AH7949" s="64">
        <f t="shared" si="1222"/>
        <v>712119.35</v>
      </c>
      <c r="AJ7949" s="126" t="e">
        <v>#N/A</v>
      </c>
      <c r="AK7949" s="80">
        <f t="shared" si="1228"/>
        <v>0</v>
      </c>
      <c r="AL7949" s="85"/>
      <c r="AM7949" s="85"/>
    </row>
    <row r="7950" spans="1:39" s="86" customFormat="1" ht="13.25" hidden="1" customHeight="1" x14ac:dyDescent="0.3">
      <c r="A7950" s="89" t="s">
        <v>3792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3767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220"/>
        <v>-6838.6828599999999</v>
      </c>
      <c r="X7950" s="6">
        <f t="shared" si="1224"/>
        <v>0</v>
      </c>
      <c r="Y7950" s="13">
        <f t="shared" si="1226"/>
        <v>0</v>
      </c>
      <c r="Z7950" s="14">
        <v>0</v>
      </c>
      <c r="AA7950" s="6">
        <v>0</v>
      </c>
      <c r="AB7950" s="4">
        <f t="shared" si="1227"/>
        <v>0</v>
      </c>
      <c r="AC7950" s="6">
        <f t="shared" si="1225"/>
        <v>0</v>
      </c>
      <c r="AD7950" s="6">
        <f t="shared" si="1221"/>
        <v>0</v>
      </c>
      <c r="AE7950" s="14">
        <f>VLOOKUP(I7950,[2]媒体政策预估表!A:N,MATCH(O7950,[2]媒体政策预估表!$A$2:$M$2,0),0)</f>
        <v>0.15</v>
      </c>
      <c r="AF7950" s="6">
        <f t="shared" si="1223"/>
        <v>0</v>
      </c>
      <c r="AG7950" s="14">
        <v>0</v>
      </c>
      <c r="AH7950" s="64">
        <f t="shared" si="1222"/>
        <v>0</v>
      </c>
      <c r="AJ7950" s="126" t="e">
        <v>#N/A</v>
      </c>
      <c r="AK7950" s="80">
        <f t="shared" si="1228"/>
        <v>0</v>
      </c>
      <c r="AL7950" s="85"/>
      <c r="AM7950" s="85"/>
    </row>
    <row r="7951" spans="1:39" s="86" customFormat="1" ht="13.25" hidden="1" customHeight="1" x14ac:dyDescent="0.3">
      <c r="A7951" s="89" t="s">
        <v>3978</v>
      </c>
      <c r="B7951" s="86" t="s">
        <v>35</v>
      </c>
      <c r="C7951" s="86" t="s">
        <v>184</v>
      </c>
      <c r="D7951" s="86" t="s">
        <v>3849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3767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220"/>
        <v>-3947587.9000000004</v>
      </c>
      <c r="X7951" s="6">
        <f t="shared" si="1224"/>
        <v>1519407.03</v>
      </c>
      <c r="Y7951" s="13">
        <f t="shared" si="1226"/>
        <v>0</v>
      </c>
      <c r="Z7951" s="14">
        <v>0</v>
      </c>
      <c r="AA7951" s="6">
        <v>0</v>
      </c>
      <c r="AB7951" s="4">
        <f t="shared" si="1227"/>
        <v>1519407.03</v>
      </c>
      <c r="AC7951" s="6">
        <f t="shared" si="1225"/>
        <v>0</v>
      </c>
      <c r="AD7951" s="6">
        <f t="shared" si="1221"/>
        <v>1519407.03</v>
      </c>
      <c r="AE7951" s="14">
        <f>VLOOKUP(I7951,[2]媒体政策预估表!A:N,MATCH(O7951,[2]媒体政策预估表!$A$2:$M$2,0),0)</f>
        <v>0.15</v>
      </c>
      <c r="AF7951" s="6">
        <f t="shared" si="1223"/>
        <v>227911.0545</v>
      </c>
      <c r="AG7951" s="14">
        <v>0</v>
      </c>
      <c r="AH7951" s="64">
        <f t="shared" si="1222"/>
        <v>1519407.03</v>
      </c>
      <c r="AJ7951" s="126" t="e">
        <v>#N/A</v>
      </c>
      <c r="AK7951" s="80">
        <f t="shared" si="1228"/>
        <v>0</v>
      </c>
      <c r="AL7951" s="85"/>
      <c r="AM7951" s="85"/>
    </row>
    <row r="7952" spans="1:39" s="86" customFormat="1" ht="13.25" hidden="1" customHeight="1" x14ac:dyDescent="0.3">
      <c r="A7952" s="89" t="s">
        <v>3792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3767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220"/>
        <v>-1126.08</v>
      </c>
      <c r="X7952" s="6">
        <f t="shared" si="1224"/>
        <v>0</v>
      </c>
      <c r="Y7952" s="13">
        <f t="shared" si="1226"/>
        <v>0</v>
      </c>
      <c r="Z7952" s="14">
        <v>0</v>
      </c>
      <c r="AA7952" s="6">
        <v>0</v>
      </c>
      <c r="AB7952" s="4">
        <f t="shared" si="1227"/>
        <v>0</v>
      </c>
      <c r="AC7952" s="6">
        <f t="shared" si="1225"/>
        <v>0</v>
      </c>
      <c r="AD7952" s="6">
        <f t="shared" si="1221"/>
        <v>0</v>
      </c>
      <c r="AE7952" s="14">
        <f>VLOOKUP(I7952,[2]媒体政策预估表!A:N,MATCH(O7952,[2]媒体政策预估表!$A$2:$M$2,0),0)</f>
        <v>0.15</v>
      </c>
      <c r="AF7952" s="6">
        <f t="shared" si="1223"/>
        <v>0</v>
      </c>
      <c r="AG7952" s="14">
        <v>0</v>
      </c>
      <c r="AH7952" s="64">
        <f t="shared" si="1222"/>
        <v>0</v>
      </c>
      <c r="AJ7952" s="126" t="e">
        <v>#N/A</v>
      </c>
      <c r="AK7952" s="80">
        <f t="shared" si="1228"/>
        <v>0</v>
      </c>
      <c r="AL7952" s="85"/>
      <c r="AM7952" s="85"/>
    </row>
    <row r="7953" spans="1:39" s="86" customFormat="1" ht="13.25" hidden="1" customHeight="1" x14ac:dyDescent="0.3">
      <c r="A7953" s="89" t="s">
        <v>3978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3767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224"/>
        <v>153603.22796999989</v>
      </c>
      <c r="Y7953" s="13">
        <f t="shared" si="1226"/>
        <v>0</v>
      </c>
      <c r="Z7953" s="14">
        <v>0</v>
      </c>
      <c r="AA7953" s="6">
        <v>0</v>
      </c>
      <c r="AB7953" s="4">
        <f t="shared" si="1227"/>
        <v>153603.22796999989</v>
      </c>
      <c r="AC7953" s="6">
        <f t="shared" si="1225"/>
        <v>0</v>
      </c>
      <c r="AD7953" s="6">
        <f t="shared" si="1221"/>
        <v>153603.22796999989</v>
      </c>
      <c r="AE7953" s="14">
        <f>VLOOKUP(I7953,[2]媒体政策预估表!A:N,MATCH(O7953,[2]媒体政策预估表!$A$2:$M$2,0),0)</f>
        <v>0.15</v>
      </c>
      <c r="AF7953" s="6">
        <f t="shared" si="1223"/>
        <v>23040.484195499983</v>
      </c>
      <c r="AG7953" s="14">
        <v>0</v>
      </c>
      <c r="AH7953" s="64">
        <f t="shared" si="1222"/>
        <v>153603.22796999989</v>
      </c>
      <c r="AJ7953" s="126" t="e">
        <v>#N/A</v>
      </c>
      <c r="AK7953" s="80">
        <f t="shared" si="1228"/>
        <v>0</v>
      </c>
      <c r="AL7953" s="85"/>
      <c r="AM7953" s="85"/>
    </row>
    <row r="7954" spans="1:39" s="86" customFormat="1" ht="13.25" hidden="1" customHeight="1" x14ac:dyDescent="0.3">
      <c r="A7954" s="89" t="s">
        <v>3792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3767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220"/>
        <v>-817637.19000000006</v>
      </c>
      <c r="X7954" s="6">
        <f t="shared" si="1224"/>
        <v>131358.76</v>
      </c>
      <c r="Y7954" s="13">
        <f t="shared" si="1226"/>
        <v>0</v>
      </c>
      <c r="Z7954" s="14">
        <v>0</v>
      </c>
      <c r="AA7954" s="6">
        <v>0</v>
      </c>
      <c r="AB7954" s="4">
        <f t="shared" si="1227"/>
        <v>131358.76</v>
      </c>
      <c r="AC7954" s="6">
        <f t="shared" si="1225"/>
        <v>0</v>
      </c>
      <c r="AD7954" s="6">
        <f t="shared" si="1221"/>
        <v>131358.76</v>
      </c>
      <c r="AE7954" s="14">
        <f>VLOOKUP(I7954,[2]媒体政策预估表!A:N,MATCH(O7954,[2]媒体政策预估表!$A$2:$M$2,0),0)</f>
        <v>0.15</v>
      </c>
      <c r="AF7954" s="6">
        <f t="shared" si="1223"/>
        <v>19703.814000000002</v>
      </c>
      <c r="AG7954" s="14">
        <v>0</v>
      </c>
      <c r="AH7954" s="64">
        <f t="shared" si="1222"/>
        <v>131358.76</v>
      </c>
      <c r="AJ7954" s="126" t="e">
        <v>#N/A</v>
      </c>
      <c r="AK7954" s="80">
        <f t="shared" si="1228"/>
        <v>0</v>
      </c>
      <c r="AL7954" s="85"/>
      <c r="AM7954" s="85"/>
    </row>
    <row r="7955" spans="1:39" s="86" customFormat="1" ht="13.25" hidden="1" customHeight="1" x14ac:dyDescent="0.3">
      <c r="A7955" s="89" t="s">
        <v>3792</v>
      </c>
      <c r="B7955" s="86" t="s">
        <v>35</v>
      </c>
      <c r="C7955" s="86" t="s">
        <v>184</v>
      </c>
      <c r="D7955" s="86" t="s">
        <v>3849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3767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220"/>
        <v>-13827.68</v>
      </c>
      <c r="X7955" s="6">
        <f t="shared" si="1224"/>
        <v>0</v>
      </c>
      <c r="Y7955" s="13">
        <f t="shared" si="1226"/>
        <v>0</v>
      </c>
      <c r="Z7955" s="14">
        <v>0</v>
      </c>
      <c r="AA7955" s="6">
        <v>0</v>
      </c>
      <c r="AB7955" s="4">
        <f t="shared" si="1227"/>
        <v>0</v>
      </c>
      <c r="AC7955" s="6">
        <f t="shared" si="1225"/>
        <v>0</v>
      </c>
      <c r="AD7955" s="6">
        <f t="shared" si="1221"/>
        <v>0</v>
      </c>
      <c r="AE7955" s="14">
        <f>VLOOKUP(I7955,[2]媒体政策预估表!A:N,MATCH(O7955,[2]媒体政策预估表!$A$2:$M$2,0),0)</f>
        <v>0.15</v>
      </c>
      <c r="AF7955" s="6">
        <f t="shared" si="1223"/>
        <v>0</v>
      </c>
      <c r="AG7955" s="14">
        <v>0</v>
      </c>
      <c r="AH7955" s="64">
        <f t="shared" si="1222"/>
        <v>0</v>
      </c>
      <c r="AJ7955" s="126" t="e">
        <v>#N/A</v>
      </c>
      <c r="AK7955" s="80">
        <f t="shared" si="1228"/>
        <v>0</v>
      </c>
      <c r="AL7955" s="85"/>
      <c r="AM7955" s="85"/>
    </row>
    <row r="7956" spans="1:39" s="86" customFormat="1" ht="13.25" hidden="1" customHeight="1" x14ac:dyDescent="0.3">
      <c r="A7956" s="89" t="s">
        <v>3792</v>
      </c>
      <c r="B7956" s="86" t="s">
        <v>35</v>
      </c>
      <c r="C7956" s="86" t="s">
        <v>184</v>
      </c>
      <c r="D7956" s="86" t="s">
        <v>3849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3767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220"/>
        <v>-318.06</v>
      </c>
      <c r="X7956" s="6">
        <f t="shared" si="1224"/>
        <v>0</v>
      </c>
      <c r="Y7956" s="13">
        <f t="shared" si="1226"/>
        <v>0</v>
      </c>
      <c r="Z7956" s="14">
        <v>0</v>
      </c>
      <c r="AA7956" s="6">
        <v>0</v>
      </c>
      <c r="AB7956" s="4">
        <f t="shared" si="1227"/>
        <v>0</v>
      </c>
      <c r="AC7956" s="6">
        <f t="shared" si="1225"/>
        <v>0</v>
      </c>
      <c r="AD7956" s="6">
        <f t="shared" si="1221"/>
        <v>0</v>
      </c>
      <c r="AE7956" s="14">
        <f>VLOOKUP(I7956,[2]媒体政策预估表!A:N,MATCH(O7956,[2]媒体政策预估表!$A$2:$M$2,0),0)</f>
        <v>0.15</v>
      </c>
      <c r="AF7956" s="6">
        <f t="shared" si="1223"/>
        <v>0</v>
      </c>
      <c r="AG7956" s="14">
        <v>0</v>
      </c>
      <c r="AH7956" s="64">
        <f t="shared" si="1222"/>
        <v>0</v>
      </c>
      <c r="AJ7956" s="126" t="e">
        <v>#N/A</v>
      </c>
      <c r="AK7956" s="80">
        <f t="shared" si="1228"/>
        <v>0</v>
      </c>
      <c r="AL7956" s="85"/>
      <c r="AM7956" s="85"/>
    </row>
    <row r="7957" spans="1:39" s="86" customFormat="1" ht="13.25" hidden="1" customHeight="1" x14ac:dyDescent="0.3">
      <c r="A7957" s="89" t="s">
        <v>3978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3767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220"/>
        <v>-41997.155809999997</v>
      </c>
      <c r="X7957" s="6">
        <f t="shared" si="1224"/>
        <v>7896.3702400000002</v>
      </c>
      <c r="Y7957" s="13">
        <f t="shared" si="1226"/>
        <v>0</v>
      </c>
      <c r="Z7957" s="14">
        <v>0</v>
      </c>
      <c r="AA7957" s="6">
        <v>0</v>
      </c>
      <c r="AB7957" s="4">
        <f t="shared" si="1227"/>
        <v>7896.3702400000002</v>
      </c>
      <c r="AC7957" s="6">
        <f t="shared" si="1225"/>
        <v>0</v>
      </c>
      <c r="AD7957" s="6">
        <f t="shared" si="1221"/>
        <v>7896.3702400000002</v>
      </c>
      <c r="AE7957" s="14">
        <f>VLOOKUP(I7957,[2]媒体政策预估表!A:N,MATCH(O7957,[2]媒体政策预估表!$A$2:$M$2,0),0)</f>
        <v>0.1</v>
      </c>
      <c r="AF7957" s="6">
        <f t="shared" si="1223"/>
        <v>789.63702400000011</v>
      </c>
      <c r="AG7957" s="14">
        <v>0</v>
      </c>
      <c r="AH7957" s="64">
        <f t="shared" si="1222"/>
        <v>7896.3702400000002</v>
      </c>
      <c r="AJ7957" s="126" t="e">
        <v>#N/A</v>
      </c>
      <c r="AK7957" s="80">
        <f t="shared" si="1228"/>
        <v>0</v>
      </c>
      <c r="AL7957" s="85"/>
      <c r="AM7957" s="85"/>
    </row>
    <row r="7958" spans="1:39" s="86" customFormat="1" ht="13.25" hidden="1" customHeight="1" x14ac:dyDescent="0.3">
      <c r="A7958" s="89" t="s">
        <v>3978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3767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220"/>
        <v>-4226.5334000000003</v>
      </c>
      <c r="X7958" s="6">
        <f t="shared" si="1224"/>
        <v>0</v>
      </c>
      <c r="Y7958" s="13">
        <f t="shared" si="1226"/>
        <v>0</v>
      </c>
      <c r="Z7958" s="14">
        <v>0</v>
      </c>
      <c r="AA7958" s="6">
        <v>0</v>
      </c>
      <c r="AB7958" s="4">
        <f t="shared" si="1227"/>
        <v>0</v>
      </c>
      <c r="AC7958" s="6">
        <f t="shared" si="1225"/>
        <v>0</v>
      </c>
      <c r="AD7958" s="6">
        <f t="shared" si="1221"/>
        <v>0</v>
      </c>
      <c r="AE7958" s="14">
        <f>VLOOKUP(I7958,[2]媒体政策预估表!A:N,MATCH(O7958,[2]媒体政策预估表!$A$2:$M$2,0),0)</f>
        <v>0.1</v>
      </c>
      <c r="AF7958" s="6">
        <f t="shared" si="1223"/>
        <v>0</v>
      </c>
      <c r="AG7958" s="14">
        <v>0</v>
      </c>
      <c r="AH7958" s="64">
        <f t="shared" si="1222"/>
        <v>0</v>
      </c>
      <c r="AJ7958" s="126" t="e">
        <v>#N/A</v>
      </c>
      <c r="AK7958" s="80">
        <f t="shared" si="1228"/>
        <v>0</v>
      </c>
      <c r="AL7958" s="85"/>
      <c r="AM7958" s="85"/>
    </row>
    <row r="7959" spans="1:39" s="86" customFormat="1" ht="13.25" hidden="1" customHeight="1" x14ac:dyDescent="0.3">
      <c r="A7959" s="89" t="s">
        <v>3792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3767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220"/>
        <v>-656.50497000000007</v>
      </c>
      <c r="X7959" s="6">
        <f t="shared" si="1224"/>
        <v>0</v>
      </c>
      <c r="Y7959" s="13">
        <f t="shared" si="1226"/>
        <v>0</v>
      </c>
      <c r="Z7959" s="14">
        <v>0</v>
      </c>
      <c r="AA7959" s="6">
        <v>0</v>
      </c>
      <c r="AB7959" s="4">
        <f t="shared" si="1227"/>
        <v>0</v>
      </c>
      <c r="AC7959" s="6">
        <f t="shared" si="1225"/>
        <v>0</v>
      </c>
      <c r="AD7959" s="6">
        <f t="shared" si="1221"/>
        <v>0</v>
      </c>
      <c r="AE7959" s="14">
        <f>VLOOKUP(I7959,[2]媒体政策预估表!A:N,MATCH(O7959,[2]媒体政策预估表!$A$2:$M$2,0),0)</f>
        <v>0.1</v>
      </c>
      <c r="AF7959" s="6">
        <f t="shared" si="1223"/>
        <v>0</v>
      </c>
      <c r="AG7959" s="14">
        <v>0</v>
      </c>
      <c r="AH7959" s="64">
        <f t="shared" si="1222"/>
        <v>0</v>
      </c>
      <c r="AJ7959" s="126" t="e">
        <v>#N/A</v>
      </c>
      <c r="AK7959" s="80">
        <f t="shared" si="1228"/>
        <v>0</v>
      </c>
      <c r="AL7959" s="85"/>
      <c r="AM7959" s="85"/>
    </row>
    <row r="7960" spans="1:39" s="86" customFormat="1" ht="13.25" hidden="1" customHeight="1" x14ac:dyDescent="0.3">
      <c r="A7960" s="89" t="s">
        <v>3978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3767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220"/>
        <v>-6206.7361600000004</v>
      </c>
      <c r="X7960" s="6">
        <f t="shared" si="1224"/>
        <v>0</v>
      </c>
      <c r="Y7960" s="13">
        <f t="shared" si="1226"/>
        <v>0</v>
      </c>
      <c r="Z7960" s="14">
        <v>0</v>
      </c>
      <c r="AA7960" s="6">
        <v>0</v>
      </c>
      <c r="AB7960" s="4">
        <f t="shared" si="1227"/>
        <v>0</v>
      </c>
      <c r="AC7960" s="6">
        <f t="shared" si="1225"/>
        <v>0</v>
      </c>
      <c r="AD7960" s="6">
        <f t="shared" si="1221"/>
        <v>0</v>
      </c>
      <c r="AE7960" s="14">
        <f>VLOOKUP(I7960,[2]媒体政策预估表!A:N,MATCH(O7960,[2]媒体政策预估表!$A$2:$M$2,0),0)</f>
        <v>0.1</v>
      </c>
      <c r="AF7960" s="6">
        <f t="shared" si="1223"/>
        <v>0</v>
      </c>
      <c r="AG7960" s="14">
        <v>0</v>
      </c>
      <c r="AH7960" s="64">
        <f t="shared" si="1222"/>
        <v>0</v>
      </c>
      <c r="AJ7960" s="126" t="e">
        <v>#N/A</v>
      </c>
      <c r="AK7960" s="80">
        <f t="shared" si="1228"/>
        <v>0</v>
      </c>
      <c r="AL7960" s="85"/>
      <c r="AM7960" s="85"/>
    </row>
    <row r="7961" spans="1:39" s="86" customFormat="1" ht="13.25" hidden="1" customHeight="1" x14ac:dyDescent="0.3">
      <c r="A7961" s="89" t="s">
        <v>3792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3767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229">T7961+U7961-V7961</f>
        <v>-3753.6047200000003</v>
      </c>
      <c r="X7961" s="6">
        <f t="shared" si="1224"/>
        <v>2472.86294</v>
      </c>
      <c r="Y7961" s="13">
        <f t="shared" si="1226"/>
        <v>0</v>
      </c>
      <c r="Z7961" s="14">
        <v>0</v>
      </c>
      <c r="AA7961" s="6">
        <v>0</v>
      </c>
      <c r="AB7961" s="4">
        <f t="shared" si="1227"/>
        <v>2472.86294</v>
      </c>
      <c r="AC7961" s="6">
        <f t="shared" si="1225"/>
        <v>0</v>
      </c>
      <c r="AD7961" s="6">
        <f t="shared" ref="AD7961:AD8005" si="1230">V7961</f>
        <v>2472.86294</v>
      </c>
      <c r="AE7961" s="14">
        <f>VLOOKUP(I7961,[2]媒体政策预估表!A:N,MATCH(O7961,[2]媒体政策预估表!$A$2:$M$2,0),0)</f>
        <v>0.1</v>
      </c>
      <c r="AF7961" s="6">
        <f t="shared" si="1223"/>
        <v>247.286294</v>
      </c>
      <c r="AG7961" s="14">
        <v>0</v>
      </c>
      <c r="AH7961" s="64">
        <f t="shared" ref="AH7961:AH7987" si="1231">V7961</f>
        <v>2472.86294</v>
      </c>
      <c r="AJ7961" s="126" t="e">
        <v>#N/A</v>
      </c>
      <c r="AK7961" s="80">
        <f t="shared" si="1228"/>
        <v>0</v>
      </c>
      <c r="AL7961" s="85"/>
      <c r="AM7961" s="85"/>
    </row>
    <row r="7962" spans="1:39" s="86" customFormat="1" ht="13.25" hidden="1" customHeight="1" x14ac:dyDescent="0.3">
      <c r="A7962" s="89" t="s">
        <v>3978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3767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229"/>
        <v>-190245.20994</v>
      </c>
      <c r="X7962" s="6">
        <f t="shared" si="1224"/>
        <v>42375.298294117645</v>
      </c>
      <c r="Y7962" s="13">
        <f t="shared" si="1226"/>
        <v>0</v>
      </c>
      <c r="Z7962" s="14">
        <v>0</v>
      </c>
      <c r="AA7962" s="6">
        <v>0</v>
      </c>
      <c r="AB7962" s="4">
        <f t="shared" si="1227"/>
        <v>42375.298294117645</v>
      </c>
      <c r="AC7962" s="6">
        <f t="shared" si="1225"/>
        <v>847.50596588235203</v>
      </c>
      <c r="AD7962" s="6">
        <f t="shared" si="1230"/>
        <v>43222.804259999997</v>
      </c>
      <c r="AE7962" s="14">
        <f>VLOOKUP(I7962,[2]媒体政策预估表!A:N,MATCH(O7962,[2]媒体政策预估表!$A$2:$M$2,0),0)</f>
        <v>0.1</v>
      </c>
      <c r="AF7962" s="6">
        <f t="shared" si="1223"/>
        <v>4322.2804260000003</v>
      </c>
      <c r="AG7962" s="14">
        <v>0</v>
      </c>
      <c r="AH7962" s="64">
        <f t="shared" si="1231"/>
        <v>43222.804259999997</v>
      </c>
      <c r="AJ7962" s="126" t="e">
        <v>#N/A</v>
      </c>
      <c r="AK7962" s="80">
        <f t="shared" si="1228"/>
        <v>0</v>
      </c>
      <c r="AL7962" s="85"/>
      <c r="AM7962" s="85"/>
    </row>
    <row r="7963" spans="1:39" s="86" customFormat="1" ht="13.25" hidden="1" customHeight="1" x14ac:dyDescent="0.3">
      <c r="A7963" s="89" t="s">
        <v>3792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3767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229"/>
        <v>-27636.10859</v>
      </c>
      <c r="X7963" s="6">
        <f t="shared" si="1224"/>
        <v>0</v>
      </c>
      <c r="Y7963" s="13">
        <f t="shared" si="1226"/>
        <v>0</v>
      </c>
      <c r="Z7963" s="14">
        <v>0</v>
      </c>
      <c r="AA7963" s="6">
        <v>0</v>
      </c>
      <c r="AB7963" s="4">
        <f t="shared" si="1227"/>
        <v>0</v>
      </c>
      <c r="AC7963" s="6">
        <f t="shared" si="1225"/>
        <v>0</v>
      </c>
      <c r="AD7963" s="6">
        <f t="shared" si="1230"/>
        <v>0</v>
      </c>
      <c r="AE7963" s="14">
        <f>VLOOKUP(I7963,[2]媒体政策预估表!A:N,MATCH(O7963,[2]媒体政策预估表!$A$2:$M$2,0),0)</f>
        <v>0.1</v>
      </c>
      <c r="AF7963" s="6">
        <f t="shared" si="1223"/>
        <v>0</v>
      </c>
      <c r="AG7963" s="14">
        <v>0</v>
      </c>
      <c r="AH7963" s="64">
        <f t="shared" si="1231"/>
        <v>0</v>
      </c>
      <c r="AJ7963" s="126" t="e">
        <v>#N/A</v>
      </c>
      <c r="AK7963" s="80">
        <f t="shared" si="1228"/>
        <v>0</v>
      </c>
      <c r="AL7963" s="85"/>
      <c r="AM7963" s="85"/>
    </row>
    <row r="7964" spans="1:39" s="86" customFormat="1" ht="13.25" hidden="1" customHeight="1" x14ac:dyDescent="0.3">
      <c r="A7964" s="89" t="s">
        <v>3978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3767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229"/>
        <v>-683373.44967</v>
      </c>
      <c r="X7964" s="6">
        <f t="shared" si="1224"/>
        <v>92439.809049999996</v>
      </c>
      <c r="Y7964" s="13">
        <f t="shared" si="1226"/>
        <v>0</v>
      </c>
      <c r="Z7964" s="14">
        <v>0</v>
      </c>
      <c r="AA7964" s="6">
        <v>0</v>
      </c>
      <c r="AB7964" s="4">
        <f t="shared" si="1227"/>
        <v>92439.809049999996</v>
      </c>
      <c r="AC7964" s="6">
        <f t="shared" si="1225"/>
        <v>0</v>
      </c>
      <c r="AD7964" s="6">
        <f t="shared" si="1230"/>
        <v>92439.809049999996</v>
      </c>
      <c r="AE7964" s="14">
        <f>VLOOKUP(I7964,[2]媒体政策预估表!A:N,MATCH(O7964,[2]媒体政策预估表!$A$2:$M$2,0),0)</f>
        <v>0.1</v>
      </c>
      <c r="AF7964" s="6">
        <f t="shared" si="1223"/>
        <v>9243.9809050000003</v>
      </c>
      <c r="AG7964" s="14">
        <v>0</v>
      </c>
      <c r="AH7964" s="64">
        <f t="shared" si="1231"/>
        <v>92439.809049999996</v>
      </c>
      <c r="AJ7964" s="126" t="e">
        <v>#N/A</v>
      </c>
      <c r="AK7964" s="80">
        <f t="shared" si="1228"/>
        <v>0</v>
      </c>
      <c r="AL7964" s="85"/>
      <c r="AM7964" s="85"/>
    </row>
    <row r="7965" spans="1:39" s="86" customFormat="1" ht="13.25" hidden="1" customHeight="1" x14ac:dyDescent="0.3">
      <c r="A7965" s="89" t="s">
        <v>3978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3767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229"/>
        <v>-50.1</v>
      </c>
      <c r="X7965" s="6">
        <f t="shared" si="1224"/>
        <v>0</v>
      </c>
      <c r="Y7965" s="13">
        <f t="shared" si="1226"/>
        <v>0</v>
      </c>
      <c r="Z7965" s="14">
        <v>0</v>
      </c>
      <c r="AA7965" s="6">
        <v>0</v>
      </c>
      <c r="AB7965" s="4">
        <f t="shared" si="1227"/>
        <v>0</v>
      </c>
      <c r="AC7965" s="6">
        <f t="shared" si="1225"/>
        <v>0</v>
      </c>
      <c r="AD7965" s="6">
        <f t="shared" si="1230"/>
        <v>0</v>
      </c>
      <c r="AE7965" s="14">
        <f>VLOOKUP(I7965,[2]媒体政策预估表!A:N,MATCH(O7965,[2]媒体政策预估表!$A$2:$M$2,0),0)</f>
        <v>0.1</v>
      </c>
      <c r="AF7965" s="6">
        <f t="shared" si="1223"/>
        <v>0</v>
      </c>
      <c r="AG7965" s="14">
        <v>0</v>
      </c>
      <c r="AH7965" s="64">
        <f t="shared" si="1231"/>
        <v>0</v>
      </c>
      <c r="AJ7965" s="126" t="e">
        <v>#N/A</v>
      </c>
      <c r="AK7965" s="80">
        <f t="shared" si="1228"/>
        <v>0</v>
      </c>
      <c r="AL7965" s="85"/>
      <c r="AM7965" s="85"/>
    </row>
    <row r="7966" spans="1:39" s="86" customFormat="1" ht="13.25" hidden="1" customHeight="1" x14ac:dyDescent="0.3">
      <c r="A7966" s="89" t="s">
        <v>3978</v>
      </c>
      <c r="B7966" s="86" t="s">
        <v>35</v>
      </c>
      <c r="C7966" s="86" t="s">
        <v>184</v>
      </c>
      <c r="D7966" s="86" t="s">
        <v>3849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3767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229"/>
        <v>-4855.8</v>
      </c>
      <c r="X7966" s="6">
        <f t="shared" si="1224"/>
        <v>426.6</v>
      </c>
      <c r="Y7966" s="13">
        <f t="shared" si="1226"/>
        <v>0</v>
      </c>
      <c r="Z7966" s="14">
        <v>0</v>
      </c>
      <c r="AA7966" s="6">
        <v>0</v>
      </c>
      <c r="AB7966" s="4">
        <f t="shared" si="1227"/>
        <v>426.6</v>
      </c>
      <c r="AC7966" s="6">
        <f t="shared" si="1225"/>
        <v>0</v>
      </c>
      <c r="AD7966" s="6">
        <f t="shared" si="1230"/>
        <v>426.6</v>
      </c>
      <c r="AE7966" s="14">
        <f>VLOOKUP(I7966,[2]媒体政策预估表!A:N,MATCH(O7966,[2]媒体政策预估表!$A$2:$M$2,0),0)</f>
        <v>0.1</v>
      </c>
      <c r="AF7966" s="6">
        <f t="shared" si="1223"/>
        <v>42.660000000000004</v>
      </c>
      <c r="AG7966" s="14">
        <v>0</v>
      </c>
      <c r="AH7966" s="64">
        <f t="shared" si="1231"/>
        <v>426.6</v>
      </c>
      <c r="AJ7966" s="126" t="e">
        <v>#N/A</v>
      </c>
      <c r="AK7966" s="80">
        <f t="shared" si="1228"/>
        <v>0</v>
      </c>
      <c r="AL7966" s="85"/>
      <c r="AM7966" s="85"/>
    </row>
    <row r="7967" spans="1:39" s="86" customFormat="1" ht="13.25" hidden="1" customHeight="1" x14ac:dyDescent="0.3">
      <c r="A7967" s="89" t="s">
        <v>3978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3767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229"/>
        <v>-801.6</v>
      </c>
      <c r="X7967" s="6">
        <f t="shared" si="1224"/>
        <v>0</v>
      </c>
      <c r="Y7967" s="13">
        <f t="shared" si="1226"/>
        <v>0</v>
      </c>
      <c r="Z7967" s="14">
        <v>0</v>
      </c>
      <c r="AA7967" s="6">
        <v>0</v>
      </c>
      <c r="AB7967" s="4">
        <f t="shared" si="1227"/>
        <v>0</v>
      </c>
      <c r="AC7967" s="6">
        <f t="shared" si="1225"/>
        <v>0</v>
      </c>
      <c r="AD7967" s="6">
        <f t="shared" si="1230"/>
        <v>0</v>
      </c>
      <c r="AE7967" s="14">
        <f>VLOOKUP(I7967,[2]媒体政策预估表!A:N,MATCH(O7967,[2]媒体政策预估表!$A$2:$M$2,0),0)</f>
        <v>0.1</v>
      </c>
      <c r="AF7967" s="6">
        <f t="shared" si="1223"/>
        <v>0</v>
      </c>
      <c r="AG7967" s="14">
        <v>0</v>
      </c>
      <c r="AH7967" s="64">
        <f t="shared" si="1231"/>
        <v>0</v>
      </c>
      <c r="AJ7967" s="126" t="e">
        <v>#N/A</v>
      </c>
      <c r="AK7967" s="80">
        <f t="shared" si="1228"/>
        <v>0</v>
      </c>
      <c r="AL7967" s="85"/>
      <c r="AM7967" s="85"/>
    </row>
    <row r="7968" spans="1:39" s="86" customFormat="1" ht="13.25" hidden="1" customHeight="1" x14ac:dyDescent="0.3">
      <c r="A7968" s="89" t="s">
        <v>3792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3767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229"/>
        <v>-12.464639999999999</v>
      </c>
      <c r="X7968" s="6">
        <f t="shared" si="1224"/>
        <v>0</v>
      </c>
      <c r="Y7968" s="13">
        <f t="shared" si="1226"/>
        <v>0</v>
      </c>
      <c r="Z7968" s="14">
        <v>0</v>
      </c>
      <c r="AA7968" s="6">
        <v>0</v>
      </c>
      <c r="AB7968" s="4">
        <f t="shared" si="1227"/>
        <v>0</v>
      </c>
      <c r="AC7968" s="6">
        <f t="shared" si="1225"/>
        <v>0</v>
      </c>
      <c r="AD7968" s="6">
        <f t="shared" si="1230"/>
        <v>0</v>
      </c>
      <c r="AE7968" s="14">
        <f>VLOOKUP(I7968,[2]媒体政策预估表!A:N,MATCH(O7968,[2]媒体政策预估表!$A$2:$M$2,0),0)</f>
        <v>0.1</v>
      </c>
      <c r="AF7968" s="6">
        <f t="shared" si="1223"/>
        <v>0</v>
      </c>
      <c r="AG7968" s="14">
        <v>0</v>
      </c>
      <c r="AH7968" s="64">
        <f t="shared" si="1231"/>
        <v>0</v>
      </c>
      <c r="AJ7968" s="126" t="e">
        <v>#N/A</v>
      </c>
      <c r="AK7968" s="80">
        <f t="shared" si="1228"/>
        <v>0</v>
      </c>
      <c r="AL7968" s="85"/>
      <c r="AM7968" s="85"/>
    </row>
    <row r="7969" spans="1:39" s="86" customFormat="1" ht="13.25" hidden="1" customHeight="1" x14ac:dyDescent="0.3">
      <c r="A7969" s="89" t="s">
        <v>3978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3767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229"/>
        <v>-112848.80821999999</v>
      </c>
      <c r="X7969" s="6">
        <f t="shared" si="1224"/>
        <v>29626.049333333332</v>
      </c>
      <c r="Y7969" s="13">
        <f t="shared" si="1226"/>
        <v>0</v>
      </c>
      <c r="Z7969" s="14">
        <v>0</v>
      </c>
      <c r="AA7969" s="6">
        <v>0</v>
      </c>
      <c r="AB7969" s="4">
        <f t="shared" si="1227"/>
        <v>29626.049333333332</v>
      </c>
      <c r="AC7969" s="6">
        <f t="shared" si="1225"/>
        <v>592.52098666666643</v>
      </c>
      <c r="AD7969" s="6">
        <f t="shared" si="1230"/>
        <v>30218.570319999999</v>
      </c>
      <c r="AE7969" s="14">
        <f>VLOOKUP(I7969,[2]媒体政策预估表!A:N,MATCH(O7969,[2]媒体政策预估表!$A$2:$M$2,0),0)</f>
        <v>0.15</v>
      </c>
      <c r="AF7969" s="6">
        <f t="shared" si="1223"/>
        <v>4532.7855479999998</v>
      </c>
      <c r="AG7969" s="14">
        <v>0</v>
      </c>
      <c r="AH7969" s="64">
        <f t="shared" si="1231"/>
        <v>30218.570319999999</v>
      </c>
      <c r="AJ7969" s="126" t="e">
        <v>#N/A</v>
      </c>
      <c r="AK7969" s="80">
        <f t="shared" si="1228"/>
        <v>0</v>
      </c>
      <c r="AL7969" s="85"/>
      <c r="AM7969" s="85"/>
    </row>
    <row r="7970" spans="1:39" s="86" customFormat="1" ht="13.25" hidden="1" customHeight="1" x14ac:dyDescent="0.3">
      <c r="A7970" s="89" t="s">
        <v>3978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3767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229"/>
        <v>-302.02226000000002</v>
      </c>
      <c r="X7970" s="6">
        <f t="shared" si="1224"/>
        <v>0</v>
      </c>
      <c r="Y7970" s="13">
        <f t="shared" si="1226"/>
        <v>0</v>
      </c>
      <c r="Z7970" s="14">
        <v>0</v>
      </c>
      <c r="AA7970" s="6">
        <v>0</v>
      </c>
      <c r="AB7970" s="4">
        <f t="shared" si="1227"/>
        <v>0</v>
      </c>
      <c r="AC7970" s="6">
        <f t="shared" si="1225"/>
        <v>0</v>
      </c>
      <c r="AD7970" s="6">
        <f t="shared" si="1230"/>
        <v>0</v>
      </c>
      <c r="AE7970" s="14">
        <f>VLOOKUP(I7970,[2]媒体政策预估表!A:N,MATCH(O7970,[2]媒体政策预估表!$A$2:$M$2,0),0)</f>
        <v>0.15</v>
      </c>
      <c r="AF7970" s="6">
        <f t="shared" si="1223"/>
        <v>0</v>
      </c>
      <c r="AG7970" s="14">
        <v>0</v>
      </c>
      <c r="AH7970" s="64">
        <f t="shared" si="1231"/>
        <v>0</v>
      </c>
      <c r="AJ7970" s="126" t="e">
        <v>#N/A</v>
      </c>
      <c r="AK7970" s="80">
        <f t="shared" si="1228"/>
        <v>0</v>
      </c>
      <c r="AL7970" s="85"/>
      <c r="AM7970" s="85"/>
    </row>
    <row r="7971" spans="1:39" s="86" customFormat="1" ht="13.25" hidden="1" customHeight="1" x14ac:dyDescent="0.3">
      <c r="A7971" s="89" t="s">
        <v>3978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3767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229"/>
        <v>-44512.835030000002</v>
      </c>
      <c r="X7971" s="6">
        <f t="shared" si="1224"/>
        <v>5916.64995</v>
      </c>
      <c r="Y7971" s="13">
        <f t="shared" si="1226"/>
        <v>0</v>
      </c>
      <c r="Z7971" s="14">
        <v>0</v>
      </c>
      <c r="AA7971" s="6">
        <v>0</v>
      </c>
      <c r="AB7971" s="4">
        <f t="shared" si="1227"/>
        <v>5916.64995</v>
      </c>
      <c r="AC7971" s="6">
        <f t="shared" si="1225"/>
        <v>0</v>
      </c>
      <c r="AD7971" s="6">
        <f t="shared" si="1230"/>
        <v>5916.64995</v>
      </c>
      <c r="AE7971" s="14">
        <f>VLOOKUP(I7971,[2]媒体政策预估表!A:N,MATCH(O7971,[2]媒体政策预估表!$A$2:$M$2,0),0)</f>
        <v>0.1</v>
      </c>
      <c r="AF7971" s="6">
        <f t="shared" si="1223"/>
        <v>591.66499499999998</v>
      </c>
      <c r="AG7971" s="14">
        <v>0</v>
      </c>
      <c r="AH7971" s="64">
        <f t="shared" si="1231"/>
        <v>5916.64995</v>
      </c>
      <c r="AJ7971" s="126" t="e">
        <v>#N/A</v>
      </c>
      <c r="AK7971" s="80">
        <f t="shared" si="1228"/>
        <v>0</v>
      </c>
      <c r="AL7971" s="85"/>
      <c r="AM7971" s="85"/>
    </row>
    <row r="7972" spans="1:39" s="86" customFormat="1" ht="13.25" hidden="1" customHeight="1" x14ac:dyDescent="0.3">
      <c r="A7972" s="89" t="s">
        <v>3978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3767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229"/>
        <v>-5454.7264500000001</v>
      </c>
      <c r="X7972" s="6">
        <f t="shared" si="1224"/>
        <v>5188.9103235294124</v>
      </c>
      <c r="Y7972" s="13">
        <f t="shared" si="1226"/>
        <v>0</v>
      </c>
      <c r="Z7972" s="14">
        <v>0</v>
      </c>
      <c r="AA7972" s="6">
        <v>0</v>
      </c>
      <c r="AB7972" s="4">
        <f t="shared" si="1227"/>
        <v>5188.9103235294124</v>
      </c>
      <c r="AC7972" s="6">
        <f t="shared" si="1225"/>
        <v>103.77820647058797</v>
      </c>
      <c r="AD7972" s="6">
        <f t="shared" si="1230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232">AD7972*AE7972</f>
        <v>529.26885300000004</v>
      </c>
      <c r="AG7972" s="14">
        <v>0</v>
      </c>
      <c r="AH7972" s="64">
        <f t="shared" si="1231"/>
        <v>5292.6885300000004</v>
      </c>
      <c r="AJ7972" s="126" t="e">
        <v>#N/A</v>
      </c>
      <c r="AK7972" s="80">
        <f t="shared" si="1228"/>
        <v>0</v>
      </c>
      <c r="AL7972" s="85"/>
      <c r="AM7972" s="85"/>
    </row>
    <row r="7973" spans="1:39" s="86" customFormat="1" ht="13.25" hidden="1" customHeight="1" x14ac:dyDescent="0.3">
      <c r="A7973" s="89" t="s">
        <v>3978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3767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229"/>
        <v>-57106.917090000003</v>
      </c>
      <c r="X7973" s="6">
        <f t="shared" si="1224"/>
        <v>5656.6079600000003</v>
      </c>
      <c r="Y7973" s="13">
        <f t="shared" si="1226"/>
        <v>0</v>
      </c>
      <c r="Z7973" s="14">
        <v>0</v>
      </c>
      <c r="AA7973" s="6">
        <v>0</v>
      </c>
      <c r="AB7973" s="4">
        <f t="shared" si="1227"/>
        <v>5656.6079600000003</v>
      </c>
      <c r="AC7973" s="6">
        <f t="shared" si="1225"/>
        <v>0</v>
      </c>
      <c r="AD7973" s="6">
        <f t="shared" si="1230"/>
        <v>5656.6079600000003</v>
      </c>
      <c r="AE7973" s="14">
        <f>VLOOKUP(I7973,[2]媒体政策预估表!A:N,MATCH(O7973,[2]媒体政策预估表!$A$2:$M$2,0),0)</f>
        <v>0.1</v>
      </c>
      <c r="AF7973" s="6">
        <f t="shared" si="1232"/>
        <v>565.660796</v>
      </c>
      <c r="AG7973" s="14">
        <v>0</v>
      </c>
      <c r="AH7973" s="64">
        <f t="shared" si="1231"/>
        <v>5656.6079600000003</v>
      </c>
      <c r="AJ7973" s="126" t="e">
        <v>#N/A</v>
      </c>
      <c r="AK7973" s="80">
        <f t="shared" si="1228"/>
        <v>0</v>
      </c>
      <c r="AL7973" s="85"/>
      <c r="AM7973" s="85"/>
    </row>
    <row r="7974" spans="1:39" s="86" customFormat="1" ht="13.25" hidden="1" customHeight="1" x14ac:dyDescent="0.3">
      <c r="A7974" s="89" t="s">
        <v>3978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3767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229"/>
        <v>-3201.16104</v>
      </c>
      <c r="X7974" s="6">
        <f t="shared" si="1224"/>
        <v>2254.9180891089109</v>
      </c>
      <c r="Y7974" s="13">
        <f t="shared" si="1226"/>
        <v>0</v>
      </c>
      <c r="Z7974" s="14">
        <v>0</v>
      </c>
      <c r="AA7974" s="6">
        <v>0</v>
      </c>
      <c r="AB7974" s="4">
        <f t="shared" si="1227"/>
        <v>2254.9180891089109</v>
      </c>
      <c r="AC7974" s="6">
        <f t="shared" si="1225"/>
        <v>22.549180891089236</v>
      </c>
      <c r="AD7974" s="6">
        <f t="shared" si="1230"/>
        <v>2277.4672700000001</v>
      </c>
      <c r="AE7974" s="14">
        <f>VLOOKUP(I7974,[2]媒体政策预估表!A:N,MATCH(O7974,[2]媒体政策预估表!$A$2:$M$2,0),0)</f>
        <v>0.1</v>
      </c>
      <c r="AF7974" s="6">
        <f t="shared" si="1232"/>
        <v>227.74672700000002</v>
      </c>
      <c r="AG7974" s="14">
        <v>0</v>
      </c>
      <c r="AH7974" s="64">
        <f t="shared" si="1231"/>
        <v>2277.4672700000001</v>
      </c>
      <c r="AJ7974" s="126" t="e">
        <v>#N/A</v>
      </c>
      <c r="AK7974" s="80">
        <f t="shared" si="1228"/>
        <v>0</v>
      </c>
      <c r="AL7974" s="85"/>
      <c r="AM7974" s="85"/>
    </row>
    <row r="7975" spans="1:39" s="86" customFormat="1" ht="13.25" hidden="1" customHeight="1" x14ac:dyDescent="0.3">
      <c r="A7975" s="89" t="s">
        <v>3978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3767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229"/>
        <v>-7024.0918099999999</v>
      </c>
      <c r="X7975" s="6">
        <f t="shared" si="1224"/>
        <v>2163.3143399999999</v>
      </c>
      <c r="Y7975" s="13">
        <f t="shared" si="1226"/>
        <v>0</v>
      </c>
      <c r="Z7975" s="14">
        <v>0</v>
      </c>
      <c r="AA7975" s="6">
        <v>0</v>
      </c>
      <c r="AB7975" s="4">
        <f t="shared" si="1227"/>
        <v>2163.3143399999999</v>
      </c>
      <c r="AC7975" s="6">
        <f t="shared" si="1225"/>
        <v>0</v>
      </c>
      <c r="AD7975" s="6">
        <f t="shared" si="1230"/>
        <v>2163.3143399999999</v>
      </c>
      <c r="AE7975" s="14">
        <f>VLOOKUP(I7975,[2]媒体政策预估表!A:N,MATCH(O7975,[2]媒体政策预估表!$A$2:$M$2,0),0)</f>
        <v>0.1</v>
      </c>
      <c r="AF7975" s="6">
        <f t="shared" si="1232"/>
        <v>216.331434</v>
      </c>
      <c r="AG7975" s="14">
        <v>0</v>
      </c>
      <c r="AH7975" s="64">
        <f t="shared" si="1231"/>
        <v>2163.3143399999999</v>
      </c>
      <c r="AJ7975" s="126" t="e">
        <v>#N/A</v>
      </c>
      <c r="AK7975" s="80">
        <f t="shared" si="1228"/>
        <v>0</v>
      </c>
      <c r="AL7975" s="85"/>
      <c r="AM7975" s="85"/>
    </row>
    <row r="7976" spans="1:39" s="86" customFormat="1" ht="13.25" hidden="1" customHeight="1" x14ac:dyDescent="0.3">
      <c r="A7976" s="89" t="s">
        <v>3792</v>
      </c>
      <c r="B7976" s="86" t="s">
        <v>35</v>
      </c>
      <c r="C7976" s="86" t="s">
        <v>184</v>
      </c>
      <c r="D7976" s="86" t="s">
        <v>3849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3767</v>
      </c>
      <c r="L7976" s="47" t="s">
        <v>35</v>
      </c>
      <c r="M7976" s="86" t="s">
        <v>1368</v>
      </c>
      <c r="O7976" s="47" t="s">
        <v>4118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229"/>
        <v>-322.99068</v>
      </c>
      <c r="X7976" s="6">
        <f t="shared" si="1224"/>
        <v>322.99068</v>
      </c>
      <c r="Y7976" s="13">
        <f t="shared" si="1226"/>
        <v>0</v>
      </c>
      <c r="Z7976" s="14">
        <v>0</v>
      </c>
      <c r="AA7976" s="6">
        <v>0</v>
      </c>
      <c r="AB7976" s="4">
        <f t="shared" si="1227"/>
        <v>322.99068</v>
      </c>
      <c r="AC7976" s="6">
        <f t="shared" si="1225"/>
        <v>0</v>
      </c>
      <c r="AD7976" s="6">
        <f t="shared" si="1230"/>
        <v>322.99068</v>
      </c>
      <c r="AE7976" s="14">
        <f>VLOOKUP(I7976,[2]媒体政策预估表!A:N,MATCH(O7976,[2]媒体政策预估表!$A$2:$M$2,0),0)</f>
        <v>0.1</v>
      </c>
      <c r="AF7976" s="6">
        <f t="shared" si="1232"/>
        <v>32.299067999999998</v>
      </c>
      <c r="AG7976" s="14">
        <v>0</v>
      </c>
      <c r="AH7976" s="64">
        <f t="shared" si="1231"/>
        <v>322.99068</v>
      </c>
      <c r="AJ7976" s="126" t="e">
        <v>#N/A</v>
      </c>
      <c r="AK7976" s="80">
        <f t="shared" si="1228"/>
        <v>0</v>
      </c>
      <c r="AL7976" s="85"/>
      <c r="AM7976" s="85"/>
    </row>
    <row r="7977" spans="1:39" s="86" customFormat="1" ht="13.25" hidden="1" customHeight="1" x14ac:dyDescent="0.3">
      <c r="A7977" s="89" t="s">
        <v>3978</v>
      </c>
      <c r="B7977" s="86" t="s">
        <v>35</v>
      </c>
      <c r="C7977" s="86" t="s">
        <v>184</v>
      </c>
      <c r="D7977" s="86" t="s">
        <v>54</v>
      </c>
      <c r="E7977" s="86" t="s">
        <v>4105</v>
      </c>
      <c r="F7977" s="86" t="s">
        <v>4105</v>
      </c>
      <c r="G7977" s="86" t="s">
        <v>4105</v>
      </c>
      <c r="H7977" s="144">
        <v>360</v>
      </c>
      <c r="I7977" s="86" t="s">
        <v>1060</v>
      </c>
      <c r="J7977" s="47" t="s">
        <v>3325</v>
      </c>
      <c r="K7977" s="47" t="s">
        <v>3767</v>
      </c>
      <c r="L7977" s="47" t="s">
        <v>35</v>
      </c>
      <c r="M7977" s="86" t="s">
        <v>4105</v>
      </c>
      <c r="O7977" s="47" t="s">
        <v>4118</v>
      </c>
      <c r="P7977" s="47" t="s">
        <v>41</v>
      </c>
      <c r="Q7977" s="14">
        <v>0</v>
      </c>
      <c r="R7977" s="143" t="s">
        <v>4106</v>
      </c>
      <c r="S7977" s="47"/>
      <c r="T7977" s="6">
        <v>0</v>
      </c>
      <c r="U7977" s="6">
        <v>0</v>
      </c>
      <c r="V7977" s="6">
        <v>218.1</v>
      </c>
      <c r="W7977" s="6">
        <f t="shared" si="1229"/>
        <v>-218.1</v>
      </c>
      <c r="X7977" s="6">
        <f t="shared" si="1224"/>
        <v>218.1</v>
      </c>
      <c r="Y7977" s="13">
        <f t="shared" si="1226"/>
        <v>0</v>
      </c>
      <c r="Z7977" s="66">
        <v>0</v>
      </c>
      <c r="AA7977" s="6">
        <v>0</v>
      </c>
      <c r="AB7977" s="4">
        <f t="shared" si="1227"/>
        <v>218.1</v>
      </c>
      <c r="AC7977" s="6">
        <f t="shared" si="1225"/>
        <v>0</v>
      </c>
      <c r="AD7977" s="6">
        <f t="shared" si="1230"/>
        <v>218.1</v>
      </c>
      <c r="AE7977" s="14">
        <f>VLOOKUP(I7977,[2]媒体政策预估表!A:N,MATCH(O7977,[2]媒体政策预估表!$A$2:$M$2,0),0)</f>
        <v>0.1</v>
      </c>
      <c r="AF7977" s="6">
        <f t="shared" si="1232"/>
        <v>21.810000000000002</v>
      </c>
      <c r="AG7977" s="14">
        <v>0</v>
      </c>
      <c r="AH7977" s="64">
        <f t="shared" si="1231"/>
        <v>218.1</v>
      </c>
      <c r="AJ7977" s="126" t="e">
        <v>#N/A</v>
      </c>
      <c r="AK7977" s="80">
        <f t="shared" si="1228"/>
        <v>0</v>
      </c>
      <c r="AL7977" s="85"/>
      <c r="AM7977" s="85"/>
    </row>
    <row r="7978" spans="1:39" s="86" customFormat="1" ht="13.25" hidden="1" customHeight="1" x14ac:dyDescent="0.3">
      <c r="A7978" s="89" t="s">
        <v>3792</v>
      </c>
      <c r="B7978" s="86" t="s">
        <v>35</v>
      </c>
      <c r="C7978" s="86" t="s">
        <v>184</v>
      </c>
      <c r="D7978" s="86" t="s">
        <v>3849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3767</v>
      </c>
      <c r="L7978" s="47" t="s">
        <v>35</v>
      </c>
      <c r="M7978" s="86" t="s">
        <v>1336</v>
      </c>
      <c r="O7978" s="47" t="s">
        <v>4119</v>
      </c>
      <c r="P7978" s="47" t="s">
        <v>41</v>
      </c>
      <c r="Q7978" s="14">
        <v>0</v>
      </c>
      <c r="R7978" s="143" t="s">
        <v>4113</v>
      </c>
      <c r="S7978" s="47"/>
      <c r="T7978" s="6">
        <v>0</v>
      </c>
      <c r="U7978" s="6">
        <v>0</v>
      </c>
      <c r="V7978" s="6">
        <v>12123.9</v>
      </c>
      <c r="W7978" s="6">
        <f t="shared" si="1229"/>
        <v>-12123.9</v>
      </c>
      <c r="X7978" s="6">
        <f t="shared" si="1224"/>
        <v>12123.9</v>
      </c>
      <c r="Y7978" s="13">
        <f t="shared" si="1226"/>
        <v>0</v>
      </c>
      <c r="Z7978" s="66">
        <v>0</v>
      </c>
      <c r="AA7978" s="6">
        <v>0</v>
      </c>
      <c r="AB7978" s="4">
        <f t="shared" si="1227"/>
        <v>12123.9</v>
      </c>
      <c r="AC7978" s="6">
        <f t="shared" si="1225"/>
        <v>0</v>
      </c>
      <c r="AD7978" s="6">
        <f t="shared" si="1230"/>
        <v>12123.9</v>
      </c>
      <c r="AE7978" s="14">
        <f>VLOOKUP(I7978,[2]媒体政策预估表!A:N,MATCH(O7978,[2]媒体政策预估表!$A$2:$M$2,0),0)</f>
        <v>0.1</v>
      </c>
      <c r="AF7978" s="6">
        <f t="shared" si="1232"/>
        <v>1212.3900000000001</v>
      </c>
      <c r="AG7978" s="14">
        <v>0</v>
      </c>
      <c r="AH7978" s="64">
        <f t="shared" si="1231"/>
        <v>12123.9</v>
      </c>
      <c r="AJ7978" s="126" t="e">
        <v>#N/A</v>
      </c>
      <c r="AK7978" s="80">
        <f t="shared" si="1228"/>
        <v>0</v>
      </c>
      <c r="AL7978" s="85"/>
      <c r="AM7978" s="85"/>
    </row>
    <row r="7979" spans="1:39" s="86" customFormat="1" ht="13.25" hidden="1" customHeight="1" x14ac:dyDescent="0.3">
      <c r="A7979" s="89" t="s">
        <v>3978</v>
      </c>
      <c r="B7979" s="86" t="s">
        <v>35</v>
      </c>
      <c r="C7979" s="86" t="s">
        <v>36</v>
      </c>
      <c r="D7979" s="86" t="s">
        <v>185</v>
      </c>
      <c r="E7979" s="86" t="s">
        <v>1320</v>
      </c>
      <c r="F7979" s="86" t="s">
        <v>1321</v>
      </c>
      <c r="G7979" s="86" t="s">
        <v>4018</v>
      </c>
      <c r="H7979" s="144">
        <v>360</v>
      </c>
      <c r="I7979" s="86" t="s">
        <v>1060</v>
      </c>
      <c r="J7979" s="47" t="s">
        <v>3325</v>
      </c>
      <c r="K7979" s="47" t="s">
        <v>3767</v>
      </c>
      <c r="L7979" s="47" t="s">
        <v>35</v>
      </c>
      <c r="M7979" s="86" t="s">
        <v>4018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229"/>
        <v>-210</v>
      </c>
      <c r="X7979" s="6">
        <f t="shared" si="1224"/>
        <v>210</v>
      </c>
      <c r="Y7979" s="13">
        <f t="shared" si="1226"/>
        <v>0</v>
      </c>
      <c r="Z7979" s="66">
        <v>0</v>
      </c>
      <c r="AA7979" s="6">
        <v>0</v>
      </c>
      <c r="AB7979" s="4">
        <f t="shared" si="1227"/>
        <v>210</v>
      </c>
      <c r="AC7979" s="6">
        <f t="shared" si="1225"/>
        <v>0</v>
      </c>
      <c r="AD7979" s="6">
        <f t="shared" si="1230"/>
        <v>210</v>
      </c>
      <c r="AE7979" s="14">
        <f>VLOOKUP(I7979,[2]媒体政策预估表!A:N,MATCH(O7979,[2]媒体政策预估表!$A$2:$M$2,0),0)</f>
        <v>0.15</v>
      </c>
      <c r="AF7979" s="6">
        <f t="shared" si="1232"/>
        <v>31.5</v>
      </c>
      <c r="AG7979" s="14">
        <v>0</v>
      </c>
      <c r="AH7979" s="64">
        <f t="shared" si="1231"/>
        <v>210</v>
      </c>
      <c r="AJ7979" s="126" t="e">
        <v>#N/A</v>
      </c>
      <c r="AK7979" s="80">
        <f t="shared" si="1228"/>
        <v>0</v>
      </c>
      <c r="AL7979" s="85"/>
      <c r="AM7979" s="85"/>
    </row>
    <row r="7980" spans="1:39" s="86" customFormat="1" ht="13.25" hidden="1" customHeight="1" x14ac:dyDescent="0.3">
      <c r="A7980" s="89" t="s">
        <v>3978</v>
      </c>
      <c r="B7980" s="86" t="s">
        <v>35</v>
      </c>
      <c r="C7980" s="86" t="s">
        <v>184</v>
      </c>
      <c r="D7980" s="86" t="s">
        <v>3849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3767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4114</v>
      </c>
      <c r="S7980" s="47"/>
      <c r="T7980" s="6">
        <v>0</v>
      </c>
      <c r="U7980" s="6">
        <v>0</v>
      </c>
      <c r="V7980" s="6">
        <v>90823.73</v>
      </c>
      <c r="W7980" s="6">
        <f t="shared" si="1229"/>
        <v>-90823.73</v>
      </c>
      <c r="X7980" s="6">
        <f t="shared" si="1224"/>
        <v>87330.50961538461</v>
      </c>
      <c r="Y7980" s="13">
        <f t="shared" si="1226"/>
        <v>0</v>
      </c>
      <c r="Z7980" s="66">
        <v>0</v>
      </c>
      <c r="AA7980" s="6">
        <v>0</v>
      </c>
      <c r="AB7980" s="4">
        <f t="shared" si="1227"/>
        <v>87330.50961538461</v>
      </c>
      <c r="AC7980" s="6">
        <f t="shared" si="1225"/>
        <v>3493.2203846153861</v>
      </c>
      <c r="AD7980" s="6">
        <f t="shared" si="1230"/>
        <v>90823.73</v>
      </c>
      <c r="AE7980" s="14">
        <f>VLOOKUP(I7980,[2]媒体政策预估表!A:N,MATCH(O7980,[2]媒体政策预估表!$A$2:$M$2,0),0)</f>
        <v>0.15</v>
      </c>
      <c r="AF7980" s="6">
        <f t="shared" si="1232"/>
        <v>13623.559499999999</v>
      </c>
      <c r="AG7980" s="14">
        <v>0</v>
      </c>
      <c r="AH7980" s="64">
        <f t="shared" si="1231"/>
        <v>90823.73</v>
      </c>
      <c r="AJ7980" s="126" t="e">
        <v>#N/A</v>
      </c>
      <c r="AK7980" s="80">
        <f t="shared" si="1228"/>
        <v>0</v>
      </c>
      <c r="AL7980" s="85"/>
      <c r="AM7980" s="85"/>
    </row>
    <row r="7981" spans="1:39" s="86" customFormat="1" ht="13.25" hidden="1" customHeight="1" x14ac:dyDescent="0.3">
      <c r="A7981" s="89" t="s">
        <v>3978</v>
      </c>
      <c r="B7981" s="86" t="s">
        <v>35</v>
      </c>
      <c r="C7981" s="86" t="s">
        <v>184</v>
      </c>
      <c r="D7981" s="86" t="s">
        <v>3849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3767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4113</v>
      </c>
      <c r="S7981" s="47"/>
      <c r="T7981" s="6">
        <v>0</v>
      </c>
      <c r="U7981" s="6">
        <v>0</v>
      </c>
      <c r="V7981" s="6">
        <v>5255.4</v>
      </c>
      <c r="W7981" s="6">
        <f t="shared" si="1229"/>
        <v>-5255.4</v>
      </c>
      <c r="X7981" s="6">
        <f t="shared" si="1224"/>
        <v>5255.4</v>
      </c>
      <c r="Y7981" s="13">
        <f t="shared" si="1226"/>
        <v>0</v>
      </c>
      <c r="Z7981" s="66">
        <v>0</v>
      </c>
      <c r="AA7981" s="6">
        <v>0</v>
      </c>
      <c r="AB7981" s="4">
        <f t="shared" si="1227"/>
        <v>5255.4</v>
      </c>
      <c r="AC7981" s="6">
        <f t="shared" si="1225"/>
        <v>0</v>
      </c>
      <c r="AD7981" s="6">
        <f t="shared" si="1230"/>
        <v>5255.4</v>
      </c>
      <c r="AE7981" s="14">
        <f>VLOOKUP(I7981,[2]媒体政策预估表!A:N,MATCH(O7981,[2]媒体政策预估表!$A$2:$M$2,0),0)</f>
        <v>0.1</v>
      </c>
      <c r="AF7981" s="6">
        <f t="shared" si="1232"/>
        <v>525.54</v>
      </c>
      <c r="AG7981" s="14">
        <v>0</v>
      </c>
      <c r="AH7981" s="64">
        <f t="shared" si="1231"/>
        <v>5255.4</v>
      </c>
      <c r="AJ7981" s="126" t="e">
        <v>#N/A</v>
      </c>
      <c r="AK7981" s="80">
        <f t="shared" si="1228"/>
        <v>0</v>
      </c>
      <c r="AL7981" s="85"/>
      <c r="AM7981" s="85"/>
    </row>
    <row r="7982" spans="1:39" s="86" customFormat="1" ht="13.25" hidden="1" customHeight="1" x14ac:dyDescent="0.3">
      <c r="A7982" s="89" t="s">
        <v>3978</v>
      </c>
      <c r="B7982" s="86" t="s">
        <v>35</v>
      </c>
      <c r="C7982" s="86" t="s">
        <v>184</v>
      </c>
      <c r="D7982" s="86" t="s">
        <v>3849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3767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229"/>
        <v>-4494.3514599999999</v>
      </c>
      <c r="X7982" s="6">
        <f t="shared" si="1224"/>
        <v>4494.3514599999999</v>
      </c>
      <c r="Y7982" s="13">
        <f t="shared" si="1226"/>
        <v>0</v>
      </c>
      <c r="Z7982" s="14">
        <v>0</v>
      </c>
      <c r="AA7982" s="6">
        <v>0</v>
      </c>
      <c r="AB7982" s="4">
        <f t="shared" si="1227"/>
        <v>4494.3514599999999</v>
      </c>
      <c r="AC7982" s="6">
        <f t="shared" si="1225"/>
        <v>0</v>
      </c>
      <c r="AD7982" s="6">
        <f t="shared" si="1230"/>
        <v>4494.3514599999999</v>
      </c>
      <c r="AE7982" s="14">
        <f>VLOOKUP(I7982,[2]媒体政策预估表!A:N,MATCH(O7982,[2]媒体政策预估表!$A$2:$M$2,0),0)</f>
        <v>0.1</v>
      </c>
      <c r="AF7982" s="6">
        <f t="shared" si="1232"/>
        <v>449.43514600000003</v>
      </c>
      <c r="AG7982" s="14">
        <v>0</v>
      </c>
      <c r="AH7982" s="64">
        <f t="shared" si="1231"/>
        <v>4494.3514599999999</v>
      </c>
      <c r="AJ7982" s="126" t="e">
        <v>#N/A</v>
      </c>
      <c r="AK7982" s="80">
        <f t="shared" si="1228"/>
        <v>0</v>
      </c>
      <c r="AL7982" s="85"/>
      <c r="AM7982" s="85"/>
    </row>
    <row r="7983" spans="1:39" s="86" customFormat="1" ht="13.25" hidden="1" customHeight="1" x14ac:dyDescent="0.3">
      <c r="A7983" s="89" t="s">
        <v>3978</v>
      </c>
      <c r="B7983" s="86" t="s">
        <v>35</v>
      </c>
      <c r="C7983" s="86" t="s">
        <v>184</v>
      </c>
      <c r="D7983" s="86" t="s">
        <v>54</v>
      </c>
      <c r="E7983" s="86" t="s">
        <v>4105</v>
      </c>
      <c r="F7983" s="86" t="s">
        <v>4105</v>
      </c>
      <c r="G7983" s="86" t="s">
        <v>4105</v>
      </c>
      <c r="H7983" s="144">
        <v>360</v>
      </c>
      <c r="I7983" s="86" t="s">
        <v>1060</v>
      </c>
      <c r="J7983" s="47" t="s">
        <v>3325</v>
      </c>
      <c r="K7983" s="47" t="s">
        <v>3767</v>
      </c>
      <c r="L7983" s="47" t="s">
        <v>35</v>
      </c>
      <c r="M7983" s="86" t="s">
        <v>4105</v>
      </c>
      <c r="O7983" s="47" t="s">
        <v>2054</v>
      </c>
      <c r="P7983" s="47" t="s">
        <v>41</v>
      </c>
      <c r="Q7983" s="14">
        <v>0</v>
      </c>
      <c r="R7983" s="143" t="s">
        <v>4106</v>
      </c>
      <c r="S7983" s="47"/>
      <c r="T7983" s="6">
        <v>0</v>
      </c>
      <c r="U7983" s="6">
        <v>0</v>
      </c>
      <c r="V7983" s="6">
        <v>19.5</v>
      </c>
      <c r="W7983" s="6">
        <f t="shared" si="1229"/>
        <v>-19.5</v>
      </c>
      <c r="X7983" s="6">
        <f t="shared" si="1224"/>
        <v>19.5</v>
      </c>
      <c r="Y7983" s="13">
        <f t="shared" si="1226"/>
        <v>0</v>
      </c>
      <c r="Z7983" s="66">
        <v>0</v>
      </c>
      <c r="AA7983" s="6">
        <v>0</v>
      </c>
      <c r="AB7983" s="4">
        <f t="shared" si="1227"/>
        <v>19.5</v>
      </c>
      <c r="AC7983" s="6">
        <f t="shared" si="1225"/>
        <v>0</v>
      </c>
      <c r="AD7983" s="6">
        <f t="shared" si="1230"/>
        <v>19.5</v>
      </c>
      <c r="AE7983" s="14">
        <f>VLOOKUP(I7983,[2]媒体政策预估表!A:N,MATCH(O7983,[2]媒体政策预估表!$A$2:$M$2,0),0)</f>
        <v>0.1</v>
      </c>
      <c r="AF7983" s="6">
        <f t="shared" si="1232"/>
        <v>1.9500000000000002</v>
      </c>
      <c r="AG7983" s="14">
        <v>0</v>
      </c>
      <c r="AH7983" s="64">
        <f t="shared" si="1231"/>
        <v>19.5</v>
      </c>
      <c r="AJ7983" s="126" t="e">
        <v>#N/A</v>
      </c>
      <c r="AK7983" s="80">
        <f t="shared" si="1228"/>
        <v>0</v>
      </c>
      <c r="AL7983" s="85"/>
      <c r="AM7983" s="85"/>
    </row>
    <row r="7984" spans="1:39" s="86" customFormat="1" ht="13.25" hidden="1" customHeight="1" x14ac:dyDescent="0.3">
      <c r="A7984" s="89" t="s">
        <v>3978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3767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4073</v>
      </c>
      <c r="S7984" s="47"/>
      <c r="T7984" s="6">
        <v>0</v>
      </c>
      <c r="U7984" s="6">
        <v>0</v>
      </c>
      <c r="V7984" s="6">
        <v>58.365110000000001</v>
      </c>
      <c r="W7984" s="6">
        <f t="shared" si="1229"/>
        <v>-58.365110000000001</v>
      </c>
      <c r="X7984" s="6">
        <f t="shared" ref="X7984:X8012" si="1233">IF(P7984="折扣",V7984*Q7984,IF(P7984="返现",V7984,V7984/(1+Q7984)))</f>
        <v>58.365110000000001</v>
      </c>
      <c r="Y7984" s="13">
        <f t="shared" si="1226"/>
        <v>0</v>
      </c>
      <c r="Z7984" s="66">
        <v>0</v>
      </c>
      <c r="AA7984" s="6">
        <v>0</v>
      </c>
      <c r="AB7984" s="4">
        <f t="shared" si="1227"/>
        <v>58.365110000000001</v>
      </c>
      <c r="AC7984" s="6">
        <f t="shared" si="1225"/>
        <v>0</v>
      </c>
      <c r="AD7984" s="6">
        <f t="shared" si="1230"/>
        <v>58.365110000000001</v>
      </c>
      <c r="AE7984" s="14">
        <f>VLOOKUP(I7984,[2]媒体政策预估表!A:N,MATCH(O7984,[2]媒体政策预估表!$A$2:$M$2,0),0)</f>
        <v>0.1</v>
      </c>
      <c r="AF7984" s="6">
        <f t="shared" si="1232"/>
        <v>5.8365110000000007</v>
      </c>
      <c r="AG7984" s="14">
        <v>0</v>
      </c>
      <c r="AH7984" s="64">
        <f t="shared" si="1231"/>
        <v>58.365110000000001</v>
      </c>
      <c r="AJ7984" s="126" t="e">
        <v>#N/A</v>
      </c>
      <c r="AK7984" s="80">
        <f t="shared" si="1228"/>
        <v>0</v>
      </c>
      <c r="AL7984" s="85"/>
      <c r="AM7984" s="85"/>
    </row>
    <row r="7985" spans="1:39" s="86" customFormat="1" ht="13.25" hidden="1" customHeight="1" x14ac:dyDescent="0.3">
      <c r="A7985" s="89" t="s">
        <v>3792</v>
      </c>
      <c r="B7985" s="86" t="s">
        <v>35</v>
      </c>
      <c r="C7985" s="86" t="s">
        <v>184</v>
      </c>
      <c r="D7985" s="86" t="s">
        <v>3849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3767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229"/>
        <v>-81.843050000000005</v>
      </c>
      <c r="X7985" s="6">
        <f t="shared" si="1233"/>
        <v>81.843050000000005</v>
      </c>
      <c r="Y7985" s="13">
        <f t="shared" si="1226"/>
        <v>0</v>
      </c>
      <c r="Z7985" s="14">
        <v>0</v>
      </c>
      <c r="AA7985" s="6">
        <v>0</v>
      </c>
      <c r="AB7985" s="4">
        <f t="shared" si="1227"/>
        <v>81.843050000000005</v>
      </c>
      <c r="AC7985" s="6">
        <f t="shared" si="1225"/>
        <v>0</v>
      </c>
      <c r="AD7985" s="6">
        <f t="shared" si="1230"/>
        <v>81.843050000000005</v>
      </c>
      <c r="AE7985" s="14">
        <f>VLOOKUP(I7985,[2]媒体政策预估表!A:N,MATCH(O7985,[2]媒体政策预估表!$A$2:$M$2,0),0)</f>
        <v>0.1</v>
      </c>
      <c r="AF7985" s="6">
        <f t="shared" si="1232"/>
        <v>8.1843050000000002</v>
      </c>
      <c r="AG7985" s="14">
        <v>0</v>
      </c>
      <c r="AH7985" s="64">
        <f t="shared" si="1231"/>
        <v>81.843050000000005</v>
      </c>
      <c r="AJ7985" s="126" t="e">
        <v>#N/A</v>
      </c>
      <c r="AK7985" s="80">
        <f t="shared" si="1228"/>
        <v>0</v>
      </c>
      <c r="AL7985" s="85"/>
      <c r="AM7985" s="85"/>
    </row>
    <row r="7986" spans="1:39" s="86" customFormat="1" ht="13.25" hidden="1" customHeight="1" x14ac:dyDescent="0.3">
      <c r="A7986" s="89" t="s">
        <v>3978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3767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4074</v>
      </c>
      <c r="S7986" s="47"/>
      <c r="T7986" s="6">
        <v>0</v>
      </c>
      <c r="U7986" s="6">
        <v>0</v>
      </c>
      <c r="V7986" s="6">
        <v>3378.1649200000002</v>
      </c>
      <c r="W7986" s="6">
        <f t="shared" si="1229"/>
        <v>-3378.1649200000002</v>
      </c>
      <c r="X7986" s="6">
        <f t="shared" si="1233"/>
        <v>3378.1649200000002</v>
      </c>
      <c r="Y7986" s="13">
        <f t="shared" si="1226"/>
        <v>0</v>
      </c>
      <c r="Z7986" s="66">
        <v>0</v>
      </c>
      <c r="AA7986" s="6">
        <v>0</v>
      </c>
      <c r="AB7986" s="4">
        <f t="shared" si="1227"/>
        <v>3378.1649200000002</v>
      </c>
      <c r="AC7986" s="6">
        <f t="shared" si="1225"/>
        <v>0</v>
      </c>
      <c r="AD7986" s="6">
        <f t="shared" si="1230"/>
        <v>3378.1649200000002</v>
      </c>
      <c r="AE7986" s="14">
        <f>VLOOKUP(I7986,[2]媒体政策预估表!A:N,MATCH(O7986,[2]媒体政策预估表!$A$2:$M$2,0),0)</f>
        <v>0.1</v>
      </c>
      <c r="AF7986" s="6">
        <f t="shared" si="1232"/>
        <v>337.81649200000004</v>
      </c>
      <c r="AG7986" s="14">
        <v>0</v>
      </c>
      <c r="AH7986" s="64">
        <f t="shared" si="1231"/>
        <v>3378.1649200000002</v>
      </c>
      <c r="AJ7986" s="126" t="e">
        <v>#N/A</v>
      </c>
      <c r="AK7986" s="80">
        <f t="shared" si="1228"/>
        <v>0</v>
      </c>
      <c r="AL7986" s="85"/>
      <c r="AM7986" s="85"/>
    </row>
    <row r="7987" spans="1:39" s="86" customFormat="1" ht="13.25" hidden="1" customHeight="1" x14ac:dyDescent="0.3">
      <c r="A7987" s="89" t="s">
        <v>3978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3767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229"/>
        <v>-313735.31410000013</v>
      </c>
      <c r="X7987" s="6">
        <f t="shared" si="1233"/>
        <v>304597.39233009721</v>
      </c>
      <c r="Y7987" s="13">
        <f t="shared" si="1226"/>
        <v>0</v>
      </c>
      <c r="Z7987" s="14">
        <v>0</v>
      </c>
      <c r="AA7987" s="6">
        <v>0</v>
      </c>
      <c r="AB7987" s="4">
        <f t="shared" si="1227"/>
        <v>304597.39233009721</v>
      </c>
      <c r="AC7987" s="6">
        <f t="shared" si="1225"/>
        <v>9137.921769902925</v>
      </c>
      <c r="AD7987" s="6">
        <f t="shared" si="1230"/>
        <v>313735.31410000013</v>
      </c>
      <c r="AE7987" s="14">
        <f>VLOOKUP(I7987,[2]媒体政策预估表!A:N,MATCH(O7987,[2]媒体政策预估表!$A$2:$M$2,0),0)</f>
        <v>0.15</v>
      </c>
      <c r="AF7987" s="6">
        <f t="shared" si="1232"/>
        <v>47060.297115000016</v>
      </c>
      <c r="AG7987" s="14">
        <v>0</v>
      </c>
      <c r="AH7987" s="64">
        <f t="shared" si="1231"/>
        <v>313735.31410000013</v>
      </c>
      <c r="AJ7987" s="126" t="e">
        <v>#N/A</v>
      </c>
      <c r="AK7987" s="80">
        <f t="shared" si="1228"/>
        <v>0</v>
      </c>
      <c r="AL7987" s="85"/>
      <c r="AM7987" s="85"/>
    </row>
    <row r="7988" spans="1:39" s="86" customFormat="1" ht="13.25" hidden="1" customHeight="1" x14ac:dyDescent="0.3">
      <c r="A7988" s="89" t="s">
        <v>3978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229"/>
        <v>5946.98</v>
      </c>
      <c r="X7988" s="6">
        <f t="shared" si="1233"/>
        <v>0</v>
      </c>
      <c r="Y7988" s="13">
        <f t="shared" si="1226"/>
        <v>0</v>
      </c>
      <c r="Z7988" s="66">
        <v>0</v>
      </c>
      <c r="AA7988" s="6">
        <v>0</v>
      </c>
      <c r="AB7988" s="4">
        <f t="shared" si="1227"/>
        <v>0</v>
      </c>
      <c r="AC7988" s="6">
        <f t="shared" si="1225"/>
        <v>0</v>
      </c>
      <c r="AD7988" s="6">
        <f>V7988*95%</f>
        <v>0</v>
      </c>
      <c r="AE7988" s="14">
        <v>0</v>
      </c>
      <c r="AF7988" s="6">
        <f t="shared" si="1232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228"/>
        <v>0</v>
      </c>
      <c r="AL7988" s="85"/>
      <c r="AM7988" s="85"/>
    </row>
    <row r="7989" spans="1:39" s="86" customFormat="1" ht="13.25" hidden="1" customHeight="1" x14ac:dyDescent="0.3">
      <c r="A7989" s="89" t="s">
        <v>3978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229"/>
        <v>5126.3500000000004</v>
      </c>
      <c r="X7989" s="6">
        <f t="shared" si="1233"/>
        <v>0</v>
      </c>
      <c r="Y7989" s="13">
        <f t="shared" si="1226"/>
        <v>0</v>
      </c>
      <c r="Z7989" s="66">
        <v>0</v>
      </c>
      <c r="AA7989" s="6">
        <v>0</v>
      </c>
      <c r="AB7989" s="4">
        <f t="shared" si="1227"/>
        <v>0</v>
      </c>
      <c r="AC7989" s="6">
        <f t="shared" si="1225"/>
        <v>0</v>
      </c>
      <c r="AD7989" s="6">
        <f t="shared" ref="AD7989:AD8002" si="1234">V7989*95%</f>
        <v>0</v>
      </c>
      <c r="AE7989" s="14">
        <v>0</v>
      </c>
      <c r="AF7989" s="6">
        <f t="shared" si="1232"/>
        <v>0</v>
      </c>
      <c r="AG7989" s="14">
        <v>0</v>
      </c>
      <c r="AH7989" s="64">
        <f t="shared" ref="AH7989:AH8012" si="1235">AD7989</f>
        <v>0</v>
      </c>
      <c r="AJ7989" s="126" t="e">
        <v>#N/A</v>
      </c>
      <c r="AK7989" s="80">
        <f t="shared" si="1228"/>
        <v>0</v>
      </c>
      <c r="AL7989" s="85"/>
      <c r="AM7989" s="85"/>
    </row>
    <row r="7990" spans="1:39" s="86" customFormat="1" ht="13.25" hidden="1" customHeight="1" x14ac:dyDescent="0.3">
      <c r="A7990" s="89" t="s">
        <v>3978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229"/>
        <v>31800</v>
      </c>
      <c r="X7990" s="6">
        <f t="shared" si="1233"/>
        <v>0</v>
      </c>
      <c r="Y7990" s="13">
        <f t="shared" si="1226"/>
        <v>0</v>
      </c>
      <c r="Z7990" s="66">
        <v>0</v>
      </c>
      <c r="AA7990" s="6">
        <v>0</v>
      </c>
      <c r="AB7990" s="4">
        <f t="shared" si="1227"/>
        <v>0</v>
      </c>
      <c r="AC7990" s="6">
        <f t="shared" si="1225"/>
        <v>0</v>
      </c>
      <c r="AD7990" s="6">
        <f t="shared" si="1234"/>
        <v>0</v>
      </c>
      <c r="AE7990" s="14">
        <v>0</v>
      </c>
      <c r="AF7990" s="6">
        <f t="shared" si="1232"/>
        <v>0</v>
      </c>
      <c r="AG7990" s="14">
        <v>0</v>
      </c>
      <c r="AH7990" s="64">
        <f t="shared" si="1235"/>
        <v>0</v>
      </c>
      <c r="AJ7990" s="126" t="e">
        <v>#N/A</v>
      </c>
      <c r="AK7990" s="80">
        <f t="shared" si="1228"/>
        <v>0</v>
      </c>
      <c r="AL7990" s="85"/>
      <c r="AM7990" s="85"/>
    </row>
    <row r="7991" spans="1:39" s="86" customFormat="1" ht="13.25" hidden="1" customHeight="1" x14ac:dyDescent="0.3">
      <c r="A7991" s="89" t="s">
        <v>3978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229"/>
        <v>31800</v>
      </c>
      <c r="X7991" s="6">
        <f t="shared" si="1233"/>
        <v>0</v>
      </c>
      <c r="Y7991" s="13">
        <f t="shared" si="1226"/>
        <v>0</v>
      </c>
      <c r="Z7991" s="66">
        <v>0</v>
      </c>
      <c r="AA7991" s="6">
        <v>0</v>
      </c>
      <c r="AB7991" s="4">
        <f t="shared" si="1227"/>
        <v>0</v>
      </c>
      <c r="AC7991" s="6">
        <f t="shared" si="1225"/>
        <v>0</v>
      </c>
      <c r="AD7991" s="6">
        <f t="shared" si="1234"/>
        <v>0</v>
      </c>
      <c r="AE7991" s="14">
        <v>0</v>
      </c>
      <c r="AF7991" s="6">
        <f t="shared" si="1232"/>
        <v>0</v>
      </c>
      <c r="AG7991" s="14">
        <v>0</v>
      </c>
      <c r="AH7991" s="64">
        <f t="shared" si="1235"/>
        <v>0</v>
      </c>
      <c r="AJ7991" s="126" t="e">
        <v>#N/A</v>
      </c>
      <c r="AK7991" s="80">
        <f t="shared" si="1228"/>
        <v>0</v>
      </c>
      <c r="AL7991" s="85"/>
      <c r="AM7991" s="85"/>
    </row>
    <row r="7992" spans="1:39" s="86" customFormat="1" ht="13.25" hidden="1" customHeight="1" x14ac:dyDescent="0.3">
      <c r="A7992" s="89" t="s">
        <v>3792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229"/>
        <v>31798.899000000001</v>
      </c>
      <c r="X7992" s="6">
        <f t="shared" si="1233"/>
        <v>1.0386792452830187</v>
      </c>
      <c r="Y7992" s="13">
        <f t="shared" si="1226"/>
        <v>0</v>
      </c>
      <c r="Z7992" s="66">
        <v>0</v>
      </c>
      <c r="AA7992" s="6">
        <v>0</v>
      </c>
      <c r="AB7992" s="4">
        <f t="shared" si="1227"/>
        <v>1.0386792452830187</v>
      </c>
      <c r="AC7992" s="6">
        <f t="shared" si="1225"/>
        <v>6.2320754716981286E-2</v>
      </c>
      <c r="AD7992" s="6">
        <f t="shared" si="1234"/>
        <v>1.0459499999999999</v>
      </c>
      <c r="AE7992" s="14">
        <v>0</v>
      </c>
      <c r="AF7992" s="6">
        <f t="shared" si="1232"/>
        <v>0</v>
      </c>
      <c r="AG7992" s="14">
        <v>0</v>
      </c>
      <c r="AH7992" s="64">
        <f t="shared" si="1235"/>
        <v>1.0459499999999999</v>
      </c>
      <c r="AJ7992" s="126" t="e">
        <v>#N/A</v>
      </c>
      <c r="AK7992" s="80">
        <f t="shared" si="1228"/>
        <v>0</v>
      </c>
      <c r="AL7992" s="85"/>
      <c r="AM7992" s="85"/>
    </row>
    <row r="7993" spans="1:39" s="86" customFormat="1" ht="13.25" hidden="1" customHeight="1" x14ac:dyDescent="0.3">
      <c r="A7993" s="89" t="s">
        <v>3978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229"/>
        <v>42179.353999999992</v>
      </c>
      <c r="X7993" s="6">
        <f t="shared" si="1233"/>
        <v>37377.967924528304</v>
      </c>
      <c r="Y7993" s="13">
        <f t="shared" si="1226"/>
        <v>0</v>
      </c>
      <c r="Z7993" s="66">
        <v>0</v>
      </c>
      <c r="AA7993" s="6">
        <v>0</v>
      </c>
      <c r="AB7993" s="4">
        <f t="shared" si="1227"/>
        <v>37377.967924528304</v>
      </c>
      <c r="AC7993" s="6">
        <f t="shared" si="1225"/>
        <v>2242.6780754717038</v>
      </c>
      <c r="AD7993" s="6">
        <f t="shared" si="1234"/>
        <v>37639.613700000009</v>
      </c>
      <c r="AE7993" s="14">
        <v>0</v>
      </c>
      <c r="AF7993" s="6">
        <f t="shared" si="1232"/>
        <v>0</v>
      </c>
      <c r="AG7993" s="14">
        <v>0</v>
      </c>
      <c r="AH7993" s="64">
        <f t="shared" si="1235"/>
        <v>37639.613700000009</v>
      </c>
      <c r="AJ7993" s="126" t="e">
        <v>#N/A</v>
      </c>
      <c r="AK7993" s="80">
        <f t="shared" si="1228"/>
        <v>0</v>
      </c>
      <c r="AL7993" s="85"/>
      <c r="AM7993" s="85"/>
    </row>
    <row r="7994" spans="1:39" s="86" customFormat="1" ht="13.25" hidden="1" customHeight="1" x14ac:dyDescent="0.3">
      <c r="A7994" s="89" t="s">
        <v>3978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229"/>
        <v>30900</v>
      </c>
      <c r="X7994" s="6">
        <f t="shared" si="1233"/>
        <v>0</v>
      </c>
      <c r="Y7994" s="13">
        <f t="shared" si="1226"/>
        <v>0</v>
      </c>
      <c r="Z7994" s="66">
        <v>0</v>
      </c>
      <c r="AA7994" s="6">
        <v>0</v>
      </c>
      <c r="AB7994" s="4">
        <f t="shared" si="1227"/>
        <v>0</v>
      </c>
      <c r="AC7994" s="6">
        <f t="shared" si="1225"/>
        <v>0</v>
      </c>
      <c r="AD7994" s="6">
        <f t="shared" si="1234"/>
        <v>0</v>
      </c>
      <c r="AE7994" s="14">
        <v>0</v>
      </c>
      <c r="AF7994" s="6">
        <f t="shared" si="1232"/>
        <v>0</v>
      </c>
      <c r="AG7994" s="14">
        <v>0</v>
      </c>
      <c r="AH7994" s="64">
        <f t="shared" si="1235"/>
        <v>0</v>
      </c>
      <c r="AJ7994" s="126" t="e">
        <v>#N/A</v>
      </c>
      <c r="AK7994" s="80">
        <f t="shared" si="1228"/>
        <v>0</v>
      </c>
      <c r="AL7994" s="85"/>
      <c r="AM7994" s="85"/>
    </row>
    <row r="7995" spans="1:39" s="86" customFormat="1" ht="13.25" hidden="1" customHeight="1" x14ac:dyDescent="0.3">
      <c r="A7995" s="89" t="s">
        <v>3978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229"/>
        <v>21495.29</v>
      </c>
      <c r="X7995" s="6">
        <f t="shared" si="1233"/>
        <v>9130.7864077669892</v>
      </c>
      <c r="Y7995" s="13">
        <f t="shared" si="1226"/>
        <v>196.31190776699077</v>
      </c>
      <c r="Z7995" s="66">
        <v>0</v>
      </c>
      <c r="AA7995" s="6">
        <v>0</v>
      </c>
      <c r="AB7995" s="4">
        <f t="shared" si="1227"/>
        <v>9130.7864077669892</v>
      </c>
      <c r="AC7995" s="6">
        <f t="shared" si="1225"/>
        <v>273.92359223300991</v>
      </c>
      <c r="AD7995" s="6">
        <f t="shared" si="1234"/>
        <v>8934.4744999999984</v>
      </c>
      <c r="AE7995" s="14">
        <v>0</v>
      </c>
      <c r="AF7995" s="6">
        <f t="shared" si="1232"/>
        <v>0</v>
      </c>
      <c r="AG7995" s="14">
        <v>0</v>
      </c>
      <c r="AH7995" s="64">
        <f t="shared" si="1235"/>
        <v>8934.4744999999984</v>
      </c>
      <c r="AJ7995" s="126" t="e">
        <v>#N/A</v>
      </c>
      <c r="AK7995" s="80">
        <f t="shared" si="1228"/>
        <v>0</v>
      </c>
      <c r="AL7995" s="85"/>
      <c r="AM7995" s="85"/>
    </row>
    <row r="7996" spans="1:39" s="86" customFormat="1" ht="13.25" hidden="1" customHeight="1" x14ac:dyDescent="0.3">
      <c r="A7996" s="89" t="s">
        <v>3978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229"/>
        <v>26984.71</v>
      </c>
      <c r="X7996" s="6">
        <f t="shared" si="1233"/>
        <v>3801.2524271844659</v>
      </c>
      <c r="Y7996" s="13">
        <f t="shared" si="1226"/>
        <v>81.726927184466149</v>
      </c>
      <c r="Z7996" s="66">
        <v>0</v>
      </c>
      <c r="AA7996" s="6">
        <v>0</v>
      </c>
      <c r="AB7996" s="4">
        <f t="shared" si="1227"/>
        <v>3801.2524271844659</v>
      </c>
      <c r="AC7996" s="6">
        <f t="shared" si="1225"/>
        <v>114.03757281553408</v>
      </c>
      <c r="AD7996" s="6">
        <f t="shared" si="1234"/>
        <v>3719.5254999999997</v>
      </c>
      <c r="AE7996" s="14">
        <v>0</v>
      </c>
      <c r="AF7996" s="6">
        <f t="shared" si="1232"/>
        <v>0</v>
      </c>
      <c r="AG7996" s="14">
        <v>0</v>
      </c>
      <c r="AH7996" s="64">
        <f t="shared" si="1235"/>
        <v>3719.5254999999997</v>
      </c>
      <c r="AJ7996" s="126" t="e">
        <v>#N/A</v>
      </c>
      <c r="AK7996" s="80">
        <f t="shared" si="1228"/>
        <v>0</v>
      </c>
      <c r="AL7996" s="85"/>
      <c r="AM7996" s="85"/>
    </row>
    <row r="7997" spans="1:39" s="86" customFormat="1" ht="13.25" hidden="1" customHeight="1" x14ac:dyDescent="0.3">
      <c r="A7997" s="89" t="s">
        <v>3978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229"/>
        <v>0</v>
      </c>
      <c r="X7997" s="6">
        <f t="shared" si="1233"/>
        <v>1513.2621359223301</v>
      </c>
      <c r="Y7997" s="13">
        <f t="shared" si="1226"/>
        <v>32.535135922330028</v>
      </c>
      <c r="Z7997" s="66">
        <v>0</v>
      </c>
      <c r="AA7997" s="6">
        <v>0</v>
      </c>
      <c r="AB7997" s="4">
        <f t="shared" si="1227"/>
        <v>1513.2621359223301</v>
      </c>
      <c r="AC7997" s="6">
        <f t="shared" si="1225"/>
        <v>45.397864077669965</v>
      </c>
      <c r="AD7997" s="6">
        <f t="shared" si="1234"/>
        <v>1480.7270000000001</v>
      </c>
      <c r="AE7997" s="14">
        <v>0</v>
      </c>
      <c r="AF7997" s="6">
        <f t="shared" si="1232"/>
        <v>0</v>
      </c>
      <c r="AG7997" s="14">
        <v>0</v>
      </c>
      <c r="AH7997" s="64">
        <f t="shared" si="1235"/>
        <v>1480.7270000000001</v>
      </c>
      <c r="AJ7997" s="126" t="e">
        <v>#N/A</v>
      </c>
      <c r="AK7997" s="80">
        <f t="shared" si="1228"/>
        <v>0</v>
      </c>
      <c r="AL7997" s="85"/>
      <c r="AM7997" s="85"/>
    </row>
    <row r="7998" spans="1:39" s="86" customFormat="1" ht="13.25" hidden="1" customHeight="1" x14ac:dyDescent="0.3">
      <c r="A7998" s="89" t="s">
        <v>3978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229"/>
        <v>21001.61</v>
      </c>
      <c r="X7998" s="6">
        <f t="shared" si="1233"/>
        <v>9610.0873786407756</v>
      </c>
      <c r="Y7998" s="13">
        <f t="shared" si="1226"/>
        <v>206.61687864077612</v>
      </c>
      <c r="Z7998" s="66">
        <v>0</v>
      </c>
      <c r="AA7998" s="6">
        <v>0</v>
      </c>
      <c r="AB7998" s="4">
        <f t="shared" si="1227"/>
        <v>9610.0873786407756</v>
      </c>
      <c r="AC7998" s="6">
        <f t="shared" ref="AC7998:AC8029" si="1236">IF(P7998="返现",X7998*Q7998,V7998-X7998)</f>
        <v>288.30262135922385</v>
      </c>
      <c r="AD7998" s="6">
        <f t="shared" si="1234"/>
        <v>9403.4704999999994</v>
      </c>
      <c r="AE7998" s="14">
        <v>0</v>
      </c>
      <c r="AF7998" s="6">
        <f t="shared" si="1232"/>
        <v>0</v>
      </c>
      <c r="AG7998" s="14">
        <v>0</v>
      </c>
      <c r="AH7998" s="64">
        <f t="shared" si="1235"/>
        <v>9403.4704999999994</v>
      </c>
      <c r="AJ7998" s="126" t="e">
        <v>#N/A</v>
      </c>
      <c r="AK7998" s="80">
        <f t="shared" si="1228"/>
        <v>0</v>
      </c>
      <c r="AL7998" s="85"/>
      <c r="AM7998" s="85"/>
    </row>
    <row r="7999" spans="1:39" s="86" customFormat="1" ht="13.25" hidden="1" customHeight="1" x14ac:dyDescent="0.3">
      <c r="A7999" s="89" t="s">
        <v>3978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4120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229"/>
        <v>49958.81</v>
      </c>
      <c r="X7999" s="6">
        <f t="shared" si="1233"/>
        <v>39.990291262135919</v>
      </c>
      <c r="Y7999" s="13">
        <f t="shared" si="1226"/>
        <v>0.85979126213592139</v>
      </c>
      <c r="Z7999" s="66">
        <v>0</v>
      </c>
      <c r="AA7999" s="6">
        <v>0</v>
      </c>
      <c r="AB7999" s="4">
        <f t="shared" si="1227"/>
        <v>39.990291262135919</v>
      </c>
      <c r="AC7999" s="6">
        <f t="shared" si="1236"/>
        <v>1.1997087378640785</v>
      </c>
      <c r="AD7999" s="6">
        <f t="shared" si="1234"/>
        <v>39.130499999999998</v>
      </c>
      <c r="AE7999" s="14">
        <v>0</v>
      </c>
      <c r="AF7999" s="6">
        <f t="shared" si="1232"/>
        <v>0</v>
      </c>
      <c r="AG7999" s="14">
        <v>0</v>
      </c>
      <c r="AH7999" s="64">
        <f t="shared" si="1235"/>
        <v>39.130499999999998</v>
      </c>
      <c r="AJ7999" s="126" t="e">
        <v>#N/A</v>
      </c>
      <c r="AK7999" s="80">
        <f t="shared" si="1228"/>
        <v>0</v>
      </c>
      <c r="AL7999" s="85"/>
      <c r="AM7999" s="85"/>
    </row>
    <row r="8000" spans="1:39" s="86" customFormat="1" ht="13.25" hidden="1" customHeight="1" x14ac:dyDescent="0.3">
      <c r="A8000" s="89" t="s">
        <v>3978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4120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229"/>
        <v>50000</v>
      </c>
      <c r="X8000" s="6">
        <f t="shared" si="1233"/>
        <v>0</v>
      </c>
      <c r="Y8000" s="13">
        <f t="shared" si="1226"/>
        <v>0</v>
      </c>
      <c r="Z8000" s="66">
        <v>0</v>
      </c>
      <c r="AA8000" s="6">
        <v>0</v>
      </c>
      <c r="AB8000" s="4">
        <f t="shared" si="1227"/>
        <v>0</v>
      </c>
      <c r="AC8000" s="6">
        <f t="shared" si="1236"/>
        <v>0</v>
      </c>
      <c r="AD8000" s="6">
        <f t="shared" si="1234"/>
        <v>0</v>
      </c>
      <c r="AE8000" s="14">
        <v>0</v>
      </c>
      <c r="AF8000" s="6">
        <f t="shared" si="1232"/>
        <v>0</v>
      </c>
      <c r="AG8000" s="14">
        <v>0</v>
      </c>
      <c r="AH8000" s="64">
        <f t="shared" si="1235"/>
        <v>0</v>
      </c>
      <c r="AJ8000" s="126" t="e">
        <v>#N/A</v>
      </c>
      <c r="AK8000" s="80">
        <f t="shared" si="1228"/>
        <v>0</v>
      </c>
      <c r="AL8000" s="85"/>
      <c r="AM8000" s="85"/>
    </row>
    <row r="8001" spans="1:39" s="86" customFormat="1" ht="13.25" hidden="1" customHeight="1" x14ac:dyDescent="0.3">
      <c r="A8001" s="89" t="s">
        <v>3978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229"/>
        <v>33513.1</v>
      </c>
      <c r="X8001" s="6">
        <f t="shared" si="1233"/>
        <v>7937.9809523809508</v>
      </c>
      <c r="Y8001" s="13">
        <f t="shared" si="1226"/>
        <v>19.844952380952236</v>
      </c>
      <c r="Z8001" s="14">
        <v>0</v>
      </c>
      <c r="AA8001" s="6">
        <v>0</v>
      </c>
      <c r="AB8001" s="4">
        <f t="shared" si="1227"/>
        <v>7937.9809523809508</v>
      </c>
      <c r="AC8001" s="6">
        <f t="shared" si="1236"/>
        <v>396.89904761904836</v>
      </c>
      <c r="AD8001" s="6">
        <f t="shared" si="1234"/>
        <v>7918.1359999999986</v>
      </c>
      <c r="AE8001" s="14">
        <v>0</v>
      </c>
      <c r="AF8001" s="6">
        <f t="shared" si="1232"/>
        <v>0</v>
      </c>
      <c r="AG8001" s="14">
        <v>0</v>
      </c>
      <c r="AH8001" s="64">
        <f t="shared" si="1235"/>
        <v>7918.1359999999986</v>
      </c>
      <c r="AJ8001" s="126" t="e">
        <v>#N/A</v>
      </c>
      <c r="AK8001" s="80">
        <f t="shared" si="1228"/>
        <v>0</v>
      </c>
      <c r="AL8001" s="85"/>
      <c r="AM8001" s="85"/>
    </row>
    <row r="8002" spans="1:39" s="86" customFormat="1" ht="13.25" hidden="1" customHeight="1" x14ac:dyDescent="0.3">
      <c r="A8002" s="89" t="s">
        <v>3978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229"/>
        <v>9542.3070000000116</v>
      </c>
      <c r="X8002" s="6">
        <f t="shared" si="1233"/>
        <v>20212.098058252424</v>
      </c>
      <c r="Y8002" s="13">
        <f t="shared" si="1226"/>
        <v>434.56010825242629</v>
      </c>
      <c r="Z8002" s="14">
        <v>0</v>
      </c>
      <c r="AA8002" s="6">
        <v>0</v>
      </c>
      <c r="AB8002" s="4">
        <f t="shared" si="1227"/>
        <v>20212.098058252424</v>
      </c>
      <c r="AC8002" s="6">
        <f t="shared" si="1236"/>
        <v>606.36294174757495</v>
      </c>
      <c r="AD8002" s="6">
        <f t="shared" si="1234"/>
        <v>19777.537949999998</v>
      </c>
      <c r="AE8002" s="14">
        <v>0</v>
      </c>
      <c r="AF8002" s="6">
        <f t="shared" si="1232"/>
        <v>0</v>
      </c>
      <c r="AG8002" s="14">
        <v>0</v>
      </c>
      <c r="AH8002" s="64">
        <f t="shared" si="1235"/>
        <v>19777.537949999998</v>
      </c>
      <c r="AJ8002" s="126" t="e">
        <v>#N/A</v>
      </c>
      <c r="AK8002" s="80">
        <f t="shared" si="1228"/>
        <v>0</v>
      </c>
      <c r="AL8002" s="85"/>
      <c r="AM8002" s="85"/>
    </row>
    <row r="8003" spans="1:39" s="86" customFormat="1" ht="13.25" hidden="1" customHeight="1" x14ac:dyDescent="0.3">
      <c r="A8003" s="89" t="s">
        <v>3792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229"/>
        <v>-978.4709999999925</v>
      </c>
      <c r="X8003" s="6">
        <f t="shared" si="1233"/>
        <v>0</v>
      </c>
      <c r="Y8003" s="13">
        <f t="shared" ref="Y8003:Y8066" si="1237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238">X8003+AA8003</f>
        <v>0</v>
      </c>
      <c r="AC8003" s="6">
        <f t="shared" si="1236"/>
        <v>0</v>
      </c>
      <c r="AD8003" s="6">
        <f t="shared" si="1230"/>
        <v>0</v>
      </c>
      <c r="AE8003" s="14">
        <v>0</v>
      </c>
      <c r="AF8003" s="6">
        <f t="shared" si="1232"/>
        <v>0</v>
      </c>
      <c r="AG8003" s="14">
        <v>0</v>
      </c>
      <c r="AH8003" s="64">
        <f t="shared" si="1235"/>
        <v>0</v>
      </c>
      <c r="AJ8003" s="126" t="e">
        <v>#N/A</v>
      </c>
      <c r="AK8003" s="80">
        <f t="shared" ref="AK8003:AK8066" si="1239">X8003+AA8003-AB8003</f>
        <v>0</v>
      </c>
      <c r="AL8003" s="85"/>
      <c r="AM8003" s="85"/>
    </row>
    <row r="8004" spans="1:39" s="86" customFormat="1" ht="13.25" hidden="1" customHeight="1" x14ac:dyDescent="0.3">
      <c r="A8004" s="89" t="s">
        <v>3978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229"/>
        <v>11079.391000000018</v>
      </c>
      <c r="X8004" s="6">
        <f t="shared" si="1233"/>
        <v>0</v>
      </c>
      <c r="Y8004" s="13">
        <f t="shared" si="1237"/>
        <v>0</v>
      </c>
      <c r="Z8004" s="14">
        <v>0</v>
      </c>
      <c r="AA8004" s="6">
        <v>0</v>
      </c>
      <c r="AB8004" s="4">
        <f t="shared" si="1238"/>
        <v>0</v>
      </c>
      <c r="AC8004" s="6">
        <f t="shared" si="1236"/>
        <v>0</v>
      </c>
      <c r="AD8004" s="6">
        <f t="shared" si="1230"/>
        <v>0</v>
      </c>
      <c r="AE8004" s="14">
        <v>0</v>
      </c>
      <c r="AF8004" s="6">
        <f t="shared" si="1232"/>
        <v>0</v>
      </c>
      <c r="AG8004" s="14">
        <v>0</v>
      </c>
      <c r="AH8004" s="64">
        <f t="shared" si="1235"/>
        <v>0</v>
      </c>
      <c r="AJ8004" s="126" t="e">
        <v>#N/A</v>
      </c>
      <c r="AK8004" s="80">
        <f t="shared" si="1239"/>
        <v>0</v>
      </c>
      <c r="AL8004" s="85"/>
      <c r="AM8004" s="85"/>
    </row>
    <row r="8005" spans="1:39" s="86" customFormat="1" ht="13.25" hidden="1" customHeight="1" x14ac:dyDescent="0.3">
      <c r="A8005" s="89" t="s">
        <v>3978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229"/>
        <v>14622.041000000012</v>
      </c>
      <c r="X8005" s="6">
        <f t="shared" si="1233"/>
        <v>0</v>
      </c>
      <c r="Y8005" s="13">
        <f t="shared" si="1237"/>
        <v>0</v>
      </c>
      <c r="Z8005" s="14">
        <v>0</v>
      </c>
      <c r="AA8005" s="6">
        <v>0</v>
      </c>
      <c r="AB8005" s="4">
        <f t="shared" si="1238"/>
        <v>0</v>
      </c>
      <c r="AC8005" s="6">
        <f t="shared" si="1236"/>
        <v>0</v>
      </c>
      <c r="AD8005" s="6">
        <f t="shared" si="1230"/>
        <v>0</v>
      </c>
      <c r="AE8005" s="14">
        <v>0</v>
      </c>
      <c r="AF8005" s="6">
        <f t="shared" si="1232"/>
        <v>0</v>
      </c>
      <c r="AG8005" s="14">
        <v>0</v>
      </c>
      <c r="AH8005" s="64">
        <f t="shared" si="1235"/>
        <v>0</v>
      </c>
      <c r="AJ8005" s="126" t="e">
        <v>#N/A</v>
      </c>
      <c r="AK8005" s="80">
        <f t="shared" si="1239"/>
        <v>0</v>
      </c>
      <c r="AL8005" s="85"/>
      <c r="AM8005" s="85"/>
    </row>
    <row r="8006" spans="1:39" s="86" customFormat="1" ht="13.25" hidden="1" customHeight="1" x14ac:dyDescent="0.3">
      <c r="A8006" s="89" t="s">
        <v>3792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229"/>
        <v>7.9999999898063834E-3</v>
      </c>
      <c r="X8006" s="6">
        <f t="shared" si="1233"/>
        <v>0</v>
      </c>
      <c r="Y8006" s="13">
        <f t="shared" si="1237"/>
        <v>0</v>
      </c>
      <c r="Z8006" s="14">
        <v>0</v>
      </c>
      <c r="AA8006" s="6">
        <v>0</v>
      </c>
      <c r="AB8006" s="4">
        <f t="shared" si="1238"/>
        <v>0</v>
      </c>
      <c r="AC8006" s="6">
        <f t="shared" si="1236"/>
        <v>0</v>
      </c>
      <c r="AD8006" s="6">
        <f t="shared" ref="AD8006:AD8012" si="1240">V8006*95%</f>
        <v>0</v>
      </c>
      <c r="AE8006" s="14">
        <v>0</v>
      </c>
      <c r="AF8006" s="6">
        <f t="shared" si="1232"/>
        <v>0</v>
      </c>
      <c r="AG8006" s="14">
        <v>0</v>
      </c>
      <c r="AH8006" s="64">
        <f t="shared" si="1235"/>
        <v>0</v>
      </c>
      <c r="AJ8006" s="126" t="e">
        <v>#N/A</v>
      </c>
      <c r="AK8006" s="80">
        <f t="shared" si="1239"/>
        <v>0</v>
      </c>
      <c r="AL8006" s="85"/>
      <c r="AM8006" s="85"/>
    </row>
    <row r="8007" spans="1:39" s="86" customFormat="1" ht="13.25" hidden="1" customHeight="1" x14ac:dyDescent="0.3">
      <c r="A8007" s="89" t="s">
        <v>3792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229"/>
        <v>1.196000000803906</v>
      </c>
      <c r="X8007" s="6">
        <f t="shared" si="1233"/>
        <v>0</v>
      </c>
      <c r="Y8007" s="13">
        <f t="shared" si="1237"/>
        <v>0</v>
      </c>
      <c r="Z8007" s="14">
        <v>0</v>
      </c>
      <c r="AA8007" s="6">
        <v>0</v>
      </c>
      <c r="AB8007" s="4">
        <f t="shared" si="1238"/>
        <v>0</v>
      </c>
      <c r="AC8007" s="6">
        <f t="shared" si="1236"/>
        <v>0</v>
      </c>
      <c r="AD8007" s="6">
        <f t="shared" si="1240"/>
        <v>0</v>
      </c>
      <c r="AE8007" s="14">
        <v>0</v>
      </c>
      <c r="AF8007" s="6">
        <f t="shared" si="1232"/>
        <v>0</v>
      </c>
      <c r="AG8007" s="14">
        <v>0</v>
      </c>
      <c r="AH8007" s="64">
        <f t="shared" si="1235"/>
        <v>0</v>
      </c>
      <c r="AJ8007" s="126" t="e">
        <v>#N/A</v>
      </c>
      <c r="AK8007" s="80">
        <f t="shared" si="1239"/>
        <v>0</v>
      </c>
      <c r="AL8007" s="85"/>
      <c r="AM8007" s="85"/>
    </row>
    <row r="8008" spans="1:39" s="86" customFormat="1" ht="13.25" hidden="1" customHeight="1" x14ac:dyDescent="0.3">
      <c r="A8008" s="89" t="s">
        <v>3978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229"/>
        <v>7.9999995032267179E-3</v>
      </c>
      <c r="X8008" s="6">
        <f t="shared" si="1233"/>
        <v>0</v>
      </c>
      <c r="Y8008" s="13">
        <f t="shared" si="1237"/>
        <v>0</v>
      </c>
      <c r="Z8008" s="14">
        <v>0</v>
      </c>
      <c r="AA8008" s="6">
        <v>0</v>
      </c>
      <c r="AB8008" s="4">
        <f t="shared" si="1238"/>
        <v>0</v>
      </c>
      <c r="AC8008" s="6">
        <f t="shared" si="1236"/>
        <v>0</v>
      </c>
      <c r="AD8008" s="6">
        <f t="shared" si="1240"/>
        <v>0</v>
      </c>
      <c r="AE8008" s="14">
        <v>0</v>
      </c>
      <c r="AF8008" s="6">
        <f t="shared" si="1232"/>
        <v>0</v>
      </c>
      <c r="AG8008" s="14">
        <v>0</v>
      </c>
      <c r="AH8008" s="64">
        <f t="shared" si="1235"/>
        <v>0</v>
      </c>
      <c r="AJ8008" s="126" t="e">
        <v>#N/A</v>
      </c>
      <c r="AK8008" s="80">
        <f t="shared" si="1239"/>
        <v>0</v>
      </c>
      <c r="AL8008" s="85"/>
      <c r="AM8008" s="85"/>
    </row>
    <row r="8009" spans="1:39" s="86" customFormat="1" ht="13.25" hidden="1" customHeight="1" x14ac:dyDescent="0.3">
      <c r="A8009" s="89" t="s">
        <v>3978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229"/>
        <v>8.9999999909196049E-3</v>
      </c>
      <c r="X8009" s="6">
        <f t="shared" si="1233"/>
        <v>0</v>
      </c>
      <c r="Y8009" s="13">
        <f t="shared" si="1237"/>
        <v>0</v>
      </c>
      <c r="Z8009" s="14">
        <v>0</v>
      </c>
      <c r="AA8009" s="6">
        <v>0</v>
      </c>
      <c r="AB8009" s="4">
        <f t="shared" si="1238"/>
        <v>0</v>
      </c>
      <c r="AC8009" s="6">
        <f t="shared" si="1236"/>
        <v>0</v>
      </c>
      <c r="AD8009" s="6">
        <f t="shared" si="1240"/>
        <v>0</v>
      </c>
      <c r="AE8009" s="14">
        <v>0</v>
      </c>
      <c r="AF8009" s="6">
        <f t="shared" si="1232"/>
        <v>0</v>
      </c>
      <c r="AG8009" s="14">
        <v>0</v>
      </c>
      <c r="AH8009" s="64">
        <f t="shared" si="1235"/>
        <v>0</v>
      </c>
      <c r="AJ8009" s="126" t="e">
        <v>#N/A</v>
      </c>
      <c r="AK8009" s="80">
        <f t="shared" si="1239"/>
        <v>0</v>
      </c>
      <c r="AL8009" s="85"/>
      <c r="AM8009" s="85"/>
    </row>
    <row r="8010" spans="1:39" s="86" customFormat="1" ht="13.25" hidden="1" customHeight="1" x14ac:dyDescent="0.3">
      <c r="A8010" s="89" t="s">
        <v>3978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229"/>
        <v>14695.009999999998</v>
      </c>
      <c r="X8010" s="6">
        <f t="shared" si="1233"/>
        <v>0</v>
      </c>
      <c r="Y8010" s="13">
        <f t="shared" si="1237"/>
        <v>0</v>
      </c>
      <c r="Z8010" s="14">
        <v>0</v>
      </c>
      <c r="AA8010" s="6">
        <v>0</v>
      </c>
      <c r="AB8010" s="4">
        <f t="shared" si="1238"/>
        <v>0</v>
      </c>
      <c r="AC8010" s="6">
        <f t="shared" si="1236"/>
        <v>0</v>
      </c>
      <c r="AD8010" s="6">
        <f t="shared" si="1240"/>
        <v>0</v>
      </c>
      <c r="AE8010" s="14">
        <v>0</v>
      </c>
      <c r="AF8010" s="6">
        <f t="shared" si="1232"/>
        <v>0</v>
      </c>
      <c r="AG8010" s="14">
        <v>0</v>
      </c>
      <c r="AH8010" s="64">
        <f t="shared" si="1235"/>
        <v>0</v>
      </c>
      <c r="AJ8010" s="126" t="e">
        <v>#N/A</v>
      </c>
      <c r="AK8010" s="80">
        <f t="shared" si="1239"/>
        <v>0</v>
      </c>
      <c r="AL8010" s="85"/>
      <c r="AM8010" s="85"/>
    </row>
    <row r="8011" spans="1:39" s="86" customFormat="1" ht="13.25" hidden="1" customHeight="1" x14ac:dyDescent="0.3">
      <c r="A8011" s="89" t="s">
        <v>3978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229"/>
        <v>6831.73</v>
      </c>
      <c r="X8011" s="6">
        <f t="shared" si="1233"/>
        <v>0</v>
      </c>
      <c r="Y8011" s="13">
        <f t="shared" si="1237"/>
        <v>0</v>
      </c>
      <c r="Z8011" s="14">
        <v>0</v>
      </c>
      <c r="AA8011" s="6">
        <v>0</v>
      </c>
      <c r="AB8011" s="4">
        <f t="shared" si="1238"/>
        <v>0</v>
      </c>
      <c r="AC8011" s="6">
        <f t="shared" si="1236"/>
        <v>0</v>
      </c>
      <c r="AD8011" s="6">
        <f t="shared" si="1240"/>
        <v>0</v>
      </c>
      <c r="AE8011" s="14">
        <v>0</v>
      </c>
      <c r="AF8011" s="6">
        <f t="shared" si="1232"/>
        <v>0</v>
      </c>
      <c r="AG8011" s="14">
        <v>0</v>
      </c>
      <c r="AH8011" s="64">
        <f t="shared" si="1235"/>
        <v>0</v>
      </c>
      <c r="AJ8011" s="126" t="e">
        <v>#N/A</v>
      </c>
      <c r="AK8011" s="80">
        <f t="shared" si="1239"/>
        <v>0</v>
      </c>
      <c r="AL8011" s="85"/>
      <c r="AM8011" s="85"/>
    </row>
    <row r="8012" spans="1:39" s="86" customFormat="1" ht="13.25" hidden="1" customHeight="1" x14ac:dyDescent="0.3">
      <c r="A8012" s="89" t="s">
        <v>3978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229"/>
        <v>28178.21</v>
      </c>
      <c r="X8012" s="6">
        <f t="shared" si="1233"/>
        <v>1129.2524271844661</v>
      </c>
      <c r="Y8012" s="13">
        <f t="shared" si="1237"/>
        <v>24.278927184466056</v>
      </c>
      <c r="Z8012" s="66">
        <v>0</v>
      </c>
      <c r="AA8012" s="6">
        <v>0</v>
      </c>
      <c r="AB8012" s="4">
        <f t="shared" si="1238"/>
        <v>1129.2524271844661</v>
      </c>
      <c r="AC8012" s="6">
        <f t="shared" si="1236"/>
        <v>33.877572815533995</v>
      </c>
      <c r="AD8012" s="6">
        <f t="shared" si="1240"/>
        <v>1104.9735000000001</v>
      </c>
      <c r="AE8012" s="14">
        <v>0</v>
      </c>
      <c r="AF8012" s="6">
        <f t="shared" si="1232"/>
        <v>0</v>
      </c>
      <c r="AG8012" s="14">
        <v>0</v>
      </c>
      <c r="AH8012" s="64">
        <f t="shared" si="1235"/>
        <v>1104.9735000000001</v>
      </c>
      <c r="AJ8012" s="126" t="e">
        <v>#N/A</v>
      </c>
      <c r="AK8012" s="80">
        <f t="shared" si="1239"/>
        <v>0</v>
      </c>
      <c r="AL8012" s="85"/>
      <c r="AM8012" s="85"/>
    </row>
    <row r="8013" spans="1:39" s="86" customFormat="1" ht="13.25" hidden="1" customHeight="1" x14ac:dyDescent="0.3">
      <c r="A8013" s="89" t="s">
        <v>3978</v>
      </c>
      <c r="B8013" s="86" t="s">
        <v>35</v>
      </c>
      <c r="C8013" s="86" t="s">
        <v>36</v>
      </c>
      <c r="D8013" s="86" t="s">
        <v>185</v>
      </c>
      <c r="E8013" s="86" t="s">
        <v>4121</v>
      </c>
      <c r="F8013" s="86" t="s">
        <v>4122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47" t="str">
        <f t="shared" ref="K8013:K8017" si="1241">N8013</f>
        <v>巨量引擎-一类</v>
      </c>
      <c r="L8013" s="47" t="s">
        <v>35</v>
      </c>
      <c r="N8013" s="86" t="s">
        <v>3955</v>
      </c>
      <c r="O8013" s="47" t="s">
        <v>45</v>
      </c>
      <c r="P8013" s="47" t="s">
        <v>4123</v>
      </c>
      <c r="Q8013" s="14">
        <v>0</v>
      </c>
      <c r="R8013" s="89"/>
      <c r="S8013" s="86" t="s">
        <v>4124</v>
      </c>
      <c r="T8013" s="92"/>
      <c r="U8013" s="92"/>
      <c r="V8013" s="92"/>
      <c r="W8013" s="92"/>
      <c r="X8013" s="92"/>
      <c r="Y8013" s="13">
        <f t="shared" si="1237"/>
        <v>0</v>
      </c>
      <c r="Z8013" s="66">
        <v>1.4999999999999999E-2</v>
      </c>
      <c r="AA8013" s="6">
        <f>1694914.14-3260</f>
        <v>1691654.14</v>
      </c>
      <c r="AB8013" s="4">
        <f t="shared" si="1238"/>
        <v>1691654.14</v>
      </c>
      <c r="AC8013" s="6">
        <f t="shared" si="1236"/>
        <v>0</v>
      </c>
      <c r="AD8013" s="92"/>
      <c r="AE8013" s="14">
        <v>0.06</v>
      </c>
      <c r="AF8013" s="6">
        <f t="shared" si="1232"/>
        <v>0</v>
      </c>
      <c r="AG8013" s="14">
        <v>0</v>
      </c>
      <c r="AH8013" s="102">
        <v>0</v>
      </c>
      <c r="AJ8013" s="126" t="e">
        <v>#N/A</v>
      </c>
      <c r="AK8013" s="80">
        <f t="shared" si="1239"/>
        <v>0</v>
      </c>
      <c r="AL8013" s="85"/>
      <c r="AM8013" s="85"/>
    </row>
    <row r="8014" spans="1:39" s="86" customFormat="1" ht="13.25" hidden="1" customHeight="1" x14ac:dyDescent="0.3">
      <c r="A8014" s="89" t="s">
        <v>3792</v>
      </c>
      <c r="B8014" s="86" t="s">
        <v>35</v>
      </c>
      <c r="C8014" s="86" t="s">
        <v>36</v>
      </c>
      <c r="D8014" s="86" t="s">
        <v>185</v>
      </c>
      <c r="E8014" s="86" t="s">
        <v>4121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47" t="str">
        <f t="shared" si="1241"/>
        <v>巨量引擎-一类</v>
      </c>
      <c r="L8014" s="47" t="s">
        <v>35</v>
      </c>
      <c r="N8014" s="86" t="s">
        <v>4125</v>
      </c>
      <c r="O8014" s="47" t="s">
        <v>45</v>
      </c>
      <c r="P8014" s="47" t="s">
        <v>4123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237"/>
        <v>0</v>
      </c>
      <c r="Z8014" s="66">
        <v>0.03</v>
      </c>
      <c r="AA8014" s="6">
        <v>1204450.26</v>
      </c>
      <c r="AB8014" s="4">
        <f t="shared" si="1238"/>
        <v>1204450.26</v>
      </c>
      <c r="AC8014" s="6">
        <f t="shared" si="1236"/>
        <v>0</v>
      </c>
      <c r="AD8014" s="92"/>
      <c r="AE8014" s="14">
        <v>0.06</v>
      </c>
      <c r="AF8014" s="6">
        <f t="shared" si="1232"/>
        <v>0</v>
      </c>
      <c r="AG8014" s="14">
        <v>0</v>
      </c>
      <c r="AH8014" s="102">
        <v>0</v>
      </c>
      <c r="AJ8014" s="126" t="e">
        <v>#N/A</v>
      </c>
      <c r="AK8014" s="80">
        <f t="shared" si="1239"/>
        <v>0</v>
      </c>
      <c r="AL8014" s="85"/>
      <c r="AM8014" s="85"/>
    </row>
    <row r="8015" spans="1:39" s="86" customFormat="1" ht="13.25" hidden="1" customHeight="1" x14ac:dyDescent="0.3">
      <c r="A8015" s="89" t="s">
        <v>3792</v>
      </c>
      <c r="B8015" s="86" t="s">
        <v>35</v>
      </c>
      <c r="C8015" s="86" t="s">
        <v>36</v>
      </c>
      <c r="D8015" s="86" t="s">
        <v>185</v>
      </c>
      <c r="E8015" s="86" t="s">
        <v>4126</v>
      </c>
      <c r="F8015" s="86" t="s">
        <v>4127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47" t="str">
        <f t="shared" si="1241"/>
        <v>巨量引擎-一类</v>
      </c>
      <c r="L8015" s="47" t="s">
        <v>35</v>
      </c>
      <c r="N8015" s="86" t="s">
        <v>3955</v>
      </c>
      <c r="O8015" s="47" t="s">
        <v>45</v>
      </c>
      <c r="P8015" s="47" t="s">
        <v>4128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237"/>
        <v>0</v>
      </c>
      <c r="Z8015" s="66">
        <v>1.4999999999999999E-2</v>
      </c>
      <c r="AA8015" s="6">
        <v>532365.61</v>
      </c>
      <c r="AB8015" s="4">
        <f t="shared" si="1238"/>
        <v>532365.61</v>
      </c>
      <c r="AC8015" s="6">
        <f t="shared" si="1236"/>
        <v>0</v>
      </c>
      <c r="AD8015" s="92"/>
      <c r="AE8015" s="14">
        <v>0.06</v>
      </c>
      <c r="AF8015" s="6">
        <f t="shared" si="1232"/>
        <v>0</v>
      </c>
      <c r="AG8015" s="14">
        <v>0</v>
      </c>
      <c r="AH8015" s="102">
        <v>0</v>
      </c>
      <c r="AJ8015" s="126" t="e">
        <v>#N/A</v>
      </c>
      <c r="AK8015" s="80">
        <f t="shared" si="1239"/>
        <v>0</v>
      </c>
      <c r="AL8015" s="85"/>
      <c r="AM8015" s="85"/>
    </row>
    <row r="8016" spans="1:39" s="86" customFormat="1" ht="13.25" hidden="1" customHeight="1" x14ac:dyDescent="0.3">
      <c r="A8016" s="89" t="s">
        <v>3792</v>
      </c>
      <c r="B8016" s="86" t="s">
        <v>35</v>
      </c>
      <c r="C8016" s="86" t="s">
        <v>36</v>
      </c>
      <c r="D8016" s="86" t="s">
        <v>185</v>
      </c>
      <c r="E8016" s="86" t="s">
        <v>4129</v>
      </c>
      <c r="F8016" s="86" t="s">
        <v>4130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47" t="str">
        <f t="shared" si="1241"/>
        <v>巨量引擎-一类</v>
      </c>
      <c r="L8016" s="47" t="s">
        <v>35</v>
      </c>
      <c r="N8016" s="86" t="s">
        <v>4125</v>
      </c>
      <c r="O8016" s="47" t="s">
        <v>45</v>
      </c>
      <c r="P8016" s="47" t="s">
        <v>4123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237"/>
        <v>0</v>
      </c>
      <c r="Z8016" s="66">
        <v>1.4999999999999999E-2</v>
      </c>
      <c r="AA8016" s="6">
        <v>1540535.1300000001</v>
      </c>
      <c r="AB8016" s="4">
        <f t="shared" si="1238"/>
        <v>1540535.1300000001</v>
      </c>
      <c r="AC8016" s="6">
        <f t="shared" si="1236"/>
        <v>0</v>
      </c>
      <c r="AD8016" s="92"/>
      <c r="AE8016" s="14">
        <v>0.06</v>
      </c>
      <c r="AF8016" s="6">
        <f t="shared" si="1232"/>
        <v>0</v>
      </c>
      <c r="AG8016" s="14">
        <v>0</v>
      </c>
      <c r="AH8016" s="102">
        <v>0</v>
      </c>
      <c r="AJ8016" s="126" t="e">
        <v>#N/A</v>
      </c>
      <c r="AK8016" s="80">
        <f t="shared" si="1239"/>
        <v>0</v>
      </c>
      <c r="AL8016" s="85"/>
      <c r="AM8016" s="85"/>
    </row>
    <row r="8017" spans="1:39" s="86" customFormat="1" ht="13.25" hidden="1" customHeight="1" x14ac:dyDescent="0.3">
      <c r="A8017" s="89" t="s">
        <v>3792</v>
      </c>
      <c r="B8017" s="86" t="s">
        <v>35</v>
      </c>
      <c r="C8017" s="86" t="s">
        <v>36</v>
      </c>
      <c r="D8017" s="86" t="s">
        <v>185</v>
      </c>
      <c r="E8017" s="86" t="s">
        <v>4131</v>
      </c>
      <c r="F8017" s="86" t="s">
        <v>4131</v>
      </c>
      <c r="G8017" s="86" t="s">
        <v>4131</v>
      </c>
      <c r="H8017" s="144">
        <v>229</v>
      </c>
      <c r="I8017" s="86" t="s">
        <v>3356</v>
      </c>
      <c r="J8017" s="47" t="s">
        <v>3326</v>
      </c>
      <c r="K8017" s="47" t="str">
        <f t="shared" si="1241"/>
        <v>巨量引擎-一类</v>
      </c>
      <c r="L8017" s="47" t="s">
        <v>35</v>
      </c>
      <c r="N8017" s="86" t="s">
        <v>3955</v>
      </c>
      <c r="O8017" s="47" t="s">
        <v>45</v>
      </c>
      <c r="P8017" s="47" t="s">
        <v>4128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237"/>
        <v>0</v>
      </c>
      <c r="Z8017" s="66">
        <v>0.03</v>
      </c>
      <c r="AA8017" s="6">
        <v>8229.7800000000007</v>
      </c>
      <c r="AB8017" s="4">
        <f t="shared" si="1238"/>
        <v>8229.7800000000007</v>
      </c>
      <c r="AC8017" s="6">
        <f t="shared" si="1236"/>
        <v>0</v>
      </c>
      <c r="AD8017" s="92"/>
      <c r="AE8017" s="14">
        <v>0.06</v>
      </c>
      <c r="AF8017" s="6">
        <f t="shared" si="1232"/>
        <v>0</v>
      </c>
      <c r="AG8017" s="14">
        <v>0</v>
      </c>
      <c r="AH8017" s="102">
        <v>0</v>
      </c>
      <c r="AJ8017" s="126" t="e">
        <v>#N/A</v>
      </c>
      <c r="AK8017" s="80">
        <f t="shared" si="1239"/>
        <v>0</v>
      </c>
      <c r="AL8017" s="85"/>
      <c r="AM8017" s="85"/>
    </row>
    <row r="8018" spans="1:39" s="86" customFormat="1" ht="13.25" hidden="1" customHeight="1" x14ac:dyDescent="0.3">
      <c r="A8018" s="89" t="s">
        <v>3792</v>
      </c>
      <c r="B8018" s="86" t="s">
        <v>35</v>
      </c>
      <c r="C8018" s="86" t="s">
        <v>36</v>
      </c>
      <c r="D8018" s="86" t="s">
        <v>185</v>
      </c>
      <c r="E8018" s="86" t="s">
        <v>4132</v>
      </c>
      <c r="F8018" s="86" t="s">
        <v>4133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3767</v>
      </c>
      <c r="L8018" s="47" t="s">
        <v>35</v>
      </c>
      <c r="O8018" s="47" t="s">
        <v>45</v>
      </c>
      <c r="P8018" s="47" t="s">
        <v>4123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237"/>
        <v>0</v>
      </c>
      <c r="Z8018" s="66">
        <v>2.5000000000000001E-2</v>
      </c>
      <c r="AA8018" s="6">
        <v>67128.899999999994</v>
      </c>
      <c r="AB8018" s="4">
        <f t="shared" si="1238"/>
        <v>67128.899999999994</v>
      </c>
      <c r="AC8018" s="6">
        <f t="shared" si="1236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232"/>
        <v>0</v>
      </c>
      <c r="AG8018" s="14">
        <v>0</v>
      </c>
      <c r="AH8018" s="102">
        <v>0</v>
      </c>
      <c r="AJ8018" s="126" t="e">
        <v>#N/A</v>
      </c>
      <c r="AK8018" s="80">
        <f t="shared" si="1239"/>
        <v>0</v>
      </c>
      <c r="AL8018" s="85"/>
      <c r="AM8018" s="85"/>
    </row>
    <row r="8019" spans="1:39" s="86" customFormat="1" ht="13.25" hidden="1" customHeight="1" x14ac:dyDescent="0.3">
      <c r="A8019" s="89" t="s">
        <v>3978</v>
      </c>
      <c r="B8019" s="86" t="s">
        <v>35</v>
      </c>
      <c r="C8019" s="86" t="s">
        <v>65</v>
      </c>
      <c r="D8019" s="86" t="s">
        <v>66</v>
      </c>
      <c r="E8019" s="86" t="s">
        <v>4134</v>
      </c>
      <c r="F8019" s="86" t="s">
        <v>4135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4123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237"/>
        <v>0</v>
      </c>
      <c r="Z8019" s="66">
        <v>0.05</v>
      </c>
      <c r="AA8019" s="6">
        <v>365462.94</v>
      </c>
      <c r="AB8019" s="4">
        <f t="shared" si="1238"/>
        <v>365462.94</v>
      </c>
      <c r="AC8019" s="6">
        <f t="shared" si="1236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232"/>
        <v>0</v>
      </c>
      <c r="AG8019" s="14">
        <v>0</v>
      </c>
      <c r="AH8019" s="102">
        <v>0</v>
      </c>
      <c r="AJ8019" s="126" t="e">
        <v>#N/A</v>
      </c>
      <c r="AK8019" s="80">
        <f t="shared" si="1239"/>
        <v>0</v>
      </c>
      <c r="AL8019" s="85"/>
      <c r="AM8019" s="85"/>
    </row>
    <row r="8020" spans="1:39" s="86" customFormat="1" ht="13.25" hidden="1" customHeight="1" x14ac:dyDescent="0.3">
      <c r="A8020" s="89" t="s">
        <v>3978</v>
      </c>
      <c r="B8020" s="86" t="s">
        <v>35</v>
      </c>
      <c r="C8020" s="86" t="s">
        <v>65</v>
      </c>
      <c r="D8020" s="86" t="s">
        <v>66</v>
      </c>
      <c r="E8020" s="86" t="s">
        <v>4136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4128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237"/>
        <v>0</v>
      </c>
      <c r="Z8020" s="66">
        <v>0.03</v>
      </c>
      <c r="AA8020" s="6">
        <v>14852.75</v>
      </c>
      <c r="AB8020" s="4">
        <f t="shared" si="1238"/>
        <v>14852.75</v>
      </c>
      <c r="AC8020" s="6">
        <f t="shared" si="1236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232"/>
        <v>0</v>
      </c>
      <c r="AG8020" s="14">
        <v>0</v>
      </c>
      <c r="AH8020" s="102">
        <v>0</v>
      </c>
      <c r="AJ8020" s="126" t="e">
        <v>#N/A</v>
      </c>
      <c r="AK8020" s="80">
        <f t="shared" si="1239"/>
        <v>0</v>
      </c>
      <c r="AL8020" s="85"/>
      <c r="AM8020" s="85"/>
    </row>
    <row r="8021" spans="1:39" s="86" customFormat="1" ht="13.25" hidden="1" customHeight="1" x14ac:dyDescent="0.3">
      <c r="A8021" s="89" t="s">
        <v>3978</v>
      </c>
      <c r="B8021" s="86" t="s">
        <v>35</v>
      </c>
      <c r="C8021" s="86" t="s">
        <v>65</v>
      </c>
      <c r="D8021" s="86" t="s">
        <v>122</v>
      </c>
      <c r="E8021" s="86" t="s">
        <v>4137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47" t="str">
        <f>N8021</f>
        <v>巨量引擎-一类</v>
      </c>
      <c r="L8021" s="47" t="s">
        <v>35</v>
      </c>
      <c r="N8021" s="86" t="s">
        <v>3955</v>
      </c>
      <c r="O8021" s="47" t="s">
        <v>45</v>
      </c>
      <c r="P8021" s="47" t="s">
        <v>4128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237"/>
        <v>0</v>
      </c>
      <c r="Z8021" s="66">
        <v>0.03</v>
      </c>
      <c r="AA8021" s="6">
        <v>902712.13000000012</v>
      </c>
      <c r="AB8021" s="4">
        <f t="shared" si="1238"/>
        <v>902712.13000000012</v>
      </c>
      <c r="AC8021" s="6">
        <f t="shared" si="1236"/>
        <v>0</v>
      </c>
      <c r="AD8021" s="92"/>
      <c r="AE8021" s="14">
        <v>0.06</v>
      </c>
      <c r="AF8021" s="6">
        <f t="shared" si="1232"/>
        <v>0</v>
      </c>
      <c r="AG8021" s="14">
        <v>0</v>
      </c>
      <c r="AH8021" s="102">
        <v>0</v>
      </c>
      <c r="AJ8021" s="126" t="e">
        <v>#N/A</v>
      </c>
      <c r="AK8021" s="80">
        <f t="shared" si="1239"/>
        <v>0</v>
      </c>
      <c r="AL8021" s="85"/>
      <c r="AM8021" s="85"/>
    </row>
    <row r="8022" spans="1:39" s="86" customFormat="1" ht="13.25" hidden="1" customHeight="1" x14ac:dyDescent="0.3">
      <c r="A8022" s="89" t="s">
        <v>3978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4123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237"/>
        <v>0</v>
      </c>
      <c r="Z8022" s="66">
        <v>0.03</v>
      </c>
      <c r="AA8022" s="6">
        <v>3378.58</v>
      </c>
      <c r="AB8022" s="4">
        <f t="shared" si="1238"/>
        <v>3378.58</v>
      </c>
      <c r="AC8022" s="6">
        <f t="shared" si="1236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232"/>
        <v>0</v>
      </c>
      <c r="AG8022" s="14">
        <v>0</v>
      </c>
      <c r="AH8022" s="102">
        <v>0</v>
      </c>
      <c r="AJ8022" s="126" t="e">
        <v>#N/A</v>
      </c>
      <c r="AK8022" s="80">
        <f t="shared" si="1239"/>
        <v>0</v>
      </c>
      <c r="AL8022" s="85"/>
      <c r="AM8022" s="85"/>
    </row>
    <row r="8023" spans="1:39" s="86" customFormat="1" ht="13.25" hidden="1" customHeight="1" x14ac:dyDescent="0.3">
      <c r="A8023" s="89" t="s">
        <v>3792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47" t="str">
        <f>N8023</f>
        <v>巨量引擎-一类</v>
      </c>
      <c r="L8023" s="47" t="s">
        <v>35</v>
      </c>
      <c r="N8023" s="86" t="s">
        <v>4125</v>
      </c>
      <c r="O8023" s="47" t="s">
        <v>45</v>
      </c>
      <c r="P8023" s="47" t="s">
        <v>4128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237"/>
        <v>0</v>
      </c>
      <c r="Z8023" s="66">
        <v>0.03</v>
      </c>
      <c r="AA8023" s="6">
        <v>559.54999999999995</v>
      </c>
      <c r="AB8023" s="4">
        <f t="shared" si="1238"/>
        <v>559.54999999999995</v>
      </c>
      <c r="AC8023" s="6">
        <f t="shared" si="1236"/>
        <v>0</v>
      </c>
      <c r="AD8023" s="92"/>
      <c r="AE8023" s="14">
        <v>0.06</v>
      </c>
      <c r="AF8023" s="6">
        <f t="shared" si="1232"/>
        <v>0</v>
      </c>
      <c r="AG8023" s="14">
        <v>0</v>
      </c>
      <c r="AH8023" s="102">
        <v>0</v>
      </c>
      <c r="AJ8023" s="126" t="e">
        <v>#N/A</v>
      </c>
      <c r="AK8023" s="80">
        <f t="shared" si="1239"/>
        <v>0</v>
      </c>
      <c r="AL8023" s="85"/>
      <c r="AM8023" s="85"/>
    </row>
    <row r="8024" spans="1:39" s="86" customFormat="1" ht="13.25" hidden="1" customHeight="1" x14ac:dyDescent="0.3">
      <c r="A8024" s="89" t="s">
        <v>3792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4123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237"/>
        <v>0</v>
      </c>
      <c r="Z8024" s="66">
        <v>0.03</v>
      </c>
      <c r="AA8024" s="6">
        <v>2703.5</v>
      </c>
      <c r="AB8024" s="4">
        <f t="shared" si="1238"/>
        <v>2703.5</v>
      </c>
      <c r="AC8024" s="6">
        <f t="shared" si="1236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232"/>
        <v>0</v>
      </c>
      <c r="AG8024" s="14">
        <v>0</v>
      </c>
      <c r="AH8024" s="102">
        <v>0</v>
      </c>
      <c r="AJ8024" s="126" t="e">
        <v>#N/A</v>
      </c>
      <c r="AK8024" s="80">
        <f t="shared" si="1239"/>
        <v>0</v>
      </c>
      <c r="AL8024" s="85"/>
      <c r="AM8024" s="85"/>
    </row>
    <row r="8025" spans="1:39" s="86" customFormat="1" ht="13.25" hidden="1" customHeight="1" x14ac:dyDescent="0.3">
      <c r="A8025" s="89" t="s">
        <v>3978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3767</v>
      </c>
      <c r="L8025" s="47" t="s">
        <v>35</v>
      </c>
      <c r="O8025" s="47" t="s">
        <v>45</v>
      </c>
      <c r="P8025" s="47" t="s">
        <v>4123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237"/>
        <v>0</v>
      </c>
      <c r="Z8025" s="66">
        <v>0.03</v>
      </c>
      <c r="AA8025" s="6">
        <v>23777.13</v>
      </c>
      <c r="AB8025" s="4">
        <f t="shared" si="1238"/>
        <v>23777.13</v>
      </c>
      <c r="AC8025" s="6">
        <f t="shared" si="1236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232"/>
        <v>0</v>
      </c>
      <c r="AG8025" s="14">
        <v>0</v>
      </c>
      <c r="AH8025" s="102">
        <v>0</v>
      </c>
      <c r="AJ8025" s="126" t="e">
        <v>#N/A</v>
      </c>
      <c r="AK8025" s="80">
        <f t="shared" si="1239"/>
        <v>0</v>
      </c>
      <c r="AL8025" s="85"/>
      <c r="AM8025" s="85"/>
    </row>
    <row r="8026" spans="1:39" s="86" customFormat="1" ht="13.25" hidden="1" customHeight="1" x14ac:dyDescent="0.3">
      <c r="A8026" s="89" t="s">
        <v>3978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4123</v>
      </c>
      <c r="Q8026" s="14">
        <v>0</v>
      </c>
      <c r="R8026" s="89"/>
      <c r="S8026" s="86" t="s">
        <v>4138</v>
      </c>
      <c r="T8026" s="92"/>
      <c r="U8026" s="92"/>
      <c r="V8026" s="92"/>
      <c r="W8026" s="92"/>
      <c r="X8026" s="92"/>
      <c r="Y8026" s="13">
        <f t="shared" si="1237"/>
        <v>0</v>
      </c>
      <c r="Z8026" s="66">
        <v>2.1999999999999999E-2</v>
      </c>
      <c r="AA8026" s="6">
        <f>29945.05-1000</f>
        <v>28945.05</v>
      </c>
      <c r="AB8026" s="4">
        <f t="shared" si="1238"/>
        <v>28945.05</v>
      </c>
      <c r="AC8026" s="6">
        <f t="shared" si="1236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232"/>
        <v>0</v>
      </c>
      <c r="AG8026" s="14">
        <v>0</v>
      </c>
      <c r="AH8026" s="102">
        <v>0</v>
      </c>
      <c r="AJ8026" s="126" t="e">
        <v>#N/A</v>
      </c>
      <c r="AK8026" s="80">
        <f t="shared" si="1239"/>
        <v>0</v>
      </c>
      <c r="AL8026" s="85"/>
      <c r="AM8026" s="85"/>
    </row>
    <row r="8027" spans="1:39" s="86" customFormat="1" ht="13.25" hidden="1" customHeight="1" x14ac:dyDescent="0.3">
      <c r="A8027" s="89" t="s">
        <v>3792</v>
      </c>
      <c r="B8027" s="86" t="s">
        <v>35</v>
      </c>
      <c r="C8027" s="86" t="s">
        <v>3857</v>
      </c>
      <c r="D8027" s="86" t="s">
        <v>3858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47" t="str">
        <f>N8027</f>
        <v>巨量引擎-一类</v>
      </c>
      <c r="L8027" s="47" t="s">
        <v>35</v>
      </c>
      <c r="N8027" s="86" t="s">
        <v>4125</v>
      </c>
      <c r="O8027" s="47" t="s">
        <v>45</v>
      </c>
      <c r="P8027" s="47" t="s">
        <v>4128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237"/>
        <v>0</v>
      </c>
      <c r="Z8027" s="66">
        <v>0.03</v>
      </c>
      <c r="AA8027" s="6">
        <v>77795.41</v>
      </c>
      <c r="AB8027" s="4">
        <f t="shared" si="1238"/>
        <v>77795.41</v>
      </c>
      <c r="AC8027" s="6">
        <f t="shared" si="1236"/>
        <v>0</v>
      </c>
      <c r="AD8027" s="92"/>
      <c r="AE8027" s="14">
        <v>0.06</v>
      </c>
      <c r="AF8027" s="6">
        <f t="shared" si="1232"/>
        <v>0</v>
      </c>
      <c r="AG8027" s="14">
        <v>0</v>
      </c>
      <c r="AH8027" s="102">
        <v>0</v>
      </c>
      <c r="AJ8027" s="126" t="e">
        <v>#N/A</v>
      </c>
      <c r="AK8027" s="80">
        <f t="shared" si="1239"/>
        <v>0</v>
      </c>
      <c r="AL8027" s="85"/>
      <c r="AM8027" s="85"/>
    </row>
    <row r="8028" spans="1:39" s="86" customFormat="1" ht="13.25" hidden="1" customHeight="1" x14ac:dyDescent="0.3">
      <c r="A8028" s="89" t="s">
        <v>3792</v>
      </c>
      <c r="B8028" s="86" t="s">
        <v>35</v>
      </c>
      <c r="C8028" s="86" t="s">
        <v>36</v>
      </c>
      <c r="D8028" s="86" t="s">
        <v>185</v>
      </c>
      <c r="E8028" s="86" t="s">
        <v>4139</v>
      </c>
      <c r="F8028" s="86" t="s">
        <v>4140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3763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4116</v>
      </c>
      <c r="T8028" s="92"/>
      <c r="U8028" s="92"/>
      <c r="V8028" s="92"/>
      <c r="W8028" s="92"/>
      <c r="X8028" s="6">
        <v>9</v>
      </c>
      <c r="Y8028" s="13">
        <f t="shared" si="1237"/>
        <v>9</v>
      </c>
      <c r="Z8028" s="14">
        <v>0</v>
      </c>
      <c r="AA8028" s="102">
        <v>0</v>
      </c>
      <c r="AB8028" s="4">
        <f t="shared" si="1238"/>
        <v>9</v>
      </c>
      <c r="AC8028" s="6">
        <f t="shared" si="1236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232"/>
        <v>0</v>
      </c>
      <c r="AG8028" s="14">
        <v>0</v>
      </c>
      <c r="AH8028" s="102">
        <v>0</v>
      </c>
      <c r="AJ8028" s="126" t="e">
        <v>#N/A</v>
      </c>
      <c r="AK8028" s="80">
        <f t="shared" si="1239"/>
        <v>0</v>
      </c>
      <c r="AL8028" s="85"/>
      <c r="AM8028" s="85"/>
    </row>
    <row r="8029" spans="1:39" s="86" customFormat="1" ht="13.25" hidden="1" customHeight="1" x14ac:dyDescent="0.3">
      <c r="A8029" s="89" t="s">
        <v>3978</v>
      </c>
      <c r="B8029" s="86" t="s">
        <v>35</v>
      </c>
      <c r="C8029" s="86" t="s">
        <v>4141</v>
      </c>
      <c r="D8029" s="86" t="s">
        <v>4142</v>
      </c>
      <c r="E8029" s="86" t="s">
        <v>4143</v>
      </c>
      <c r="F8029" s="86" t="s">
        <v>4144</v>
      </c>
      <c r="G8029" s="86" t="s">
        <v>4196</v>
      </c>
      <c r="H8029" s="144">
        <v>360</v>
      </c>
      <c r="I8029" s="86" t="s">
        <v>1060</v>
      </c>
      <c r="J8029" s="47" t="s">
        <v>3325</v>
      </c>
      <c r="K8029" s="47" t="s">
        <v>3767</v>
      </c>
      <c r="L8029" s="47" t="s">
        <v>35</v>
      </c>
      <c r="O8029" s="47" t="s">
        <v>4145</v>
      </c>
      <c r="P8029" s="47" t="s">
        <v>4123</v>
      </c>
      <c r="Q8029" s="14">
        <v>0</v>
      </c>
      <c r="R8029" s="89"/>
      <c r="S8029" s="47" t="s">
        <v>4116</v>
      </c>
      <c r="T8029" s="92"/>
      <c r="U8029" s="92"/>
      <c r="V8029" s="92"/>
      <c r="W8029" s="92"/>
      <c r="X8029" s="6">
        <v>147.12</v>
      </c>
      <c r="Y8029" s="13">
        <f t="shared" si="1237"/>
        <v>147.12</v>
      </c>
      <c r="Z8029" s="66">
        <v>0</v>
      </c>
      <c r="AA8029" s="6">
        <v>0</v>
      </c>
      <c r="AB8029" s="4">
        <f t="shared" si="1238"/>
        <v>147.12</v>
      </c>
      <c r="AC8029" s="6">
        <f t="shared" si="1236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232"/>
        <v>0</v>
      </c>
      <c r="AG8029" s="14">
        <v>0</v>
      </c>
      <c r="AH8029" s="102">
        <v>0</v>
      </c>
      <c r="AJ8029" s="126" t="e">
        <v>#N/A</v>
      </c>
      <c r="AK8029" s="80">
        <f t="shared" si="1239"/>
        <v>0</v>
      </c>
      <c r="AL8029" s="85"/>
      <c r="AM8029" s="85"/>
    </row>
    <row r="8030" spans="1:39" s="86" customFormat="1" ht="13.25" hidden="1" customHeight="1" x14ac:dyDescent="0.3">
      <c r="A8030" s="89" t="s">
        <v>3792</v>
      </c>
      <c r="B8030" s="86" t="s">
        <v>35</v>
      </c>
      <c r="C8030" s="86" t="s">
        <v>59</v>
      </c>
      <c r="D8030" s="86" t="s">
        <v>60</v>
      </c>
      <c r="E8030" s="86" t="s">
        <v>4146</v>
      </c>
      <c r="F8030" s="86" t="s">
        <v>4146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4147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242">T8030+U8030-V8030</f>
        <v>0</v>
      </c>
      <c r="X8030" s="6">
        <v>0</v>
      </c>
      <c r="Y8030" s="13">
        <f t="shared" si="1237"/>
        <v>0</v>
      </c>
      <c r="Z8030" s="14">
        <v>0</v>
      </c>
      <c r="AA8030" s="6">
        <v>0</v>
      </c>
      <c r="AB8030" s="4">
        <f t="shared" si="1238"/>
        <v>0</v>
      </c>
      <c r="AC8030" s="6">
        <v>825268.5395999999</v>
      </c>
      <c r="AD8030" s="6">
        <f t="shared" ref="AD8030" si="1243">V8030</f>
        <v>0</v>
      </c>
      <c r="AE8030" s="14">
        <v>0.06</v>
      </c>
      <c r="AF8030" s="6">
        <f t="shared" si="1232"/>
        <v>0</v>
      </c>
      <c r="AG8030" s="14">
        <v>0</v>
      </c>
      <c r="AH8030" s="64">
        <f t="shared" ref="AH8030" si="1244">V8030</f>
        <v>0</v>
      </c>
      <c r="AJ8030" s="126" t="e">
        <v>#N/A</v>
      </c>
      <c r="AK8030" s="80">
        <f t="shared" si="1239"/>
        <v>0</v>
      </c>
      <c r="AL8030" s="85"/>
      <c r="AM8030" s="85"/>
    </row>
    <row r="8031" spans="1:39" s="86" customFormat="1" ht="13.25" hidden="1" customHeight="1" x14ac:dyDescent="0.3">
      <c r="A8031" s="89" t="s">
        <v>3978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4148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3894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242"/>
        <v>2800000</v>
      </c>
      <c r="X8031" s="6">
        <f t="shared" ref="X8031:X8032" si="1245">IF(P8031="折扣",V8031*Q8031,IF(P8031="返现",V8031,V8031/(1+Q8031+AG8031)))</f>
        <v>0</v>
      </c>
      <c r="Y8031" s="13">
        <f t="shared" si="1237"/>
        <v>0</v>
      </c>
      <c r="Z8031" s="66">
        <v>0</v>
      </c>
      <c r="AA8031" s="6">
        <v>0</v>
      </c>
      <c r="AB8031" s="4">
        <f t="shared" si="1238"/>
        <v>0</v>
      </c>
      <c r="AC8031" s="6">
        <f t="shared" ref="AC8031:AC8094" si="1246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232"/>
        <v>0</v>
      </c>
      <c r="AG8031" s="14">
        <v>0.28999999999999998</v>
      </c>
      <c r="AH8031" s="6">
        <f t="shared" ref="AH8031:AH8032" si="1247">V8031/(1+AG8031)</f>
        <v>0</v>
      </c>
      <c r="AI8031" s="47"/>
      <c r="AJ8031" s="126" t="e">
        <v>#N/A</v>
      </c>
      <c r="AK8031" s="80">
        <f t="shared" si="1239"/>
        <v>0</v>
      </c>
      <c r="AL8031" s="85"/>
      <c r="AM8031" s="85"/>
    </row>
    <row r="8032" spans="1:39" s="86" customFormat="1" hidden="1" x14ac:dyDescent="0.3">
      <c r="A8032" s="89" t="s">
        <v>3978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4149</v>
      </c>
      <c r="Q8032" s="14">
        <v>0.03</v>
      </c>
      <c r="R8032" s="143"/>
      <c r="S8032" s="47"/>
      <c r="T8032" s="6">
        <v>597.04999999999995</v>
      </c>
      <c r="U8032" s="6"/>
      <c r="V8032" s="6">
        <v>72.48</v>
      </c>
      <c r="W8032" s="6">
        <f t="shared" si="1242"/>
        <v>524.56999999999994</v>
      </c>
      <c r="X8032" s="6">
        <f t="shared" si="1245"/>
        <v>51.40425531914893</v>
      </c>
      <c r="Y8032" s="13">
        <f t="shared" si="1237"/>
        <v>51.40425531914893</v>
      </c>
      <c r="Z8032" s="14">
        <v>0</v>
      </c>
      <c r="AA8032" s="6">
        <v>0</v>
      </c>
      <c r="AB8032" s="4">
        <f t="shared" si="1238"/>
        <v>51.40425531914893</v>
      </c>
      <c r="AC8032" s="6">
        <f t="shared" si="1246"/>
        <v>21.075744680851074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232"/>
        <v>0</v>
      </c>
      <c r="AG8032" s="14">
        <v>0.38</v>
      </c>
      <c r="AH8032" s="6">
        <f t="shared" si="1247"/>
        <v>52.521739130434788</v>
      </c>
      <c r="AI8032" s="47"/>
      <c r="AJ8032" s="126" t="e">
        <v>#N/A</v>
      </c>
      <c r="AK8032" s="80">
        <f t="shared" si="1239"/>
        <v>0</v>
      </c>
      <c r="AL8032" s="85"/>
      <c r="AM8032" s="85"/>
    </row>
    <row r="8033" spans="1:39" s="86" customFormat="1" hidden="1" x14ac:dyDescent="0.3">
      <c r="A8033" s="89" t="s">
        <v>3978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4150</v>
      </c>
      <c r="J8033" s="47" t="s">
        <v>4202</v>
      </c>
      <c r="K8033" s="47" t="s">
        <v>4150</v>
      </c>
      <c r="L8033" s="47" t="s">
        <v>4214</v>
      </c>
      <c r="O8033" s="47" t="s">
        <v>3172</v>
      </c>
      <c r="P8033" s="47" t="s">
        <v>4123</v>
      </c>
      <c r="Q8033" s="14">
        <v>0</v>
      </c>
      <c r="R8033" s="89"/>
      <c r="S8033" s="47" t="s">
        <v>4151</v>
      </c>
      <c r="T8033" s="92"/>
      <c r="U8033" s="92"/>
      <c r="V8033" s="92"/>
      <c r="W8033" s="92"/>
      <c r="X8033" s="102">
        <v>4000</v>
      </c>
      <c r="Y8033" s="13">
        <f t="shared" si="1237"/>
        <v>4000</v>
      </c>
      <c r="Z8033" s="14">
        <v>0</v>
      </c>
      <c r="AA8033" s="6">
        <v>0</v>
      </c>
      <c r="AB8033" s="4">
        <f t="shared" si="1238"/>
        <v>4000</v>
      </c>
      <c r="AC8033" s="6">
        <f t="shared" si="1246"/>
        <v>-4000</v>
      </c>
      <c r="AD8033" s="6">
        <v>0</v>
      </c>
      <c r="AE8033" s="14">
        <v>0</v>
      </c>
      <c r="AF8033" s="6">
        <f t="shared" si="1232"/>
        <v>0</v>
      </c>
      <c r="AG8033" s="14">
        <v>0</v>
      </c>
      <c r="AH8033" s="102">
        <v>0</v>
      </c>
      <c r="AJ8033" s="126" t="e">
        <v>#N/A</v>
      </c>
      <c r="AK8033" s="80">
        <f t="shared" si="1239"/>
        <v>0</v>
      </c>
      <c r="AL8033" s="85"/>
      <c r="AM8033" s="85"/>
    </row>
    <row r="8034" spans="1:39" s="86" customFormat="1" hidden="1" x14ac:dyDescent="0.3">
      <c r="A8034" s="89" t="s">
        <v>3978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4152</v>
      </c>
      <c r="G8034" s="86" t="s">
        <v>2743</v>
      </c>
      <c r="H8034" s="144">
        <v>369</v>
      </c>
      <c r="I8034" s="118" t="s">
        <v>4150</v>
      </c>
      <c r="J8034" s="47" t="s">
        <v>4202</v>
      </c>
      <c r="K8034" s="47" t="s">
        <v>4150</v>
      </c>
      <c r="L8034" s="47" t="s">
        <v>4214</v>
      </c>
      <c r="O8034" s="47" t="s">
        <v>3172</v>
      </c>
      <c r="P8034" s="47" t="s">
        <v>4123</v>
      </c>
      <c r="Q8034" s="14">
        <v>0</v>
      </c>
      <c r="R8034" s="89"/>
      <c r="S8034" s="47" t="s">
        <v>4151</v>
      </c>
      <c r="T8034" s="92"/>
      <c r="U8034" s="92"/>
      <c r="V8034" s="92"/>
      <c r="W8034" s="92"/>
      <c r="X8034" s="102">
        <v>106000</v>
      </c>
      <c r="Y8034" s="13">
        <f t="shared" si="1237"/>
        <v>106000</v>
      </c>
      <c r="Z8034" s="14">
        <v>0</v>
      </c>
      <c r="AA8034" s="6">
        <v>0</v>
      </c>
      <c r="AB8034" s="4">
        <f t="shared" si="1238"/>
        <v>106000</v>
      </c>
      <c r="AC8034" s="6">
        <f t="shared" si="1246"/>
        <v>-106000</v>
      </c>
      <c r="AD8034" s="6">
        <v>0</v>
      </c>
      <c r="AE8034" s="14">
        <v>0</v>
      </c>
      <c r="AF8034" s="6">
        <f t="shared" si="1232"/>
        <v>0</v>
      </c>
      <c r="AG8034" s="14">
        <v>0</v>
      </c>
      <c r="AH8034" s="102">
        <v>0</v>
      </c>
      <c r="AJ8034" s="126" t="e">
        <v>#N/A</v>
      </c>
      <c r="AK8034" s="80">
        <f t="shared" si="1239"/>
        <v>0</v>
      </c>
      <c r="AL8034" s="85"/>
      <c r="AM8034" s="85"/>
    </row>
    <row r="8035" spans="1:39" s="86" customFormat="1" hidden="1" x14ac:dyDescent="0.3">
      <c r="A8035" s="89" t="s">
        <v>3978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248">T8035+U8035-V8035</f>
        <v>11376.98</v>
      </c>
      <c r="X8035" s="6">
        <f t="shared" ref="X8035:X8075" si="1249">IF(P8035="折扣",V8035*Q8035,IF(P8035="返现",V8035,V8035/(1+Q8035)))</f>
        <v>0</v>
      </c>
      <c r="Y8035" s="13">
        <f t="shared" si="1237"/>
        <v>0</v>
      </c>
      <c r="Z8035" s="14">
        <v>0</v>
      </c>
      <c r="AA8035" s="6">
        <v>0</v>
      </c>
      <c r="AB8035" s="4">
        <f t="shared" si="1238"/>
        <v>0</v>
      </c>
      <c r="AC8035" s="6">
        <f t="shared" si="1246"/>
        <v>0</v>
      </c>
      <c r="AD8035" s="6">
        <v>0</v>
      </c>
      <c r="AE8035" s="14">
        <v>0</v>
      </c>
      <c r="AF8035" s="6">
        <f t="shared" si="1232"/>
        <v>0</v>
      </c>
      <c r="AG8035" s="14">
        <v>0</v>
      </c>
      <c r="AH8035" s="47"/>
      <c r="AI8035" s="47"/>
      <c r="AJ8035" s="126" t="e">
        <v>#N/A</v>
      </c>
      <c r="AK8035" s="80">
        <f t="shared" si="1239"/>
        <v>0</v>
      </c>
      <c r="AL8035" s="85"/>
      <c r="AM8035" s="85"/>
    </row>
    <row r="8036" spans="1:39" s="86" customFormat="1" hidden="1" x14ac:dyDescent="0.3">
      <c r="A8036" s="89" t="s">
        <v>3978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249"/>
        <v>55760</v>
      </c>
      <c r="Y8036" s="13">
        <f t="shared" si="1237"/>
        <v>0</v>
      </c>
      <c r="Z8036" s="14">
        <v>0</v>
      </c>
      <c r="AA8036" s="6">
        <v>0</v>
      </c>
      <c r="AB8036" s="4">
        <f t="shared" si="1238"/>
        <v>55760</v>
      </c>
      <c r="AC8036" s="6">
        <f t="shared" si="1246"/>
        <v>0</v>
      </c>
      <c r="AD8036" s="6">
        <v>55760</v>
      </c>
      <c r="AE8036" s="14">
        <v>7.0000000000000007E-2</v>
      </c>
      <c r="AF8036" s="6">
        <f t="shared" ref="AF8036:AF8045" si="1250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239"/>
        <v>0</v>
      </c>
      <c r="AL8036" s="85"/>
      <c r="AM8036" s="85"/>
    </row>
    <row r="8037" spans="1:39" s="86" customFormat="1" hidden="1" x14ac:dyDescent="0.3">
      <c r="A8037" s="89" t="s">
        <v>3978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249"/>
        <v>22960</v>
      </c>
      <c r="Y8037" s="13">
        <f t="shared" si="1237"/>
        <v>0</v>
      </c>
      <c r="Z8037" s="14">
        <v>0</v>
      </c>
      <c r="AA8037" s="6">
        <v>0</v>
      </c>
      <c r="AB8037" s="4">
        <f t="shared" si="1238"/>
        <v>22960</v>
      </c>
      <c r="AC8037" s="6">
        <f t="shared" si="1246"/>
        <v>0</v>
      </c>
      <c r="AD8037" s="6">
        <v>22960</v>
      </c>
      <c r="AE8037" s="14">
        <v>7.0000000000000007E-2</v>
      </c>
      <c r="AF8037" s="6">
        <f t="shared" si="1250"/>
        <v>1607.2</v>
      </c>
      <c r="AG8037" s="14">
        <v>0</v>
      </c>
      <c r="AH8037" s="47"/>
      <c r="AI8037" s="47"/>
      <c r="AJ8037" s="126" t="e">
        <v>#N/A</v>
      </c>
      <c r="AK8037" s="80">
        <f t="shared" si="1239"/>
        <v>0</v>
      </c>
      <c r="AL8037" s="85"/>
      <c r="AM8037" s="85"/>
    </row>
    <row r="8038" spans="1:39" s="86" customFormat="1" hidden="1" x14ac:dyDescent="0.3">
      <c r="A8038" s="89" t="s">
        <v>3792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249"/>
        <v>0</v>
      </c>
      <c r="Y8038" s="13">
        <f t="shared" si="1237"/>
        <v>0</v>
      </c>
      <c r="Z8038" s="14">
        <v>0</v>
      </c>
      <c r="AA8038" s="6">
        <v>0</v>
      </c>
      <c r="AB8038" s="4">
        <f t="shared" si="1238"/>
        <v>0</v>
      </c>
      <c r="AC8038" s="6">
        <f t="shared" si="1246"/>
        <v>0</v>
      </c>
      <c r="AD8038" s="6">
        <v>0</v>
      </c>
      <c r="AE8038" s="14">
        <v>7.0000000000000007E-2</v>
      </c>
      <c r="AF8038" s="6">
        <f t="shared" si="1250"/>
        <v>0</v>
      </c>
      <c r="AG8038" s="14">
        <v>0</v>
      </c>
      <c r="AH8038" s="47"/>
      <c r="AI8038" s="47"/>
      <c r="AJ8038" s="126" t="e">
        <v>#N/A</v>
      </c>
      <c r="AK8038" s="80">
        <f t="shared" si="1239"/>
        <v>0</v>
      </c>
      <c r="AL8038" s="85"/>
      <c r="AM8038" s="85"/>
    </row>
    <row r="8039" spans="1:39" s="86" customFormat="1" hidden="1" x14ac:dyDescent="0.3">
      <c r="A8039" s="89" t="s">
        <v>3978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251">T8039+U8039-V8039</f>
        <v>19018.240000000002</v>
      </c>
      <c r="X8039" s="6">
        <f t="shared" si="1249"/>
        <v>0</v>
      </c>
      <c r="Y8039" s="13">
        <f t="shared" si="1237"/>
        <v>0</v>
      </c>
      <c r="Z8039" s="14">
        <v>0</v>
      </c>
      <c r="AA8039" s="6">
        <v>0</v>
      </c>
      <c r="AB8039" s="4">
        <f t="shared" si="1238"/>
        <v>0</v>
      </c>
      <c r="AC8039" s="6">
        <f t="shared" si="1246"/>
        <v>0</v>
      </c>
      <c r="AD8039" s="6">
        <v>0</v>
      </c>
      <c r="AE8039" s="14">
        <v>0.08</v>
      </c>
      <c r="AF8039" s="6">
        <f t="shared" si="1250"/>
        <v>0</v>
      </c>
      <c r="AG8039" s="14">
        <v>0</v>
      </c>
      <c r="AH8039" s="47"/>
      <c r="AI8039" s="47"/>
      <c r="AJ8039" s="126" t="e">
        <v>#N/A</v>
      </c>
      <c r="AK8039" s="80">
        <f t="shared" si="1239"/>
        <v>0</v>
      </c>
      <c r="AL8039" s="85"/>
      <c r="AM8039" s="85"/>
    </row>
    <row r="8040" spans="1:39" s="86" customFormat="1" hidden="1" x14ac:dyDescent="0.3">
      <c r="A8040" s="89" t="s">
        <v>3978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249"/>
        <v>62320</v>
      </c>
      <c r="Y8040" s="13">
        <f t="shared" si="1237"/>
        <v>0</v>
      </c>
      <c r="Z8040" s="14">
        <v>0</v>
      </c>
      <c r="AA8040" s="6">
        <v>0</v>
      </c>
      <c r="AB8040" s="4">
        <f t="shared" si="1238"/>
        <v>62320</v>
      </c>
      <c r="AC8040" s="6">
        <f t="shared" si="1246"/>
        <v>0</v>
      </c>
      <c r="AD8040" s="6">
        <v>62320</v>
      </c>
      <c r="AE8040" s="14">
        <v>7.0000000000000007E-2</v>
      </c>
      <c r="AF8040" s="6">
        <f t="shared" si="1250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239"/>
        <v>0</v>
      </c>
      <c r="AL8040" s="85"/>
      <c r="AM8040" s="85"/>
    </row>
    <row r="8041" spans="1:39" s="86" customFormat="1" hidden="1" x14ac:dyDescent="0.3">
      <c r="A8041" s="89" t="s">
        <v>3978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249"/>
        <v>85280</v>
      </c>
      <c r="Y8041" s="13">
        <f t="shared" si="1237"/>
        <v>0</v>
      </c>
      <c r="Z8041" s="14">
        <v>0</v>
      </c>
      <c r="AA8041" s="6">
        <v>0</v>
      </c>
      <c r="AB8041" s="4">
        <f t="shared" si="1238"/>
        <v>85280</v>
      </c>
      <c r="AC8041" s="6">
        <f t="shared" si="1246"/>
        <v>0</v>
      </c>
      <c r="AD8041" s="6">
        <v>85280</v>
      </c>
      <c r="AE8041" s="14">
        <v>7.0000000000000007E-2</v>
      </c>
      <c r="AF8041" s="6">
        <f t="shared" si="1250"/>
        <v>5969.6</v>
      </c>
      <c r="AG8041" s="14">
        <v>0</v>
      </c>
      <c r="AH8041" s="47"/>
      <c r="AI8041" s="47"/>
      <c r="AJ8041" s="126" t="e">
        <v>#N/A</v>
      </c>
      <c r="AK8041" s="80">
        <f t="shared" si="1239"/>
        <v>0</v>
      </c>
      <c r="AL8041" s="85"/>
      <c r="AM8041" s="85"/>
    </row>
    <row r="8042" spans="1:39" s="86" customFormat="1" hidden="1" x14ac:dyDescent="0.3">
      <c r="A8042" s="89" t="s">
        <v>3978</v>
      </c>
      <c r="B8042" s="86" t="s">
        <v>35</v>
      </c>
      <c r="C8042" s="86" t="s">
        <v>184</v>
      </c>
      <c r="D8042" s="86" t="s">
        <v>3849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249"/>
        <v>109790.24</v>
      </c>
      <c r="Y8042" s="13">
        <f t="shared" si="1237"/>
        <v>0</v>
      </c>
      <c r="Z8042" s="14">
        <v>0</v>
      </c>
      <c r="AA8042" s="6">
        <v>0</v>
      </c>
      <c r="AB8042" s="4">
        <f t="shared" si="1238"/>
        <v>109790.24</v>
      </c>
      <c r="AC8042" s="6">
        <f t="shared" si="1246"/>
        <v>0</v>
      </c>
      <c r="AD8042" s="6">
        <v>109790.24</v>
      </c>
      <c r="AE8042" s="14">
        <v>7.0000000000000007E-2</v>
      </c>
      <c r="AF8042" s="6">
        <f t="shared" si="1250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239"/>
        <v>0</v>
      </c>
      <c r="AL8042" s="85"/>
      <c r="AM8042" s="85"/>
    </row>
    <row r="8043" spans="1:39" s="86" customFormat="1" hidden="1" x14ac:dyDescent="0.3">
      <c r="A8043" s="89" t="s">
        <v>3978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252">T8043+U8043-V8043</f>
        <v>93395.28</v>
      </c>
      <c r="X8043" s="6">
        <f t="shared" si="1249"/>
        <v>0</v>
      </c>
      <c r="Y8043" s="13">
        <f t="shared" si="1237"/>
        <v>0</v>
      </c>
      <c r="Z8043" s="14">
        <v>0</v>
      </c>
      <c r="AA8043" s="6">
        <v>0</v>
      </c>
      <c r="AB8043" s="4">
        <f t="shared" si="1238"/>
        <v>0</v>
      </c>
      <c r="AC8043" s="6">
        <f t="shared" si="1246"/>
        <v>0</v>
      </c>
      <c r="AD8043" s="6">
        <v>0</v>
      </c>
      <c r="AE8043" s="14">
        <v>0</v>
      </c>
      <c r="AF8043" s="6">
        <f t="shared" si="1250"/>
        <v>0</v>
      </c>
      <c r="AG8043" s="14">
        <v>0</v>
      </c>
      <c r="AH8043" s="47"/>
      <c r="AI8043" s="47"/>
      <c r="AJ8043" s="126" t="e">
        <v>#N/A</v>
      </c>
      <c r="AK8043" s="80">
        <f t="shared" si="1239"/>
        <v>0</v>
      </c>
      <c r="AL8043" s="85"/>
      <c r="AM8043" s="85"/>
    </row>
    <row r="8044" spans="1:39" s="86" customFormat="1" hidden="1" x14ac:dyDescent="0.3">
      <c r="A8044" s="89" t="s">
        <v>3978</v>
      </c>
      <c r="B8044" s="86" t="s">
        <v>35</v>
      </c>
      <c r="C8044" s="86" t="s">
        <v>184</v>
      </c>
      <c r="D8044" s="86" t="s">
        <v>3849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252"/>
        <v>18381.79</v>
      </c>
      <c r="X8044" s="6">
        <f t="shared" si="1249"/>
        <v>0</v>
      </c>
      <c r="Y8044" s="13">
        <f t="shared" si="1237"/>
        <v>0</v>
      </c>
      <c r="Z8044" s="14">
        <v>0</v>
      </c>
      <c r="AA8044" s="6">
        <v>0</v>
      </c>
      <c r="AB8044" s="4">
        <f t="shared" si="1238"/>
        <v>0</v>
      </c>
      <c r="AC8044" s="6">
        <f t="shared" si="1246"/>
        <v>0</v>
      </c>
      <c r="AD8044" s="6">
        <v>0</v>
      </c>
      <c r="AE8044" s="14">
        <v>0</v>
      </c>
      <c r="AF8044" s="6">
        <f t="shared" si="1250"/>
        <v>0</v>
      </c>
      <c r="AG8044" s="14">
        <v>0</v>
      </c>
      <c r="AH8044" s="47"/>
      <c r="AI8044" s="47"/>
      <c r="AJ8044" s="126" t="e">
        <v>#N/A</v>
      </c>
      <c r="AK8044" s="80">
        <f t="shared" si="1239"/>
        <v>0</v>
      </c>
      <c r="AL8044" s="85"/>
      <c r="AM8044" s="85"/>
    </row>
    <row r="8045" spans="1:39" s="86" customFormat="1" hidden="1" x14ac:dyDescent="0.3">
      <c r="A8045" s="89" t="s">
        <v>3978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252"/>
        <v>-3087.24</v>
      </c>
      <c r="X8045" s="6">
        <f t="shared" si="1249"/>
        <v>0</v>
      </c>
      <c r="Y8045" s="13">
        <f t="shared" si="1237"/>
        <v>0</v>
      </c>
      <c r="Z8045" s="14">
        <v>0</v>
      </c>
      <c r="AA8045" s="6">
        <v>0</v>
      </c>
      <c r="AB8045" s="4">
        <f t="shared" si="1238"/>
        <v>0</v>
      </c>
      <c r="AC8045" s="6">
        <f t="shared" si="1246"/>
        <v>0</v>
      </c>
      <c r="AD8045" s="6">
        <v>0</v>
      </c>
      <c r="AE8045" s="14">
        <v>0</v>
      </c>
      <c r="AF8045" s="6">
        <f t="shared" si="1250"/>
        <v>0</v>
      </c>
      <c r="AG8045" s="14">
        <v>0</v>
      </c>
      <c r="AH8045" s="47"/>
      <c r="AI8045" s="47"/>
      <c r="AJ8045" s="126" t="e">
        <v>#N/A</v>
      </c>
      <c r="AK8045" s="80">
        <f t="shared" si="1239"/>
        <v>0</v>
      </c>
      <c r="AL8045" s="85"/>
      <c r="AM8045" s="85"/>
    </row>
    <row r="8046" spans="1:39" s="86" customFormat="1" hidden="1" x14ac:dyDescent="0.3">
      <c r="A8046" s="89" t="s">
        <v>3978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252"/>
        <v>1387.5</v>
      </c>
      <c r="X8046" s="6">
        <f t="shared" si="1249"/>
        <v>0</v>
      </c>
      <c r="Y8046" s="13">
        <f t="shared" si="1237"/>
        <v>0</v>
      </c>
      <c r="Z8046" s="20">
        <v>0</v>
      </c>
      <c r="AA8046" s="6">
        <v>0</v>
      </c>
      <c r="AB8046" s="4">
        <f t="shared" si="1238"/>
        <v>0</v>
      </c>
      <c r="AC8046" s="6">
        <f t="shared" si="1246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239"/>
        <v>0</v>
      </c>
      <c r="AL8046" s="85"/>
      <c r="AM8046" s="85"/>
    </row>
    <row r="8047" spans="1:39" s="86" customFormat="1" hidden="1" x14ac:dyDescent="0.3">
      <c r="A8047" s="89" t="s">
        <v>3978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252"/>
        <v>22550.75</v>
      </c>
      <c r="X8047" s="6">
        <f t="shared" si="1249"/>
        <v>0</v>
      </c>
      <c r="Y8047" s="13">
        <f t="shared" si="1237"/>
        <v>0</v>
      </c>
      <c r="Z8047" s="20">
        <v>0</v>
      </c>
      <c r="AA8047" s="6">
        <v>0</v>
      </c>
      <c r="AB8047" s="4">
        <f t="shared" si="1238"/>
        <v>0</v>
      </c>
      <c r="AC8047" s="6">
        <f t="shared" si="1246"/>
        <v>0</v>
      </c>
      <c r="AD8047" s="6">
        <v>0</v>
      </c>
      <c r="AE8047" s="20">
        <v>0</v>
      </c>
      <c r="AF8047" s="11">
        <f t="shared" ref="AF8047:AF8058" si="1253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239"/>
        <v>0</v>
      </c>
      <c r="AL8047" s="85"/>
      <c r="AM8047" s="85"/>
    </row>
    <row r="8048" spans="1:39" s="86" customFormat="1" hidden="1" x14ac:dyDescent="0.3">
      <c r="A8048" s="89" t="s">
        <v>3978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249"/>
        <v>115260</v>
      </c>
      <c r="Y8048" s="13">
        <f t="shared" si="1237"/>
        <v>0</v>
      </c>
      <c r="Z8048" s="20">
        <v>0</v>
      </c>
      <c r="AA8048" s="6">
        <v>0</v>
      </c>
      <c r="AB8048" s="4">
        <f t="shared" si="1238"/>
        <v>115260</v>
      </c>
      <c r="AC8048" s="6">
        <f t="shared" si="1246"/>
        <v>0</v>
      </c>
      <c r="AD8048" s="6">
        <v>115260</v>
      </c>
      <c r="AE8048" s="20">
        <v>7.0000000000000007E-2</v>
      </c>
      <c r="AF8048" s="11">
        <f t="shared" si="1253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239"/>
        <v>0</v>
      </c>
      <c r="AL8048" s="85"/>
      <c r="AM8048" s="85"/>
    </row>
    <row r="8049" spans="1:39" s="86" customFormat="1" hidden="1" x14ac:dyDescent="0.3">
      <c r="A8049" s="89" t="s">
        <v>3978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249"/>
        <v>30100</v>
      </c>
      <c r="Y8049" s="13">
        <f t="shared" si="1237"/>
        <v>0</v>
      </c>
      <c r="Z8049" s="20">
        <v>0</v>
      </c>
      <c r="AA8049" s="6">
        <v>0</v>
      </c>
      <c r="AB8049" s="4">
        <f t="shared" si="1238"/>
        <v>30100</v>
      </c>
      <c r="AC8049" s="6">
        <f t="shared" si="1246"/>
        <v>0</v>
      </c>
      <c r="AD8049" s="6">
        <v>30100</v>
      </c>
      <c r="AE8049" s="20">
        <v>7.0000000000000007E-2</v>
      </c>
      <c r="AF8049" s="11">
        <f t="shared" si="1253"/>
        <v>2107</v>
      </c>
      <c r="AG8049" s="20">
        <v>0</v>
      </c>
      <c r="AH8049" s="47"/>
      <c r="AI8049" s="47"/>
      <c r="AJ8049" s="126" t="e">
        <v>#N/A</v>
      </c>
      <c r="AK8049" s="80">
        <f t="shared" si="1239"/>
        <v>0</v>
      </c>
      <c r="AL8049" s="85"/>
      <c r="AM8049" s="85"/>
    </row>
    <row r="8050" spans="1:39" s="86" customFormat="1" hidden="1" x14ac:dyDescent="0.3">
      <c r="A8050" s="89" t="s">
        <v>3978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254">T8050+U8050-V8050</f>
        <v>-51706.869999999995</v>
      </c>
      <c r="X8050" s="6">
        <f t="shared" si="1249"/>
        <v>417775.64</v>
      </c>
      <c r="Y8050" s="13">
        <f t="shared" si="1237"/>
        <v>8191.679999999993</v>
      </c>
      <c r="Z8050" s="20">
        <v>0</v>
      </c>
      <c r="AA8050" s="6">
        <v>0</v>
      </c>
      <c r="AB8050" s="4">
        <f t="shared" si="1238"/>
        <v>417775.64</v>
      </c>
      <c r="AC8050" s="6">
        <f t="shared" si="1246"/>
        <v>0</v>
      </c>
      <c r="AD8050" s="6">
        <v>409583.96</v>
      </c>
      <c r="AE8050" s="20">
        <v>0.02</v>
      </c>
      <c r="AF8050" s="11">
        <f t="shared" si="1253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239"/>
        <v>0</v>
      </c>
      <c r="AL8050" s="85"/>
      <c r="AM8050" s="85"/>
    </row>
    <row r="8051" spans="1:39" s="86" customFormat="1" hidden="1" x14ac:dyDescent="0.3">
      <c r="A8051" s="89" t="s">
        <v>3978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254"/>
        <v>159441.73000000001</v>
      </c>
      <c r="X8051" s="6">
        <f t="shared" si="1249"/>
        <v>0</v>
      </c>
      <c r="Y8051" s="13">
        <f t="shared" si="1237"/>
        <v>0</v>
      </c>
      <c r="Z8051" s="20">
        <v>0</v>
      </c>
      <c r="AA8051" s="6">
        <v>0</v>
      </c>
      <c r="AB8051" s="4">
        <f t="shared" si="1238"/>
        <v>0</v>
      </c>
      <c r="AC8051" s="6">
        <f t="shared" si="1246"/>
        <v>0</v>
      </c>
      <c r="AD8051" s="6">
        <v>0</v>
      </c>
      <c r="AE8051" s="20">
        <v>0</v>
      </c>
      <c r="AF8051" s="11">
        <f t="shared" si="1253"/>
        <v>0</v>
      </c>
      <c r="AG8051" s="20">
        <v>0</v>
      </c>
      <c r="AH8051" s="47"/>
      <c r="AI8051" s="47"/>
      <c r="AJ8051" s="126" t="e">
        <v>#N/A</v>
      </c>
      <c r="AK8051" s="80">
        <f t="shared" si="1239"/>
        <v>0</v>
      </c>
      <c r="AL8051" s="85"/>
      <c r="AM8051" s="85"/>
    </row>
    <row r="8052" spans="1:39" s="86" customFormat="1" hidden="1" x14ac:dyDescent="0.3">
      <c r="A8052" s="89" t="s">
        <v>3978</v>
      </c>
      <c r="B8052" s="86" t="s">
        <v>35</v>
      </c>
      <c r="C8052" s="86" t="s">
        <v>184</v>
      </c>
      <c r="D8052" s="86" t="s">
        <v>3849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254"/>
        <v>9968.7000000000007</v>
      </c>
      <c r="X8052" s="6">
        <f t="shared" si="1249"/>
        <v>0</v>
      </c>
      <c r="Y8052" s="13">
        <f t="shared" si="1237"/>
        <v>0</v>
      </c>
      <c r="Z8052" s="20">
        <v>0</v>
      </c>
      <c r="AA8052" s="6">
        <v>0</v>
      </c>
      <c r="AB8052" s="4">
        <f t="shared" si="1238"/>
        <v>0</v>
      </c>
      <c r="AC8052" s="6">
        <f t="shared" si="1246"/>
        <v>0</v>
      </c>
      <c r="AD8052" s="6">
        <v>0</v>
      </c>
      <c r="AE8052" s="20">
        <v>0</v>
      </c>
      <c r="AF8052" s="11">
        <f t="shared" si="1253"/>
        <v>0</v>
      </c>
      <c r="AG8052" s="20">
        <v>0</v>
      </c>
      <c r="AH8052" s="47"/>
      <c r="AI8052" s="47"/>
      <c r="AJ8052" s="126" t="e">
        <v>#N/A</v>
      </c>
      <c r="AK8052" s="80">
        <f t="shared" si="1239"/>
        <v>0</v>
      </c>
      <c r="AL8052" s="85"/>
      <c r="AM8052" s="85"/>
    </row>
    <row r="8053" spans="1:39" s="86" customFormat="1" hidden="1" x14ac:dyDescent="0.3">
      <c r="A8053" s="89" t="s">
        <v>3978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254"/>
        <v>-2059.96</v>
      </c>
      <c r="X8053" s="6">
        <f t="shared" si="1249"/>
        <v>0</v>
      </c>
      <c r="Y8053" s="13">
        <f t="shared" si="1237"/>
        <v>0</v>
      </c>
      <c r="Z8053" s="20">
        <v>0</v>
      </c>
      <c r="AA8053" s="6">
        <v>0</v>
      </c>
      <c r="AB8053" s="4">
        <f t="shared" si="1238"/>
        <v>0</v>
      </c>
      <c r="AC8053" s="6">
        <f t="shared" si="1246"/>
        <v>0</v>
      </c>
      <c r="AD8053" s="6">
        <v>0</v>
      </c>
      <c r="AE8053" s="20">
        <v>0</v>
      </c>
      <c r="AF8053" s="11">
        <f t="shared" si="1253"/>
        <v>0</v>
      </c>
      <c r="AG8053" s="20">
        <v>0</v>
      </c>
      <c r="AH8053" s="47"/>
      <c r="AI8053" s="47"/>
      <c r="AJ8053" s="126" t="e">
        <v>#N/A</v>
      </c>
      <c r="AK8053" s="80">
        <f t="shared" si="1239"/>
        <v>0</v>
      </c>
      <c r="AL8053" s="85"/>
      <c r="AM8053" s="85"/>
    </row>
    <row r="8054" spans="1:39" s="86" customFormat="1" hidden="1" x14ac:dyDescent="0.3">
      <c r="A8054" s="89" t="s">
        <v>3978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254"/>
        <v>-74481.459999999905</v>
      </c>
      <c r="X8054" s="6">
        <f t="shared" si="1249"/>
        <v>0</v>
      </c>
      <c r="Y8054" s="13">
        <f t="shared" si="1237"/>
        <v>0</v>
      </c>
      <c r="Z8054" s="20">
        <v>0</v>
      </c>
      <c r="AA8054" s="6">
        <v>0</v>
      </c>
      <c r="AB8054" s="4">
        <f t="shared" si="1238"/>
        <v>0</v>
      </c>
      <c r="AC8054" s="6">
        <f t="shared" si="1246"/>
        <v>0</v>
      </c>
      <c r="AD8054" s="6">
        <v>0</v>
      </c>
      <c r="AE8054" s="20">
        <v>0</v>
      </c>
      <c r="AF8054" s="11">
        <f t="shared" si="1253"/>
        <v>0</v>
      </c>
      <c r="AG8054" s="20">
        <v>0</v>
      </c>
      <c r="AH8054" s="47"/>
      <c r="AI8054" s="47"/>
      <c r="AJ8054" s="126" t="e">
        <v>#N/A</v>
      </c>
      <c r="AK8054" s="80">
        <f t="shared" si="1239"/>
        <v>0</v>
      </c>
      <c r="AL8054" s="85"/>
      <c r="AM8054" s="85"/>
    </row>
    <row r="8055" spans="1:39" s="86" customFormat="1" hidden="1" x14ac:dyDescent="0.3">
      <c r="A8055" s="89" t="s">
        <v>3978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254"/>
        <v>-1516.75</v>
      </c>
      <c r="X8055" s="6">
        <f t="shared" si="1249"/>
        <v>0</v>
      </c>
      <c r="Y8055" s="13">
        <f t="shared" si="1237"/>
        <v>0</v>
      </c>
      <c r="Z8055" s="20">
        <v>0</v>
      </c>
      <c r="AA8055" s="6">
        <v>0</v>
      </c>
      <c r="AB8055" s="4">
        <f t="shared" si="1238"/>
        <v>0</v>
      </c>
      <c r="AC8055" s="6">
        <f t="shared" si="1246"/>
        <v>0</v>
      </c>
      <c r="AD8055" s="6">
        <v>0</v>
      </c>
      <c r="AE8055" s="20">
        <v>0</v>
      </c>
      <c r="AF8055" s="11">
        <f t="shared" si="1253"/>
        <v>0</v>
      </c>
      <c r="AG8055" s="20">
        <v>0</v>
      </c>
      <c r="AH8055" s="47"/>
      <c r="AI8055" s="47"/>
      <c r="AJ8055" s="126" t="e">
        <v>#N/A</v>
      </c>
      <c r="AK8055" s="80">
        <f t="shared" si="1239"/>
        <v>0</v>
      </c>
      <c r="AL8055" s="85"/>
      <c r="AM8055" s="85"/>
    </row>
    <row r="8056" spans="1:39" s="86" customFormat="1" hidden="1" x14ac:dyDescent="0.3">
      <c r="A8056" s="89" t="s">
        <v>3978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254"/>
        <v>45.899999999999899</v>
      </c>
      <c r="X8056" s="6">
        <f t="shared" si="1249"/>
        <v>0</v>
      </c>
      <c r="Y8056" s="13">
        <f t="shared" si="1237"/>
        <v>0</v>
      </c>
      <c r="Z8056" s="20">
        <v>0</v>
      </c>
      <c r="AA8056" s="6">
        <v>0</v>
      </c>
      <c r="AB8056" s="4">
        <f t="shared" si="1238"/>
        <v>0</v>
      </c>
      <c r="AC8056" s="6">
        <f t="shared" si="1246"/>
        <v>0</v>
      </c>
      <c r="AD8056" s="6">
        <v>0</v>
      </c>
      <c r="AE8056" s="20">
        <v>0</v>
      </c>
      <c r="AF8056" s="11">
        <f t="shared" si="1253"/>
        <v>0</v>
      </c>
      <c r="AG8056" s="20">
        <v>0</v>
      </c>
      <c r="AH8056" s="47"/>
      <c r="AI8056" s="47"/>
      <c r="AJ8056" s="126" t="e">
        <v>#N/A</v>
      </c>
      <c r="AK8056" s="80">
        <f t="shared" si="1239"/>
        <v>0</v>
      </c>
      <c r="AL8056" s="85"/>
      <c r="AM8056" s="85"/>
    </row>
    <row r="8057" spans="1:39" s="86" customFormat="1" hidden="1" x14ac:dyDescent="0.3">
      <c r="A8057" s="89" t="s">
        <v>3978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254"/>
        <v>-2426.1</v>
      </c>
      <c r="X8057" s="6">
        <f t="shared" si="1249"/>
        <v>0</v>
      </c>
      <c r="Y8057" s="13">
        <f t="shared" si="1237"/>
        <v>0</v>
      </c>
      <c r="Z8057" s="20">
        <v>0</v>
      </c>
      <c r="AA8057" s="6">
        <v>0</v>
      </c>
      <c r="AB8057" s="4">
        <f t="shared" si="1238"/>
        <v>0</v>
      </c>
      <c r="AC8057" s="6">
        <f t="shared" si="1246"/>
        <v>0</v>
      </c>
      <c r="AD8057" s="6">
        <v>0</v>
      </c>
      <c r="AE8057" s="20">
        <v>0</v>
      </c>
      <c r="AF8057" s="11">
        <f t="shared" si="1253"/>
        <v>0</v>
      </c>
      <c r="AG8057" s="20">
        <v>0</v>
      </c>
      <c r="AH8057" s="47"/>
      <c r="AI8057" s="47"/>
      <c r="AJ8057" s="126" t="e">
        <v>#N/A</v>
      </c>
      <c r="AK8057" s="80">
        <f t="shared" si="1239"/>
        <v>0</v>
      </c>
      <c r="AL8057" s="85"/>
      <c r="AM8057" s="85"/>
    </row>
    <row r="8058" spans="1:39" s="86" customFormat="1" hidden="1" x14ac:dyDescent="0.3">
      <c r="A8058" s="89" t="s">
        <v>3978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254"/>
        <v>-59365.58</v>
      </c>
      <c r="X8058" s="6">
        <f t="shared" si="1249"/>
        <v>19399.79</v>
      </c>
      <c r="Y8058" s="13">
        <f t="shared" si="1237"/>
        <v>746.15000000000146</v>
      </c>
      <c r="Z8058" s="20">
        <v>0</v>
      </c>
      <c r="AA8058" s="6">
        <v>0</v>
      </c>
      <c r="AB8058" s="4">
        <f t="shared" si="1238"/>
        <v>19399.79</v>
      </c>
      <c r="AC8058" s="6">
        <f t="shared" si="1246"/>
        <v>0</v>
      </c>
      <c r="AD8058" s="6">
        <v>18653.64</v>
      </c>
      <c r="AE8058" s="20">
        <v>0.04</v>
      </c>
      <c r="AF8058" s="11">
        <f t="shared" si="1253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239"/>
        <v>0</v>
      </c>
      <c r="AL8058" s="85"/>
      <c r="AM8058" s="85"/>
    </row>
    <row r="8059" spans="1:39" s="86" customFormat="1" hidden="1" x14ac:dyDescent="0.3">
      <c r="A8059" s="89" t="s">
        <v>3978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249"/>
        <v>145000</v>
      </c>
      <c r="Y8059" s="13">
        <f t="shared" si="1237"/>
        <v>0</v>
      </c>
      <c r="Z8059" s="103">
        <v>0</v>
      </c>
      <c r="AA8059" s="6">
        <v>0</v>
      </c>
      <c r="AB8059" s="4">
        <f t="shared" si="1238"/>
        <v>145000</v>
      </c>
      <c r="AC8059" s="6">
        <f t="shared" si="1246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239"/>
        <v>0</v>
      </c>
      <c r="AL8059" s="85"/>
      <c r="AM8059" s="85"/>
    </row>
    <row r="8060" spans="1:39" s="86" customFormat="1" hidden="1" x14ac:dyDescent="0.3">
      <c r="A8060" s="89" t="s">
        <v>3978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249"/>
        <v>0</v>
      </c>
      <c r="Y8060" s="13">
        <f t="shared" si="1237"/>
        <v>0</v>
      </c>
      <c r="Z8060" s="66">
        <v>0</v>
      </c>
      <c r="AA8060" s="6">
        <v>0</v>
      </c>
      <c r="AB8060" s="4">
        <f t="shared" si="1238"/>
        <v>0</v>
      </c>
      <c r="AC8060" s="6">
        <f t="shared" si="1246"/>
        <v>0</v>
      </c>
      <c r="AD8060" s="6">
        <v>0</v>
      </c>
      <c r="AE8060" s="14">
        <v>0</v>
      </c>
      <c r="AF8060" s="6">
        <f t="shared" ref="AF8060:AF8123" si="1255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239"/>
        <v>0</v>
      </c>
      <c r="AL8060" s="85"/>
      <c r="AM8060" s="85"/>
    </row>
    <row r="8061" spans="1:39" s="86" customFormat="1" hidden="1" x14ac:dyDescent="0.3">
      <c r="A8061" s="89" t="s">
        <v>3978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249"/>
        <v>0</v>
      </c>
      <c r="Y8061" s="13">
        <f t="shared" si="1237"/>
        <v>0</v>
      </c>
      <c r="Z8061" s="66">
        <v>0</v>
      </c>
      <c r="AA8061" s="6">
        <v>0</v>
      </c>
      <c r="AB8061" s="4">
        <f t="shared" si="1238"/>
        <v>0</v>
      </c>
      <c r="AC8061" s="6">
        <f t="shared" si="1246"/>
        <v>0</v>
      </c>
      <c r="AD8061" s="6">
        <v>0</v>
      </c>
      <c r="AE8061" s="14">
        <v>0</v>
      </c>
      <c r="AF8061" s="6">
        <f t="shared" si="1255"/>
        <v>0</v>
      </c>
      <c r="AG8061" s="14">
        <v>0</v>
      </c>
      <c r="AH8061" s="47"/>
      <c r="AI8061" s="47"/>
      <c r="AJ8061" s="126" t="e">
        <v>#N/A</v>
      </c>
      <c r="AK8061" s="80">
        <f t="shared" si="1239"/>
        <v>0</v>
      </c>
      <c r="AL8061" s="85"/>
      <c r="AM8061" s="85"/>
    </row>
    <row r="8062" spans="1:39" s="86" customFormat="1" hidden="1" x14ac:dyDescent="0.3">
      <c r="A8062" s="89" t="s">
        <v>3978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256">T8062+U8062-V8062</f>
        <v>0</v>
      </c>
      <c r="X8062" s="6">
        <f t="shared" si="1249"/>
        <v>480453.24</v>
      </c>
      <c r="Y8062" s="13">
        <f t="shared" si="1237"/>
        <v>0</v>
      </c>
      <c r="Z8062" s="14">
        <v>0</v>
      </c>
      <c r="AA8062" s="6">
        <v>0</v>
      </c>
      <c r="AB8062" s="4">
        <f t="shared" si="1238"/>
        <v>480453.24</v>
      </c>
      <c r="AC8062" s="6">
        <f t="shared" si="1246"/>
        <v>0</v>
      </c>
      <c r="AD8062" s="6">
        <v>480453.24</v>
      </c>
      <c r="AE8062" s="14">
        <v>0</v>
      </c>
      <c r="AF8062" s="6">
        <f t="shared" si="1255"/>
        <v>0</v>
      </c>
      <c r="AG8062" s="14">
        <v>0</v>
      </c>
      <c r="AH8062" s="47"/>
      <c r="AI8062" s="47"/>
      <c r="AJ8062" s="126" t="e">
        <v>#N/A</v>
      </c>
      <c r="AK8062" s="80">
        <f t="shared" si="1239"/>
        <v>0</v>
      </c>
      <c r="AL8062" s="85"/>
      <c r="AM8062" s="85"/>
    </row>
    <row r="8063" spans="1:39" s="86" customFormat="1" hidden="1" x14ac:dyDescent="0.3">
      <c r="A8063" s="89" t="s">
        <v>3978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256"/>
        <v>0</v>
      </c>
      <c r="X8063" s="6">
        <f t="shared" si="1249"/>
        <v>34362</v>
      </c>
      <c r="Y8063" s="13">
        <f t="shared" si="1237"/>
        <v>0</v>
      </c>
      <c r="Z8063" s="14">
        <v>0</v>
      </c>
      <c r="AA8063" s="6">
        <v>0</v>
      </c>
      <c r="AB8063" s="4">
        <f t="shared" si="1238"/>
        <v>34362</v>
      </c>
      <c r="AC8063" s="6">
        <f t="shared" si="1246"/>
        <v>0</v>
      </c>
      <c r="AD8063" s="6">
        <v>34362</v>
      </c>
      <c r="AE8063" s="14">
        <v>0</v>
      </c>
      <c r="AF8063" s="6">
        <f t="shared" si="1255"/>
        <v>0</v>
      </c>
      <c r="AG8063" s="14">
        <v>0</v>
      </c>
      <c r="AH8063" s="47"/>
      <c r="AI8063" s="47"/>
      <c r="AJ8063" s="126" t="e">
        <v>#N/A</v>
      </c>
      <c r="AK8063" s="80">
        <f t="shared" si="1239"/>
        <v>0</v>
      </c>
      <c r="AL8063" s="85"/>
      <c r="AM8063" s="85"/>
    </row>
    <row r="8064" spans="1:39" s="86" customFormat="1" hidden="1" x14ac:dyDescent="0.3">
      <c r="A8064" s="89" t="s">
        <v>3792</v>
      </c>
      <c r="B8064" s="86" t="s">
        <v>35</v>
      </c>
      <c r="C8064" s="86" t="s">
        <v>36</v>
      </c>
      <c r="D8064" s="86" t="s">
        <v>185</v>
      </c>
      <c r="E8064" s="86" t="s">
        <v>4153</v>
      </c>
      <c r="F8064" s="86" t="s">
        <v>4154</v>
      </c>
      <c r="G8064" s="86" t="s">
        <v>4153</v>
      </c>
      <c r="H8064" s="144">
        <v>374</v>
      </c>
      <c r="I8064" s="86" t="s">
        <v>4155</v>
      </c>
      <c r="J8064" s="47" t="s">
        <v>4202</v>
      </c>
      <c r="K8064" s="47" t="s">
        <v>3773</v>
      </c>
      <c r="L8064" s="47" t="s">
        <v>4205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256"/>
        <v>0</v>
      </c>
      <c r="X8064" s="6">
        <f t="shared" si="1249"/>
        <v>180000</v>
      </c>
      <c r="Y8064" s="13">
        <f t="shared" si="1237"/>
        <v>0</v>
      </c>
      <c r="Z8064" s="14">
        <v>0</v>
      </c>
      <c r="AA8064" s="6">
        <v>0</v>
      </c>
      <c r="AB8064" s="4">
        <f t="shared" si="1238"/>
        <v>180000</v>
      </c>
      <c r="AC8064" s="6">
        <f t="shared" si="1246"/>
        <v>0</v>
      </c>
      <c r="AD8064" s="6">
        <v>180000</v>
      </c>
      <c r="AE8064" s="14">
        <v>0</v>
      </c>
      <c r="AF8064" s="6">
        <f t="shared" si="1255"/>
        <v>0</v>
      </c>
      <c r="AG8064" s="14">
        <v>0</v>
      </c>
      <c r="AH8064" s="47"/>
      <c r="AI8064" s="47"/>
      <c r="AJ8064" s="126" t="e">
        <v>#N/A</v>
      </c>
      <c r="AK8064" s="80">
        <f t="shared" si="1239"/>
        <v>0</v>
      </c>
      <c r="AL8064" s="85"/>
      <c r="AM8064" s="85"/>
    </row>
    <row r="8065" spans="1:39" s="86" customFormat="1" hidden="1" x14ac:dyDescent="0.3">
      <c r="A8065" s="89" t="s">
        <v>3978</v>
      </c>
      <c r="B8065" s="86" t="s">
        <v>35</v>
      </c>
      <c r="C8065" s="86" t="s">
        <v>36</v>
      </c>
      <c r="D8065" s="86" t="s">
        <v>185</v>
      </c>
      <c r="E8065" s="86" t="s">
        <v>4153</v>
      </c>
      <c r="F8065" s="86" t="s">
        <v>4154</v>
      </c>
      <c r="G8065" s="86" t="s">
        <v>4153</v>
      </c>
      <c r="H8065" s="144">
        <v>375</v>
      </c>
      <c r="I8065" s="86" t="s">
        <v>4156</v>
      </c>
      <c r="J8065" s="47" t="s">
        <v>4206</v>
      </c>
      <c r="K8065" s="47" t="s">
        <v>4207</v>
      </c>
      <c r="L8065" s="47" t="s">
        <v>4208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256"/>
        <v>0</v>
      </c>
      <c r="X8065" s="6">
        <f t="shared" si="1249"/>
        <v>50000</v>
      </c>
      <c r="Y8065" s="13">
        <f t="shared" si="1237"/>
        <v>0</v>
      </c>
      <c r="Z8065" s="14">
        <v>0</v>
      </c>
      <c r="AA8065" s="6">
        <v>0</v>
      </c>
      <c r="AB8065" s="4">
        <f t="shared" si="1238"/>
        <v>50000</v>
      </c>
      <c r="AC8065" s="6">
        <f t="shared" si="1246"/>
        <v>0</v>
      </c>
      <c r="AD8065" s="6">
        <v>50000</v>
      </c>
      <c r="AE8065" s="14">
        <v>0</v>
      </c>
      <c r="AF8065" s="6">
        <f t="shared" si="1255"/>
        <v>0</v>
      </c>
      <c r="AG8065" s="14">
        <v>0</v>
      </c>
      <c r="AH8065" s="47"/>
      <c r="AI8065" s="47"/>
      <c r="AJ8065" s="126" t="e">
        <v>#N/A</v>
      </c>
      <c r="AK8065" s="80">
        <f t="shared" si="1239"/>
        <v>0</v>
      </c>
      <c r="AL8065" s="85"/>
      <c r="AM8065" s="85"/>
    </row>
    <row r="8066" spans="1:39" s="86" customFormat="1" hidden="1" x14ac:dyDescent="0.3">
      <c r="A8066" s="89" t="s">
        <v>3978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4157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256"/>
        <v>0</v>
      </c>
      <c r="X8066" s="6">
        <f t="shared" si="1249"/>
        <v>220770.47663551397</v>
      </c>
      <c r="Y8066" s="13">
        <f t="shared" si="1237"/>
        <v>0</v>
      </c>
      <c r="Z8066" s="14">
        <v>0</v>
      </c>
      <c r="AA8066" s="6">
        <v>0</v>
      </c>
      <c r="AB8066" s="4">
        <f t="shared" si="1238"/>
        <v>220770.47663551397</v>
      </c>
      <c r="AC8066" s="6">
        <f t="shared" si="1246"/>
        <v>15453.933364486002</v>
      </c>
      <c r="AD8066" s="6">
        <v>236224.40999999997</v>
      </c>
      <c r="AE8066" s="14">
        <v>0.04</v>
      </c>
      <c r="AF8066" s="6">
        <f t="shared" si="1255"/>
        <v>9448.9763999999996</v>
      </c>
      <c r="AG8066" s="14">
        <v>0</v>
      </c>
      <c r="AH8066" s="47"/>
      <c r="AI8066" s="47" t="s">
        <v>4158</v>
      </c>
      <c r="AJ8066" s="126" t="e">
        <v>#N/A</v>
      </c>
      <c r="AK8066" s="80">
        <f t="shared" si="1239"/>
        <v>0</v>
      </c>
      <c r="AL8066" s="85"/>
      <c r="AM8066" s="85"/>
    </row>
    <row r="8067" spans="1:39" s="86" customFormat="1" hidden="1" x14ac:dyDescent="0.3">
      <c r="A8067" s="89" t="s">
        <v>3978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4159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256"/>
        <v>0</v>
      </c>
      <c r="X8067" s="6">
        <f t="shared" si="1249"/>
        <v>0</v>
      </c>
      <c r="Y8067" s="13">
        <f t="shared" ref="Y8067:Y8130" si="1257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258">X8067+AA8067</f>
        <v>0</v>
      </c>
      <c r="AC8067" s="6">
        <f t="shared" si="1246"/>
        <v>0</v>
      </c>
      <c r="AD8067" s="6">
        <v>0</v>
      </c>
      <c r="AE8067" s="14">
        <v>0.04</v>
      </c>
      <c r="AF8067" s="6">
        <f t="shared" si="1255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259">X8067+AA8067-AB8067</f>
        <v>0</v>
      </c>
      <c r="AL8067" s="85"/>
      <c r="AM8067" s="85"/>
    </row>
    <row r="8068" spans="1:39" s="86" customFormat="1" hidden="1" x14ac:dyDescent="0.3">
      <c r="A8068" s="89" t="s">
        <v>3978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256"/>
        <v>1.8189894035458565E-11</v>
      </c>
      <c r="X8068" s="6">
        <f t="shared" si="1249"/>
        <v>11976.59</v>
      </c>
      <c r="Y8068" s="13">
        <f t="shared" si="1257"/>
        <v>0</v>
      </c>
      <c r="Z8068" s="14">
        <v>0</v>
      </c>
      <c r="AA8068" s="6">
        <v>0</v>
      </c>
      <c r="AB8068" s="4">
        <f t="shared" si="1258"/>
        <v>11976.59</v>
      </c>
      <c r="AC8068" s="6">
        <f t="shared" si="1246"/>
        <v>0</v>
      </c>
      <c r="AD8068" s="6">
        <v>11976.59</v>
      </c>
      <c r="AE8068" s="14">
        <v>0.04</v>
      </c>
      <c r="AF8068" s="6">
        <f t="shared" si="1255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259"/>
        <v>0</v>
      </c>
      <c r="AL8068" s="85"/>
      <c r="AM8068" s="85"/>
    </row>
    <row r="8069" spans="1:39" s="86" customFormat="1" hidden="1" x14ac:dyDescent="0.3">
      <c r="A8069" s="89" t="s">
        <v>3978</v>
      </c>
      <c r="B8069" s="86" t="s">
        <v>35</v>
      </c>
      <c r="C8069" s="86" t="s">
        <v>184</v>
      </c>
      <c r="D8069" s="86" t="s">
        <v>54</v>
      </c>
      <c r="E8069" s="86" t="s">
        <v>3983</v>
      </c>
      <c r="F8069" s="86" t="s">
        <v>4160</v>
      </c>
      <c r="G8069" s="86" t="s">
        <v>3983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249"/>
        <v>4713410</v>
      </c>
      <c r="Y8069" s="13">
        <f t="shared" si="1257"/>
        <v>0</v>
      </c>
      <c r="Z8069" s="14">
        <v>0</v>
      </c>
      <c r="AA8069" s="6">
        <v>0</v>
      </c>
      <c r="AB8069" s="4">
        <f t="shared" si="1258"/>
        <v>4713410</v>
      </c>
      <c r="AC8069" s="6">
        <f t="shared" si="1246"/>
        <v>0</v>
      </c>
      <c r="AD8069" s="6">
        <v>4713410</v>
      </c>
      <c r="AE8069" s="14">
        <v>0</v>
      </c>
      <c r="AF8069" s="6">
        <f t="shared" si="1255"/>
        <v>0</v>
      </c>
      <c r="AG8069" s="14">
        <v>0</v>
      </c>
      <c r="AH8069" s="47"/>
      <c r="AI8069" s="47"/>
      <c r="AJ8069" s="126" t="e">
        <v>#N/A</v>
      </c>
      <c r="AK8069" s="80">
        <f t="shared" si="1259"/>
        <v>0</v>
      </c>
      <c r="AL8069" s="85"/>
      <c r="AM8069" s="85"/>
    </row>
    <row r="8070" spans="1:39" s="86" customFormat="1" hidden="1" x14ac:dyDescent="0.3">
      <c r="A8070" s="89" t="s">
        <v>3978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4161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249"/>
        <v>0</v>
      </c>
      <c r="Y8070" s="13">
        <f t="shared" si="1257"/>
        <v>0</v>
      </c>
      <c r="Z8070" s="14">
        <v>0</v>
      </c>
      <c r="AA8070" s="6">
        <v>0</v>
      </c>
      <c r="AB8070" s="4">
        <f t="shared" si="1258"/>
        <v>0</v>
      </c>
      <c r="AC8070" s="6">
        <f t="shared" si="1246"/>
        <v>0</v>
      </c>
      <c r="AD8070" s="6">
        <v>0</v>
      </c>
      <c r="AE8070" s="14">
        <v>0</v>
      </c>
      <c r="AF8070" s="6">
        <f t="shared" si="1255"/>
        <v>0</v>
      </c>
      <c r="AG8070" s="14">
        <v>0</v>
      </c>
      <c r="AH8070" s="47"/>
      <c r="AI8070" s="47"/>
      <c r="AJ8070" s="126" t="e">
        <v>#N/A</v>
      </c>
      <c r="AK8070" s="80">
        <f t="shared" si="1259"/>
        <v>0</v>
      </c>
      <c r="AL8070" s="85"/>
      <c r="AM8070" s="85"/>
    </row>
    <row r="8071" spans="1:39" s="86" customFormat="1" hidden="1" x14ac:dyDescent="0.3">
      <c r="A8071" s="89" t="s">
        <v>3792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4162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260">T8071+U8071-V8071</f>
        <v>49999.999999999985</v>
      </c>
      <c r="X8071" s="6">
        <f t="shared" si="1249"/>
        <v>0</v>
      </c>
      <c r="Y8071" s="13">
        <f t="shared" si="1257"/>
        <v>0</v>
      </c>
      <c r="Z8071" s="14">
        <v>0</v>
      </c>
      <c r="AA8071" s="6">
        <v>0</v>
      </c>
      <c r="AB8071" s="4">
        <f t="shared" si="1258"/>
        <v>0</v>
      </c>
      <c r="AC8071" s="6">
        <f t="shared" si="1246"/>
        <v>0</v>
      </c>
      <c r="AD8071" s="6">
        <v>0</v>
      </c>
      <c r="AE8071" s="14">
        <v>0.04</v>
      </c>
      <c r="AF8071" s="6">
        <f t="shared" si="1255"/>
        <v>0</v>
      </c>
      <c r="AG8071" s="14">
        <v>0</v>
      </c>
      <c r="AH8071" s="47"/>
      <c r="AI8071" s="47"/>
      <c r="AJ8071" s="126" t="e">
        <v>#N/A</v>
      </c>
      <c r="AK8071" s="80">
        <f t="shared" si="1259"/>
        <v>0</v>
      </c>
      <c r="AL8071" s="85"/>
      <c r="AM8071" s="85"/>
    </row>
    <row r="8072" spans="1:39" s="86" customFormat="1" hidden="1" x14ac:dyDescent="0.3">
      <c r="A8072" s="89" t="s">
        <v>3978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249"/>
        <v>0</v>
      </c>
      <c r="Y8072" s="13">
        <f t="shared" si="1257"/>
        <v>0</v>
      </c>
      <c r="Z8072" s="14">
        <v>0</v>
      </c>
      <c r="AA8072" s="6">
        <v>0</v>
      </c>
      <c r="AB8072" s="4">
        <f t="shared" si="1258"/>
        <v>0</v>
      </c>
      <c r="AC8072" s="6">
        <f t="shared" si="1246"/>
        <v>0</v>
      </c>
      <c r="AD8072" s="6">
        <v>0</v>
      </c>
      <c r="AE8072" s="14">
        <v>0</v>
      </c>
      <c r="AF8072" s="6">
        <f t="shared" si="1255"/>
        <v>0</v>
      </c>
      <c r="AG8072" s="14">
        <v>0</v>
      </c>
      <c r="AH8072" s="47"/>
      <c r="AI8072" s="47"/>
      <c r="AJ8072" s="126" t="e">
        <v>#N/A</v>
      </c>
      <c r="AK8072" s="80">
        <f t="shared" si="1259"/>
        <v>0</v>
      </c>
      <c r="AL8072" s="85"/>
      <c r="AM8072" s="85"/>
    </row>
    <row r="8073" spans="1:39" s="86" customFormat="1" hidden="1" x14ac:dyDescent="0.3">
      <c r="A8073" s="89" t="s">
        <v>3978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4163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249"/>
        <v>0</v>
      </c>
      <c r="Y8073" s="13">
        <f t="shared" si="1257"/>
        <v>0</v>
      </c>
      <c r="Z8073" s="14">
        <v>0</v>
      </c>
      <c r="AA8073" s="6">
        <v>0</v>
      </c>
      <c r="AB8073" s="4">
        <f t="shared" si="1258"/>
        <v>0</v>
      </c>
      <c r="AC8073" s="6">
        <f t="shared" si="1246"/>
        <v>0</v>
      </c>
      <c r="AD8073" s="6">
        <v>0</v>
      </c>
      <c r="AE8073" s="14">
        <v>0</v>
      </c>
      <c r="AF8073" s="6">
        <f t="shared" si="1255"/>
        <v>0</v>
      </c>
      <c r="AG8073" s="14">
        <v>0</v>
      </c>
      <c r="AH8073" s="47"/>
      <c r="AI8073" s="47"/>
      <c r="AJ8073" s="126" t="e">
        <v>#N/A</v>
      </c>
      <c r="AK8073" s="80">
        <f t="shared" si="1259"/>
        <v>0</v>
      </c>
      <c r="AL8073" s="85"/>
      <c r="AM8073" s="85"/>
    </row>
    <row r="8074" spans="1:39" s="86" customFormat="1" hidden="1" x14ac:dyDescent="0.3">
      <c r="A8074" s="89" t="s">
        <v>3978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249"/>
        <v>0</v>
      </c>
      <c r="Y8074" s="13">
        <f t="shared" si="1257"/>
        <v>0</v>
      </c>
      <c r="Z8074" s="14">
        <v>0</v>
      </c>
      <c r="AA8074" s="6">
        <v>0</v>
      </c>
      <c r="AB8074" s="4">
        <f t="shared" si="1258"/>
        <v>0</v>
      </c>
      <c r="AC8074" s="6">
        <f t="shared" si="1246"/>
        <v>0</v>
      </c>
      <c r="AD8074" s="6">
        <v>0</v>
      </c>
      <c r="AE8074" s="14">
        <v>0</v>
      </c>
      <c r="AF8074" s="6">
        <f t="shared" si="1255"/>
        <v>0</v>
      </c>
      <c r="AG8074" s="14">
        <v>0</v>
      </c>
      <c r="AH8074" s="47"/>
      <c r="AI8074" s="47"/>
      <c r="AJ8074" s="126" t="e">
        <v>#N/A</v>
      </c>
      <c r="AK8074" s="80">
        <f t="shared" si="1259"/>
        <v>0</v>
      </c>
      <c r="AL8074" s="85"/>
      <c r="AM8074" s="85"/>
    </row>
    <row r="8075" spans="1:39" s="86" customFormat="1" hidden="1" x14ac:dyDescent="0.3">
      <c r="A8075" s="89" t="s">
        <v>3978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4164</v>
      </c>
      <c r="G8075" s="86" t="s">
        <v>167</v>
      </c>
      <c r="H8075" s="143" t="s">
        <v>4165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261">T8075+U8075-V8075</f>
        <v>-139286.87000000002</v>
      </c>
      <c r="X8075" s="6">
        <f t="shared" si="1249"/>
        <v>0</v>
      </c>
      <c r="Y8075" s="13">
        <f t="shared" si="1257"/>
        <v>0</v>
      </c>
      <c r="Z8075" s="14">
        <v>0</v>
      </c>
      <c r="AA8075" s="6">
        <v>0</v>
      </c>
      <c r="AB8075" s="4">
        <f t="shared" si="1258"/>
        <v>0</v>
      </c>
      <c r="AC8075" s="6">
        <f t="shared" si="1246"/>
        <v>0</v>
      </c>
      <c r="AD8075" s="6">
        <v>0</v>
      </c>
      <c r="AE8075" s="14">
        <v>0.04</v>
      </c>
      <c r="AF8075" s="6">
        <f t="shared" si="1255"/>
        <v>0</v>
      </c>
      <c r="AG8075" s="14">
        <v>0</v>
      </c>
      <c r="AH8075" s="47"/>
      <c r="AI8075" s="47" t="s">
        <v>4166</v>
      </c>
      <c r="AJ8075" s="126" t="e">
        <v>#N/A</v>
      </c>
      <c r="AK8075" s="80">
        <f t="shared" si="1259"/>
        <v>0</v>
      </c>
      <c r="AL8075" s="85"/>
      <c r="AM8075" s="85"/>
    </row>
    <row r="8076" spans="1:39" s="86" customFormat="1" hidden="1" x14ac:dyDescent="0.3">
      <c r="A8076" s="89" t="s">
        <v>3978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4167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261"/>
        <v>49667.110000000008</v>
      </c>
      <c r="X8076" s="6">
        <f>IF(P8076="折扣",V8076*Q8076,IF(P8076="返现",V8076,V8076/(1+Q8076+AG8076)))</f>
        <v>22403.186530299867</v>
      </c>
      <c r="Y8076" s="13">
        <f t="shared" si="1257"/>
        <v>0</v>
      </c>
      <c r="Z8076" s="66">
        <v>0</v>
      </c>
      <c r="AA8076" s="6">
        <v>0</v>
      </c>
      <c r="AB8076" s="4">
        <f t="shared" si="1258"/>
        <v>22403.186530299867</v>
      </c>
      <c r="AC8076" s="6">
        <f t="shared" si="1246"/>
        <v>9796.9134697001318</v>
      </c>
      <c r="AD8076" s="6">
        <f>V8076</f>
        <v>32200.1</v>
      </c>
      <c r="AE8076" s="14">
        <v>0.15</v>
      </c>
      <c r="AF8076" s="6">
        <f t="shared" si="1255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259"/>
        <v>0</v>
      </c>
      <c r="AL8076" s="85"/>
      <c r="AM8076" s="85"/>
    </row>
    <row r="8077" spans="1:39" s="86" customFormat="1" hidden="1" x14ac:dyDescent="0.3">
      <c r="A8077" s="89" t="s">
        <v>3978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4168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261"/>
        <v>5245.9</v>
      </c>
      <c r="X8077" s="6">
        <f t="shared" ref="X8077:X8119" si="1262">IF(P8077="折扣",V8077*Q8077,IF(P8077="返现",V8077,V8077/(1+Q8077+AG8077)))</f>
        <v>0</v>
      </c>
      <c r="Y8077" s="13">
        <f t="shared" si="1257"/>
        <v>0</v>
      </c>
      <c r="Z8077" s="66">
        <v>0</v>
      </c>
      <c r="AA8077" s="6">
        <v>0</v>
      </c>
      <c r="AB8077" s="4">
        <f t="shared" si="1258"/>
        <v>0</v>
      </c>
      <c r="AC8077" s="6">
        <f t="shared" si="1246"/>
        <v>0</v>
      </c>
      <c r="AD8077" s="6">
        <f t="shared" ref="AD8077:AD8119" si="1263">V8077</f>
        <v>0</v>
      </c>
      <c r="AE8077" s="14">
        <v>0.15</v>
      </c>
      <c r="AF8077" s="6">
        <f t="shared" si="1255"/>
        <v>0</v>
      </c>
      <c r="AG8077" s="14">
        <v>0.22</v>
      </c>
      <c r="AH8077" s="6">
        <f t="shared" ref="AH8077:AH8119" si="1264">V8077/(1+AG8077)</f>
        <v>0</v>
      </c>
      <c r="AI8077" s="66"/>
      <c r="AJ8077" s="126" t="e">
        <v>#N/A</v>
      </c>
      <c r="AK8077" s="80">
        <f t="shared" si="1259"/>
        <v>0</v>
      </c>
      <c r="AL8077" s="85"/>
      <c r="AM8077" s="85"/>
    </row>
    <row r="8078" spans="1:39" s="86" customFormat="1" hidden="1" x14ac:dyDescent="0.3">
      <c r="A8078" s="89" t="s">
        <v>3978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4169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261"/>
        <v>4098.3599999999997</v>
      </c>
      <c r="X8078" s="6">
        <f t="shared" si="1262"/>
        <v>0</v>
      </c>
      <c r="Y8078" s="13">
        <f t="shared" si="1257"/>
        <v>0</v>
      </c>
      <c r="Z8078" s="66">
        <v>0</v>
      </c>
      <c r="AA8078" s="6">
        <v>0</v>
      </c>
      <c r="AB8078" s="4">
        <f t="shared" si="1258"/>
        <v>0</v>
      </c>
      <c r="AC8078" s="6">
        <f t="shared" si="1246"/>
        <v>0</v>
      </c>
      <c r="AD8078" s="6">
        <f t="shared" si="1263"/>
        <v>0</v>
      </c>
      <c r="AE8078" s="14">
        <v>0.15</v>
      </c>
      <c r="AF8078" s="6">
        <f t="shared" si="1255"/>
        <v>0</v>
      </c>
      <c r="AG8078" s="14">
        <v>0.22</v>
      </c>
      <c r="AH8078" s="6">
        <f t="shared" si="1264"/>
        <v>0</v>
      </c>
      <c r="AI8078" s="66"/>
      <c r="AJ8078" s="126" t="e">
        <v>#N/A</v>
      </c>
      <c r="AK8078" s="80">
        <f t="shared" si="1259"/>
        <v>0</v>
      </c>
      <c r="AL8078" s="85"/>
      <c r="AM8078" s="85"/>
    </row>
    <row r="8079" spans="1:39" s="86" customFormat="1" hidden="1" x14ac:dyDescent="0.3">
      <c r="A8079" s="89" t="s">
        <v>3792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4170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261"/>
        <v>10163.93</v>
      </c>
      <c r="X8079" s="6">
        <f t="shared" si="1262"/>
        <v>0</v>
      </c>
      <c r="Y8079" s="13">
        <f t="shared" si="1257"/>
        <v>0</v>
      </c>
      <c r="Z8079" s="66">
        <v>0</v>
      </c>
      <c r="AA8079" s="6">
        <v>0</v>
      </c>
      <c r="AB8079" s="4">
        <f t="shared" si="1258"/>
        <v>0</v>
      </c>
      <c r="AC8079" s="6">
        <f t="shared" si="1246"/>
        <v>0</v>
      </c>
      <c r="AD8079" s="6">
        <f t="shared" si="1263"/>
        <v>0</v>
      </c>
      <c r="AE8079" s="14">
        <v>0.15</v>
      </c>
      <c r="AF8079" s="6">
        <f t="shared" si="1255"/>
        <v>0</v>
      </c>
      <c r="AG8079" s="14">
        <v>0.22</v>
      </c>
      <c r="AH8079" s="6">
        <f t="shared" si="1264"/>
        <v>0</v>
      </c>
      <c r="AI8079" s="66"/>
      <c r="AJ8079" s="126" t="e">
        <v>#N/A</v>
      </c>
      <c r="AK8079" s="80">
        <f t="shared" si="1259"/>
        <v>0</v>
      </c>
      <c r="AL8079" s="85"/>
      <c r="AM8079" s="85"/>
    </row>
    <row r="8080" spans="1:39" s="86" customFormat="1" hidden="1" x14ac:dyDescent="0.3">
      <c r="A8080" s="89" t="s">
        <v>3978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4171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261"/>
        <v>27320.89</v>
      </c>
      <c r="X8080" s="6">
        <f t="shared" si="1262"/>
        <v>396.90824079485685</v>
      </c>
      <c r="Y8080" s="13">
        <f t="shared" si="1257"/>
        <v>0</v>
      </c>
      <c r="Z8080" s="66">
        <v>0</v>
      </c>
      <c r="AA8080" s="6">
        <v>0</v>
      </c>
      <c r="AB8080" s="4">
        <f t="shared" si="1258"/>
        <v>396.90824079485685</v>
      </c>
      <c r="AC8080" s="6">
        <f t="shared" si="1246"/>
        <v>282.20175920514316</v>
      </c>
      <c r="AD8080" s="6">
        <f t="shared" si="1263"/>
        <v>679.11</v>
      </c>
      <c r="AE8080" s="14">
        <v>0.15</v>
      </c>
      <c r="AF8080" s="6">
        <f t="shared" si="1255"/>
        <v>101.8665</v>
      </c>
      <c r="AG8080" s="14">
        <v>0.4</v>
      </c>
      <c r="AH8080" s="6">
        <f t="shared" si="1264"/>
        <v>485.07857142857148</v>
      </c>
      <c r="AI8080" s="66"/>
      <c r="AJ8080" s="126" t="e">
        <v>#N/A</v>
      </c>
      <c r="AK8080" s="80">
        <f t="shared" si="1259"/>
        <v>0</v>
      </c>
      <c r="AL8080" s="85"/>
      <c r="AM8080" s="85"/>
    </row>
    <row r="8081" spans="1:39" s="86" customFormat="1" hidden="1" x14ac:dyDescent="0.3">
      <c r="A8081" s="89" t="s">
        <v>3978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4171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261"/>
        <v>1345346.94</v>
      </c>
      <c r="X8081" s="6">
        <f t="shared" si="1262"/>
        <v>31942.174167153713</v>
      </c>
      <c r="Y8081" s="13">
        <f t="shared" si="1257"/>
        <v>0</v>
      </c>
      <c r="Z8081" s="66">
        <v>0</v>
      </c>
      <c r="AA8081" s="6">
        <v>0</v>
      </c>
      <c r="AB8081" s="4">
        <f t="shared" si="1258"/>
        <v>31942.174167153713</v>
      </c>
      <c r="AC8081" s="6">
        <f t="shared" si="1246"/>
        <v>22710.885832846285</v>
      </c>
      <c r="AD8081" s="6">
        <f t="shared" si="1263"/>
        <v>54653.06</v>
      </c>
      <c r="AE8081" s="14">
        <v>0.15</v>
      </c>
      <c r="AF8081" s="6">
        <f t="shared" si="1255"/>
        <v>8197.9589999999989</v>
      </c>
      <c r="AG8081" s="14">
        <v>0.4</v>
      </c>
      <c r="AH8081" s="6">
        <f t="shared" si="1264"/>
        <v>39037.9</v>
      </c>
      <c r="AI8081" s="66"/>
      <c r="AJ8081" s="126" t="e">
        <v>#N/A</v>
      </c>
      <c r="AK8081" s="80">
        <f t="shared" si="1259"/>
        <v>0</v>
      </c>
      <c r="AL8081" s="85"/>
      <c r="AM8081" s="85"/>
    </row>
    <row r="8082" spans="1:39" s="86" customFormat="1" hidden="1" x14ac:dyDescent="0.3">
      <c r="A8082" s="89" t="s">
        <v>3978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4171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261"/>
        <v>164335.99</v>
      </c>
      <c r="X8082" s="6">
        <f t="shared" si="1262"/>
        <v>67600.239625949747</v>
      </c>
      <c r="Y8082" s="13">
        <f t="shared" si="1257"/>
        <v>0</v>
      </c>
      <c r="Z8082" s="66">
        <v>0</v>
      </c>
      <c r="AA8082" s="6">
        <v>0</v>
      </c>
      <c r="AB8082" s="4">
        <f t="shared" si="1258"/>
        <v>67600.239625949747</v>
      </c>
      <c r="AC8082" s="6">
        <f t="shared" si="1246"/>
        <v>48063.770374050262</v>
      </c>
      <c r="AD8082" s="6">
        <f t="shared" si="1263"/>
        <v>115664.01000000001</v>
      </c>
      <c r="AE8082" s="14">
        <v>0.15</v>
      </c>
      <c r="AF8082" s="6">
        <f t="shared" si="1255"/>
        <v>17349.601500000001</v>
      </c>
      <c r="AG8082" s="14">
        <v>0.4</v>
      </c>
      <c r="AH8082" s="6">
        <f t="shared" si="1264"/>
        <v>82617.150000000009</v>
      </c>
      <c r="AI8082" s="66"/>
      <c r="AJ8082" s="126" t="e">
        <v>#N/A</v>
      </c>
      <c r="AK8082" s="80">
        <f t="shared" si="1259"/>
        <v>0</v>
      </c>
      <c r="AL8082" s="85"/>
      <c r="AM8082" s="85"/>
    </row>
    <row r="8083" spans="1:39" s="86" customFormat="1" hidden="1" x14ac:dyDescent="0.3">
      <c r="A8083" s="89" t="s">
        <v>3978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4171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261"/>
        <v>89724.59</v>
      </c>
      <c r="X8083" s="6">
        <f t="shared" si="1262"/>
        <v>6005.4997077732323</v>
      </c>
      <c r="Y8083" s="13">
        <f t="shared" si="1257"/>
        <v>0</v>
      </c>
      <c r="Z8083" s="66">
        <v>0</v>
      </c>
      <c r="AA8083" s="6">
        <v>0</v>
      </c>
      <c r="AB8083" s="4">
        <f t="shared" si="1258"/>
        <v>6005.4997077732323</v>
      </c>
      <c r="AC8083" s="6">
        <f t="shared" si="1246"/>
        <v>4269.9102922267675</v>
      </c>
      <c r="AD8083" s="6">
        <f t="shared" si="1263"/>
        <v>10275.41</v>
      </c>
      <c r="AE8083" s="14">
        <v>0.15</v>
      </c>
      <c r="AF8083" s="6">
        <f t="shared" si="1255"/>
        <v>1541.3115</v>
      </c>
      <c r="AG8083" s="14">
        <v>0.4</v>
      </c>
      <c r="AH8083" s="6">
        <f t="shared" si="1264"/>
        <v>7339.5785714285721</v>
      </c>
      <c r="AI8083" s="66"/>
      <c r="AJ8083" s="126" t="e">
        <v>#N/A</v>
      </c>
      <c r="AK8083" s="80">
        <f t="shared" si="1259"/>
        <v>0</v>
      </c>
      <c r="AL8083" s="85"/>
      <c r="AM8083" s="85"/>
    </row>
    <row r="8084" spans="1:39" s="86" customFormat="1" hidden="1" x14ac:dyDescent="0.3">
      <c r="A8084" s="89" t="s">
        <v>3978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4171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261"/>
        <v>94007.97</v>
      </c>
      <c r="X8084" s="6">
        <f t="shared" si="1262"/>
        <v>3502.0631209818825</v>
      </c>
      <c r="Y8084" s="13">
        <f t="shared" si="1257"/>
        <v>0</v>
      </c>
      <c r="Z8084" s="66">
        <v>0</v>
      </c>
      <c r="AA8084" s="6">
        <v>0</v>
      </c>
      <c r="AB8084" s="4">
        <f t="shared" si="1258"/>
        <v>3502.0631209818825</v>
      </c>
      <c r="AC8084" s="6">
        <f t="shared" si="1246"/>
        <v>2489.9668790181181</v>
      </c>
      <c r="AD8084" s="6">
        <f t="shared" si="1263"/>
        <v>5992.0300000000007</v>
      </c>
      <c r="AE8084" s="14">
        <v>0.15</v>
      </c>
      <c r="AF8084" s="6">
        <f t="shared" si="1255"/>
        <v>898.80450000000008</v>
      </c>
      <c r="AG8084" s="14">
        <v>0.4</v>
      </c>
      <c r="AH8084" s="6">
        <f t="shared" si="1264"/>
        <v>4280.0214285714292</v>
      </c>
      <c r="AI8084" s="66"/>
      <c r="AJ8084" s="126" t="e">
        <v>#N/A</v>
      </c>
      <c r="AK8084" s="80">
        <f t="shared" si="1259"/>
        <v>0</v>
      </c>
      <c r="AL8084" s="85"/>
      <c r="AM8084" s="85"/>
    </row>
    <row r="8085" spans="1:39" s="86" customFormat="1" hidden="1" x14ac:dyDescent="0.3">
      <c r="A8085" s="89" t="s">
        <v>3978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4171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261"/>
        <v>97894.55</v>
      </c>
      <c r="X8085" s="6">
        <f t="shared" si="1262"/>
        <v>1230.5376972530685</v>
      </c>
      <c r="Y8085" s="13">
        <f t="shared" si="1257"/>
        <v>0</v>
      </c>
      <c r="Z8085" s="66">
        <v>0</v>
      </c>
      <c r="AA8085" s="6">
        <v>0</v>
      </c>
      <c r="AB8085" s="4">
        <f t="shared" si="1258"/>
        <v>1230.5376972530685</v>
      </c>
      <c r="AC8085" s="6">
        <f t="shared" si="1246"/>
        <v>874.91230274693135</v>
      </c>
      <c r="AD8085" s="6">
        <f t="shared" si="1263"/>
        <v>2105.4499999999998</v>
      </c>
      <c r="AE8085" s="14">
        <v>0.15</v>
      </c>
      <c r="AF8085" s="6">
        <f t="shared" si="1255"/>
        <v>315.81749999999994</v>
      </c>
      <c r="AG8085" s="14">
        <v>0.4</v>
      </c>
      <c r="AH8085" s="6">
        <f t="shared" si="1264"/>
        <v>1503.8928571428571</v>
      </c>
      <c r="AI8085" s="66"/>
      <c r="AJ8085" s="126" t="e">
        <v>#N/A</v>
      </c>
      <c r="AK8085" s="80">
        <f t="shared" si="1259"/>
        <v>0</v>
      </c>
      <c r="AL8085" s="85"/>
      <c r="AM8085" s="85"/>
    </row>
    <row r="8086" spans="1:39" s="86" customFormat="1" hidden="1" x14ac:dyDescent="0.3">
      <c r="A8086" s="89" t="s">
        <v>3978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4171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261"/>
        <v>28873.13</v>
      </c>
      <c r="X8086" s="6">
        <f t="shared" si="1262"/>
        <v>658.60315604909408</v>
      </c>
      <c r="Y8086" s="13">
        <f t="shared" si="1257"/>
        <v>0</v>
      </c>
      <c r="Z8086" s="66">
        <v>0</v>
      </c>
      <c r="AA8086" s="6">
        <v>0</v>
      </c>
      <c r="AB8086" s="4">
        <f t="shared" si="1258"/>
        <v>658.60315604909408</v>
      </c>
      <c r="AC8086" s="6">
        <f t="shared" si="1246"/>
        <v>468.26684395090581</v>
      </c>
      <c r="AD8086" s="6">
        <f t="shared" si="1263"/>
        <v>1126.8699999999999</v>
      </c>
      <c r="AE8086" s="14">
        <v>0.15</v>
      </c>
      <c r="AF8086" s="6">
        <f t="shared" si="1255"/>
        <v>169.03049999999999</v>
      </c>
      <c r="AG8086" s="14">
        <v>0.4</v>
      </c>
      <c r="AH8086" s="6">
        <f t="shared" si="1264"/>
        <v>804.90714285714284</v>
      </c>
      <c r="AI8086" s="66"/>
      <c r="AJ8086" s="126" t="e">
        <v>#N/A</v>
      </c>
      <c r="AK8086" s="80">
        <f t="shared" si="1259"/>
        <v>0</v>
      </c>
      <c r="AL8086" s="85"/>
      <c r="AM8086" s="85"/>
    </row>
    <row r="8087" spans="1:39" s="86" customFormat="1" hidden="1" x14ac:dyDescent="0.3">
      <c r="A8087" s="89" t="s">
        <v>3978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4171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261"/>
        <v>19226.559999999998</v>
      </c>
      <c r="X8087" s="6">
        <f t="shared" si="1262"/>
        <v>3374.3074225599071</v>
      </c>
      <c r="Y8087" s="13">
        <f t="shared" si="1257"/>
        <v>0</v>
      </c>
      <c r="Z8087" s="66">
        <v>0</v>
      </c>
      <c r="AA8087" s="6">
        <v>0</v>
      </c>
      <c r="AB8087" s="4">
        <f t="shared" si="1258"/>
        <v>3374.3074225599071</v>
      </c>
      <c r="AC8087" s="6">
        <f t="shared" si="1246"/>
        <v>2399.1325774400934</v>
      </c>
      <c r="AD8087" s="6">
        <f t="shared" si="1263"/>
        <v>5773.4400000000005</v>
      </c>
      <c r="AE8087" s="14">
        <v>0.15</v>
      </c>
      <c r="AF8087" s="6">
        <f t="shared" si="1255"/>
        <v>866.01600000000008</v>
      </c>
      <c r="AG8087" s="14">
        <v>0.4</v>
      </c>
      <c r="AH8087" s="6">
        <f t="shared" si="1264"/>
        <v>4123.885714285715</v>
      </c>
      <c r="AI8087" s="66"/>
      <c r="AJ8087" s="126" t="e">
        <v>#N/A</v>
      </c>
      <c r="AK8087" s="80">
        <f t="shared" si="1259"/>
        <v>0</v>
      </c>
      <c r="AL8087" s="85"/>
      <c r="AM8087" s="85"/>
    </row>
    <row r="8088" spans="1:39" s="86" customFormat="1" hidden="1" x14ac:dyDescent="0.3">
      <c r="A8088" s="89" t="s">
        <v>3978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4171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261"/>
        <v>190864.09</v>
      </c>
      <c r="X8088" s="6">
        <f t="shared" si="1262"/>
        <v>17028.585622443017</v>
      </c>
      <c r="Y8088" s="13">
        <f t="shared" si="1257"/>
        <v>0</v>
      </c>
      <c r="Z8088" s="66">
        <v>0</v>
      </c>
      <c r="AA8088" s="6">
        <v>0</v>
      </c>
      <c r="AB8088" s="4">
        <f t="shared" si="1258"/>
        <v>17028.585622443017</v>
      </c>
      <c r="AC8088" s="6">
        <f t="shared" si="1246"/>
        <v>12107.324377556983</v>
      </c>
      <c r="AD8088" s="6">
        <f t="shared" si="1263"/>
        <v>29135.91</v>
      </c>
      <c r="AE8088" s="14">
        <v>0.15</v>
      </c>
      <c r="AF8088" s="6">
        <f t="shared" si="1255"/>
        <v>4370.3864999999996</v>
      </c>
      <c r="AG8088" s="14">
        <v>0.4</v>
      </c>
      <c r="AH8088" s="6">
        <f t="shared" si="1264"/>
        <v>20811.364285714288</v>
      </c>
      <c r="AI8088" s="66"/>
      <c r="AJ8088" s="126" t="e">
        <v>#N/A</v>
      </c>
      <c r="AK8088" s="80">
        <f t="shared" si="1259"/>
        <v>0</v>
      </c>
      <c r="AL8088" s="85"/>
      <c r="AM8088" s="85"/>
    </row>
    <row r="8089" spans="1:39" s="86" customFormat="1" hidden="1" x14ac:dyDescent="0.3">
      <c r="A8089" s="89" t="s">
        <v>3978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4172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261"/>
        <v>156404.75</v>
      </c>
      <c r="X8089" s="6">
        <f t="shared" si="1262"/>
        <v>66391.145528930458</v>
      </c>
      <c r="Y8089" s="13">
        <f t="shared" si="1257"/>
        <v>0</v>
      </c>
      <c r="Z8089" s="66">
        <v>0</v>
      </c>
      <c r="AA8089" s="6">
        <v>0</v>
      </c>
      <c r="AB8089" s="4">
        <f t="shared" si="1258"/>
        <v>66391.145528930458</v>
      </c>
      <c r="AC8089" s="6">
        <f t="shared" si="1246"/>
        <v>47204.104471069542</v>
      </c>
      <c r="AD8089" s="6">
        <f t="shared" si="1263"/>
        <v>113595.25</v>
      </c>
      <c r="AE8089" s="14">
        <v>0.15</v>
      </c>
      <c r="AF8089" s="6">
        <f t="shared" si="1255"/>
        <v>17039.287499999999</v>
      </c>
      <c r="AG8089" s="14">
        <v>0.4</v>
      </c>
      <c r="AH8089" s="6">
        <f t="shared" si="1264"/>
        <v>81139.46428571429</v>
      </c>
      <c r="AI8089" s="66"/>
      <c r="AJ8089" s="126" t="e">
        <v>#N/A</v>
      </c>
      <c r="AK8089" s="80">
        <f t="shared" si="1259"/>
        <v>0</v>
      </c>
      <c r="AL8089" s="85"/>
      <c r="AM8089" s="85"/>
    </row>
    <row r="8090" spans="1:39" s="86" customFormat="1" hidden="1" x14ac:dyDescent="0.3">
      <c r="A8090" s="89" t="s">
        <v>3978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4172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4173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261"/>
        <v>11022.44</v>
      </c>
      <c r="X8090" s="6">
        <f t="shared" si="1262"/>
        <v>571.33839859731165</v>
      </c>
      <c r="Y8090" s="13">
        <f t="shared" si="1257"/>
        <v>0</v>
      </c>
      <c r="Z8090" s="66">
        <v>0</v>
      </c>
      <c r="AA8090" s="6">
        <v>0</v>
      </c>
      <c r="AB8090" s="4">
        <f t="shared" si="1258"/>
        <v>571.33839859731165</v>
      </c>
      <c r="AC8090" s="6">
        <f t="shared" si="1246"/>
        <v>406.22160140268841</v>
      </c>
      <c r="AD8090" s="6">
        <f t="shared" si="1263"/>
        <v>977.56000000000006</v>
      </c>
      <c r="AE8090" s="14">
        <v>0.15</v>
      </c>
      <c r="AF8090" s="6">
        <f t="shared" si="1255"/>
        <v>146.63400000000001</v>
      </c>
      <c r="AG8090" s="14">
        <v>0.4</v>
      </c>
      <c r="AH8090" s="6">
        <f t="shared" si="1264"/>
        <v>698.25714285714298</v>
      </c>
      <c r="AI8090" s="66"/>
      <c r="AJ8090" s="126" t="e">
        <v>#N/A</v>
      </c>
      <c r="AK8090" s="80">
        <f t="shared" si="1259"/>
        <v>0</v>
      </c>
      <c r="AL8090" s="85"/>
      <c r="AM8090" s="85"/>
    </row>
    <row r="8091" spans="1:39" s="86" customFormat="1" hidden="1" x14ac:dyDescent="0.3">
      <c r="A8091" s="89" t="s">
        <v>3978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4172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261"/>
        <v>131459.32818000001</v>
      </c>
      <c r="X8091" s="6">
        <f t="shared" si="1262"/>
        <v>10836.161203974285</v>
      </c>
      <c r="Y8091" s="13">
        <f t="shared" si="1257"/>
        <v>0</v>
      </c>
      <c r="Z8091" s="66">
        <v>0</v>
      </c>
      <c r="AA8091" s="6">
        <v>0</v>
      </c>
      <c r="AB8091" s="4">
        <f t="shared" si="1258"/>
        <v>10836.161203974285</v>
      </c>
      <c r="AC8091" s="6">
        <f t="shared" si="1246"/>
        <v>7704.5106160257146</v>
      </c>
      <c r="AD8091" s="6">
        <f t="shared" si="1263"/>
        <v>18540.67182</v>
      </c>
      <c r="AE8091" s="14">
        <v>0.15</v>
      </c>
      <c r="AF8091" s="6">
        <f t="shared" si="1255"/>
        <v>2781.1007729999997</v>
      </c>
      <c r="AG8091" s="14">
        <v>0.4</v>
      </c>
      <c r="AH8091" s="6">
        <f t="shared" si="1264"/>
        <v>13243.337014285715</v>
      </c>
      <c r="AI8091" s="66"/>
      <c r="AJ8091" s="126" t="e">
        <v>#N/A</v>
      </c>
      <c r="AK8091" s="80">
        <f t="shared" si="1259"/>
        <v>0</v>
      </c>
      <c r="AL8091" s="85"/>
      <c r="AM8091" s="85"/>
    </row>
    <row r="8092" spans="1:39" s="86" customFormat="1" hidden="1" x14ac:dyDescent="0.3">
      <c r="A8092" s="89" t="s">
        <v>3978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4172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261"/>
        <v>19632.769680000001</v>
      </c>
      <c r="X8092" s="6">
        <f t="shared" si="1262"/>
        <v>11903.699777907657</v>
      </c>
      <c r="Y8092" s="13">
        <f t="shared" si="1257"/>
        <v>0</v>
      </c>
      <c r="Z8092" s="66">
        <v>0</v>
      </c>
      <c r="AA8092" s="6">
        <v>0</v>
      </c>
      <c r="AB8092" s="4">
        <f t="shared" si="1258"/>
        <v>11903.699777907657</v>
      </c>
      <c r="AC8092" s="6">
        <f t="shared" si="1246"/>
        <v>8463.5305420923414</v>
      </c>
      <c r="AD8092" s="6">
        <f t="shared" si="1263"/>
        <v>20367.230319999999</v>
      </c>
      <c r="AE8092" s="14">
        <v>0.15</v>
      </c>
      <c r="AF8092" s="6">
        <f t="shared" si="1255"/>
        <v>3055.0845479999998</v>
      </c>
      <c r="AG8092" s="14">
        <v>0.4</v>
      </c>
      <c r="AH8092" s="6">
        <f t="shared" si="1264"/>
        <v>14548.021657142857</v>
      </c>
      <c r="AI8092" s="66"/>
      <c r="AJ8092" s="126" t="e">
        <v>#N/A</v>
      </c>
      <c r="AK8092" s="80">
        <f t="shared" si="1259"/>
        <v>0</v>
      </c>
      <c r="AL8092" s="85"/>
      <c r="AM8092" s="85"/>
    </row>
    <row r="8093" spans="1:39" s="86" customFormat="1" hidden="1" x14ac:dyDescent="0.3">
      <c r="A8093" s="89" t="s">
        <v>3978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4172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261"/>
        <v>43306.97</v>
      </c>
      <c r="X8093" s="6">
        <f t="shared" si="1262"/>
        <v>9756.3004091174771</v>
      </c>
      <c r="Y8093" s="13">
        <f t="shared" si="1257"/>
        <v>0</v>
      </c>
      <c r="Z8093" s="66">
        <v>0</v>
      </c>
      <c r="AA8093" s="6">
        <v>0</v>
      </c>
      <c r="AB8093" s="4">
        <f t="shared" si="1258"/>
        <v>9756.3004091174771</v>
      </c>
      <c r="AC8093" s="6">
        <f t="shared" si="1246"/>
        <v>6936.7295908825254</v>
      </c>
      <c r="AD8093" s="6">
        <f t="shared" si="1263"/>
        <v>16693.030000000002</v>
      </c>
      <c r="AE8093" s="14">
        <v>0.15</v>
      </c>
      <c r="AF8093" s="6">
        <f t="shared" si="1255"/>
        <v>2503.9545000000003</v>
      </c>
      <c r="AG8093" s="14">
        <v>0.4</v>
      </c>
      <c r="AH8093" s="6">
        <f t="shared" si="1264"/>
        <v>11923.592857142859</v>
      </c>
      <c r="AI8093" s="66"/>
      <c r="AJ8093" s="126" t="e">
        <v>#N/A</v>
      </c>
      <c r="AK8093" s="80">
        <f t="shared" si="1259"/>
        <v>0</v>
      </c>
      <c r="AL8093" s="85"/>
      <c r="AM8093" s="85"/>
    </row>
    <row r="8094" spans="1:39" s="86" customFormat="1" hidden="1" x14ac:dyDescent="0.3">
      <c r="A8094" s="89" t="s">
        <v>3978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4172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261"/>
        <v>180180.74</v>
      </c>
      <c r="X8094" s="6">
        <f t="shared" si="1262"/>
        <v>17427.971946230278</v>
      </c>
      <c r="Y8094" s="13">
        <f t="shared" si="1257"/>
        <v>0</v>
      </c>
      <c r="Z8094" s="66">
        <v>0</v>
      </c>
      <c r="AA8094" s="6">
        <v>0</v>
      </c>
      <c r="AB8094" s="4">
        <f t="shared" si="1258"/>
        <v>17427.971946230278</v>
      </c>
      <c r="AC8094" s="6">
        <f t="shared" si="1246"/>
        <v>12391.288053769724</v>
      </c>
      <c r="AD8094" s="6">
        <f t="shared" si="1263"/>
        <v>29819.260000000002</v>
      </c>
      <c r="AE8094" s="14">
        <v>0.15</v>
      </c>
      <c r="AF8094" s="6">
        <f t="shared" si="1255"/>
        <v>4472.8890000000001</v>
      </c>
      <c r="AG8094" s="14">
        <v>0.4</v>
      </c>
      <c r="AH8094" s="6">
        <f t="shared" si="1264"/>
        <v>21299.471428571433</v>
      </c>
      <c r="AI8094" s="66"/>
      <c r="AJ8094" s="126" t="e">
        <v>#N/A</v>
      </c>
      <c r="AK8094" s="80">
        <f t="shared" si="1259"/>
        <v>0</v>
      </c>
      <c r="AL8094" s="85"/>
      <c r="AM8094" s="85"/>
    </row>
    <row r="8095" spans="1:39" s="86" customFormat="1" hidden="1" x14ac:dyDescent="0.3">
      <c r="A8095" s="89" t="s">
        <v>3978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4172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261"/>
        <v>37448.770000000004</v>
      </c>
      <c r="X8095" s="6">
        <f t="shared" si="1262"/>
        <v>27207.030976037404</v>
      </c>
      <c r="Y8095" s="13">
        <f t="shared" si="1257"/>
        <v>0</v>
      </c>
      <c r="Z8095" s="66">
        <v>0</v>
      </c>
      <c r="AA8095" s="6">
        <v>0</v>
      </c>
      <c r="AB8095" s="4">
        <f t="shared" si="1258"/>
        <v>27207.030976037404</v>
      </c>
      <c r="AC8095" s="6">
        <f t="shared" ref="AC8095:AC8150" si="1265">IF(P8095="返现",X8095*Q8095,V8095-X8095)</f>
        <v>19344.199023962592</v>
      </c>
      <c r="AD8095" s="6">
        <f t="shared" si="1263"/>
        <v>46551.229999999996</v>
      </c>
      <c r="AE8095" s="14">
        <v>0.15</v>
      </c>
      <c r="AF8095" s="6">
        <f t="shared" si="1255"/>
        <v>6982.6844999999994</v>
      </c>
      <c r="AG8095" s="14">
        <v>0.4</v>
      </c>
      <c r="AH8095" s="6">
        <f t="shared" si="1264"/>
        <v>33250.87857142857</v>
      </c>
      <c r="AI8095" s="66"/>
      <c r="AJ8095" s="126" t="e">
        <v>#N/A</v>
      </c>
      <c r="AK8095" s="80">
        <f t="shared" si="1259"/>
        <v>0</v>
      </c>
      <c r="AL8095" s="85"/>
      <c r="AM8095" s="85"/>
    </row>
    <row r="8096" spans="1:39" s="86" customFormat="1" hidden="1" x14ac:dyDescent="0.3">
      <c r="A8096" s="89" t="s">
        <v>3978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4172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261"/>
        <v>6000</v>
      </c>
      <c r="X8096" s="6">
        <f t="shared" si="1262"/>
        <v>0</v>
      </c>
      <c r="Y8096" s="13">
        <f t="shared" si="1257"/>
        <v>0</v>
      </c>
      <c r="Z8096" s="66">
        <v>0</v>
      </c>
      <c r="AA8096" s="6">
        <v>0</v>
      </c>
      <c r="AB8096" s="4">
        <f t="shared" si="1258"/>
        <v>0</v>
      </c>
      <c r="AC8096" s="6">
        <f t="shared" si="1265"/>
        <v>0</v>
      </c>
      <c r="AD8096" s="6">
        <f t="shared" si="1263"/>
        <v>0</v>
      </c>
      <c r="AE8096" s="14">
        <v>0.15</v>
      </c>
      <c r="AF8096" s="6">
        <f t="shared" si="1255"/>
        <v>0</v>
      </c>
      <c r="AG8096" s="14">
        <v>0.4</v>
      </c>
      <c r="AH8096" s="6">
        <f t="shared" si="1264"/>
        <v>0</v>
      </c>
      <c r="AI8096" s="66"/>
      <c r="AJ8096" s="126" t="e">
        <v>#N/A</v>
      </c>
      <c r="AK8096" s="80">
        <f t="shared" si="1259"/>
        <v>0</v>
      </c>
      <c r="AL8096" s="85"/>
      <c r="AM8096" s="85"/>
    </row>
    <row r="8097" spans="1:39" s="86" customFormat="1" hidden="1" x14ac:dyDescent="0.3">
      <c r="A8097" s="89" t="s">
        <v>3978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4172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261"/>
        <v>40585.219999999987</v>
      </c>
      <c r="X8097" s="6">
        <f t="shared" si="1262"/>
        <v>40569.713617767396</v>
      </c>
      <c r="Y8097" s="13">
        <f t="shared" si="1257"/>
        <v>0</v>
      </c>
      <c r="Z8097" s="66">
        <v>0</v>
      </c>
      <c r="AA8097" s="6">
        <v>0</v>
      </c>
      <c r="AB8097" s="4">
        <f t="shared" si="1258"/>
        <v>40569.713617767396</v>
      </c>
      <c r="AC8097" s="6">
        <f t="shared" si="1265"/>
        <v>28845.066382232617</v>
      </c>
      <c r="AD8097" s="6">
        <f t="shared" si="1263"/>
        <v>69414.780000000013</v>
      </c>
      <c r="AE8097" s="14">
        <v>0.15</v>
      </c>
      <c r="AF8097" s="6">
        <f t="shared" si="1255"/>
        <v>10412.217000000002</v>
      </c>
      <c r="AG8097" s="14">
        <v>0.4</v>
      </c>
      <c r="AH8097" s="6">
        <f t="shared" si="1264"/>
        <v>49581.985714285729</v>
      </c>
      <c r="AI8097" s="66"/>
      <c r="AJ8097" s="126" t="e">
        <v>#N/A</v>
      </c>
      <c r="AK8097" s="80">
        <f t="shared" si="1259"/>
        <v>0</v>
      </c>
      <c r="AL8097" s="85"/>
      <c r="AM8097" s="85"/>
    </row>
    <row r="8098" spans="1:39" s="86" customFormat="1" hidden="1" x14ac:dyDescent="0.3">
      <c r="A8098" s="89" t="s">
        <v>3978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4172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261"/>
        <v>5616.92</v>
      </c>
      <c r="X8098" s="6">
        <f t="shared" si="1262"/>
        <v>3730.6136762127412</v>
      </c>
      <c r="Y8098" s="13">
        <f t="shared" si="1257"/>
        <v>0</v>
      </c>
      <c r="Z8098" s="66">
        <v>0</v>
      </c>
      <c r="AA8098" s="6">
        <v>0</v>
      </c>
      <c r="AB8098" s="4">
        <f t="shared" si="1258"/>
        <v>3730.6136762127412</v>
      </c>
      <c r="AC8098" s="6">
        <f t="shared" si="1265"/>
        <v>2652.4663237872587</v>
      </c>
      <c r="AD8098" s="6">
        <f t="shared" si="1263"/>
        <v>6383.08</v>
      </c>
      <c r="AE8098" s="14">
        <v>0.15</v>
      </c>
      <c r="AF8098" s="6">
        <f t="shared" si="1255"/>
        <v>957.46199999999999</v>
      </c>
      <c r="AG8098" s="14">
        <v>0.4</v>
      </c>
      <c r="AH8098" s="6">
        <f t="shared" si="1264"/>
        <v>4559.3428571428576</v>
      </c>
      <c r="AI8098" s="66"/>
      <c r="AJ8098" s="126" t="e">
        <v>#N/A</v>
      </c>
      <c r="AK8098" s="80">
        <f t="shared" si="1259"/>
        <v>0</v>
      </c>
      <c r="AL8098" s="85"/>
      <c r="AM8098" s="85"/>
    </row>
    <row r="8099" spans="1:39" s="86" customFormat="1" hidden="1" x14ac:dyDescent="0.3">
      <c r="A8099" s="89" t="s">
        <v>3978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4172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261"/>
        <v>246613.08999999997</v>
      </c>
      <c r="X8099" s="6">
        <f t="shared" si="1262"/>
        <v>165626.48158971366</v>
      </c>
      <c r="Y8099" s="13">
        <f t="shared" si="1257"/>
        <v>0</v>
      </c>
      <c r="Z8099" s="66">
        <v>0</v>
      </c>
      <c r="AA8099" s="6">
        <v>0</v>
      </c>
      <c r="AB8099" s="4">
        <f t="shared" si="1258"/>
        <v>165626.48158971366</v>
      </c>
      <c r="AC8099" s="6">
        <f t="shared" si="1265"/>
        <v>117760.42841028637</v>
      </c>
      <c r="AD8099" s="6">
        <f t="shared" si="1263"/>
        <v>283386.91000000003</v>
      </c>
      <c r="AE8099" s="14">
        <v>0.15</v>
      </c>
      <c r="AF8099" s="6">
        <f t="shared" si="1255"/>
        <v>42508.036500000002</v>
      </c>
      <c r="AG8099" s="14">
        <v>0.4</v>
      </c>
      <c r="AH8099" s="6">
        <f t="shared" si="1264"/>
        <v>202419.22142857147</v>
      </c>
      <c r="AI8099" s="66"/>
      <c r="AJ8099" s="126" t="e">
        <v>#N/A</v>
      </c>
      <c r="AK8099" s="80">
        <f t="shared" si="1259"/>
        <v>0</v>
      </c>
      <c r="AL8099" s="85"/>
      <c r="AM8099" s="85"/>
    </row>
    <row r="8100" spans="1:39" s="86" customFormat="1" hidden="1" x14ac:dyDescent="0.3">
      <c r="A8100" s="89" t="s">
        <v>3978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4174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261"/>
        <v>36555.61</v>
      </c>
      <c r="X8100" s="6">
        <f t="shared" si="1262"/>
        <v>37080.298071303332</v>
      </c>
      <c r="Y8100" s="13">
        <f t="shared" si="1257"/>
        <v>0</v>
      </c>
      <c r="Z8100" s="66">
        <v>0</v>
      </c>
      <c r="AA8100" s="6">
        <v>0</v>
      </c>
      <c r="AB8100" s="4">
        <f t="shared" si="1258"/>
        <v>37080.298071303332</v>
      </c>
      <c r="AC8100" s="6">
        <f t="shared" si="1265"/>
        <v>26364.091928696667</v>
      </c>
      <c r="AD8100" s="6">
        <f t="shared" si="1263"/>
        <v>63444.39</v>
      </c>
      <c r="AE8100" s="14">
        <v>0.15</v>
      </c>
      <c r="AF8100" s="6">
        <f t="shared" si="1255"/>
        <v>9516.6584999999995</v>
      </c>
      <c r="AG8100" s="14">
        <v>0.4</v>
      </c>
      <c r="AH8100" s="6">
        <f t="shared" si="1264"/>
        <v>45317.421428571433</v>
      </c>
      <c r="AI8100" s="66"/>
      <c r="AJ8100" s="126" t="e">
        <v>#N/A</v>
      </c>
      <c r="AK8100" s="80">
        <f t="shared" si="1259"/>
        <v>0</v>
      </c>
      <c r="AL8100" s="85"/>
      <c r="AM8100" s="85"/>
    </row>
    <row r="8101" spans="1:39" s="86" customFormat="1" hidden="1" x14ac:dyDescent="0.3">
      <c r="A8101" s="89" t="s">
        <v>3792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4174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261"/>
        <v>15700.009999999995</v>
      </c>
      <c r="X8101" s="6">
        <f t="shared" si="1262"/>
        <v>23553.471654003512</v>
      </c>
      <c r="Y8101" s="13">
        <f t="shared" si="1257"/>
        <v>0</v>
      </c>
      <c r="Z8101" s="66">
        <v>0</v>
      </c>
      <c r="AA8101" s="6">
        <v>0</v>
      </c>
      <c r="AB8101" s="4">
        <f t="shared" si="1258"/>
        <v>23553.471654003512</v>
      </c>
      <c r="AC8101" s="6">
        <f t="shared" si="1265"/>
        <v>16746.518345996494</v>
      </c>
      <c r="AD8101" s="6">
        <f t="shared" si="1263"/>
        <v>40299.990000000005</v>
      </c>
      <c r="AE8101" s="14">
        <v>0.15</v>
      </c>
      <c r="AF8101" s="6">
        <f t="shared" si="1255"/>
        <v>6044.9985000000006</v>
      </c>
      <c r="AG8101" s="14">
        <v>0.4</v>
      </c>
      <c r="AH8101" s="6">
        <f t="shared" si="1264"/>
        <v>28785.707142857147</v>
      </c>
      <c r="AI8101" s="66"/>
      <c r="AJ8101" s="126" t="e">
        <v>#N/A</v>
      </c>
      <c r="AK8101" s="80">
        <f t="shared" si="1259"/>
        <v>0</v>
      </c>
      <c r="AL8101" s="85"/>
      <c r="AM8101" s="85"/>
    </row>
    <row r="8102" spans="1:39" s="86" customFormat="1" hidden="1" x14ac:dyDescent="0.3">
      <c r="A8102" s="89" t="s">
        <v>3978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4174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261"/>
        <v>75810.419999999984</v>
      </c>
      <c r="X8102" s="6">
        <f t="shared" si="1262"/>
        <v>72583.03915838692</v>
      </c>
      <c r="Y8102" s="13">
        <f t="shared" si="1257"/>
        <v>0</v>
      </c>
      <c r="Z8102" s="66">
        <v>0</v>
      </c>
      <c r="AA8102" s="6">
        <v>0</v>
      </c>
      <c r="AB8102" s="4">
        <f t="shared" si="1258"/>
        <v>72583.03915838692</v>
      </c>
      <c r="AC8102" s="6">
        <f t="shared" si="1265"/>
        <v>51606.540841613096</v>
      </c>
      <c r="AD8102" s="6">
        <f t="shared" si="1263"/>
        <v>124189.58000000002</v>
      </c>
      <c r="AE8102" s="14">
        <v>0.15</v>
      </c>
      <c r="AF8102" s="6">
        <f t="shared" si="1255"/>
        <v>18628.437000000002</v>
      </c>
      <c r="AG8102" s="14">
        <v>0.4</v>
      </c>
      <c r="AH8102" s="6">
        <f t="shared" si="1264"/>
        <v>88706.842857142881</v>
      </c>
      <c r="AI8102" s="66"/>
      <c r="AJ8102" s="126" t="e">
        <v>#N/A</v>
      </c>
      <c r="AK8102" s="80">
        <f t="shared" si="1259"/>
        <v>0</v>
      </c>
      <c r="AL8102" s="85"/>
      <c r="AM8102" s="85"/>
    </row>
    <row r="8103" spans="1:39" s="86" customFormat="1" hidden="1" x14ac:dyDescent="0.3">
      <c r="A8103" s="89" t="s">
        <v>3978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4174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261"/>
        <v>47420.409999999996</v>
      </c>
      <c r="X8103" s="6">
        <f t="shared" si="1262"/>
        <v>30730.327293980132</v>
      </c>
      <c r="Y8103" s="13">
        <f t="shared" si="1257"/>
        <v>0</v>
      </c>
      <c r="Z8103" s="66">
        <v>0</v>
      </c>
      <c r="AA8103" s="6">
        <v>0</v>
      </c>
      <c r="AB8103" s="4">
        <f t="shared" si="1258"/>
        <v>30730.327293980132</v>
      </c>
      <c r="AC8103" s="6">
        <f t="shared" si="1265"/>
        <v>21849.262706019872</v>
      </c>
      <c r="AD8103" s="6">
        <f t="shared" si="1263"/>
        <v>52579.590000000004</v>
      </c>
      <c r="AE8103" s="14">
        <v>0.15</v>
      </c>
      <c r="AF8103" s="6">
        <f t="shared" si="1255"/>
        <v>7886.9385000000002</v>
      </c>
      <c r="AG8103" s="14">
        <v>0.4</v>
      </c>
      <c r="AH8103" s="6">
        <f t="shared" si="1264"/>
        <v>37556.850000000006</v>
      </c>
      <c r="AI8103" s="66"/>
      <c r="AJ8103" s="126" t="e">
        <v>#N/A</v>
      </c>
      <c r="AK8103" s="80">
        <f t="shared" si="1259"/>
        <v>0</v>
      </c>
      <c r="AL8103" s="85"/>
      <c r="AM8103" s="85"/>
    </row>
    <row r="8104" spans="1:39" s="86" customFormat="1" hidden="1" x14ac:dyDescent="0.3">
      <c r="A8104" s="89" t="s">
        <v>3978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4174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261"/>
        <v>1468773.57</v>
      </c>
      <c r="X8104" s="6">
        <f t="shared" si="1262"/>
        <v>427367.87258912914</v>
      </c>
      <c r="Y8104" s="13">
        <f t="shared" si="1257"/>
        <v>0</v>
      </c>
      <c r="Z8104" s="66">
        <v>0</v>
      </c>
      <c r="AA8104" s="6">
        <v>0</v>
      </c>
      <c r="AB8104" s="4">
        <f t="shared" si="1258"/>
        <v>427367.87258912914</v>
      </c>
      <c r="AC8104" s="6">
        <f t="shared" si="1265"/>
        <v>303858.5574108708</v>
      </c>
      <c r="AD8104" s="6">
        <f t="shared" si="1263"/>
        <v>731226.42999999993</v>
      </c>
      <c r="AE8104" s="14">
        <v>0.15</v>
      </c>
      <c r="AF8104" s="6">
        <f t="shared" si="1255"/>
        <v>109683.96449999999</v>
      </c>
      <c r="AG8104" s="14">
        <v>0.4</v>
      </c>
      <c r="AH8104" s="6">
        <f t="shared" si="1264"/>
        <v>522304.59285714285</v>
      </c>
      <c r="AI8104" s="66"/>
      <c r="AJ8104" s="126" t="e">
        <v>#N/A</v>
      </c>
      <c r="AK8104" s="80">
        <f t="shared" si="1259"/>
        <v>0</v>
      </c>
      <c r="AL8104" s="85"/>
      <c r="AM8104" s="85"/>
    </row>
    <row r="8105" spans="1:39" s="86" customFormat="1" hidden="1" x14ac:dyDescent="0.3">
      <c r="A8105" s="89" t="s">
        <v>3978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4174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261"/>
        <v>30936.340000000004</v>
      </c>
      <c r="X8105" s="6">
        <f t="shared" si="1262"/>
        <v>31013.243717124489</v>
      </c>
      <c r="Y8105" s="13">
        <f t="shared" si="1257"/>
        <v>0</v>
      </c>
      <c r="Z8105" s="66">
        <v>0</v>
      </c>
      <c r="AA8105" s="6">
        <v>0</v>
      </c>
      <c r="AB8105" s="4">
        <f t="shared" si="1258"/>
        <v>31013.243717124489</v>
      </c>
      <c r="AC8105" s="6">
        <f t="shared" si="1265"/>
        <v>22050.416282875507</v>
      </c>
      <c r="AD8105" s="6">
        <f t="shared" si="1263"/>
        <v>53063.659999999996</v>
      </c>
      <c r="AE8105" s="14">
        <v>0.15</v>
      </c>
      <c r="AF8105" s="6">
        <f t="shared" si="1255"/>
        <v>7959.5489999999991</v>
      </c>
      <c r="AG8105" s="14">
        <v>0.4</v>
      </c>
      <c r="AH8105" s="6">
        <f t="shared" si="1264"/>
        <v>37902.614285714284</v>
      </c>
      <c r="AI8105" s="66"/>
      <c r="AJ8105" s="126" t="e">
        <v>#N/A</v>
      </c>
      <c r="AK8105" s="80">
        <f t="shared" si="1259"/>
        <v>0</v>
      </c>
      <c r="AL8105" s="85"/>
      <c r="AM8105" s="85"/>
    </row>
    <row r="8106" spans="1:39" s="86" customFormat="1" hidden="1" x14ac:dyDescent="0.3">
      <c r="A8106" s="89" t="s">
        <v>3792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4174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261"/>
        <v>24899.880000000005</v>
      </c>
      <c r="X8106" s="6">
        <f t="shared" si="1262"/>
        <v>23436.656925774401</v>
      </c>
      <c r="Y8106" s="13">
        <f t="shared" si="1257"/>
        <v>0</v>
      </c>
      <c r="Z8106" s="66">
        <v>0</v>
      </c>
      <c r="AA8106" s="6">
        <v>0</v>
      </c>
      <c r="AB8106" s="4">
        <f t="shared" si="1258"/>
        <v>23436.656925774401</v>
      </c>
      <c r="AC8106" s="6">
        <f t="shared" si="1265"/>
        <v>16663.463074225594</v>
      </c>
      <c r="AD8106" s="6">
        <f t="shared" si="1263"/>
        <v>40100.119999999995</v>
      </c>
      <c r="AE8106" s="14">
        <v>0.15</v>
      </c>
      <c r="AF8106" s="6">
        <f t="shared" si="1255"/>
        <v>6015.0179999999991</v>
      </c>
      <c r="AG8106" s="14">
        <v>0.4</v>
      </c>
      <c r="AH8106" s="6">
        <f t="shared" si="1264"/>
        <v>28642.942857142854</v>
      </c>
      <c r="AI8106" s="66"/>
      <c r="AJ8106" s="126" t="e">
        <v>#N/A</v>
      </c>
      <c r="AK8106" s="80">
        <f t="shared" si="1259"/>
        <v>0</v>
      </c>
      <c r="AL8106" s="85"/>
      <c r="AM8106" s="85"/>
    </row>
    <row r="8107" spans="1:39" s="86" customFormat="1" hidden="1" x14ac:dyDescent="0.3">
      <c r="A8107" s="89" t="s">
        <v>3978</v>
      </c>
      <c r="B8107" s="86" t="s">
        <v>35</v>
      </c>
      <c r="C8107" s="86" t="s">
        <v>65</v>
      </c>
      <c r="D8107" s="86" t="s">
        <v>122</v>
      </c>
      <c r="E8107" s="86" t="s">
        <v>4175</v>
      </c>
      <c r="F8107" s="86" t="s">
        <v>4175</v>
      </c>
      <c r="G8107" s="86" t="s">
        <v>4175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4176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261"/>
        <v>-15131.109999999993</v>
      </c>
      <c r="X8107" s="6">
        <f t="shared" si="1262"/>
        <v>29783.258620689652</v>
      </c>
      <c r="Y8107" s="13">
        <f t="shared" si="1257"/>
        <v>0</v>
      </c>
      <c r="Z8107" s="66">
        <v>0</v>
      </c>
      <c r="AA8107" s="6">
        <v>0</v>
      </c>
      <c r="AB8107" s="4">
        <f t="shared" si="1258"/>
        <v>29783.258620689652</v>
      </c>
      <c r="AC8107" s="6">
        <f t="shared" si="1265"/>
        <v>4765.3213793103423</v>
      </c>
      <c r="AD8107" s="6">
        <f t="shared" si="1263"/>
        <v>34548.579999999994</v>
      </c>
      <c r="AE8107" s="14">
        <v>0.15</v>
      </c>
      <c r="AF8107" s="6">
        <f t="shared" si="1255"/>
        <v>5182.2869999999994</v>
      </c>
      <c r="AG8107" s="14">
        <v>0.03</v>
      </c>
      <c r="AH8107" s="6">
        <f t="shared" si="1264"/>
        <v>33542.310679611641</v>
      </c>
      <c r="AI8107" s="66"/>
      <c r="AJ8107" s="126" t="e">
        <v>#N/A</v>
      </c>
      <c r="AK8107" s="80">
        <f t="shared" si="1259"/>
        <v>0</v>
      </c>
      <c r="AL8107" s="85"/>
      <c r="AM8107" s="85"/>
    </row>
    <row r="8108" spans="1:39" s="86" customFormat="1" hidden="1" x14ac:dyDescent="0.3">
      <c r="A8108" s="89" t="s">
        <v>3978</v>
      </c>
      <c r="B8108" s="86" t="s">
        <v>35</v>
      </c>
      <c r="C8108" s="86" t="s">
        <v>65</v>
      </c>
      <c r="D8108" s="86" t="s">
        <v>122</v>
      </c>
      <c r="E8108" s="86" t="s">
        <v>4175</v>
      </c>
      <c r="F8108" s="86" t="s">
        <v>4175</v>
      </c>
      <c r="G8108" s="86" t="s">
        <v>4175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4176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261"/>
        <v>-10848.929999999997</v>
      </c>
      <c r="X8108" s="6">
        <f t="shared" si="1262"/>
        <v>26091.732758620688</v>
      </c>
      <c r="Y8108" s="13">
        <f t="shared" si="1257"/>
        <v>0</v>
      </c>
      <c r="Z8108" s="66">
        <v>0</v>
      </c>
      <c r="AA8108" s="6">
        <v>0</v>
      </c>
      <c r="AB8108" s="4">
        <f t="shared" si="1258"/>
        <v>26091.732758620688</v>
      </c>
      <c r="AC8108" s="6">
        <f t="shared" si="1265"/>
        <v>4174.6772413793078</v>
      </c>
      <c r="AD8108" s="6">
        <f t="shared" si="1263"/>
        <v>30266.409999999996</v>
      </c>
      <c r="AE8108" s="14">
        <v>0.15</v>
      </c>
      <c r="AF8108" s="6">
        <f t="shared" si="1255"/>
        <v>4539.9614999999994</v>
      </c>
      <c r="AG8108" s="14">
        <v>0.03</v>
      </c>
      <c r="AH8108" s="6">
        <f t="shared" si="1264"/>
        <v>29384.864077669899</v>
      </c>
      <c r="AI8108" s="66"/>
      <c r="AJ8108" s="126" t="e">
        <v>#N/A</v>
      </c>
      <c r="AK8108" s="80">
        <f t="shared" si="1259"/>
        <v>0</v>
      </c>
      <c r="AL8108" s="85"/>
      <c r="AM8108" s="85"/>
    </row>
    <row r="8109" spans="1:39" s="86" customFormat="1" hidden="1" x14ac:dyDescent="0.3">
      <c r="A8109" s="89" t="s">
        <v>3978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261"/>
        <v>184015.72999999998</v>
      </c>
      <c r="X8109" s="6">
        <f t="shared" si="1262"/>
        <v>42739.403857393343</v>
      </c>
      <c r="Y8109" s="13">
        <f t="shared" si="1257"/>
        <v>0</v>
      </c>
      <c r="Z8109" s="66">
        <v>0</v>
      </c>
      <c r="AA8109" s="6">
        <v>0</v>
      </c>
      <c r="AB8109" s="4">
        <f t="shared" si="1258"/>
        <v>42739.403857393343</v>
      </c>
      <c r="AC8109" s="6">
        <f t="shared" si="1265"/>
        <v>30387.716142606667</v>
      </c>
      <c r="AD8109" s="6">
        <f t="shared" si="1263"/>
        <v>73127.12000000001</v>
      </c>
      <c r="AE8109" s="14">
        <v>0.15</v>
      </c>
      <c r="AF8109" s="6">
        <f t="shared" si="1255"/>
        <v>10969.068000000001</v>
      </c>
      <c r="AG8109" s="14">
        <v>0.4</v>
      </c>
      <c r="AH8109" s="6">
        <f t="shared" si="1264"/>
        <v>52233.657142857155</v>
      </c>
      <c r="AI8109" s="66"/>
      <c r="AJ8109" s="126" t="e">
        <v>#N/A</v>
      </c>
      <c r="AK8109" s="80">
        <f t="shared" si="1259"/>
        <v>0</v>
      </c>
      <c r="AL8109" s="85"/>
      <c r="AM8109" s="85"/>
    </row>
    <row r="8110" spans="1:39" s="86" customFormat="1" hidden="1" x14ac:dyDescent="0.3">
      <c r="A8110" s="89" t="s">
        <v>3978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261"/>
        <v>71428.570000000007</v>
      </c>
      <c r="X8110" s="6">
        <f t="shared" si="1262"/>
        <v>0</v>
      </c>
      <c r="Y8110" s="13">
        <f t="shared" si="1257"/>
        <v>0</v>
      </c>
      <c r="Z8110" s="66">
        <v>0</v>
      </c>
      <c r="AA8110" s="6">
        <v>0</v>
      </c>
      <c r="AB8110" s="4">
        <f t="shared" si="1258"/>
        <v>0</v>
      </c>
      <c r="AC8110" s="6">
        <f t="shared" si="1265"/>
        <v>0</v>
      </c>
      <c r="AD8110" s="6">
        <f t="shared" si="1263"/>
        <v>0</v>
      </c>
      <c r="AE8110" s="14">
        <v>0.15</v>
      </c>
      <c r="AF8110" s="6">
        <f t="shared" si="1255"/>
        <v>0</v>
      </c>
      <c r="AG8110" s="14">
        <v>0.4</v>
      </c>
      <c r="AH8110" s="6">
        <f t="shared" si="1264"/>
        <v>0</v>
      </c>
      <c r="AI8110" s="66"/>
      <c r="AJ8110" s="126" t="e">
        <v>#N/A</v>
      </c>
      <c r="AK8110" s="80">
        <f t="shared" si="1259"/>
        <v>0</v>
      </c>
      <c r="AL8110" s="85"/>
      <c r="AM8110" s="85"/>
    </row>
    <row r="8111" spans="1:39" s="86" customFormat="1" hidden="1" x14ac:dyDescent="0.3">
      <c r="A8111" s="89" t="s">
        <v>3978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261"/>
        <v>71428.570000000007</v>
      </c>
      <c r="X8111" s="6">
        <f t="shared" si="1262"/>
        <v>0</v>
      </c>
      <c r="Y8111" s="13">
        <f t="shared" si="1257"/>
        <v>0</v>
      </c>
      <c r="Z8111" s="66">
        <v>0</v>
      </c>
      <c r="AA8111" s="6">
        <v>0</v>
      </c>
      <c r="AB8111" s="4">
        <f t="shared" si="1258"/>
        <v>0</v>
      </c>
      <c r="AC8111" s="6">
        <f t="shared" si="1265"/>
        <v>0</v>
      </c>
      <c r="AD8111" s="6">
        <f t="shared" si="1263"/>
        <v>0</v>
      </c>
      <c r="AE8111" s="14">
        <v>0.15</v>
      </c>
      <c r="AF8111" s="6">
        <f t="shared" si="1255"/>
        <v>0</v>
      </c>
      <c r="AG8111" s="14">
        <v>0.4</v>
      </c>
      <c r="AH8111" s="6">
        <f t="shared" si="1264"/>
        <v>0</v>
      </c>
      <c r="AI8111" s="66"/>
      <c r="AJ8111" s="126" t="e">
        <v>#N/A</v>
      </c>
      <c r="AK8111" s="80">
        <f t="shared" si="1259"/>
        <v>0</v>
      </c>
      <c r="AL8111" s="85"/>
      <c r="AM8111" s="85"/>
    </row>
    <row r="8112" spans="1:39" s="86" customFormat="1" hidden="1" x14ac:dyDescent="0.3">
      <c r="A8112" s="89" t="s">
        <v>3978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261"/>
        <v>24567.89</v>
      </c>
      <c r="X8112" s="6">
        <f t="shared" si="1262"/>
        <v>12039.355140186914</v>
      </c>
      <c r="Y8112" s="13">
        <f t="shared" si="1257"/>
        <v>0</v>
      </c>
      <c r="Z8112" s="66">
        <v>0</v>
      </c>
      <c r="AA8112" s="6">
        <v>0</v>
      </c>
      <c r="AB8112" s="4">
        <f t="shared" si="1258"/>
        <v>12039.355140186914</v>
      </c>
      <c r="AC8112" s="6">
        <f t="shared" si="1265"/>
        <v>842.7548598130852</v>
      </c>
      <c r="AD8112" s="6">
        <f t="shared" si="1263"/>
        <v>12882.109999999999</v>
      </c>
      <c r="AE8112" s="14">
        <v>0.15</v>
      </c>
      <c r="AF8112" s="6">
        <f t="shared" si="1255"/>
        <v>1932.3164999999997</v>
      </c>
      <c r="AG8112" s="14">
        <v>0</v>
      </c>
      <c r="AH8112" s="6">
        <f t="shared" si="1264"/>
        <v>12882.109999999999</v>
      </c>
      <c r="AI8112" s="66"/>
      <c r="AJ8112" s="126" t="e">
        <v>#N/A</v>
      </c>
      <c r="AK8112" s="80">
        <f t="shared" si="1259"/>
        <v>0</v>
      </c>
      <c r="AL8112" s="85"/>
      <c r="AM8112" s="85"/>
    </row>
    <row r="8113" spans="1:39" s="86" customFormat="1" hidden="1" x14ac:dyDescent="0.3">
      <c r="A8113" s="89" t="s">
        <v>3978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261"/>
        <v>27263.68</v>
      </c>
      <c r="X8113" s="6">
        <f t="shared" si="1262"/>
        <v>6556.203389830509</v>
      </c>
      <c r="Y8113" s="13">
        <f t="shared" si="1257"/>
        <v>0</v>
      </c>
      <c r="Z8113" s="66">
        <v>0</v>
      </c>
      <c r="AA8113" s="6">
        <v>0</v>
      </c>
      <c r="AB8113" s="4">
        <f t="shared" si="1258"/>
        <v>6556.203389830509</v>
      </c>
      <c r="AC8113" s="6">
        <f t="shared" si="1265"/>
        <v>1180.1166101694917</v>
      </c>
      <c r="AD8113" s="6">
        <f t="shared" si="1263"/>
        <v>7736.3200000000006</v>
      </c>
      <c r="AE8113" s="14">
        <v>0.15</v>
      </c>
      <c r="AF8113" s="6">
        <f t="shared" si="1255"/>
        <v>1160.4480000000001</v>
      </c>
      <c r="AG8113" s="14">
        <v>0.05</v>
      </c>
      <c r="AH8113" s="6">
        <f t="shared" si="1264"/>
        <v>7367.9238095238097</v>
      </c>
      <c r="AI8113" s="66"/>
      <c r="AJ8113" s="126" t="e">
        <v>#N/A</v>
      </c>
      <c r="AK8113" s="80">
        <f t="shared" si="1259"/>
        <v>0</v>
      </c>
      <c r="AL8113" s="85"/>
      <c r="AM8113" s="85"/>
    </row>
    <row r="8114" spans="1:39" s="86" customFormat="1" hidden="1" x14ac:dyDescent="0.3">
      <c r="A8114" s="89" t="s">
        <v>3978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261"/>
        <v>35000</v>
      </c>
      <c r="X8114" s="6">
        <f t="shared" si="1262"/>
        <v>0</v>
      </c>
      <c r="Y8114" s="13">
        <f t="shared" si="1257"/>
        <v>0</v>
      </c>
      <c r="Z8114" s="66">
        <v>0</v>
      </c>
      <c r="AA8114" s="6">
        <v>0</v>
      </c>
      <c r="AB8114" s="4">
        <f t="shared" si="1258"/>
        <v>0</v>
      </c>
      <c r="AC8114" s="6">
        <f t="shared" si="1265"/>
        <v>0</v>
      </c>
      <c r="AD8114" s="6">
        <f t="shared" si="1263"/>
        <v>0</v>
      </c>
      <c r="AE8114" s="14">
        <v>0.15</v>
      </c>
      <c r="AF8114" s="6">
        <f t="shared" si="1255"/>
        <v>0</v>
      </c>
      <c r="AG8114" s="14">
        <v>0.05</v>
      </c>
      <c r="AH8114" s="6">
        <f t="shared" si="1264"/>
        <v>0</v>
      </c>
      <c r="AI8114" s="66"/>
      <c r="AJ8114" s="126" t="e">
        <v>#N/A</v>
      </c>
      <c r="AK8114" s="80">
        <f t="shared" si="1259"/>
        <v>0</v>
      </c>
      <c r="AL8114" s="85"/>
      <c r="AM8114" s="85"/>
    </row>
    <row r="8115" spans="1:39" s="86" customFormat="1" hidden="1" x14ac:dyDescent="0.3">
      <c r="A8115" s="89" t="s">
        <v>3978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261"/>
        <v>30749.98</v>
      </c>
      <c r="X8115" s="6">
        <f t="shared" si="1262"/>
        <v>3601.7118644067796</v>
      </c>
      <c r="Y8115" s="13">
        <f t="shared" si="1257"/>
        <v>0</v>
      </c>
      <c r="Z8115" s="66">
        <v>0</v>
      </c>
      <c r="AA8115" s="6">
        <v>0</v>
      </c>
      <c r="AB8115" s="4">
        <f t="shared" si="1258"/>
        <v>3601.7118644067796</v>
      </c>
      <c r="AC8115" s="6">
        <f t="shared" si="1265"/>
        <v>648.30813559321996</v>
      </c>
      <c r="AD8115" s="6">
        <f t="shared" si="1263"/>
        <v>4250.0199999999995</v>
      </c>
      <c r="AE8115" s="14">
        <v>0.15</v>
      </c>
      <c r="AF8115" s="6">
        <f t="shared" si="1255"/>
        <v>637.50299999999993</v>
      </c>
      <c r="AG8115" s="14">
        <v>0.05</v>
      </c>
      <c r="AH8115" s="6">
        <f t="shared" si="1264"/>
        <v>4047.6380952380946</v>
      </c>
      <c r="AI8115" s="66"/>
      <c r="AJ8115" s="126" t="e">
        <v>#N/A</v>
      </c>
      <c r="AK8115" s="80">
        <f t="shared" si="1259"/>
        <v>0</v>
      </c>
      <c r="AL8115" s="85"/>
      <c r="AM8115" s="85"/>
    </row>
    <row r="8116" spans="1:39" s="86" customFormat="1" hidden="1" x14ac:dyDescent="0.3">
      <c r="A8116" s="89" t="s">
        <v>3978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4006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4177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261"/>
        <v>816.52830999999969</v>
      </c>
      <c r="X8116" s="6">
        <f t="shared" si="1262"/>
        <v>3946.6714056603773</v>
      </c>
      <c r="Y8116" s="13">
        <f t="shared" si="1257"/>
        <v>0</v>
      </c>
      <c r="Z8116" s="66">
        <v>0</v>
      </c>
      <c r="AA8116" s="6">
        <v>0</v>
      </c>
      <c r="AB8116" s="4">
        <f t="shared" si="1258"/>
        <v>3946.6714056603773</v>
      </c>
      <c r="AC8116" s="6">
        <f t="shared" si="1265"/>
        <v>236.80028433962298</v>
      </c>
      <c r="AD8116" s="6">
        <f t="shared" si="1263"/>
        <v>4183.4716900000003</v>
      </c>
      <c r="AE8116" s="14">
        <v>0.15</v>
      </c>
      <c r="AF8116" s="6">
        <f t="shared" si="1255"/>
        <v>627.52075350000007</v>
      </c>
      <c r="AG8116" s="14">
        <v>0</v>
      </c>
      <c r="AH8116" s="6">
        <f t="shared" si="1264"/>
        <v>4183.4716900000003</v>
      </c>
      <c r="AI8116" s="66"/>
      <c r="AJ8116" s="126" t="e">
        <v>#N/A</v>
      </c>
      <c r="AK8116" s="80">
        <f t="shared" si="1259"/>
        <v>0</v>
      </c>
      <c r="AL8116" s="85"/>
      <c r="AM8116" s="85"/>
    </row>
    <row r="8117" spans="1:39" s="86" customFormat="1" hidden="1" x14ac:dyDescent="0.3">
      <c r="A8117" s="89" t="s">
        <v>3978</v>
      </c>
      <c r="B8117" s="86" t="s">
        <v>35</v>
      </c>
      <c r="C8117" s="86" t="s">
        <v>184</v>
      </c>
      <c r="D8117" s="86" t="s">
        <v>54</v>
      </c>
      <c r="E8117" s="86" t="s">
        <v>3983</v>
      </c>
      <c r="F8117" s="86" t="s">
        <v>3984</v>
      </c>
      <c r="G8117" s="86" t="s">
        <v>3983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261"/>
        <v>0</v>
      </c>
      <c r="X8117" s="6">
        <f t="shared" si="1262"/>
        <v>0</v>
      </c>
      <c r="Y8117" s="13">
        <f t="shared" si="1257"/>
        <v>0</v>
      </c>
      <c r="Z8117" s="66">
        <v>0</v>
      </c>
      <c r="AA8117" s="6">
        <v>0</v>
      </c>
      <c r="AB8117" s="4">
        <f t="shared" si="1258"/>
        <v>0</v>
      </c>
      <c r="AC8117" s="6">
        <f t="shared" si="1265"/>
        <v>0</v>
      </c>
      <c r="AD8117" s="6">
        <f t="shared" si="1263"/>
        <v>0</v>
      </c>
      <c r="AE8117" s="14">
        <v>0.15</v>
      </c>
      <c r="AF8117" s="6">
        <f t="shared" si="1255"/>
        <v>0</v>
      </c>
      <c r="AG8117" s="14">
        <v>0.19</v>
      </c>
      <c r="AH8117" s="6">
        <f t="shared" si="1264"/>
        <v>0</v>
      </c>
      <c r="AI8117" s="66"/>
      <c r="AJ8117" s="126" t="e">
        <v>#N/A</v>
      </c>
      <c r="AK8117" s="80">
        <f t="shared" si="1259"/>
        <v>0</v>
      </c>
      <c r="AL8117" s="85"/>
      <c r="AM8117" s="85"/>
    </row>
    <row r="8118" spans="1:39" s="86" customFormat="1" hidden="1" x14ac:dyDescent="0.3">
      <c r="A8118" s="89" t="s">
        <v>3792</v>
      </c>
      <c r="B8118" s="86" t="s">
        <v>35</v>
      </c>
      <c r="C8118" s="86" t="s">
        <v>184</v>
      </c>
      <c r="D8118" s="86" t="s">
        <v>54</v>
      </c>
      <c r="E8118" s="86" t="s">
        <v>3983</v>
      </c>
      <c r="F8118" s="86" t="s">
        <v>3984</v>
      </c>
      <c r="G8118" s="86" t="s">
        <v>3983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261"/>
        <v>9377.0626400000183</v>
      </c>
      <c r="X8118" s="6">
        <f t="shared" si="1262"/>
        <v>372036.78769747901</v>
      </c>
      <c r="Y8118" s="13">
        <f t="shared" si="1257"/>
        <v>0</v>
      </c>
      <c r="Z8118" s="66">
        <v>0</v>
      </c>
      <c r="AA8118" s="6">
        <v>0</v>
      </c>
      <c r="AB8118" s="4">
        <f t="shared" si="1258"/>
        <v>372036.78769747901</v>
      </c>
      <c r="AC8118" s="6">
        <f t="shared" si="1265"/>
        <v>70686.989662520995</v>
      </c>
      <c r="AD8118" s="6">
        <f t="shared" si="1263"/>
        <v>442723.77736000001</v>
      </c>
      <c r="AE8118" s="14">
        <v>0.15</v>
      </c>
      <c r="AF8118" s="6">
        <f t="shared" si="1255"/>
        <v>66408.566603999992</v>
      </c>
      <c r="AG8118" s="14">
        <v>0.19</v>
      </c>
      <c r="AH8118" s="6">
        <f t="shared" si="1264"/>
        <v>372036.78769747901</v>
      </c>
      <c r="AI8118" s="66"/>
      <c r="AJ8118" s="126" t="e">
        <v>#N/A</v>
      </c>
      <c r="AK8118" s="80">
        <f t="shared" si="1259"/>
        <v>0</v>
      </c>
      <c r="AL8118" s="85"/>
      <c r="AM8118" s="85"/>
    </row>
    <row r="8119" spans="1:39" s="86" customFormat="1" hidden="1" x14ac:dyDescent="0.3">
      <c r="A8119" s="89" t="s">
        <v>3792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4178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261"/>
        <v>1038.4300000000003</v>
      </c>
      <c r="X8119" s="6">
        <f t="shared" si="1262"/>
        <v>0</v>
      </c>
      <c r="Y8119" s="13">
        <f t="shared" si="1257"/>
        <v>0</v>
      </c>
      <c r="Z8119" s="14">
        <v>0</v>
      </c>
      <c r="AA8119" s="6">
        <v>0</v>
      </c>
      <c r="AB8119" s="4">
        <f t="shared" si="1258"/>
        <v>0</v>
      </c>
      <c r="AC8119" s="6">
        <f t="shared" si="1265"/>
        <v>0</v>
      </c>
      <c r="AD8119" s="6">
        <f t="shared" si="1263"/>
        <v>0</v>
      </c>
      <c r="AE8119" s="14">
        <v>0.15</v>
      </c>
      <c r="AF8119" s="6">
        <f t="shared" si="1255"/>
        <v>0</v>
      </c>
      <c r="AG8119" s="14">
        <v>0</v>
      </c>
      <c r="AH8119" s="6">
        <f t="shared" si="1264"/>
        <v>0</v>
      </c>
      <c r="AI8119" s="66"/>
      <c r="AJ8119" s="126" t="e">
        <v>#N/A</v>
      </c>
      <c r="AK8119" s="80">
        <f t="shared" si="1259"/>
        <v>0</v>
      </c>
      <c r="AL8119" s="85"/>
      <c r="AM8119" s="85"/>
    </row>
    <row r="8120" spans="1:39" s="86" customFormat="1" hidden="1" x14ac:dyDescent="0.3">
      <c r="A8120" s="89" t="s">
        <v>3978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266">IF(P8120="折扣",V8120*Q8120,IF(P8120="返现",V8120,V8120/(1+Q8120)))</f>
        <v>90153</v>
      </c>
      <c r="Y8120" s="13">
        <f t="shared" si="1257"/>
        <v>0</v>
      </c>
      <c r="Z8120" s="14">
        <v>0</v>
      </c>
      <c r="AA8120" s="6">
        <v>0</v>
      </c>
      <c r="AB8120" s="4">
        <f t="shared" si="1258"/>
        <v>90153</v>
      </c>
      <c r="AC8120" s="6">
        <f t="shared" si="1265"/>
        <v>5247</v>
      </c>
      <c r="AD8120" s="6">
        <v>95400</v>
      </c>
      <c r="AE8120" s="14">
        <v>7.0000000000000007E-2</v>
      </c>
      <c r="AF8120" s="6">
        <f t="shared" si="1255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259"/>
        <v>0</v>
      </c>
      <c r="AL8120" s="85"/>
      <c r="AM8120" s="85"/>
    </row>
    <row r="8121" spans="1:39" s="86" customFormat="1" hidden="1" x14ac:dyDescent="0.3">
      <c r="A8121" s="89" t="s">
        <v>3792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266"/>
        <v>0</v>
      </c>
      <c r="Y8121" s="13">
        <f t="shared" si="1257"/>
        <v>0</v>
      </c>
      <c r="Z8121" s="14">
        <v>0</v>
      </c>
      <c r="AA8121" s="6">
        <v>0</v>
      </c>
      <c r="AB8121" s="4">
        <f t="shared" si="1258"/>
        <v>0</v>
      </c>
      <c r="AC8121" s="6">
        <f t="shared" si="1265"/>
        <v>0</v>
      </c>
      <c r="AD8121" s="6">
        <v>0</v>
      </c>
      <c r="AE8121" s="14">
        <v>7.0000000000000007E-2</v>
      </c>
      <c r="AF8121" s="6">
        <f t="shared" si="1255"/>
        <v>0</v>
      </c>
      <c r="AG8121" s="14">
        <v>0</v>
      </c>
      <c r="AH8121" s="47"/>
      <c r="AI8121" s="47" t="s">
        <v>4179</v>
      </c>
      <c r="AJ8121" s="126" t="e">
        <v>#N/A</v>
      </c>
      <c r="AK8121" s="80">
        <f t="shared" si="1259"/>
        <v>0</v>
      </c>
      <c r="AL8121" s="85"/>
      <c r="AM8121" s="85"/>
    </row>
    <row r="8122" spans="1:39" s="86" customFormat="1" hidden="1" x14ac:dyDescent="0.3">
      <c r="A8122" s="89" t="s">
        <v>3978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266"/>
        <v>368928</v>
      </c>
      <c r="Y8122" s="13">
        <f t="shared" si="1257"/>
        <v>0</v>
      </c>
      <c r="Z8122" s="14">
        <v>0</v>
      </c>
      <c r="AA8122" s="6">
        <v>0</v>
      </c>
      <c r="AB8122" s="4">
        <f t="shared" si="1258"/>
        <v>368928</v>
      </c>
      <c r="AC8122" s="6">
        <f t="shared" si="1265"/>
        <v>21472</v>
      </c>
      <c r="AD8122" s="6">
        <v>390400</v>
      </c>
      <c r="AE8122" s="14">
        <v>7.0000000000000007E-2</v>
      </c>
      <c r="AF8122" s="6">
        <f t="shared" si="1255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259"/>
        <v>0</v>
      </c>
      <c r="AL8122" s="85"/>
      <c r="AM8122" s="85"/>
    </row>
    <row r="8123" spans="1:39" s="86" customFormat="1" hidden="1" x14ac:dyDescent="0.3">
      <c r="A8123" s="89" t="s">
        <v>3978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266"/>
        <v>103194</v>
      </c>
      <c r="Y8123" s="13">
        <f t="shared" si="1257"/>
        <v>0</v>
      </c>
      <c r="Z8123" s="14">
        <v>0</v>
      </c>
      <c r="AA8123" s="6">
        <v>0</v>
      </c>
      <c r="AB8123" s="4">
        <f t="shared" si="1258"/>
        <v>103194</v>
      </c>
      <c r="AC8123" s="6">
        <f t="shared" si="1265"/>
        <v>6006</v>
      </c>
      <c r="AD8123" s="6">
        <v>109200</v>
      </c>
      <c r="AE8123" s="14">
        <v>7.0000000000000007E-2</v>
      </c>
      <c r="AF8123" s="6">
        <f t="shared" si="1255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259"/>
        <v>0</v>
      </c>
      <c r="AL8123" s="85"/>
      <c r="AM8123" s="85"/>
    </row>
    <row r="8124" spans="1:39" s="86" customFormat="1" hidden="1" x14ac:dyDescent="0.3">
      <c r="A8124" s="89" t="s">
        <v>3978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266"/>
        <v>155925</v>
      </c>
      <c r="Y8124" s="13">
        <f t="shared" si="1257"/>
        <v>0</v>
      </c>
      <c r="Z8124" s="14">
        <v>0</v>
      </c>
      <c r="AA8124" s="6">
        <v>0</v>
      </c>
      <c r="AB8124" s="4">
        <f t="shared" si="1258"/>
        <v>155925</v>
      </c>
      <c r="AC8124" s="6">
        <f t="shared" si="1265"/>
        <v>9075</v>
      </c>
      <c r="AD8124" s="6">
        <v>165000</v>
      </c>
      <c r="AE8124" s="14">
        <v>7.0000000000000007E-2</v>
      </c>
      <c r="AF8124" s="6">
        <f t="shared" ref="AF8124:AF8150" si="1267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259"/>
        <v>0</v>
      </c>
      <c r="AL8124" s="85"/>
      <c r="AM8124" s="85"/>
    </row>
    <row r="8125" spans="1:39" s="86" customFormat="1" hidden="1" x14ac:dyDescent="0.3">
      <c r="A8125" s="89" t="s">
        <v>3978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266"/>
        <v>40068</v>
      </c>
      <c r="Y8125" s="13">
        <f t="shared" si="1257"/>
        <v>0</v>
      </c>
      <c r="Z8125" s="14">
        <v>0</v>
      </c>
      <c r="AA8125" s="6">
        <v>0</v>
      </c>
      <c r="AB8125" s="4">
        <f t="shared" si="1258"/>
        <v>40068</v>
      </c>
      <c r="AC8125" s="6">
        <f t="shared" si="1265"/>
        <v>2332</v>
      </c>
      <c r="AD8125" s="6">
        <v>42400</v>
      </c>
      <c r="AE8125" s="14">
        <v>7.0000000000000007E-2</v>
      </c>
      <c r="AF8125" s="6">
        <f t="shared" si="1267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259"/>
        <v>0</v>
      </c>
      <c r="AL8125" s="85"/>
      <c r="AM8125" s="85"/>
    </row>
    <row r="8126" spans="1:39" s="86" customFormat="1" hidden="1" x14ac:dyDescent="0.3">
      <c r="A8126" s="89" t="s">
        <v>3978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266"/>
        <v>0</v>
      </c>
      <c r="Y8126" s="13">
        <f t="shared" si="1257"/>
        <v>0</v>
      </c>
      <c r="Z8126" s="14">
        <v>0</v>
      </c>
      <c r="AA8126" s="6">
        <v>0</v>
      </c>
      <c r="AB8126" s="4">
        <f t="shared" si="1258"/>
        <v>0</v>
      </c>
      <c r="AC8126" s="6">
        <f t="shared" si="1265"/>
        <v>0</v>
      </c>
      <c r="AD8126" s="6">
        <v>0</v>
      </c>
      <c r="AE8126" s="14">
        <v>7.0000000000000007E-2</v>
      </c>
      <c r="AF8126" s="6">
        <f t="shared" si="1267"/>
        <v>0</v>
      </c>
      <c r="AG8126" s="14">
        <v>0</v>
      </c>
      <c r="AH8126" s="47"/>
      <c r="AI8126" s="47" t="s">
        <v>4179</v>
      </c>
      <c r="AJ8126" s="126" t="e">
        <v>#N/A</v>
      </c>
      <c r="AK8126" s="80">
        <f t="shared" si="1259"/>
        <v>0</v>
      </c>
      <c r="AL8126" s="85"/>
      <c r="AM8126" s="85"/>
    </row>
    <row r="8127" spans="1:39" s="86" customFormat="1" hidden="1" x14ac:dyDescent="0.3">
      <c r="A8127" s="89" t="s">
        <v>3792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266"/>
        <v>92421</v>
      </c>
      <c r="Y8127" s="13">
        <f t="shared" si="1257"/>
        <v>0</v>
      </c>
      <c r="Z8127" s="14">
        <v>0</v>
      </c>
      <c r="AA8127" s="6">
        <v>0</v>
      </c>
      <c r="AB8127" s="4">
        <f t="shared" si="1258"/>
        <v>92421</v>
      </c>
      <c r="AC8127" s="6">
        <f t="shared" si="1265"/>
        <v>5379</v>
      </c>
      <c r="AD8127" s="6">
        <v>97800</v>
      </c>
      <c r="AE8127" s="14">
        <v>7.0000000000000007E-2</v>
      </c>
      <c r="AF8127" s="6">
        <f t="shared" si="1267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259"/>
        <v>0</v>
      </c>
      <c r="AL8127" s="85"/>
      <c r="AM8127" s="85"/>
    </row>
    <row r="8128" spans="1:39" s="86" customFormat="1" hidden="1" x14ac:dyDescent="0.3">
      <c r="A8128" s="89" t="s">
        <v>3978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266"/>
        <v>47250</v>
      </c>
      <c r="Y8128" s="13">
        <f t="shared" si="1257"/>
        <v>0</v>
      </c>
      <c r="Z8128" s="14">
        <v>0</v>
      </c>
      <c r="AA8128" s="6">
        <v>0</v>
      </c>
      <c r="AB8128" s="4">
        <f t="shared" si="1258"/>
        <v>47250</v>
      </c>
      <c r="AC8128" s="6">
        <f t="shared" si="1265"/>
        <v>2750</v>
      </c>
      <c r="AD8128" s="6">
        <v>50000</v>
      </c>
      <c r="AE8128" s="14">
        <v>7.0000000000000007E-2</v>
      </c>
      <c r="AF8128" s="6">
        <f t="shared" si="1267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259"/>
        <v>0</v>
      </c>
      <c r="AL8128" s="85"/>
      <c r="AM8128" s="85"/>
    </row>
    <row r="8129" spans="1:39" s="86" customFormat="1" hidden="1" x14ac:dyDescent="0.3">
      <c r="A8129" s="89" t="s">
        <v>3978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266"/>
        <v>31752</v>
      </c>
      <c r="Y8129" s="13">
        <f t="shared" si="1257"/>
        <v>0</v>
      </c>
      <c r="Z8129" s="14">
        <v>0</v>
      </c>
      <c r="AA8129" s="6">
        <v>0</v>
      </c>
      <c r="AB8129" s="4">
        <f t="shared" si="1258"/>
        <v>31752</v>
      </c>
      <c r="AC8129" s="6">
        <f t="shared" si="1265"/>
        <v>1848</v>
      </c>
      <c r="AD8129" s="6">
        <v>33600</v>
      </c>
      <c r="AE8129" s="14">
        <v>7.0000000000000007E-2</v>
      </c>
      <c r="AF8129" s="6">
        <f t="shared" si="1267"/>
        <v>2352</v>
      </c>
      <c r="AG8129" s="14">
        <v>0</v>
      </c>
      <c r="AH8129" s="47"/>
      <c r="AI8129" s="47"/>
      <c r="AJ8129" s="126" t="e">
        <v>#N/A</v>
      </c>
      <c r="AK8129" s="80">
        <f t="shared" si="1259"/>
        <v>0</v>
      </c>
      <c r="AL8129" s="85"/>
      <c r="AM8129" s="85"/>
    </row>
    <row r="8130" spans="1:39" s="86" customFormat="1" hidden="1" x14ac:dyDescent="0.3">
      <c r="A8130" s="89" t="s">
        <v>3978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266"/>
        <v>699300</v>
      </c>
      <c r="Y8130" s="13">
        <f t="shared" si="1257"/>
        <v>0</v>
      </c>
      <c r="Z8130" s="14">
        <v>0</v>
      </c>
      <c r="AA8130" s="6">
        <v>0</v>
      </c>
      <c r="AB8130" s="4">
        <f t="shared" si="1258"/>
        <v>699300</v>
      </c>
      <c r="AC8130" s="6">
        <f t="shared" si="1265"/>
        <v>40700</v>
      </c>
      <c r="AD8130" s="6">
        <v>740000</v>
      </c>
      <c r="AE8130" s="14">
        <v>7.0000000000000007E-2</v>
      </c>
      <c r="AF8130" s="6">
        <f t="shared" si="1267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259"/>
        <v>0</v>
      </c>
      <c r="AL8130" s="85"/>
      <c r="AM8130" s="85"/>
    </row>
    <row r="8131" spans="1:39" s="86" customFormat="1" hidden="1" x14ac:dyDescent="0.3">
      <c r="A8131" s="89" t="s">
        <v>3978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266"/>
        <v>656775</v>
      </c>
      <c r="Y8131" s="13">
        <f t="shared" ref="Y8131:Y8186" si="1268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6" si="1269">X8131+AA8131</f>
        <v>656775</v>
      </c>
      <c r="AC8131" s="6">
        <f t="shared" si="1265"/>
        <v>38225</v>
      </c>
      <c r="AD8131" s="6">
        <v>695000</v>
      </c>
      <c r="AE8131" s="14">
        <v>7.0000000000000007E-2</v>
      </c>
      <c r="AF8131" s="6">
        <f t="shared" si="1267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6" si="1270">X8131+AA8131-AB8131</f>
        <v>0</v>
      </c>
      <c r="AL8131" s="85"/>
      <c r="AM8131" s="85"/>
    </row>
    <row r="8132" spans="1:39" s="86" customFormat="1" hidden="1" x14ac:dyDescent="0.3">
      <c r="A8132" s="89" t="s">
        <v>3978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4180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4181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268"/>
        <v>0</v>
      </c>
      <c r="Z8132" s="14">
        <v>0</v>
      </c>
      <c r="AA8132" s="6">
        <v>0</v>
      </c>
      <c r="AB8132" s="4">
        <f t="shared" si="1269"/>
        <v>24894.87</v>
      </c>
      <c r="AC8132" s="6">
        <f t="shared" si="1265"/>
        <v>2981.9700000000012</v>
      </c>
      <c r="AD8132" s="6">
        <v>27876.84</v>
      </c>
      <c r="AE8132" s="14">
        <v>0</v>
      </c>
      <c r="AF8132" s="6">
        <f t="shared" si="1267"/>
        <v>0</v>
      </c>
      <c r="AG8132" s="14">
        <v>0</v>
      </c>
      <c r="AH8132" s="47"/>
      <c r="AI8132" s="47"/>
      <c r="AJ8132" s="126" t="e">
        <v>#N/A</v>
      </c>
      <c r="AK8132" s="80">
        <f t="shared" si="1270"/>
        <v>0</v>
      </c>
      <c r="AL8132" s="85"/>
      <c r="AM8132" s="85"/>
    </row>
    <row r="8133" spans="1:39" s="86" customFormat="1" hidden="1" x14ac:dyDescent="0.3">
      <c r="A8133" s="89" t="s">
        <v>3978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271">IF(P8133="折扣",V8133*Q8133,IF(P8133="返现",V8133,V8133/(1+Q8133)))</f>
        <v>99603</v>
      </c>
      <c r="Y8133" s="13">
        <f t="shared" si="1268"/>
        <v>0</v>
      </c>
      <c r="Z8133" s="14">
        <v>0</v>
      </c>
      <c r="AA8133" s="6">
        <v>0</v>
      </c>
      <c r="AB8133" s="4">
        <f t="shared" si="1269"/>
        <v>99603</v>
      </c>
      <c r="AC8133" s="6">
        <f t="shared" si="1265"/>
        <v>5797</v>
      </c>
      <c r="AD8133" s="6">
        <v>105400</v>
      </c>
      <c r="AE8133" s="14">
        <v>7.0000000000000007E-2</v>
      </c>
      <c r="AF8133" s="6">
        <f t="shared" si="1267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270"/>
        <v>0</v>
      </c>
      <c r="AL8133" s="85"/>
      <c r="AM8133" s="85"/>
    </row>
    <row r="8134" spans="1:39" s="86" customFormat="1" hidden="1" x14ac:dyDescent="0.3">
      <c r="A8134" s="89" t="s">
        <v>3978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4182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271"/>
        <v>89964</v>
      </c>
      <c r="Y8134" s="13">
        <f t="shared" si="1268"/>
        <v>0</v>
      </c>
      <c r="Z8134" s="14">
        <v>0</v>
      </c>
      <c r="AA8134" s="6">
        <v>0</v>
      </c>
      <c r="AB8134" s="4">
        <f t="shared" si="1269"/>
        <v>89964</v>
      </c>
      <c r="AC8134" s="6">
        <f t="shared" si="1265"/>
        <v>5236</v>
      </c>
      <c r="AD8134" s="6">
        <v>95200</v>
      </c>
      <c r="AE8134" s="14">
        <v>7.0000000000000007E-2</v>
      </c>
      <c r="AF8134" s="6">
        <f t="shared" si="1267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270"/>
        <v>0</v>
      </c>
      <c r="AL8134" s="85"/>
      <c r="AM8134" s="85"/>
    </row>
    <row r="8135" spans="1:39" s="86" customFormat="1" hidden="1" x14ac:dyDescent="0.3">
      <c r="A8135" s="89" t="s">
        <v>3978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271"/>
        <v>0</v>
      </c>
      <c r="Y8135" s="13">
        <f t="shared" si="1268"/>
        <v>0</v>
      </c>
      <c r="Z8135" s="14">
        <v>0</v>
      </c>
      <c r="AA8135" s="6">
        <v>0</v>
      </c>
      <c r="AB8135" s="4">
        <f t="shared" si="1269"/>
        <v>0</v>
      </c>
      <c r="AC8135" s="6">
        <f t="shared" si="1265"/>
        <v>0</v>
      </c>
      <c r="AD8135" s="6">
        <v>0</v>
      </c>
      <c r="AE8135" s="14">
        <v>0</v>
      </c>
      <c r="AF8135" s="6">
        <f t="shared" si="1267"/>
        <v>0</v>
      </c>
      <c r="AG8135" s="14">
        <v>0</v>
      </c>
      <c r="AH8135" s="47"/>
      <c r="AI8135" s="47" t="s">
        <v>4183</v>
      </c>
      <c r="AJ8135" s="126" t="e">
        <v>#N/A</v>
      </c>
      <c r="AK8135" s="80">
        <f t="shared" si="1270"/>
        <v>0</v>
      </c>
      <c r="AL8135" s="85"/>
      <c r="AM8135" s="85"/>
    </row>
    <row r="8136" spans="1:39" s="86" customFormat="1" hidden="1" x14ac:dyDescent="0.3">
      <c r="A8136" s="89" t="s">
        <v>3978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271"/>
        <v>575000</v>
      </c>
      <c r="Y8136" s="13">
        <f t="shared" si="1268"/>
        <v>0</v>
      </c>
      <c r="Z8136" s="14">
        <v>0</v>
      </c>
      <c r="AA8136" s="6">
        <v>0</v>
      </c>
      <c r="AB8136" s="4">
        <f t="shared" si="1269"/>
        <v>575000</v>
      </c>
      <c r="AC8136" s="6">
        <f t="shared" si="1265"/>
        <v>0</v>
      </c>
      <c r="AD8136" s="6">
        <v>575000</v>
      </c>
      <c r="AE8136" s="14">
        <v>7.0000000000000007E-2</v>
      </c>
      <c r="AF8136" s="6">
        <f t="shared" si="1267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270"/>
        <v>0</v>
      </c>
      <c r="AL8136" s="85"/>
      <c r="AM8136" s="85"/>
    </row>
    <row r="8137" spans="1:39" s="86" customFormat="1" hidden="1" x14ac:dyDescent="0.3">
      <c r="A8137" s="89" t="s">
        <v>3978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271"/>
        <v>0</v>
      </c>
      <c r="Y8137" s="13">
        <f t="shared" si="1268"/>
        <v>0</v>
      </c>
      <c r="Z8137" s="14">
        <v>0</v>
      </c>
      <c r="AA8137" s="6">
        <v>0</v>
      </c>
      <c r="AB8137" s="4">
        <f t="shared" si="1269"/>
        <v>0</v>
      </c>
      <c r="AC8137" s="6">
        <f t="shared" si="1265"/>
        <v>0</v>
      </c>
      <c r="AD8137" s="6">
        <v>0</v>
      </c>
      <c r="AE8137" s="14">
        <v>7.0000000000000007E-2</v>
      </c>
      <c r="AF8137" s="6">
        <f t="shared" si="1267"/>
        <v>0</v>
      </c>
      <c r="AG8137" s="14">
        <v>0</v>
      </c>
      <c r="AH8137" s="47"/>
      <c r="AI8137" s="47" t="s">
        <v>4179</v>
      </c>
      <c r="AJ8137" s="126" t="e">
        <v>#N/A</v>
      </c>
      <c r="AK8137" s="80">
        <f t="shared" si="1270"/>
        <v>0</v>
      </c>
      <c r="AL8137" s="85"/>
      <c r="AM8137" s="85"/>
    </row>
    <row r="8138" spans="1:39" s="86" customFormat="1" hidden="1" x14ac:dyDescent="0.3">
      <c r="A8138" s="89" t="s">
        <v>3978</v>
      </c>
      <c r="B8138" s="86" t="s">
        <v>35</v>
      </c>
      <c r="C8138" s="86" t="s">
        <v>47</v>
      </c>
      <c r="D8138" s="86" t="s">
        <v>63</v>
      </c>
      <c r="E8138" s="86" t="s">
        <v>4184</v>
      </c>
      <c r="F8138" s="86" t="s">
        <v>4184</v>
      </c>
      <c r="G8138" s="86" t="s">
        <v>4184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271"/>
        <v>0</v>
      </c>
      <c r="Y8138" s="13">
        <f t="shared" si="1268"/>
        <v>0</v>
      </c>
      <c r="Z8138" s="14">
        <v>0</v>
      </c>
      <c r="AA8138" s="6">
        <v>0</v>
      </c>
      <c r="AB8138" s="4">
        <f t="shared" si="1269"/>
        <v>0</v>
      </c>
      <c r="AC8138" s="6">
        <f t="shared" si="1265"/>
        <v>0</v>
      </c>
      <c r="AD8138" s="6">
        <v>0</v>
      </c>
      <c r="AE8138" s="14">
        <v>7.0000000000000007E-2</v>
      </c>
      <c r="AF8138" s="6">
        <f t="shared" si="1267"/>
        <v>0</v>
      </c>
      <c r="AG8138" s="14">
        <v>0</v>
      </c>
      <c r="AH8138" s="47"/>
      <c r="AI8138" s="47" t="s">
        <v>4179</v>
      </c>
      <c r="AJ8138" s="126" t="e">
        <v>#N/A</v>
      </c>
      <c r="AK8138" s="80">
        <f t="shared" si="1270"/>
        <v>0</v>
      </c>
      <c r="AL8138" s="85"/>
      <c r="AM8138" s="85"/>
    </row>
    <row r="8139" spans="1:39" s="86" customFormat="1" hidden="1" x14ac:dyDescent="0.3">
      <c r="A8139" s="89" t="s">
        <v>3978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271"/>
        <v>360000</v>
      </c>
      <c r="Y8139" s="13">
        <f t="shared" si="1268"/>
        <v>0</v>
      </c>
      <c r="Z8139" s="14">
        <v>0</v>
      </c>
      <c r="AA8139" s="6">
        <v>0</v>
      </c>
      <c r="AB8139" s="4">
        <f t="shared" si="1269"/>
        <v>360000</v>
      </c>
      <c r="AC8139" s="6">
        <f t="shared" si="1265"/>
        <v>0</v>
      </c>
      <c r="AD8139" s="6">
        <v>360000</v>
      </c>
      <c r="AE8139" s="14">
        <v>7.0000000000000007E-2</v>
      </c>
      <c r="AF8139" s="6">
        <f t="shared" si="1267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270"/>
        <v>0</v>
      </c>
      <c r="AL8139" s="85"/>
      <c r="AM8139" s="85"/>
    </row>
    <row r="8140" spans="1:39" s="86" customFormat="1" hidden="1" x14ac:dyDescent="0.3">
      <c r="A8140" s="89" t="s">
        <v>3978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271"/>
        <v>108500</v>
      </c>
      <c r="Y8140" s="13">
        <f t="shared" si="1268"/>
        <v>0</v>
      </c>
      <c r="Z8140" s="14">
        <v>0</v>
      </c>
      <c r="AA8140" s="6">
        <v>0</v>
      </c>
      <c r="AB8140" s="4">
        <f t="shared" si="1269"/>
        <v>108500</v>
      </c>
      <c r="AC8140" s="6">
        <f t="shared" si="1265"/>
        <v>0</v>
      </c>
      <c r="AD8140" s="6">
        <v>108500</v>
      </c>
      <c r="AE8140" s="14">
        <v>7.0000000000000007E-2</v>
      </c>
      <c r="AF8140" s="6">
        <f t="shared" si="1267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270"/>
        <v>0</v>
      </c>
      <c r="AL8140" s="85"/>
      <c r="AM8140" s="85"/>
    </row>
    <row r="8141" spans="1:39" s="86" customFormat="1" hidden="1" x14ac:dyDescent="0.3">
      <c r="A8141" s="89" t="s">
        <v>3978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271"/>
        <v>225000</v>
      </c>
      <c r="Y8141" s="13">
        <f t="shared" si="1268"/>
        <v>0</v>
      </c>
      <c r="Z8141" s="14">
        <v>0</v>
      </c>
      <c r="AA8141" s="6">
        <v>0</v>
      </c>
      <c r="AB8141" s="4">
        <f t="shared" si="1269"/>
        <v>225000</v>
      </c>
      <c r="AC8141" s="6">
        <f t="shared" si="1265"/>
        <v>0</v>
      </c>
      <c r="AD8141" s="104">
        <v>225000</v>
      </c>
      <c r="AE8141" s="14">
        <v>7.0000000000000007E-2</v>
      </c>
      <c r="AF8141" s="6">
        <f t="shared" si="1267"/>
        <v>15750.000000000002</v>
      </c>
      <c r="AG8141" s="14">
        <v>0</v>
      </c>
      <c r="AH8141" s="47"/>
      <c r="AI8141" s="47"/>
      <c r="AJ8141" s="126" t="s">
        <v>4223</v>
      </c>
      <c r="AK8141" s="80">
        <f t="shared" si="1270"/>
        <v>0</v>
      </c>
      <c r="AL8141" s="150"/>
      <c r="AM8141" s="85"/>
    </row>
    <row r="8142" spans="1:39" s="86" customFormat="1" hidden="1" x14ac:dyDescent="0.3">
      <c r="A8142" s="89" t="s">
        <v>3978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268"/>
        <v>0</v>
      </c>
      <c r="Z8142" s="14">
        <v>0</v>
      </c>
      <c r="AA8142" s="6">
        <v>0</v>
      </c>
      <c r="AB8142" s="4">
        <f t="shared" si="1269"/>
        <v>159600</v>
      </c>
      <c r="AC8142" s="6">
        <f t="shared" si="1265"/>
        <v>5900</v>
      </c>
      <c r="AD8142" s="6">
        <v>165500</v>
      </c>
      <c r="AE8142" s="14">
        <v>7.0000000000000007E-2</v>
      </c>
      <c r="AF8142" s="6">
        <f t="shared" si="1267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270"/>
        <v>0</v>
      </c>
      <c r="AL8142" s="85"/>
      <c r="AM8142" s="85"/>
    </row>
    <row r="8143" spans="1:39" s="86" customFormat="1" hidden="1" x14ac:dyDescent="0.3">
      <c r="A8143" s="89" t="s">
        <v>3978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268"/>
        <v>0</v>
      </c>
      <c r="Z8143" s="14">
        <v>0</v>
      </c>
      <c r="AA8143" s="6">
        <v>0</v>
      </c>
      <c r="AB8143" s="4">
        <f t="shared" si="1269"/>
        <v>42400</v>
      </c>
      <c r="AC8143" s="6">
        <f t="shared" si="1265"/>
        <v>0</v>
      </c>
      <c r="AD8143" s="6">
        <v>42400</v>
      </c>
      <c r="AE8143" s="14">
        <v>7.0000000000000007E-2</v>
      </c>
      <c r="AF8143" s="6">
        <f t="shared" si="1267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270"/>
        <v>0</v>
      </c>
      <c r="AL8143" s="85"/>
      <c r="AM8143" s="85"/>
    </row>
    <row r="8144" spans="1:39" s="86" customFormat="1" hidden="1" x14ac:dyDescent="0.3">
      <c r="A8144" s="89" t="s">
        <v>3978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272">IF(P8144="折扣",V8144*Q8144,IF(P8144="返现",V8144,V8144/(1+Q8144)))</f>
        <v>85452.88</v>
      </c>
      <c r="Y8144" s="13">
        <f t="shared" si="1268"/>
        <v>0</v>
      </c>
      <c r="Z8144" s="14">
        <v>0</v>
      </c>
      <c r="AA8144" s="6">
        <v>0</v>
      </c>
      <c r="AB8144" s="4">
        <f t="shared" si="1269"/>
        <v>85452.88</v>
      </c>
      <c r="AC8144" s="6">
        <f t="shared" si="1265"/>
        <v>0</v>
      </c>
      <c r="AD8144" s="6">
        <v>85452.88</v>
      </c>
      <c r="AE8144" s="14">
        <v>0</v>
      </c>
      <c r="AF8144" s="6">
        <f t="shared" si="1267"/>
        <v>0</v>
      </c>
      <c r="AG8144" s="14">
        <v>0</v>
      </c>
      <c r="AH8144" s="47"/>
      <c r="AI8144" s="47"/>
      <c r="AJ8144" s="126" t="e">
        <v>#N/A</v>
      </c>
      <c r="AK8144" s="80">
        <f t="shared" si="1270"/>
        <v>0</v>
      </c>
      <c r="AL8144" s="85"/>
      <c r="AM8144" s="85"/>
    </row>
    <row r="8145" spans="1:39" s="86" customFormat="1" hidden="1" x14ac:dyDescent="0.3">
      <c r="A8145" s="89" t="s">
        <v>3978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272"/>
        <v>-38991.43</v>
      </c>
      <c r="Y8145" s="13">
        <f t="shared" si="1268"/>
        <v>0</v>
      </c>
      <c r="Z8145" s="14">
        <v>0</v>
      </c>
      <c r="AA8145" s="6">
        <v>0</v>
      </c>
      <c r="AB8145" s="4">
        <f t="shared" si="1269"/>
        <v>-38991.43</v>
      </c>
      <c r="AC8145" s="6">
        <f t="shared" si="1265"/>
        <v>0</v>
      </c>
      <c r="AD8145" s="6">
        <v>-38991.43</v>
      </c>
      <c r="AE8145" s="14">
        <v>0</v>
      </c>
      <c r="AF8145" s="6">
        <f t="shared" si="1267"/>
        <v>0</v>
      </c>
      <c r="AG8145" s="14">
        <v>0</v>
      </c>
      <c r="AH8145" s="47"/>
      <c r="AI8145" s="47" t="s">
        <v>4185</v>
      </c>
      <c r="AJ8145" s="126" t="e">
        <v>#N/A</v>
      </c>
      <c r="AK8145" s="80">
        <f t="shared" si="1270"/>
        <v>0</v>
      </c>
      <c r="AL8145" s="85"/>
      <c r="AM8145" s="85"/>
    </row>
    <row r="8146" spans="1:39" s="86" customFormat="1" hidden="1" x14ac:dyDescent="0.3">
      <c r="A8146" s="89" t="s">
        <v>3978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272"/>
        <v>30000</v>
      </c>
      <c r="Y8146" s="13">
        <f t="shared" si="1268"/>
        <v>0</v>
      </c>
      <c r="Z8146" s="14">
        <v>0</v>
      </c>
      <c r="AA8146" s="6">
        <v>0</v>
      </c>
      <c r="AB8146" s="4">
        <f t="shared" si="1269"/>
        <v>30000</v>
      </c>
      <c r="AC8146" s="6">
        <f t="shared" si="1265"/>
        <v>0</v>
      </c>
      <c r="AD8146" s="6">
        <v>30000</v>
      </c>
      <c r="AE8146" s="14">
        <v>7.0000000000000007E-2</v>
      </c>
      <c r="AF8146" s="6">
        <f t="shared" si="1267"/>
        <v>2100</v>
      </c>
      <c r="AG8146" s="14">
        <v>0</v>
      </c>
      <c r="AH8146" s="47"/>
      <c r="AI8146" s="47"/>
      <c r="AJ8146" s="126" t="e">
        <v>#N/A</v>
      </c>
      <c r="AK8146" s="80">
        <f t="shared" si="1270"/>
        <v>0</v>
      </c>
      <c r="AL8146" s="85"/>
      <c r="AM8146" s="85"/>
    </row>
    <row r="8147" spans="1:39" s="86" customFormat="1" hidden="1" x14ac:dyDescent="0.3">
      <c r="A8147" s="89" t="s">
        <v>3978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272"/>
        <v>57120</v>
      </c>
      <c r="Y8147" s="13">
        <f t="shared" si="1268"/>
        <v>0</v>
      </c>
      <c r="Z8147" s="14">
        <v>0</v>
      </c>
      <c r="AA8147" s="6">
        <v>0</v>
      </c>
      <c r="AB8147" s="4">
        <f t="shared" si="1269"/>
        <v>57120</v>
      </c>
      <c r="AC8147" s="6">
        <f t="shared" si="1265"/>
        <v>0</v>
      </c>
      <c r="AD8147" s="6">
        <v>57120</v>
      </c>
      <c r="AE8147" s="14">
        <v>0</v>
      </c>
      <c r="AF8147" s="6">
        <f t="shared" si="1267"/>
        <v>0</v>
      </c>
      <c r="AG8147" s="14">
        <v>0</v>
      </c>
      <c r="AH8147" s="47"/>
      <c r="AI8147" s="47"/>
      <c r="AJ8147" s="126" t="e">
        <v>#N/A</v>
      </c>
      <c r="AK8147" s="80">
        <f t="shared" si="1270"/>
        <v>0</v>
      </c>
      <c r="AL8147" s="85"/>
      <c r="AM8147" s="85"/>
    </row>
    <row r="8148" spans="1:39" s="86" customFormat="1" hidden="1" x14ac:dyDescent="0.3">
      <c r="A8148" s="89" t="s">
        <v>3978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268"/>
        <v>0</v>
      </c>
      <c r="Z8148" s="14">
        <v>0</v>
      </c>
      <c r="AA8148" s="6">
        <v>0</v>
      </c>
      <c r="AB8148" s="4">
        <f t="shared" si="1269"/>
        <v>10000</v>
      </c>
      <c r="AC8148" s="6">
        <f t="shared" si="1265"/>
        <v>25200</v>
      </c>
      <c r="AD8148" s="6">
        <v>35200</v>
      </c>
      <c r="AE8148" s="14">
        <v>7.0000000000000007E-2</v>
      </c>
      <c r="AF8148" s="6">
        <f t="shared" si="1267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270"/>
        <v>0</v>
      </c>
      <c r="AL8148" s="85"/>
      <c r="AM8148" s="85"/>
    </row>
    <row r="8149" spans="1:39" s="86" customFormat="1" hidden="1" x14ac:dyDescent="0.3">
      <c r="A8149" s="89" t="s">
        <v>3978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273">IF(P8149="折扣",V8149*Q8149,IF(P8149="返现",V8149,V8149/(1+Q8149)))</f>
        <v>10836</v>
      </c>
      <c r="Y8149" s="13">
        <f t="shared" si="1268"/>
        <v>0</v>
      </c>
      <c r="Z8149" s="11"/>
      <c r="AA8149" s="6">
        <v>0</v>
      </c>
      <c r="AB8149" s="4">
        <f t="shared" si="1269"/>
        <v>10836</v>
      </c>
      <c r="AC8149" s="6">
        <f t="shared" si="1265"/>
        <v>0</v>
      </c>
      <c r="AD8149" s="6">
        <v>10836</v>
      </c>
      <c r="AE8149" s="66">
        <v>0.10299999999999999</v>
      </c>
      <c r="AF8149" s="64">
        <f t="shared" si="1267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270"/>
        <v>0</v>
      </c>
      <c r="AL8149" s="85"/>
      <c r="AM8149" s="85"/>
    </row>
    <row r="8150" spans="1:39" s="86" customFormat="1" hidden="1" x14ac:dyDescent="0.3">
      <c r="A8150" s="89" t="s">
        <v>3978</v>
      </c>
      <c r="B8150" s="86" t="s">
        <v>35</v>
      </c>
      <c r="C8150" s="86" t="s">
        <v>184</v>
      </c>
      <c r="D8150" s="86" t="s">
        <v>3849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273"/>
        <v>2857.24</v>
      </c>
      <c r="Y8150" s="13">
        <f t="shared" si="1268"/>
        <v>0</v>
      </c>
      <c r="Z8150" s="11"/>
      <c r="AA8150" s="6">
        <v>0</v>
      </c>
      <c r="AB8150" s="4">
        <f t="shared" si="1269"/>
        <v>2857.24</v>
      </c>
      <c r="AC8150" s="6">
        <f t="shared" si="1265"/>
        <v>0</v>
      </c>
      <c r="AD8150" s="6">
        <v>2857.24</v>
      </c>
      <c r="AE8150" s="66">
        <v>0.10299999999999999</v>
      </c>
      <c r="AF8150" s="64">
        <f t="shared" si="1267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270"/>
        <v>0</v>
      </c>
      <c r="AL8150" s="85"/>
      <c r="AM8150" s="85"/>
    </row>
    <row r="8151" spans="1:39" s="88" customFormat="1" hidden="1" x14ac:dyDescent="0.3">
      <c r="A8151" s="89" t="s">
        <v>3978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4186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268"/>
        <v>0</v>
      </c>
      <c r="Z8151" s="106">
        <v>0.03</v>
      </c>
      <c r="AA8151" s="26">
        <f t="shared" ref="AA8151" si="1274">X8151*Z8151</f>
        <v>17047.498199999998</v>
      </c>
      <c r="AB8151" s="4">
        <f t="shared" si="1269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275">V8151</f>
        <v>585297.43819999998</v>
      </c>
      <c r="AI8151" s="88" t="s">
        <v>4187</v>
      </c>
      <c r="AJ8151" s="126" t="e">
        <v>#N/A</v>
      </c>
      <c r="AK8151" s="80">
        <f t="shared" si="1270"/>
        <v>0</v>
      </c>
      <c r="AL8151" s="85"/>
      <c r="AM8151" s="85"/>
    </row>
    <row r="8152" spans="1:39" s="86" customFormat="1" hidden="1" x14ac:dyDescent="0.3">
      <c r="A8152" s="89" t="s">
        <v>3792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268"/>
        <v>0</v>
      </c>
      <c r="Z8152" s="106">
        <v>0</v>
      </c>
      <c r="AA8152" s="26">
        <v>0</v>
      </c>
      <c r="AB8152" s="4">
        <f t="shared" si="1269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4187</v>
      </c>
      <c r="AJ8152" s="126" t="e">
        <v>#N/A</v>
      </c>
      <c r="AK8152" s="80">
        <f t="shared" si="1270"/>
        <v>0</v>
      </c>
      <c r="AL8152" s="85"/>
      <c r="AM8152" s="85"/>
    </row>
    <row r="8153" spans="1:39" s="86" customFormat="1" hidden="1" x14ac:dyDescent="0.3">
      <c r="A8153" s="89" t="s">
        <v>3978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276">X8153+AA8153</f>
        <v>55714.129999999961</v>
      </c>
      <c r="W8153" s="26"/>
      <c r="X8153" s="26">
        <v>55714.129999999961</v>
      </c>
      <c r="Y8153" s="13">
        <f t="shared" si="1268"/>
        <v>0</v>
      </c>
      <c r="Z8153" s="106">
        <v>0</v>
      </c>
      <c r="AA8153" s="26">
        <v>0</v>
      </c>
      <c r="AB8153" s="4">
        <f t="shared" si="1269"/>
        <v>55714.129999999961</v>
      </c>
      <c r="AC8153" s="26"/>
      <c r="AD8153" s="26">
        <f t="shared" ref="AD8153:AD8186" si="1277">V8153</f>
        <v>55714.129999999961</v>
      </c>
      <c r="AE8153" s="105">
        <v>0</v>
      </c>
      <c r="AF8153" s="28"/>
      <c r="AG8153" s="105">
        <v>0</v>
      </c>
      <c r="AH8153" s="29"/>
      <c r="AI8153" s="88" t="s">
        <v>4187</v>
      </c>
      <c r="AJ8153" s="126" t="e">
        <v>#N/A</v>
      </c>
      <c r="AK8153" s="80">
        <f t="shared" si="1270"/>
        <v>0</v>
      </c>
      <c r="AL8153" s="85"/>
      <c r="AM8153" s="85"/>
    </row>
    <row r="8154" spans="1:39" s="86" customFormat="1" hidden="1" x14ac:dyDescent="0.3">
      <c r="A8154" s="89" t="s">
        <v>3978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276"/>
        <v>61636.9</v>
      </c>
      <c r="W8154" s="26"/>
      <c r="X8154" s="26">
        <v>61636.9</v>
      </c>
      <c r="Y8154" s="13">
        <f t="shared" si="1268"/>
        <v>0</v>
      </c>
      <c r="Z8154" s="106">
        <v>0</v>
      </c>
      <c r="AA8154" s="26">
        <v>0</v>
      </c>
      <c r="AB8154" s="4">
        <f t="shared" si="1269"/>
        <v>61636.9</v>
      </c>
      <c r="AC8154" s="26"/>
      <c r="AD8154" s="26">
        <f t="shared" si="1277"/>
        <v>61636.9</v>
      </c>
      <c r="AE8154" s="105">
        <v>0</v>
      </c>
      <c r="AF8154" s="28"/>
      <c r="AG8154" s="105">
        <v>0</v>
      </c>
      <c r="AH8154" s="29"/>
      <c r="AI8154" s="88" t="s">
        <v>4187</v>
      </c>
      <c r="AJ8154" s="126" t="e">
        <v>#N/A</v>
      </c>
      <c r="AK8154" s="80">
        <f t="shared" si="1270"/>
        <v>0</v>
      </c>
      <c r="AL8154" s="85"/>
      <c r="AM8154" s="85"/>
    </row>
    <row r="8155" spans="1:39" s="86" customFormat="1" hidden="1" x14ac:dyDescent="0.3">
      <c r="A8155" s="89" t="s">
        <v>3978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276"/>
        <v>538046.5</v>
      </c>
      <c r="W8155" s="26"/>
      <c r="X8155" s="26">
        <v>538046.5</v>
      </c>
      <c r="Y8155" s="13">
        <f t="shared" si="1268"/>
        <v>0</v>
      </c>
      <c r="Z8155" s="106">
        <v>0</v>
      </c>
      <c r="AA8155" s="26">
        <v>0</v>
      </c>
      <c r="AB8155" s="4">
        <f t="shared" si="1269"/>
        <v>538046.5</v>
      </c>
      <c r="AC8155" s="26"/>
      <c r="AD8155" s="26">
        <f t="shared" si="1277"/>
        <v>538046.5</v>
      </c>
      <c r="AE8155" s="105">
        <v>0</v>
      </c>
      <c r="AF8155" s="28"/>
      <c r="AG8155" s="105">
        <v>0</v>
      </c>
      <c r="AH8155" s="29"/>
      <c r="AI8155" s="88" t="s">
        <v>4187</v>
      </c>
      <c r="AJ8155" s="126" t="e">
        <v>#N/A</v>
      </c>
      <c r="AK8155" s="80">
        <f t="shared" si="1270"/>
        <v>0</v>
      </c>
      <c r="AL8155" s="85"/>
      <c r="AM8155" s="85"/>
    </row>
    <row r="8156" spans="1:39" s="86" customFormat="1" hidden="1" x14ac:dyDescent="0.3">
      <c r="A8156" s="89" t="s">
        <v>3978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276"/>
        <v>27455.9</v>
      </c>
      <c r="W8156" s="26"/>
      <c r="X8156" s="26">
        <v>27455.9</v>
      </c>
      <c r="Y8156" s="13">
        <f t="shared" si="1268"/>
        <v>0</v>
      </c>
      <c r="Z8156" s="106">
        <v>0</v>
      </c>
      <c r="AA8156" s="26">
        <v>0</v>
      </c>
      <c r="AB8156" s="4">
        <f t="shared" si="1269"/>
        <v>27455.9</v>
      </c>
      <c r="AC8156" s="26"/>
      <c r="AD8156" s="26">
        <f t="shared" si="1277"/>
        <v>27455.9</v>
      </c>
      <c r="AE8156" s="105">
        <v>0</v>
      </c>
      <c r="AF8156" s="28"/>
      <c r="AG8156" s="105">
        <v>0</v>
      </c>
      <c r="AH8156" s="29"/>
      <c r="AI8156" s="88" t="s">
        <v>4187</v>
      </c>
      <c r="AJ8156" s="126" t="e">
        <v>#N/A</v>
      </c>
      <c r="AK8156" s="80">
        <f t="shared" si="1270"/>
        <v>0</v>
      </c>
      <c r="AL8156" s="85"/>
      <c r="AM8156" s="85"/>
    </row>
    <row r="8157" spans="1:39" s="86" customFormat="1" hidden="1" x14ac:dyDescent="0.3">
      <c r="A8157" s="89" t="s">
        <v>3978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276"/>
        <v>36091</v>
      </c>
      <c r="W8157" s="26"/>
      <c r="X8157" s="26">
        <v>36091</v>
      </c>
      <c r="Y8157" s="13">
        <f t="shared" si="1268"/>
        <v>0</v>
      </c>
      <c r="Z8157" s="106">
        <v>0</v>
      </c>
      <c r="AA8157" s="26">
        <v>0</v>
      </c>
      <c r="AB8157" s="4">
        <f t="shared" si="1269"/>
        <v>36091</v>
      </c>
      <c r="AC8157" s="26"/>
      <c r="AD8157" s="26">
        <f t="shared" si="1277"/>
        <v>36091</v>
      </c>
      <c r="AE8157" s="105">
        <v>0</v>
      </c>
      <c r="AF8157" s="28"/>
      <c r="AG8157" s="105">
        <v>0</v>
      </c>
      <c r="AH8157" s="29"/>
      <c r="AI8157" s="88" t="s">
        <v>4188</v>
      </c>
      <c r="AJ8157" s="126" t="e">
        <v>#N/A</v>
      </c>
      <c r="AK8157" s="80">
        <f t="shared" si="1270"/>
        <v>0</v>
      </c>
      <c r="AL8157" s="85"/>
      <c r="AM8157" s="85"/>
    </row>
    <row r="8158" spans="1:39" s="86" customFormat="1" hidden="1" x14ac:dyDescent="0.3">
      <c r="A8158" s="89" t="s">
        <v>3978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276"/>
        <v>11542.490196078432</v>
      </c>
      <c r="W8158" s="26"/>
      <c r="X8158" s="26">
        <v>11542.490196078432</v>
      </c>
      <c r="Y8158" s="13">
        <f t="shared" si="1268"/>
        <v>0</v>
      </c>
      <c r="Z8158" s="106">
        <v>0</v>
      </c>
      <c r="AA8158" s="26">
        <v>0</v>
      </c>
      <c r="AB8158" s="4">
        <f t="shared" si="1269"/>
        <v>11542.490196078432</v>
      </c>
      <c r="AC8158" s="26"/>
      <c r="AD8158" s="26">
        <f t="shared" si="1277"/>
        <v>11542.490196078432</v>
      </c>
      <c r="AE8158" s="105">
        <v>0</v>
      </c>
      <c r="AF8158" s="28"/>
      <c r="AG8158" s="105">
        <v>0</v>
      </c>
      <c r="AH8158" s="29"/>
      <c r="AI8158" s="88" t="s">
        <v>4189</v>
      </c>
      <c r="AJ8158" s="126" t="e">
        <v>#N/A</v>
      </c>
      <c r="AK8158" s="80">
        <f t="shared" si="1270"/>
        <v>0</v>
      </c>
      <c r="AL8158" s="85"/>
      <c r="AM8158" s="85"/>
    </row>
    <row r="8159" spans="1:39" s="86" customFormat="1" hidden="1" x14ac:dyDescent="0.3">
      <c r="A8159" s="89" t="s">
        <v>3978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276"/>
        <v>92561.2</v>
      </c>
      <c r="W8159" s="26"/>
      <c r="X8159" s="26">
        <v>92561.2</v>
      </c>
      <c r="Y8159" s="13">
        <f t="shared" si="1268"/>
        <v>0</v>
      </c>
      <c r="Z8159" s="106">
        <v>0</v>
      </c>
      <c r="AA8159" s="26">
        <v>0</v>
      </c>
      <c r="AB8159" s="4">
        <f t="shared" si="1269"/>
        <v>92561.2</v>
      </c>
      <c r="AC8159" s="26"/>
      <c r="AD8159" s="26">
        <f t="shared" si="1277"/>
        <v>92561.2</v>
      </c>
      <c r="AE8159" s="105">
        <v>0</v>
      </c>
      <c r="AF8159" s="28"/>
      <c r="AG8159" s="105">
        <v>0</v>
      </c>
      <c r="AH8159" s="29"/>
      <c r="AI8159" s="88" t="s">
        <v>4187</v>
      </c>
      <c r="AJ8159" s="126" t="e">
        <v>#N/A</v>
      </c>
      <c r="AK8159" s="80">
        <f t="shared" si="1270"/>
        <v>0</v>
      </c>
      <c r="AL8159" s="85"/>
      <c r="AM8159" s="85"/>
    </row>
    <row r="8160" spans="1:39" s="86" customFormat="1" hidden="1" x14ac:dyDescent="0.3">
      <c r="A8160" s="89" t="s">
        <v>3978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276"/>
        <v>125415.02941176471</v>
      </c>
      <c r="W8160" s="26"/>
      <c r="X8160" s="26">
        <v>125415.02941176471</v>
      </c>
      <c r="Y8160" s="13">
        <f t="shared" si="1268"/>
        <v>0</v>
      </c>
      <c r="Z8160" s="106">
        <v>0</v>
      </c>
      <c r="AA8160" s="26">
        <v>0</v>
      </c>
      <c r="AB8160" s="4">
        <f t="shared" si="1269"/>
        <v>125415.02941176471</v>
      </c>
      <c r="AC8160" s="26"/>
      <c r="AD8160" s="26">
        <f t="shared" si="1277"/>
        <v>125415.02941176471</v>
      </c>
      <c r="AE8160" s="105">
        <v>0</v>
      </c>
      <c r="AF8160" s="28"/>
      <c r="AG8160" s="105">
        <v>0</v>
      </c>
      <c r="AH8160" s="29"/>
      <c r="AI8160" s="88" t="s">
        <v>4188</v>
      </c>
      <c r="AJ8160" s="126" t="e">
        <v>#N/A</v>
      </c>
      <c r="AK8160" s="80">
        <f t="shared" si="1270"/>
        <v>0</v>
      </c>
      <c r="AL8160" s="85"/>
      <c r="AM8160" s="85"/>
    </row>
    <row r="8161" spans="1:39" s="86" customFormat="1" hidden="1" x14ac:dyDescent="0.3">
      <c r="A8161" s="89" t="s">
        <v>3978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276"/>
        <v>13790.789999999995</v>
      </c>
      <c r="W8161" s="26"/>
      <c r="X8161" s="26">
        <v>13790.789999999995</v>
      </c>
      <c r="Y8161" s="13">
        <f t="shared" si="1268"/>
        <v>0</v>
      </c>
      <c r="Z8161" s="106">
        <v>0</v>
      </c>
      <c r="AA8161" s="26">
        <v>0</v>
      </c>
      <c r="AB8161" s="4">
        <f t="shared" si="1269"/>
        <v>13790.789999999995</v>
      </c>
      <c r="AC8161" s="26"/>
      <c r="AD8161" s="26">
        <f t="shared" si="1277"/>
        <v>13790.789999999995</v>
      </c>
      <c r="AE8161" s="105">
        <v>0</v>
      </c>
      <c r="AF8161" s="28"/>
      <c r="AG8161" s="105">
        <v>0</v>
      </c>
      <c r="AH8161" s="29"/>
      <c r="AI8161" s="88" t="s">
        <v>4188</v>
      </c>
      <c r="AJ8161" s="126" t="e">
        <v>#N/A</v>
      </c>
      <c r="AK8161" s="80">
        <f t="shared" si="1270"/>
        <v>0</v>
      </c>
      <c r="AL8161" s="85"/>
      <c r="AM8161" s="85"/>
    </row>
    <row r="8162" spans="1:39" s="86" customFormat="1" hidden="1" x14ac:dyDescent="0.3">
      <c r="A8162" s="89" t="s">
        <v>3978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276"/>
        <v>48308.97</v>
      </c>
      <c r="W8162" s="26"/>
      <c r="X8162" s="26">
        <v>48308.97</v>
      </c>
      <c r="Y8162" s="13">
        <f t="shared" si="1268"/>
        <v>0</v>
      </c>
      <c r="Z8162" s="106">
        <v>0</v>
      </c>
      <c r="AA8162" s="26">
        <v>0</v>
      </c>
      <c r="AB8162" s="4">
        <f t="shared" si="1269"/>
        <v>48308.97</v>
      </c>
      <c r="AC8162" s="26"/>
      <c r="AD8162" s="26">
        <f t="shared" si="1277"/>
        <v>48308.97</v>
      </c>
      <c r="AE8162" s="105">
        <v>0</v>
      </c>
      <c r="AF8162" s="28"/>
      <c r="AG8162" s="105">
        <v>0</v>
      </c>
      <c r="AH8162" s="29"/>
      <c r="AI8162" s="88" t="s">
        <v>4187</v>
      </c>
      <c r="AJ8162" s="126" t="e">
        <v>#N/A</v>
      </c>
      <c r="AK8162" s="80">
        <f t="shared" si="1270"/>
        <v>0</v>
      </c>
      <c r="AL8162" s="85"/>
      <c r="AM8162" s="85"/>
    </row>
    <row r="8163" spans="1:39" s="86" customFormat="1" hidden="1" x14ac:dyDescent="0.3">
      <c r="A8163" s="89" t="s">
        <v>3978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276"/>
        <v>2402.3000000000002</v>
      </c>
      <c r="W8163" s="26"/>
      <c r="X8163" s="26">
        <v>2402.3000000000002</v>
      </c>
      <c r="Y8163" s="13">
        <f t="shared" si="1268"/>
        <v>0</v>
      </c>
      <c r="Z8163" s="106">
        <v>0</v>
      </c>
      <c r="AA8163" s="26">
        <v>0</v>
      </c>
      <c r="AB8163" s="4">
        <f t="shared" si="1269"/>
        <v>2402.3000000000002</v>
      </c>
      <c r="AC8163" s="26"/>
      <c r="AD8163" s="26">
        <f t="shared" si="1277"/>
        <v>2402.3000000000002</v>
      </c>
      <c r="AE8163" s="105">
        <v>0</v>
      </c>
      <c r="AF8163" s="28"/>
      <c r="AG8163" s="105">
        <v>0</v>
      </c>
      <c r="AH8163" s="29"/>
      <c r="AI8163" s="88" t="s">
        <v>4189</v>
      </c>
      <c r="AJ8163" s="126" t="e">
        <v>#N/A</v>
      </c>
      <c r="AK8163" s="80">
        <f t="shared" si="1270"/>
        <v>0</v>
      </c>
      <c r="AL8163" s="85"/>
      <c r="AM8163" s="85"/>
    </row>
    <row r="8164" spans="1:39" s="86" customFormat="1" hidden="1" x14ac:dyDescent="0.3">
      <c r="A8164" s="89" t="s">
        <v>3978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276"/>
        <v>13565.775408163267</v>
      </c>
      <c r="W8164" s="26"/>
      <c r="X8164" s="26">
        <v>13294.459900000002</v>
      </c>
      <c r="Y8164" s="13">
        <f t="shared" si="1268"/>
        <v>0</v>
      </c>
      <c r="Z8164" s="106">
        <v>0.02</v>
      </c>
      <c r="AA8164" s="26">
        <v>271.31550816326535</v>
      </c>
      <c r="AB8164" s="4">
        <f t="shared" si="1269"/>
        <v>13565.775408163267</v>
      </c>
      <c r="AC8164" s="26"/>
      <c r="AD8164" s="26">
        <f t="shared" si="1277"/>
        <v>13565.775408163267</v>
      </c>
      <c r="AE8164" s="105">
        <v>0</v>
      </c>
      <c r="AF8164" s="28"/>
      <c r="AG8164" s="105">
        <v>0</v>
      </c>
      <c r="AH8164" s="29"/>
      <c r="AI8164" s="88" t="s">
        <v>4187</v>
      </c>
      <c r="AJ8164" s="126" t="e">
        <v>#N/A</v>
      </c>
      <c r="AK8164" s="80">
        <f t="shared" si="1270"/>
        <v>0</v>
      </c>
      <c r="AL8164" s="85"/>
      <c r="AM8164" s="85"/>
    </row>
    <row r="8165" spans="1:39" s="86" customFormat="1" hidden="1" x14ac:dyDescent="0.3">
      <c r="A8165" s="89" t="s">
        <v>3978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276"/>
        <v>53893.772277227719</v>
      </c>
      <c r="W8165" s="26"/>
      <c r="X8165" s="26">
        <v>53893.772277227719</v>
      </c>
      <c r="Y8165" s="13">
        <f t="shared" si="1268"/>
        <v>0</v>
      </c>
      <c r="Z8165" s="106">
        <v>0</v>
      </c>
      <c r="AA8165" s="26">
        <v>0</v>
      </c>
      <c r="AB8165" s="4">
        <f t="shared" si="1269"/>
        <v>53893.772277227719</v>
      </c>
      <c r="AC8165" s="26"/>
      <c r="AD8165" s="26">
        <f t="shared" si="1277"/>
        <v>53893.772277227719</v>
      </c>
      <c r="AE8165" s="105">
        <v>0</v>
      </c>
      <c r="AF8165" s="28"/>
      <c r="AG8165" s="105">
        <v>0</v>
      </c>
      <c r="AH8165" s="29"/>
      <c r="AI8165" s="88" t="s">
        <v>4188</v>
      </c>
      <c r="AJ8165" s="126" t="e">
        <v>#N/A</v>
      </c>
      <c r="AK8165" s="80">
        <f t="shared" si="1270"/>
        <v>0</v>
      </c>
      <c r="AL8165" s="85"/>
      <c r="AM8165" s="85"/>
    </row>
    <row r="8166" spans="1:39" s="86" customFormat="1" hidden="1" x14ac:dyDescent="0.3">
      <c r="A8166" s="89" t="s">
        <v>3792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276"/>
        <v>14506.110000000015</v>
      </c>
      <c r="W8166" s="26"/>
      <c r="X8166" s="26">
        <v>14506.110000000015</v>
      </c>
      <c r="Y8166" s="13">
        <f t="shared" si="1268"/>
        <v>0</v>
      </c>
      <c r="Z8166" s="106">
        <v>0</v>
      </c>
      <c r="AA8166" s="26">
        <v>0</v>
      </c>
      <c r="AB8166" s="4">
        <f t="shared" si="1269"/>
        <v>14506.110000000015</v>
      </c>
      <c r="AC8166" s="26"/>
      <c r="AD8166" s="26">
        <f t="shared" si="1277"/>
        <v>14506.110000000015</v>
      </c>
      <c r="AE8166" s="105">
        <v>0</v>
      </c>
      <c r="AF8166" s="28"/>
      <c r="AG8166" s="105">
        <v>0</v>
      </c>
      <c r="AH8166" s="29"/>
      <c r="AI8166" s="88" t="s">
        <v>4187</v>
      </c>
      <c r="AJ8166" s="126" t="e">
        <v>#N/A</v>
      </c>
      <c r="AK8166" s="80">
        <f t="shared" si="1270"/>
        <v>0</v>
      </c>
      <c r="AL8166" s="85"/>
      <c r="AM8166" s="85"/>
    </row>
    <row r="8167" spans="1:39" s="86" customFormat="1" hidden="1" x14ac:dyDescent="0.3">
      <c r="A8167" s="89" t="s">
        <v>3978</v>
      </c>
      <c r="B8167" s="88" t="s">
        <v>35</v>
      </c>
      <c r="C8167" s="88" t="s">
        <v>184</v>
      </c>
      <c r="D8167" s="88" t="s">
        <v>54</v>
      </c>
      <c r="E8167" s="88" t="s">
        <v>3983</v>
      </c>
      <c r="F8167" s="88" t="s">
        <v>3984</v>
      </c>
      <c r="G8167" s="88" t="s">
        <v>3983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276"/>
        <v>6018.359999999986</v>
      </c>
      <c r="W8167" s="26"/>
      <c r="X8167" s="26">
        <v>6018.359999999986</v>
      </c>
      <c r="Y8167" s="13">
        <f t="shared" si="1268"/>
        <v>0</v>
      </c>
      <c r="Z8167" s="106">
        <v>0</v>
      </c>
      <c r="AA8167" s="26">
        <v>0</v>
      </c>
      <c r="AB8167" s="4">
        <f t="shared" si="1269"/>
        <v>6018.359999999986</v>
      </c>
      <c r="AC8167" s="26"/>
      <c r="AD8167" s="26">
        <f t="shared" si="1277"/>
        <v>6018.359999999986</v>
      </c>
      <c r="AE8167" s="105">
        <v>0</v>
      </c>
      <c r="AF8167" s="28"/>
      <c r="AG8167" s="105">
        <v>0</v>
      </c>
      <c r="AH8167" s="29"/>
      <c r="AI8167" s="88" t="s">
        <v>4188</v>
      </c>
      <c r="AJ8167" s="126" t="e">
        <v>#N/A</v>
      </c>
      <c r="AK8167" s="80">
        <f t="shared" si="1270"/>
        <v>0</v>
      </c>
      <c r="AL8167" s="85"/>
      <c r="AM8167" s="85"/>
    </row>
    <row r="8168" spans="1:39" s="86" customFormat="1" hidden="1" x14ac:dyDescent="0.3">
      <c r="A8168" s="89" t="s">
        <v>3792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4190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276"/>
        <v>2856.2000000000044</v>
      </c>
      <c r="W8168" s="26"/>
      <c r="X8168" s="26">
        <v>2856.2000000000044</v>
      </c>
      <c r="Y8168" s="13">
        <f t="shared" si="1268"/>
        <v>0</v>
      </c>
      <c r="Z8168" s="106">
        <v>0</v>
      </c>
      <c r="AA8168" s="26">
        <v>0</v>
      </c>
      <c r="AB8168" s="4">
        <f t="shared" si="1269"/>
        <v>2856.2000000000044</v>
      </c>
      <c r="AC8168" s="26"/>
      <c r="AD8168" s="26">
        <f t="shared" si="1277"/>
        <v>2856.2000000000044</v>
      </c>
      <c r="AE8168" s="105">
        <v>0</v>
      </c>
      <c r="AF8168" s="28"/>
      <c r="AG8168" s="105">
        <v>0</v>
      </c>
      <c r="AH8168" s="29"/>
      <c r="AI8168" s="88" t="s">
        <v>4188</v>
      </c>
      <c r="AJ8168" s="126" t="e">
        <v>#N/A</v>
      </c>
      <c r="AK8168" s="80">
        <f t="shared" si="1270"/>
        <v>0</v>
      </c>
      <c r="AL8168" s="85"/>
      <c r="AM8168" s="85"/>
    </row>
    <row r="8169" spans="1:39" s="86" customFormat="1" hidden="1" x14ac:dyDescent="0.3">
      <c r="A8169" s="89" t="s">
        <v>3978</v>
      </c>
      <c r="B8169" s="88" t="s">
        <v>35</v>
      </c>
      <c r="C8169" s="88" t="s">
        <v>184</v>
      </c>
      <c r="D8169" s="88" t="s">
        <v>3849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276"/>
        <v>21106.01</v>
      </c>
      <c r="W8169" s="26"/>
      <c r="X8169" s="26">
        <v>21106.01</v>
      </c>
      <c r="Y8169" s="13">
        <f t="shared" si="1268"/>
        <v>0</v>
      </c>
      <c r="Z8169" s="106">
        <v>0</v>
      </c>
      <c r="AA8169" s="26">
        <v>0</v>
      </c>
      <c r="AB8169" s="4">
        <f t="shared" si="1269"/>
        <v>21106.01</v>
      </c>
      <c r="AC8169" s="26"/>
      <c r="AD8169" s="26">
        <f t="shared" si="1277"/>
        <v>21106.01</v>
      </c>
      <c r="AE8169" s="105">
        <v>0</v>
      </c>
      <c r="AF8169" s="28"/>
      <c r="AG8169" s="105">
        <v>0</v>
      </c>
      <c r="AH8169" s="29"/>
      <c r="AI8169" s="88" t="s">
        <v>4187</v>
      </c>
      <c r="AJ8169" s="126" t="e">
        <v>#N/A</v>
      </c>
      <c r="AK8169" s="80">
        <f t="shared" si="1270"/>
        <v>0</v>
      </c>
      <c r="AL8169" s="85"/>
      <c r="AM8169" s="85"/>
    </row>
    <row r="8170" spans="1:39" s="86" customFormat="1" hidden="1" x14ac:dyDescent="0.3">
      <c r="A8170" s="89" t="s">
        <v>3978</v>
      </c>
      <c r="B8170" s="88" t="s">
        <v>35</v>
      </c>
      <c r="C8170" s="88" t="s">
        <v>184</v>
      </c>
      <c r="D8170" s="88" t="s">
        <v>3849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276"/>
        <v>28982.607843137255</v>
      </c>
      <c r="W8170" s="26"/>
      <c r="X8170" s="26">
        <v>28982.607843137255</v>
      </c>
      <c r="Y8170" s="13">
        <f t="shared" si="1268"/>
        <v>0</v>
      </c>
      <c r="Z8170" s="105">
        <v>0</v>
      </c>
      <c r="AA8170" s="26">
        <v>0</v>
      </c>
      <c r="AB8170" s="4">
        <f t="shared" si="1269"/>
        <v>28982.607843137255</v>
      </c>
      <c r="AC8170" s="26"/>
      <c r="AD8170" s="26">
        <f t="shared" si="1277"/>
        <v>28982.607843137255</v>
      </c>
      <c r="AE8170" s="105">
        <v>0</v>
      </c>
      <c r="AF8170" s="28"/>
      <c r="AG8170" s="105">
        <v>0</v>
      </c>
      <c r="AH8170" s="29"/>
      <c r="AI8170" s="88" t="s">
        <v>4189</v>
      </c>
      <c r="AJ8170" s="126" t="e">
        <v>#N/A</v>
      </c>
      <c r="AK8170" s="80">
        <f t="shared" si="1270"/>
        <v>0</v>
      </c>
      <c r="AL8170" s="85"/>
      <c r="AM8170" s="85"/>
    </row>
    <row r="8171" spans="1:39" s="86" customFormat="1" hidden="1" x14ac:dyDescent="0.3">
      <c r="A8171" s="89" t="s">
        <v>3792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276"/>
        <v>4435.2699999999895</v>
      </c>
      <c r="W8171" s="26"/>
      <c r="X8171" s="26">
        <v>4435.2699999999895</v>
      </c>
      <c r="Y8171" s="13">
        <f t="shared" si="1268"/>
        <v>0</v>
      </c>
      <c r="Z8171" s="105">
        <v>0</v>
      </c>
      <c r="AA8171" s="26">
        <v>0</v>
      </c>
      <c r="AB8171" s="4">
        <f t="shared" si="1269"/>
        <v>4435.2699999999895</v>
      </c>
      <c r="AC8171" s="26"/>
      <c r="AD8171" s="26">
        <f t="shared" si="1277"/>
        <v>4435.2699999999895</v>
      </c>
      <c r="AE8171" s="105">
        <v>0</v>
      </c>
      <c r="AF8171" s="28"/>
      <c r="AG8171" s="105">
        <v>0</v>
      </c>
      <c r="AH8171" s="29"/>
      <c r="AI8171" s="88" t="s">
        <v>4188</v>
      </c>
      <c r="AJ8171" s="126" t="e">
        <v>#N/A</v>
      </c>
      <c r="AK8171" s="80">
        <f t="shared" si="1270"/>
        <v>0</v>
      </c>
      <c r="AL8171" s="85"/>
      <c r="AM8171" s="85"/>
    </row>
    <row r="8172" spans="1:39" s="86" customFormat="1" hidden="1" x14ac:dyDescent="0.3">
      <c r="A8172" s="89" t="s">
        <v>3978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276"/>
        <v>246.16</v>
      </c>
      <c r="W8172" s="26"/>
      <c r="X8172" s="26">
        <v>246.16</v>
      </c>
      <c r="Y8172" s="13">
        <f t="shared" si="1268"/>
        <v>0</v>
      </c>
      <c r="Z8172" s="105">
        <v>0</v>
      </c>
      <c r="AA8172" s="26">
        <v>0</v>
      </c>
      <c r="AB8172" s="4">
        <f t="shared" si="1269"/>
        <v>246.16</v>
      </c>
      <c r="AC8172" s="26"/>
      <c r="AD8172" s="26">
        <f t="shared" si="1277"/>
        <v>246.16</v>
      </c>
      <c r="AE8172" s="105">
        <v>0</v>
      </c>
      <c r="AF8172" s="28"/>
      <c r="AG8172" s="105">
        <v>0</v>
      </c>
      <c r="AH8172" s="29"/>
      <c r="AI8172" s="88" t="s">
        <v>4187</v>
      </c>
      <c r="AJ8172" s="126" t="e">
        <v>#N/A</v>
      </c>
      <c r="AK8172" s="80">
        <f t="shared" si="1270"/>
        <v>0</v>
      </c>
      <c r="AL8172" s="85"/>
      <c r="AM8172" s="85"/>
    </row>
    <row r="8173" spans="1:39" s="86" customFormat="1" hidden="1" x14ac:dyDescent="0.3">
      <c r="A8173" s="89" t="s">
        <v>3792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276"/>
        <v>3012.19</v>
      </c>
      <c r="W8173" s="26"/>
      <c r="X8173" s="26">
        <v>3012.19</v>
      </c>
      <c r="Y8173" s="13">
        <f t="shared" si="1268"/>
        <v>0</v>
      </c>
      <c r="Z8173" s="105">
        <v>0</v>
      </c>
      <c r="AA8173" s="26">
        <v>0</v>
      </c>
      <c r="AB8173" s="4">
        <f t="shared" si="1269"/>
        <v>3012.19</v>
      </c>
      <c r="AC8173" s="26"/>
      <c r="AD8173" s="26">
        <f t="shared" si="1277"/>
        <v>3012.19</v>
      </c>
      <c r="AE8173" s="105">
        <v>0</v>
      </c>
      <c r="AF8173" s="28"/>
      <c r="AG8173" s="105">
        <v>0</v>
      </c>
      <c r="AH8173" s="29"/>
      <c r="AI8173" s="88" t="s">
        <v>4188</v>
      </c>
      <c r="AJ8173" s="126" t="e">
        <v>#N/A</v>
      </c>
      <c r="AK8173" s="80">
        <f t="shared" si="1270"/>
        <v>0</v>
      </c>
      <c r="AL8173" s="85"/>
      <c r="AM8173" s="85"/>
    </row>
    <row r="8174" spans="1:39" s="86" customFormat="1" hidden="1" x14ac:dyDescent="0.3">
      <c r="A8174" s="89" t="s">
        <v>3792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276"/>
        <v>14996.689999999995</v>
      </c>
      <c r="W8174" s="26"/>
      <c r="X8174" s="26">
        <v>14996.689999999995</v>
      </c>
      <c r="Y8174" s="13">
        <f t="shared" si="1268"/>
        <v>0</v>
      </c>
      <c r="Z8174" s="105">
        <v>0</v>
      </c>
      <c r="AA8174" s="26">
        <v>0</v>
      </c>
      <c r="AB8174" s="4">
        <f t="shared" si="1269"/>
        <v>14996.689999999995</v>
      </c>
      <c r="AC8174" s="26"/>
      <c r="AD8174" s="26">
        <f t="shared" si="1277"/>
        <v>14996.689999999995</v>
      </c>
      <c r="AE8174" s="105">
        <v>0</v>
      </c>
      <c r="AF8174" s="28"/>
      <c r="AG8174" s="105">
        <v>0</v>
      </c>
      <c r="AH8174" s="29"/>
      <c r="AI8174" s="88" t="s">
        <v>4187</v>
      </c>
      <c r="AJ8174" s="126" t="e">
        <v>#N/A</v>
      </c>
      <c r="AK8174" s="80">
        <f t="shared" si="1270"/>
        <v>0</v>
      </c>
      <c r="AL8174" s="85"/>
      <c r="AM8174" s="85"/>
    </row>
    <row r="8175" spans="1:39" s="86" customFormat="1" hidden="1" x14ac:dyDescent="0.3">
      <c r="A8175" s="89" t="s">
        <v>3978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276"/>
        <v>4962</v>
      </c>
      <c r="W8175" s="26"/>
      <c r="X8175" s="26">
        <v>4962</v>
      </c>
      <c r="Y8175" s="13">
        <f t="shared" si="1268"/>
        <v>0</v>
      </c>
      <c r="Z8175" s="105">
        <v>0</v>
      </c>
      <c r="AA8175" s="26">
        <v>0</v>
      </c>
      <c r="AB8175" s="4">
        <f t="shared" si="1269"/>
        <v>4962</v>
      </c>
      <c r="AC8175" s="26"/>
      <c r="AD8175" s="26">
        <f t="shared" si="1277"/>
        <v>4962</v>
      </c>
      <c r="AE8175" s="105">
        <v>0</v>
      </c>
      <c r="AF8175" s="28"/>
      <c r="AG8175" s="105">
        <v>0</v>
      </c>
      <c r="AH8175" s="29"/>
      <c r="AI8175" s="88" t="s">
        <v>4188</v>
      </c>
      <c r="AJ8175" s="126" t="e">
        <v>#N/A</v>
      </c>
      <c r="AK8175" s="80">
        <f t="shared" si="1270"/>
        <v>0</v>
      </c>
      <c r="AL8175" s="85"/>
      <c r="AM8175" s="85"/>
    </row>
    <row r="8176" spans="1:39" s="86" customFormat="1" hidden="1" x14ac:dyDescent="0.3">
      <c r="A8176" s="89" t="s">
        <v>3978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276"/>
        <v>53418.2</v>
      </c>
      <c r="W8176" s="26"/>
      <c r="X8176" s="26">
        <v>53418.2</v>
      </c>
      <c r="Y8176" s="13">
        <f t="shared" si="1268"/>
        <v>0</v>
      </c>
      <c r="Z8176" s="105">
        <v>0</v>
      </c>
      <c r="AA8176" s="26">
        <v>0</v>
      </c>
      <c r="AB8176" s="4">
        <f t="shared" si="1269"/>
        <v>53418.2</v>
      </c>
      <c r="AC8176" s="26"/>
      <c r="AD8176" s="26">
        <f t="shared" si="1277"/>
        <v>53418.2</v>
      </c>
      <c r="AE8176" s="105">
        <v>0</v>
      </c>
      <c r="AF8176" s="28"/>
      <c r="AG8176" s="105">
        <v>0</v>
      </c>
      <c r="AH8176" s="29"/>
      <c r="AI8176" s="88" t="s">
        <v>4188</v>
      </c>
      <c r="AJ8176" s="126" t="e">
        <v>#N/A</v>
      </c>
      <c r="AK8176" s="80">
        <f t="shared" si="1270"/>
        <v>0</v>
      </c>
      <c r="AL8176" s="85"/>
      <c r="AM8176" s="85"/>
    </row>
    <row r="8177" spans="1:39" s="86" customFormat="1" hidden="1" x14ac:dyDescent="0.3">
      <c r="A8177" s="89" t="s">
        <v>3792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276"/>
        <v>6200</v>
      </c>
      <c r="W8177" s="26"/>
      <c r="X8177" s="26">
        <v>6200</v>
      </c>
      <c r="Y8177" s="13">
        <f t="shared" si="1268"/>
        <v>0</v>
      </c>
      <c r="Z8177" s="105">
        <v>0</v>
      </c>
      <c r="AA8177" s="26">
        <v>0</v>
      </c>
      <c r="AB8177" s="4">
        <f t="shared" si="1269"/>
        <v>6200</v>
      </c>
      <c r="AC8177" s="26"/>
      <c r="AD8177" s="26">
        <f t="shared" si="1277"/>
        <v>6200</v>
      </c>
      <c r="AE8177" s="105">
        <v>0</v>
      </c>
      <c r="AF8177" s="28"/>
      <c r="AG8177" s="105">
        <v>0</v>
      </c>
      <c r="AH8177" s="29"/>
      <c r="AI8177" s="88" t="s">
        <v>4188</v>
      </c>
      <c r="AJ8177" s="126" t="e">
        <v>#N/A</v>
      </c>
      <c r="AK8177" s="80">
        <f t="shared" si="1270"/>
        <v>0</v>
      </c>
      <c r="AL8177" s="85"/>
      <c r="AM8177" s="85"/>
    </row>
    <row r="8178" spans="1:39" s="86" customFormat="1" hidden="1" x14ac:dyDescent="0.3">
      <c r="A8178" s="89" t="s">
        <v>3978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276"/>
        <v>39451.524271844697</v>
      </c>
      <c r="W8178" s="26"/>
      <c r="X8178" s="26">
        <v>39451.524271844697</v>
      </c>
      <c r="Y8178" s="13">
        <f t="shared" si="1268"/>
        <v>0</v>
      </c>
      <c r="Z8178" s="105">
        <v>0</v>
      </c>
      <c r="AA8178" s="26">
        <v>0</v>
      </c>
      <c r="AB8178" s="4">
        <f t="shared" si="1269"/>
        <v>39451.524271844697</v>
      </c>
      <c r="AC8178" s="26"/>
      <c r="AD8178" s="26">
        <f t="shared" si="1277"/>
        <v>39451.524271844697</v>
      </c>
      <c r="AE8178" s="105">
        <v>0</v>
      </c>
      <c r="AF8178" s="28"/>
      <c r="AG8178" s="105">
        <v>0</v>
      </c>
      <c r="AH8178" s="29"/>
      <c r="AI8178" s="88" t="s">
        <v>4187</v>
      </c>
      <c r="AJ8178" s="126" t="e">
        <v>#N/A</v>
      </c>
      <c r="AK8178" s="80">
        <f t="shared" si="1270"/>
        <v>0</v>
      </c>
      <c r="AL8178" s="85"/>
      <c r="AM8178" s="85"/>
    </row>
    <row r="8179" spans="1:39" s="86" customFormat="1" hidden="1" x14ac:dyDescent="0.3">
      <c r="A8179" s="89" t="s">
        <v>3792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4007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276"/>
        <v>501</v>
      </c>
      <c r="W8179" s="26"/>
      <c r="X8179" s="26">
        <v>501</v>
      </c>
      <c r="Y8179" s="13">
        <f t="shared" si="1268"/>
        <v>0</v>
      </c>
      <c r="Z8179" s="106">
        <v>0</v>
      </c>
      <c r="AA8179" s="26">
        <v>0</v>
      </c>
      <c r="AB8179" s="4">
        <f t="shared" si="1269"/>
        <v>501</v>
      </c>
      <c r="AC8179" s="26"/>
      <c r="AD8179" s="26">
        <f t="shared" si="1277"/>
        <v>501</v>
      </c>
      <c r="AE8179" s="105">
        <v>0</v>
      </c>
      <c r="AF8179" s="28"/>
      <c r="AG8179" s="105">
        <v>0</v>
      </c>
      <c r="AH8179" s="29"/>
      <c r="AI8179" s="88" t="s">
        <v>4187</v>
      </c>
      <c r="AJ8179" s="126" t="e">
        <v>#N/A</v>
      </c>
      <c r="AK8179" s="80">
        <f t="shared" si="1270"/>
        <v>0</v>
      </c>
      <c r="AL8179" s="85"/>
      <c r="AM8179" s="85"/>
    </row>
    <row r="8180" spans="1:39" s="86" customFormat="1" hidden="1" x14ac:dyDescent="0.3">
      <c r="A8180" s="89" t="s">
        <v>3792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4007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276"/>
        <v>1090.1960784313726</v>
      </c>
      <c r="W8180" s="26"/>
      <c r="X8180" s="26">
        <v>1090.1960784313726</v>
      </c>
      <c r="Y8180" s="13">
        <f t="shared" si="1268"/>
        <v>0</v>
      </c>
      <c r="Z8180" s="106">
        <v>0</v>
      </c>
      <c r="AA8180" s="26">
        <v>0</v>
      </c>
      <c r="AB8180" s="4">
        <f t="shared" si="1269"/>
        <v>1090.1960784313726</v>
      </c>
      <c r="AC8180" s="26"/>
      <c r="AD8180" s="26">
        <f t="shared" si="1277"/>
        <v>1090.1960784313726</v>
      </c>
      <c r="AE8180" s="105">
        <v>0</v>
      </c>
      <c r="AF8180" s="28"/>
      <c r="AG8180" s="105">
        <v>0</v>
      </c>
      <c r="AH8180" s="29"/>
      <c r="AI8180" s="88" t="s">
        <v>4187</v>
      </c>
      <c r="AJ8180" s="126" t="e">
        <v>#N/A</v>
      </c>
      <c r="AK8180" s="80">
        <f t="shared" si="1270"/>
        <v>0</v>
      </c>
      <c r="AL8180" s="85"/>
      <c r="AM8180" s="85"/>
    </row>
    <row r="8181" spans="1:39" s="86" customFormat="1" hidden="1" x14ac:dyDescent="0.3">
      <c r="A8181" s="89" t="s">
        <v>3978</v>
      </c>
      <c r="B8181" s="88" t="s">
        <v>35</v>
      </c>
      <c r="C8181" s="88" t="s">
        <v>36</v>
      </c>
      <c r="D8181" s="88" t="s">
        <v>185</v>
      </c>
      <c r="E8181" s="88" t="s">
        <v>4191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4116</v>
      </c>
      <c r="T8181" s="133"/>
      <c r="U8181" s="133"/>
      <c r="V8181" s="26">
        <f t="shared" si="1276"/>
        <v>9</v>
      </c>
      <c r="W8181" s="133"/>
      <c r="X8181" s="26">
        <v>9</v>
      </c>
      <c r="Y8181" s="13">
        <f t="shared" si="1268"/>
        <v>0</v>
      </c>
      <c r="Z8181" s="105">
        <v>0</v>
      </c>
      <c r="AA8181" s="107">
        <v>0</v>
      </c>
      <c r="AB8181" s="4">
        <f t="shared" si="1269"/>
        <v>9</v>
      </c>
      <c r="AC8181" s="26"/>
      <c r="AD8181" s="26">
        <f t="shared" si="1277"/>
        <v>9</v>
      </c>
      <c r="AE8181" s="105">
        <v>0</v>
      </c>
      <c r="AF8181" s="88"/>
      <c r="AG8181" s="105">
        <v>0</v>
      </c>
      <c r="AH8181" s="107"/>
      <c r="AI8181" s="88" t="s">
        <v>4188</v>
      </c>
      <c r="AJ8181" s="126" t="e">
        <v>#N/A</v>
      </c>
      <c r="AK8181" s="80">
        <f t="shared" si="1270"/>
        <v>0</v>
      </c>
      <c r="AL8181" s="85"/>
      <c r="AM8181" s="85"/>
    </row>
    <row r="8182" spans="1:39" s="86" customFormat="1" hidden="1" x14ac:dyDescent="0.3">
      <c r="A8182" s="89" t="s">
        <v>3792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4192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276"/>
        <v>1906.8932038834951</v>
      </c>
      <c r="W8182" s="6"/>
      <c r="X8182" s="6">
        <v>1906.8932038834951</v>
      </c>
      <c r="Y8182" s="13">
        <f t="shared" si="1268"/>
        <v>0</v>
      </c>
      <c r="Z8182" s="66">
        <v>0</v>
      </c>
      <c r="AA8182" s="6"/>
      <c r="AB8182" s="4">
        <f t="shared" si="1269"/>
        <v>1906.8932038834951</v>
      </c>
      <c r="AC8182" s="6"/>
      <c r="AD8182" s="6">
        <f t="shared" si="1277"/>
        <v>1906.8932038834951</v>
      </c>
      <c r="AE8182" s="14">
        <v>0</v>
      </c>
      <c r="AF8182" s="64"/>
      <c r="AG8182" s="14">
        <v>0</v>
      </c>
      <c r="AH8182" s="6"/>
      <c r="AI8182" s="86" t="s">
        <v>4188</v>
      </c>
      <c r="AJ8182" s="126" t="e">
        <v>#N/A</v>
      </c>
      <c r="AK8182" s="80">
        <f t="shared" si="1270"/>
        <v>0</v>
      </c>
      <c r="AL8182" s="85"/>
      <c r="AM8182" s="85"/>
    </row>
    <row r="8183" spans="1:39" s="86" customFormat="1" hidden="1" x14ac:dyDescent="0.3">
      <c r="A8183" s="89" t="s">
        <v>3978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4193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276"/>
        <v>451877.28124999983</v>
      </c>
      <c r="W8183" s="6"/>
      <c r="X8183" s="6">
        <v>451877.28124999983</v>
      </c>
      <c r="Y8183" s="13">
        <f t="shared" si="1268"/>
        <v>0</v>
      </c>
      <c r="Z8183" s="14">
        <v>0</v>
      </c>
      <c r="AA8183" s="6"/>
      <c r="AB8183" s="4">
        <f t="shared" si="1269"/>
        <v>451877.28124999983</v>
      </c>
      <c r="AC8183" s="6"/>
      <c r="AD8183" s="6">
        <f t="shared" si="1277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4188</v>
      </c>
      <c r="AJ8183" s="126" t="e">
        <v>#N/A</v>
      </c>
      <c r="AK8183" s="80">
        <f t="shared" si="1270"/>
        <v>0</v>
      </c>
      <c r="AL8183" s="85"/>
      <c r="AM8183" s="85"/>
    </row>
    <row r="8184" spans="1:39" s="86" customFormat="1" hidden="1" x14ac:dyDescent="0.3">
      <c r="A8184" s="89" t="s">
        <v>3792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4194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276"/>
        <v>219131.10144927545</v>
      </c>
      <c r="W8184" s="6"/>
      <c r="X8184" s="6">
        <v>219131.10144927545</v>
      </c>
      <c r="Y8184" s="13">
        <f t="shared" si="1268"/>
        <v>0</v>
      </c>
      <c r="Z8184" s="14">
        <v>0</v>
      </c>
      <c r="AA8184" s="6"/>
      <c r="AB8184" s="4">
        <f t="shared" si="1269"/>
        <v>219131.10144927545</v>
      </c>
      <c r="AC8184" s="6"/>
      <c r="AD8184" s="6">
        <f t="shared" si="1277"/>
        <v>219131.10144927545</v>
      </c>
      <c r="AE8184" s="14">
        <v>0</v>
      </c>
      <c r="AF8184" s="64"/>
      <c r="AG8184" s="14">
        <v>0.38</v>
      </c>
      <c r="AH8184" s="6"/>
      <c r="AI8184" s="86" t="s">
        <v>4187</v>
      </c>
      <c r="AJ8184" s="126" t="e">
        <v>#N/A</v>
      </c>
      <c r="AK8184" s="80">
        <f t="shared" si="1270"/>
        <v>0</v>
      </c>
      <c r="AL8184" s="85"/>
      <c r="AM8184" s="85"/>
    </row>
    <row r="8185" spans="1:39" s="86" customFormat="1" hidden="1" x14ac:dyDescent="0.3">
      <c r="A8185" s="89" t="s">
        <v>3978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4195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276"/>
        <v>0.94</v>
      </c>
      <c r="W8185" s="6"/>
      <c r="X8185" s="6">
        <v>0.94</v>
      </c>
      <c r="Y8185" s="13">
        <f t="shared" si="1268"/>
        <v>0</v>
      </c>
      <c r="Z8185" s="14">
        <v>0</v>
      </c>
      <c r="AA8185" s="6"/>
      <c r="AB8185" s="4">
        <f t="shared" si="1269"/>
        <v>0.94</v>
      </c>
      <c r="AC8185" s="6"/>
      <c r="AD8185" s="6">
        <f t="shared" si="1277"/>
        <v>0.94</v>
      </c>
      <c r="AE8185" s="14">
        <v>0</v>
      </c>
      <c r="AF8185" s="6"/>
      <c r="AG8185" s="14">
        <v>0</v>
      </c>
      <c r="AH8185" s="6"/>
      <c r="AI8185" s="86" t="s">
        <v>4188</v>
      </c>
      <c r="AJ8185" s="126" t="e">
        <v>#N/A</v>
      </c>
      <c r="AK8185" s="80">
        <f t="shared" si="1270"/>
        <v>0</v>
      </c>
      <c r="AL8185" s="85"/>
      <c r="AM8185" s="85"/>
    </row>
    <row r="8186" spans="1:39" s="86" customFormat="1" ht="13.25" hidden="1" customHeight="1" x14ac:dyDescent="0.3">
      <c r="A8186" s="89" t="s">
        <v>3978</v>
      </c>
      <c r="B8186" s="86" t="s">
        <v>35</v>
      </c>
      <c r="C8186" s="86" t="s">
        <v>36</v>
      </c>
      <c r="D8186" s="86" t="s">
        <v>185</v>
      </c>
      <c r="E8186" s="86" t="s">
        <v>4018</v>
      </c>
      <c r="F8186" s="86" t="s">
        <v>4018</v>
      </c>
      <c r="G8186" s="86" t="s">
        <v>4018</v>
      </c>
      <c r="H8186" s="144">
        <v>360</v>
      </c>
      <c r="I8186" s="86" t="s">
        <v>1060</v>
      </c>
      <c r="J8186" s="47" t="s">
        <v>3325</v>
      </c>
      <c r="K8186" s="47" t="s">
        <v>3767</v>
      </c>
      <c r="L8186" s="47" t="s">
        <v>35</v>
      </c>
      <c r="M8186" s="86" t="s">
        <v>4018</v>
      </c>
      <c r="O8186" s="47" t="s">
        <v>410</v>
      </c>
      <c r="P8186" s="47" t="s">
        <v>41</v>
      </c>
      <c r="Q8186" s="14">
        <v>0</v>
      </c>
      <c r="R8186" s="143">
        <v>1704652779</v>
      </c>
      <c r="S8186" s="47"/>
      <c r="T8186" s="6">
        <v>0</v>
      </c>
      <c r="U8186" s="6">
        <v>50000</v>
      </c>
      <c r="V8186" s="6">
        <v>0</v>
      </c>
      <c r="W8186" s="6">
        <f t="shared" ref="W8186" si="1278">T8186+U8186-V8186</f>
        <v>50000</v>
      </c>
      <c r="X8186" s="6">
        <f t="shared" ref="X8186" si="1279">IF(P8186="折扣",V8186*Q8186,IF(P8186="返现",V8186,V8186/(1+Q8186)))</f>
        <v>0</v>
      </c>
      <c r="Y8186" s="13">
        <f t="shared" si="1268"/>
        <v>0</v>
      </c>
      <c r="Z8186" s="66">
        <v>0</v>
      </c>
      <c r="AA8186" s="6">
        <v>0</v>
      </c>
      <c r="AB8186" s="4">
        <f t="shared" si="1269"/>
        <v>0</v>
      </c>
      <c r="AC8186" s="6">
        <f t="shared" ref="AC8186" si="1280">IF(P8186="返现",X8186*Q8186,V8186-X8186)</f>
        <v>0</v>
      </c>
      <c r="AD8186" s="6">
        <f t="shared" si="1277"/>
        <v>0</v>
      </c>
      <c r="AE8186" s="14">
        <f>VLOOKUP(I8186,[2]媒体政策预估表!A:N,MATCH(O8186,[2]媒体政策预估表!$A$2:$M$2,0),0)</f>
        <v>7.0000000000000007E-2</v>
      </c>
      <c r="AF8186" s="6">
        <f t="shared" ref="AF8186" si="1281">AD8186*AE8186</f>
        <v>0</v>
      </c>
      <c r="AG8186" s="14">
        <v>0</v>
      </c>
      <c r="AH8186" s="64">
        <f t="shared" ref="AH8186" si="1282">V8186</f>
        <v>0</v>
      </c>
      <c r="AJ8186" s="126" t="e">
        <v>#N/A</v>
      </c>
      <c r="AK8186" s="80">
        <f t="shared" si="1270"/>
        <v>0</v>
      </c>
      <c r="AL8186" s="85"/>
      <c r="AM8186" s="85"/>
    </row>
    <row r="8188" spans="1:39" x14ac:dyDescent="0.3">
      <c r="AB8188" s="36"/>
    </row>
  </sheetData>
  <autoFilter ref="A1:AN8186">
    <filterColumn colId="0">
      <filters>
        <filter val="2021年3月"/>
      </filters>
    </filterColumn>
    <filterColumn colId="4">
      <filters>
        <filter val="北京高途云集教育科技有限公司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0"/>
  <sheetViews>
    <sheetView topLeftCell="B1" zoomScale="70" zoomScaleNormal="70" workbookViewId="0">
      <pane ySplit="1" topLeftCell="A2" activePane="bottomLeft" state="frozen"/>
      <selection pane="bottomLeft" activeCell="E13" sqref="E13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4234</v>
      </c>
      <c r="T1" s="42" t="s">
        <v>3328</v>
      </c>
      <c r="U1" s="43" t="s">
        <v>3329</v>
      </c>
      <c r="V1" s="43" t="s">
        <v>3330</v>
      </c>
      <c r="W1" s="129">
        <f>SUBTOTAL(9,R:R)</f>
        <v>2006724903.4745336</v>
      </c>
    </row>
    <row r="2" spans="1:23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66630638.256919168</v>
      </c>
      <c r="S2" s="35">
        <v>46242.660200000304</v>
      </c>
      <c r="T2" s="34">
        <f>(R2-I2+L2)/1.06</f>
        <v>2500318.0885086344</v>
      </c>
      <c r="U2" s="34">
        <f>T2-(S2/1.06)</f>
        <v>2456692.9373765588</v>
      </c>
      <c r="V2" s="37">
        <f>IFERROR(IF(AND(U2&lt;0,R2&lt;0),-U2/(R2/1.06),U2/(R2/1.06)),IF(U2&lt;0,-1,"-"))</f>
        <v>3.9082538930185526E-2</v>
      </c>
      <c r="W2" s="80"/>
    </row>
    <row r="3" spans="1:23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x14ac:dyDescent="0.35">
      <c r="A26" s="49" t="s">
        <v>3356</v>
      </c>
      <c r="B26" s="49" t="s">
        <v>3730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x14ac:dyDescent="0.35">
      <c r="A27" s="49" t="s">
        <v>3356</v>
      </c>
      <c r="B27" s="49" t="s">
        <v>3730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x14ac:dyDescent="0.35">
      <c r="A28" s="49" t="s">
        <v>3356</v>
      </c>
      <c r="B28" s="49" t="s">
        <v>3731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x14ac:dyDescent="0.35">
      <c r="A29" s="49" t="s">
        <v>3356</v>
      </c>
      <c r="B29" s="49" t="s">
        <v>3731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x14ac:dyDescent="0.35">
      <c r="A30" s="49" t="s">
        <v>3356</v>
      </c>
      <c r="B30" s="49" t="s">
        <v>3717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x14ac:dyDescent="0.35">
      <c r="A31" s="49" t="s">
        <v>3356</v>
      </c>
      <c r="B31" s="49" t="s">
        <v>3717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4213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35">
        <v>134.01839999999996</v>
      </c>
      <c r="T66" s="34">
        <f>(R66-I66+L66)/1.06</f>
        <v>2138834.8313732292</v>
      </c>
      <c r="U66" s="34">
        <f t="shared" si="28"/>
        <v>2138708.3989203991</v>
      </c>
      <c r="V66" s="37">
        <f t="shared" si="3"/>
        <v>4.1370535387894251E-2</v>
      </c>
      <c r="W66" s="80"/>
    </row>
    <row r="67" spans="1:23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4210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x14ac:dyDescent="0.35">
      <c r="A86" s="49" t="s">
        <v>3356</v>
      </c>
      <c r="B86" s="49" t="s">
        <v>3742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x14ac:dyDescent="0.35">
      <c r="A87" s="49" t="s">
        <v>3356</v>
      </c>
      <c r="B87" s="49" t="s">
        <v>3742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x14ac:dyDescent="0.35">
      <c r="A90" s="49" t="s">
        <v>3356</v>
      </c>
      <c r="B90" s="49" t="s">
        <v>3743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x14ac:dyDescent="0.35">
      <c r="A91" s="49" t="s">
        <v>3356</v>
      </c>
      <c r="B91" s="49" t="s">
        <v>3743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x14ac:dyDescent="0.35">
      <c r="A92" s="49" t="s">
        <v>3356</v>
      </c>
      <c r="B92" s="49" t="s">
        <v>3735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x14ac:dyDescent="0.35">
      <c r="A93" s="49" t="s">
        <v>3356</v>
      </c>
      <c r="B93" s="49" t="s">
        <v>3735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x14ac:dyDescent="0.35">
      <c r="A117" s="7" t="s">
        <v>3690</v>
      </c>
      <c r="B117" s="49" t="s">
        <v>3694</v>
      </c>
      <c r="C117" s="49" t="s">
        <v>4203</v>
      </c>
      <c r="D117" s="49" t="s">
        <v>3761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x14ac:dyDescent="0.35">
      <c r="A118" s="49" t="s">
        <v>3356</v>
      </c>
      <c r="B118" s="49" t="s">
        <v>3719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x14ac:dyDescent="0.35">
      <c r="A119" s="49" t="s">
        <v>3356</v>
      </c>
      <c r="B119" s="49" t="s">
        <v>3719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x14ac:dyDescent="0.35">
      <c r="A120" s="49" t="s">
        <v>3356</v>
      </c>
      <c r="B120" s="49" t="s">
        <v>3731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3732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x14ac:dyDescent="0.35">
      <c r="A121" s="49" t="s">
        <v>3356</v>
      </c>
      <c r="B121" s="49" t="s">
        <v>3719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3744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x14ac:dyDescent="0.35">
      <c r="A122" s="49" t="s">
        <v>3356</v>
      </c>
      <c r="B122" s="49" t="s">
        <v>3719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3745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x14ac:dyDescent="0.35">
      <c r="A123" s="49" t="s">
        <v>3356</v>
      </c>
      <c r="B123" s="49" t="s">
        <v>3710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3791</v>
      </c>
      <c r="H123" s="31" t="s">
        <v>3776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32905573.087802939</v>
      </c>
      <c r="S123" s="35">
        <v>789897.26469999994</v>
      </c>
      <c r="T123" s="34">
        <f t="shared" si="42"/>
        <v>1663486.8086820194</v>
      </c>
      <c r="U123" s="34">
        <f t="shared" si="43"/>
        <v>918300.70990843454</v>
      </c>
      <c r="V123" s="37">
        <f t="shared" si="33"/>
        <v>2.9581577257615031E-2</v>
      </c>
      <c r="W123" s="80"/>
    </row>
    <row r="124" spans="1:23" x14ac:dyDescent="0.35">
      <c r="A124" s="49" t="s">
        <v>3356</v>
      </c>
      <c r="B124" s="49" t="s">
        <v>3710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3791</v>
      </c>
      <c r="H124" s="31" t="s">
        <v>3777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723837.39189765521</v>
      </c>
      <c r="S124" s="35">
        <v>7786.9469999999983</v>
      </c>
      <c r="T124" s="34">
        <f t="shared" si="42"/>
        <v>32757.987827976671</v>
      </c>
      <c r="U124" s="34">
        <f t="shared" si="43"/>
        <v>25411.811412882333</v>
      </c>
      <c r="V124" s="37">
        <f t="shared" si="33"/>
        <v>3.7213496289597428E-2</v>
      </c>
      <c r="W124" s="80"/>
    </row>
    <row r="125" spans="1:23" x14ac:dyDescent="0.35">
      <c r="A125" s="49" t="s">
        <v>3356</v>
      </c>
      <c r="B125" s="49" t="s">
        <v>3712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3791</v>
      </c>
      <c r="H125" s="31" t="s">
        <v>3776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59266102.113872424</v>
      </c>
      <c r="S125" s="35">
        <v>179115.97140000001</v>
      </c>
      <c r="T125" s="34">
        <f t="shared" si="42"/>
        <v>3495388.0685588927</v>
      </c>
      <c r="U125" s="34">
        <f t="shared" si="43"/>
        <v>3326410.7370494585</v>
      </c>
      <c r="V125" s="37">
        <f t="shared" si="33"/>
        <v>5.949430206322099E-2</v>
      </c>
      <c r="W125" s="80"/>
    </row>
    <row r="126" spans="1:23" x14ac:dyDescent="0.35">
      <c r="A126" s="49" t="s">
        <v>3356</v>
      </c>
      <c r="B126" s="49" t="s">
        <v>3712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3791</v>
      </c>
      <c r="H126" s="31" t="s">
        <v>3777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x14ac:dyDescent="0.35">
      <c r="A127" s="49" t="s">
        <v>3356</v>
      </c>
      <c r="B127" s="49" t="s">
        <v>3707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3791</v>
      </c>
      <c r="H127" s="31" t="s">
        <v>3776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x14ac:dyDescent="0.35">
      <c r="A128" s="49" t="s">
        <v>3356</v>
      </c>
      <c r="B128" s="49" t="s">
        <v>3707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3791</v>
      </c>
      <c r="H128" s="31" t="s">
        <v>3777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x14ac:dyDescent="0.35">
      <c r="A129" s="49" t="s">
        <v>3356</v>
      </c>
      <c r="B129" s="49" t="s">
        <v>3718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3791</v>
      </c>
      <c r="H129" s="31" t="s">
        <v>3776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x14ac:dyDescent="0.35">
      <c r="A130" s="49" t="s">
        <v>3356</v>
      </c>
      <c r="B130" s="49" t="s">
        <v>3718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3791</v>
      </c>
      <c r="H130" s="31" t="s">
        <v>3777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3791</v>
      </c>
      <c r="H131" s="31" t="s">
        <v>3776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3791</v>
      </c>
      <c r="H132" s="31" t="s">
        <v>3777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3791</v>
      </c>
      <c r="H133" s="31" t="s">
        <v>3776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60975517.689344868</v>
      </c>
      <c r="S133" s="35">
        <v>0</v>
      </c>
      <c r="T133" s="34">
        <f t="shared" si="42"/>
        <v>2217358.5838159123</v>
      </c>
      <c r="U133" s="34">
        <f t="shared" si="43"/>
        <v>2217358.5838159123</v>
      </c>
      <c r="V133" s="37">
        <f t="shared" si="48"/>
        <v>3.8546619822394497E-2</v>
      </c>
      <c r="W133" s="80"/>
    </row>
    <row r="134" spans="1:23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3791</v>
      </c>
      <c r="H134" s="31" t="s">
        <v>3778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37324860.246740267</v>
      </c>
      <c r="S134" s="35">
        <v>1873.9938</v>
      </c>
      <c r="T134" s="34">
        <f t="shared" si="42"/>
        <v>1870114.1133398756</v>
      </c>
      <c r="U134" s="34">
        <f t="shared" si="43"/>
        <v>1868346.1946606303</v>
      </c>
      <c r="V134" s="37">
        <f t="shared" si="48"/>
        <v>5.3059728911194752E-2</v>
      </c>
      <c r="W134" s="80"/>
    </row>
    <row r="135" spans="1:23" x14ac:dyDescent="0.35">
      <c r="A135" s="49" t="s">
        <v>3126</v>
      </c>
      <c r="B135" s="49" t="s">
        <v>3272</v>
      </c>
      <c r="C135" s="49" t="s">
        <v>4202</v>
      </c>
      <c r="D135" s="49" t="s">
        <v>3126</v>
      </c>
      <c r="E135" s="49" t="s">
        <v>220</v>
      </c>
      <c r="F135" s="49" t="s">
        <v>3317</v>
      </c>
      <c r="G135" s="56" t="s">
        <v>3791</v>
      </c>
      <c r="H135" s="31" t="s">
        <v>3776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x14ac:dyDescent="0.35">
      <c r="A136" s="49" t="s">
        <v>3121</v>
      </c>
      <c r="B136" s="49" t="s">
        <v>3274</v>
      </c>
      <c r="C136" s="49" t="s">
        <v>4202</v>
      </c>
      <c r="D136" s="49" t="s">
        <v>3121</v>
      </c>
      <c r="E136" s="49" t="s">
        <v>220</v>
      </c>
      <c r="F136" s="49" t="s">
        <v>3317</v>
      </c>
      <c r="G136" s="56" t="s">
        <v>3791</v>
      </c>
      <c r="H136" s="31" t="s">
        <v>3776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x14ac:dyDescent="0.35">
      <c r="A137" s="49" t="s">
        <v>610</v>
      </c>
      <c r="B137" s="49" t="s">
        <v>3275</v>
      </c>
      <c r="C137" s="49" t="s">
        <v>4202</v>
      </c>
      <c r="D137" s="49" t="s">
        <v>610</v>
      </c>
      <c r="E137" s="49" t="s">
        <v>610</v>
      </c>
      <c r="F137" s="49" t="s">
        <v>3317</v>
      </c>
      <c r="G137" s="56" t="s">
        <v>3791</v>
      </c>
      <c r="H137" s="31" t="s">
        <v>3776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x14ac:dyDescent="0.35">
      <c r="A138" s="49" t="s">
        <v>610</v>
      </c>
      <c r="B138" s="49" t="s">
        <v>3275</v>
      </c>
      <c r="C138" s="49" t="s">
        <v>4202</v>
      </c>
      <c r="D138" s="49" t="s">
        <v>610</v>
      </c>
      <c r="E138" s="49" t="s">
        <v>610</v>
      </c>
      <c r="F138" s="49" t="s">
        <v>3317</v>
      </c>
      <c r="G138" s="56" t="s">
        <v>3791</v>
      </c>
      <c r="H138" s="31" t="s">
        <v>3779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x14ac:dyDescent="0.35">
      <c r="A139" s="49" t="s">
        <v>610</v>
      </c>
      <c r="B139" s="49" t="s">
        <v>3275</v>
      </c>
      <c r="C139" s="49" t="s">
        <v>4202</v>
      </c>
      <c r="D139" s="49" t="s">
        <v>610</v>
      </c>
      <c r="E139" s="49" t="s">
        <v>610</v>
      </c>
      <c r="F139" s="49" t="s">
        <v>3317</v>
      </c>
      <c r="G139" s="56" t="s">
        <v>3791</v>
      </c>
      <c r="H139" s="31" t="s">
        <v>3780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x14ac:dyDescent="0.35">
      <c r="A140" s="49" t="s">
        <v>610</v>
      </c>
      <c r="B140" s="49" t="s">
        <v>3275</v>
      </c>
      <c r="C140" s="49" t="s">
        <v>4202</v>
      </c>
      <c r="D140" s="49" t="s">
        <v>610</v>
      </c>
      <c r="E140" s="49" t="s">
        <v>610</v>
      </c>
      <c r="F140" s="49" t="s">
        <v>3317</v>
      </c>
      <c r="G140" s="56" t="s">
        <v>3791</v>
      </c>
      <c r="H140" s="31" t="s">
        <v>3781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x14ac:dyDescent="0.35">
      <c r="A141" s="49" t="s">
        <v>78</v>
      </c>
      <c r="B141" s="49" t="s">
        <v>3763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3791</v>
      </c>
      <c r="H141" s="31" t="s">
        <v>3779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x14ac:dyDescent="0.35">
      <c r="A142" s="49" t="s">
        <v>78</v>
      </c>
      <c r="B142" s="49" t="s">
        <v>3763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3791</v>
      </c>
      <c r="H142" s="31" t="s">
        <v>3780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x14ac:dyDescent="0.35">
      <c r="A143" s="49" t="s">
        <v>3765</v>
      </c>
      <c r="B143" s="49" t="s">
        <v>3764</v>
      </c>
      <c r="C143" s="49" t="s">
        <v>3303</v>
      </c>
      <c r="D143" s="108" t="s">
        <v>3765</v>
      </c>
      <c r="E143" s="108" t="s">
        <v>78</v>
      </c>
      <c r="F143" s="49" t="s">
        <v>701</v>
      </c>
      <c r="G143" s="56" t="s">
        <v>3791</v>
      </c>
      <c r="H143" s="109" t="s">
        <v>3779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x14ac:dyDescent="0.35">
      <c r="A144" s="49" t="s">
        <v>887</v>
      </c>
      <c r="B144" s="49" t="s">
        <v>3277</v>
      </c>
      <c r="C144" s="49" t="s">
        <v>4202</v>
      </c>
      <c r="D144" s="49" t="s">
        <v>887</v>
      </c>
      <c r="E144" s="49" t="s">
        <v>887</v>
      </c>
      <c r="F144" s="49" t="s">
        <v>3317</v>
      </c>
      <c r="G144" s="56" t="s">
        <v>3791</v>
      </c>
      <c r="H144" s="31" t="s">
        <v>3776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x14ac:dyDescent="0.35">
      <c r="A145" s="49" t="s">
        <v>887</v>
      </c>
      <c r="B145" s="49" t="s">
        <v>3277</v>
      </c>
      <c r="C145" s="49" t="s">
        <v>4202</v>
      </c>
      <c r="D145" s="49" t="s">
        <v>887</v>
      </c>
      <c r="E145" s="49" t="s">
        <v>887</v>
      </c>
      <c r="F145" s="49" t="s">
        <v>3317</v>
      </c>
      <c r="G145" s="56" t="s">
        <v>3791</v>
      </c>
      <c r="H145" s="31" t="s">
        <v>3779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x14ac:dyDescent="0.35">
      <c r="A146" s="49" t="s">
        <v>887</v>
      </c>
      <c r="B146" s="49" t="s">
        <v>3277</v>
      </c>
      <c r="C146" s="49" t="s">
        <v>4202</v>
      </c>
      <c r="D146" s="49" t="s">
        <v>887</v>
      </c>
      <c r="E146" s="49" t="s">
        <v>887</v>
      </c>
      <c r="F146" s="49" t="s">
        <v>3317</v>
      </c>
      <c r="G146" s="56" t="s">
        <v>3791</v>
      </c>
      <c r="H146" s="31" t="s">
        <v>3780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x14ac:dyDescent="0.35">
      <c r="A147" s="49" t="s">
        <v>887</v>
      </c>
      <c r="B147" s="49" t="s">
        <v>3277</v>
      </c>
      <c r="C147" s="49" t="s">
        <v>4202</v>
      </c>
      <c r="D147" s="49" t="s">
        <v>887</v>
      </c>
      <c r="E147" s="49" t="s">
        <v>887</v>
      </c>
      <c r="F147" s="49" t="s">
        <v>3317</v>
      </c>
      <c r="G147" s="56" t="s">
        <v>3791</v>
      </c>
      <c r="H147" s="31" t="s">
        <v>3768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3766</v>
      </c>
      <c r="C148" s="49" t="s">
        <v>4202</v>
      </c>
      <c r="D148" s="108" t="s">
        <v>39</v>
      </c>
      <c r="E148" s="108" t="s">
        <v>39</v>
      </c>
      <c r="F148" s="49" t="s">
        <v>3317</v>
      </c>
      <c r="G148" s="56" t="s">
        <v>3791</v>
      </c>
      <c r="H148" s="109" t="s">
        <v>3778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4211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3791</v>
      </c>
      <c r="H149" s="31" t="s">
        <v>3776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3791</v>
      </c>
      <c r="H150" s="31" t="s">
        <v>3779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3791</v>
      </c>
      <c r="H151" s="31" t="s">
        <v>3782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3791</v>
      </c>
      <c r="H152" s="31" t="s">
        <v>3780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1060</v>
      </c>
      <c r="B153" s="49" t="s">
        <v>3767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3791</v>
      </c>
      <c r="H153" s="31" t="s">
        <v>3776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x14ac:dyDescent="0.35">
      <c r="A154" s="49" t="s">
        <v>1060</v>
      </c>
      <c r="B154" s="49" t="s">
        <v>3767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3791</v>
      </c>
      <c r="H154" s="31" t="s">
        <v>3779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x14ac:dyDescent="0.35">
      <c r="A155" s="49" t="s">
        <v>1060</v>
      </c>
      <c r="B155" s="49" t="s">
        <v>3767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3791</v>
      </c>
      <c r="H155" s="31" t="s">
        <v>3780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x14ac:dyDescent="0.35">
      <c r="A156" s="49" t="s">
        <v>1060</v>
      </c>
      <c r="B156" s="49" t="s">
        <v>3767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3791</v>
      </c>
      <c r="H156" s="31" t="s">
        <v>3781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3791</v>
      </c>
      <c r="H157" s="31" t="s">
        <v>3776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9977325.1942970455</v>
      </c>
      <c r="S157" s="35">
        <v>0</v>
      </c>
      <c r="T157" s="34">
        <f t="shared" ref="T157:T158" si="57">(R157-I157+L157)/1.06</f>
        <v>1725242.3157802268</v>
      </c>
      <c r="U157" s="34">
        <f t="shared" si="56"/>
        <v>1725242.3157802268</v>
      </c>
      <c r="V157" s="37">
        <f t="shared" si="48"/>
        <v>0.18329129492264545</v>
      </c>
      <c r="W157" s="80"/>
    </row>
    <row r="158" spans="1:23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3791</v>
      </c>
      <c r="H158" s="31" t="s">
        <v>3779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3791</v>
      </c>
      <c r="H159" s="31" t="s">
        <v>3779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x14ac:dyDescent="0.35">
      <c r="A160" s="49" t="s">
        <v>2680</v>
      </c>
      <c r="B160" s="49" t="s">
        <v>3285</v>
      </c>
      <c r="C160" s="49" t="s">
        <v>4202</v>
      </c>
      <c r="D160" s="49" t="s">
        <v>2680</v>
      </c>
      <c r="E160" s="49" t="s">
        <v>2680</v>
      </c>
      <c r="F160" s="49" t="s">
        <v>3317</v>
      </c>
      <c r="G160" s="56" t="s">
        <v>3791</v>
      </c>
      <c r="H160" s="31" t="s">
        <v>3776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x14ac:dyDescent="0.35">
      <c r="A161" s="49" t="s">
        <v>1557</v>
      </c>
      <c r="B161" s="49" t="s">
        <v>3286</v>
      </c>
      <c r="C161" s="49" t="s">
        <v>4202</v>
      </c>
      <c r="D161" s="49" t="s">
        <v>1557</v>
      </c>
      <c r="E161" s="49" t="s">
        <v>4212</v>
      </c>
      <c r="F161" s="49" t="s">
        <v>3317</v>
      </c>
      <c r="G161" s="56" t="s">
        <v>3791</v>
      </c>
      <c r="H161" s="31" t="s">
        <v>3762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3791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x14ac:dyDescent="0.35">
      <c r="A163" s="49" t="s">
        <v>2680</v>
      </c>
      <c r="B163" s="49" t="s">
        <v>3285</v>
      </c>
      <c r="C163" s="49" t="s">
        <v>4202</v>
      </c>
      <c r="D163" s="49" t="s">
        <v>2680</v>
      </c>
      <c r="E163" s="49" t="s">
        <v>2680</v>
      </c>
      <c r="F163" s="49" t="s">
        <v>3317</v>
      </c>
      <c r="G163" s="56" t="s">
        <v>3791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3769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3791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x14ac:dyDescent="0.35">
      <c r="A165" s="49" t="s">
        <v>421</v>
      </c>
      <c r="B165" s="49" t="s">
        <v>3308</v>
      </c>
      <c r="C165" s="49" t="s">
        <v>4202</v>
      </c>
      <c r="D165" s="49" t="s">
        <v>421</v>
      </c>
      <c r="E165" s="49" t="s">
        <v>421</v>
      </c>
      <c r="F165" s="49" t="s">
        <v>3317</v>
      </c>
      <c r="G165" s="56" t="s">
        <v>3791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3770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x14ac:dyDescent="0.35">
      <c r="A166" s="49" t="s">
        <v>421</v>
      </c>
      <c r="B166" s="49" t="s">
        <v>3308</v>
      </c>
      <c r="C166" s="49" t="s">
        <v>4202</v>
      </c>
      <c r="D166" s="49" t="s">
        <v>421</v>
      </c>
      <c r="E166" s="49" t="s">
        <v>421</v>
      </c>
      <c r="F166" s="49" t="s">
        <v>3317</v>
      </c>
      <c r="G166" s="56" t="s">
        <v>3791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3771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5">
      <c r="A167" s="49" t="s">
        <v>2420</v>
      </c>
      <c r="B167" s="49" t="s">
        <v>3288</v>
      </c>
      <c r="C167" s="49" t="s">
        <v>4202</v>
      </c>
      <c r="D167" s="49" t="s">
        <v>2420</v>
      </c>
      <c r="E167" s="49" t="s">
        <v>2420</v>
      </c>
      <c r="F167" s="49" t="s">
        <v>3317</v>
      </c>
      <c r="G167" s="56" t="s">
        <v>3791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x14ac:dyDescent="0.35">
      <c r="A168" s="49" t="s">
        <v>3182</v>
      </c>
      <c r="B168" s="49" t="s">
        <v>3772</v>
      </c>
      <c r="C168" s="49" t="s">
        <v>4202</v>
      </c>
      <c r="D168" s="49" t="s">
        <v>3182</v>
      </c>
      <c r="E168" s="49" t="s">
        <v>3182</v>
      </c>
      <c r="F168" s="49" t="s">
        <v>3317</v>
      </c>
      <c r="G168" s="56" t="s">
        <v>3791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x14ac:dyDescent="0.35">
      <c r="A169" s="49" t="s">
        <v>4155</v>
      </c>
      <c r="B169" s="49" t="s">
        <v>3773</v>
      </c>
      <c r="C169" s="49" t="s">
        <v>4202</v>
      </c>
      <c r="D169" s="49" t="s">
        <v>3774</v>
      </c>
      <c r="E169" s="49" t="s">
        <v>4155</v>
      </c>
      <c r="F169" s="49" t="s">
        <v>3317</v>
      </c>
      <c r="G169" s="56" t="s">
        <v>3791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x14ac:dyDescent="0.35">
      <c r="A170" s="49" t="s">
        <v>4156</v>
      </c>
      <c r="B170" s="49" t="s">
        <v>3783</v>
      </c>
      <c r="C170" s="49" t="s">
        <v>4202</v>
      </c>
      <c r="D170" s="49" t="s">
        <v>3775</v>
      </c>
      <c r="E170" s="49" t="s">
        <v>4156</v>
      </c>
      <c r="F170" s="49" t="s">
        <v>3317</v>
      </c>
      <c r="G170" s="56" t="s">
        <v>3791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x14ac:dyDescent="0.35">
      <c r="A171" s="49" t="s">
        <v>3296</v>
      </c>
      <c r="B171" s="49" t="s">
        <v>3295</v>
      </c>
      <c r="C171" s="49" t="s">
        <v>4202</v>
      </c>
      <c r="D171" s="49" t="s">
        <v>3296</v>
      </c>
      <c r="E171" s="49" t="s">
        <v>3296</v>
      </c>
      <c r="F171" s="49" t="s">
        <v>3317</v>
      </c>
      <c r="G171" s="56" t="s">
        <v>3791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3784</v>
      </c>
      <c r="Q171" s="30" t="s">
        <v>3785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x14ac:dyDescent="0.35">
      <c r="A172" s="49" t="s">
        <v>3298</v>
      </c>
      <c r="B172" s="49" t="s">
        <v>3297</v>
      </c>
      <c r="C172" s="49" t="s">
        <v>4202</v>
      </c>
      <c r="D172" s="49" t="s">
        <v>3298</v>
      </c>
      <c r="E172" s="49" t="s">
        <v>3298</v>
      </c>
      <c r="F172" s="49" t="s">
        <v>3317</v>
      </c>
      <c r="G172" s="56" t="s">
        <v>3791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3786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x14ac:dyDescent="0.35">
      <c r="A173" s="49" t="s">
        <v>3298</v>
      </c>
      <c r="B173" s="49" t="s">
        <v>3297</v>
      </c>
      <c r="C173" s="49" t="s">
        <v>4202</v>
      </c>
      <c r="D173" s="49" t="s">
        <v>3298</v>
      </c>
      <c r="E173" s="49" t="s">
        <v>3298</v>
      </c>
      <c r="F173" s="49" t="s">
        <v>3317</v>
      </c>
      <c r="G173" s="56" t="s">
        <v>3791</v>
      </c>
      <c r="H173" s="31" t="s">
        <v>3787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3791</v>
      </c>
      <c r="H174" s="31" t="s">
        <v>3787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3788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3791</v>
      </c>
      <c r="H175" s="31" t="s">
        <v>3789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5">
      <c r="A176" s="49" t="s">
        <v>3210</v>
      </c>
      <c r="B176" s="121">
        <v>360</v>
      </c>
      <c r="C176" s="49" t="s">
        <v>4202</v>
      </c>
      <c r="D176" s="49" t="s">
        <v>3210</v>
      </c>
      <c r="E176" s="49" t="s">
        <v>3210</v>
      </c>
      <c r="F176" s="49" t="s">
        <v>3317</v>
      </c>
      <c r="G176" s="56" t="s">
        <v>3791</v>
      </c>
      <c r="H176" s="31" t="s">
        <v>3776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3791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3791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3790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x14ac:dyDescent="0.35">
      <c r="A179" s="49" t="s">
        <v>3255</v>
      </c>
      <c r="B179" s="49" t="s">
        <v>3382</v>
      </c>
      <c r="C179" s="49" t="s">
        <v>4202</v>
      </c>
      <c r="D179" s="49" t="s">
        <v>3255</v>
      </c>
      <c r="E179" s="49" t="s">
        <v>323</v>
      </c>
      <c r="F179" s="49" t="s">
        <v>3317</v>
      </c>
      <c r="G179" s="56" t="s">
        <v>3791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x14ac:dyDescent="0.35">
      <c r="A180" s="49" t="s">
        <v>3255</v>
      </c>
      <c r="B180" s="49" t="s">
        <v>3382</v>
      </c>
      <c r="C180" s="49" t="s">
        <v>4202</v>
      </c>
      <c r="D180" s="49" t="s">
        <v>3255</v>
      </c>
      <c r="E180" s="49" t="s">
        <v>323</v>
      </c>
      <c r="F180" s="49" t="s">
        <v>3317</v>
      </c>
      <c r="G180" s="56" t="s">
        <v>3791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4200</v>
      </c>
      <c r="C181" s="49" t="s">
        <v>4202</v>
      </c>
      <c r="D181" s="113" t="s">
        <v>4199</v>
      </c>
      <c r="E181" s="113" t="s">
        <v>704</v>
      </c>
      <c r="F181" s="49" t="s">
        <v>3317</v>
      </c>
      <c r="G181" s="56" t="s">
        <v>3791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x14ac:dyDescent="0.35">
      <c r="A182" s="49" t="s">
        <v>3252</v>
      </c>
      <c r="B182" s="113" t="s">
        <v>4201</v>
      </c>
      <c r="C182" s="49" t="s">
        <v>4202</v>
      </c>
      <c r="D182" s="113" t="s">
        <v>3252</v>
      </c>
      <c r="E182" s="113" t="s">
        <v>704</v>
      </c>
      <c r="F182" s="49" t="s">
        <v>3317</v>
      </c>
      <c r="G182" s="56" t="s">
        <v>3791</v>
      </c>
      <c r="H182" s="117" t="s">
        <v>3780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3791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3791</v>
      </c>
      <c r="H184" s="31" t="s">
        <v>4209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x14ac:dyDescent="0.35">
      <c r="A185" s="49" t="s">
        <v>2374</v>
      </c>
      <c r="B185" s="49" t="s">
        <v>4150</v>
      </c>
      <c r="C185" s="49" t="s">
        <v>4202</v>
      </c>
      <c r="D185" s="49" t="s">
        <v>4150</v>
      </c>
      <c r="E185" s="49" t="s">
        <v>4150</v>
      </c>
      <c r="F185" s="49" t="s">
        <v>3317</v>
      </c>
      <c r="G185" s="56" t="s">
        <v>3791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x14ac:dyDescent="0.35">
      <c r="A186" s="49" t="s">
        <v>891</v>
      </c>
      <c r="B186" s="49" t="s">
        <v>4228</v>
      </c>
      <c r="C186" s="49" t="s">
        <v>3323</v>
      </c>
      <c r="D186" s="49" t="s">
        <v>4227</v>
      </c>
      <c r="E186" s="49" t="s">
        <v>891</v>
      </c>
      <c r="F186" s="49" t="s">
        <v>3317</v>
      </c>
      <c r="G186" s="56" t="s">
        <v>3791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x14ac:dyDescent="0.35">
      <c r="A187" s="49" t="s">
        <v>765</v>
      </c>
      <c r="B187" s="49" t="s">
        <v>4229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3791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x14ac:dyDescent="0.35">
      <c r="A188" s="49" t="s">
        <v>1080</v>
      </c>
      <c r="B188" s="49" t="s">
        <v>4230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3791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x14ac:dyDescent="0.35">
      <c r="A189" s="49" t="s">
        <v>4231</v>
      </c>
      <c r="B189" s="49" t="s">
        <v>4232</v>
      </c>
      <c r="C189" s="49" t="s">
        <v>3323</v>
      </c>
      <c r="D189" s="49" t="s">
        <v>4231</v>
      </c>
      <c r="E189" s="49" t="s">
        <v>4231</v>
      </c>
      <c r="F189" s="49" t="s">
        <v>35</v>
      </c>
      <c r="G189" s="56" t="s">
        <v>3791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x14ac:dyDescent="0.35">
      <c r="A190" s="49"/>
      <c r="B190" s="49" t="s">
        <v>4233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3791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2021-04-08T04:17:25Z</dcterms:modified>
</cp:coreProperties>
</file>